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Y:\REAJUSTE\Concessionárias de Distribuição\2022\12 - D07 - CEA\Estrutura\"/>
    </mc:Choice>
  </mc:AlternateContent>
  <xr:revisionPtr revIDLastSave="0" documentId="13_ncr:1_{7EF9CB20-EF3F-4897-A81A-2151F9209709}" xr6:coauthVersionLast="47" xr6:coauthVersionMax="47" xr10:uidLastSave="{00000000-0000-0000-0000-000000000000}"/>
  <bookViews>
    <workbookView xWindow="-120" yWindow="-120" windowWidth="27825" windowHeight="16440" firstSheet="19" activeTab="29" xr2:uid="{9C8CE3CC-B021-43E9-A5EB-E979D77E5F3A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40" r:id="rId20"/>
    <sheet name="CONSISTENCIA" sheetId="21" r:id="rId21"/>
    <sheet name="TUSD" sheetId="35" r:id="rId22"/>
    <sheet name="TE" sheetId="36" r:id="rId23"/>
    <sheet name="RESUMO TUSD" sheetId="37" r:id="rId24"/>
    <sheet name="RESUMO TE" sheetId="38" r:id="rId25"/>
    <sheet name="Descontos" sheetId="20" r:id="rId26"/>
    <sheet name="ERD" sheetId="39" r:id="rId27"/>
    <sheet name="TA - Aplicação" sheetId="41" r:id="rId28"/>
    <sheet name="TA - BE" sheetId="42" r:id="rId29"/>
    <sheet name="TA - CVA" sheetId="43" r:id="rId30"/>
  </sheets>
  <definedNames>
    <definedName name="DadosExternos_1" localSheetId="27" hidden="1">'TA - Aplicação'!$B$3:$AT$76</definedName>
    <definedName name="DadosExternos_1" localSheetId="28" hidden="1">'TA - BE'!$B$3:$AT$76</definedName>
    <definedName name="DadosExternos_1" localSheetId="29" hidden="1">'TA - CVA'!$B$3:$AT$76</definedName>
  </definedNames>
  <calcPr calcId="191029" iterate="1"/>
  <pivotCaches>
    <pivotCache cacheId="58" r:id="rId31"/>
    <pivotCache cacheId="59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40" l="1"/>
  <c r="V32" i="40"/>
  <c r="V31" i="40"/>
  <c r="V30" i="40"/>
  <c r="V29" i="40"/>
  <c r="V28" i="40"/>
  <c r="V27" i="40"/>
  <c r="V26" i="40"/>
  <c r="V21" i="40"/>
  <c r="V16" i="40"/>
  <c r="V25" i="40"/>
  <c r="V20" i="40"/>
  <c r="V15" i="40"/>
  <c r="V24" i="40"/>
  <c r="V23" i="40"/>
  <c r="V22" i="40"/>
  <c r="V19" i="40"/>
  <c r="V18" i="40"/>
  <c r="V17" i="40"/>
  <c r="V14" i="40"/>
  <c r="V13" i="40"/>
  <c r="V12" i="40"/>
  <c r="V11" i="40"/>
  <c r="V9" i="40"/>
  <c r="V10" i="40"/>
  <c r="V8" i="40"/>
  <c r="V7" i="40"/>
  <c r="V6" i="40"/>
  <c r="V5" i="40"/>
  <c r="J28" i="40"/>
  <c r="J27" i="40"/>
  <c r="J23" i="40"/>
  <c r="J22" i="40"/>
  <c r="J17" i="40"/>
  <c r="J16" i="40"/>
  <c r="J12" i="40"/>
  <c r="J11" i="40"/>
  <c r="J8" i="40"/>
  <c r="J7" i="40"/>
  <c r="H6" i="40"/>
  <c r="H5" i="40"/>
  <c r="I3" i="39"/>
  <c r="J3" i="39"/>
  <c r="K3" i="39"/>
  <c r="B2" i="39"/>
  <c r="C2" i="39"/>
  <c r="D2" i="39"/>
  <c r="E2" i="39"/>
  <c r="F2" i="39"/>
  <c r="G2" i="39"/>
  <c r="H2" i="39"/>
  <c r="I2" i="39"/>
  <c r="J2" i="39"/>
  <c r="K2" i="39"/>
  <c r="L2" i="39"/>
  <c r="B11" i="39"/>
  <c r="L5" i="38" l="1"/>
  <c r="K5" i="38"/>
  <c r="J5" i="38"/>
  <c r="I5" i="38"/>
  <c r="H5" i="38"/>
  <c r="G5" i="38"/>
  <c r="F5" i="38"/>
  <c r="E5" i="38"/>
  <c r="D5" i="38"/>
  <c r="C5" i="38"/>
  <c r="B5" i="38"/>
  <c r="I2" i="38"/>
  <c r="W5" i="37"/>
  <c r="V5" i="37"/>
  <c r="U5" i="37"/>
  <c r="T5" i="37"/>
  <c r="S5" i="37"/>
  <c r="R5" i="37"/>
  <c r="Q5" i="37"/>
  <c r="P5" i="37"/>
  <c r="O5" i="37"/>
  <c r="N5" i="37"/>
  <c r="M5" i="37"/>
  <c r="L5" i="37"/>
  <c r="K5" i="37"/>
  <c r="J5" i="37"/>
  <c r="I5" i="37"/>
  <c r="H5" i="37"/>
  <c r="G5" i="37"/>
  <c r="F5" i="37"/>
  <c r="E5" i="37"/>
  <c r="D5" i="37"/>
  <c r="C5" i="37"/>
  <c r="B5" i="37"/>
  <c r="I2" i="37"/>
  <c r="P11" i="5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E36" i="5" l="1"/>
  <c r="F36" i="5"/>
  <c r="AE13" i="21"/>
  <c r="AD13" i="21"/>
  <c r="AC13" i="21"/>
  <c r="AB13" i="21"/>
  <c r="AA13" i="21"/>
  <c r="W13" i="21"/>
  <c r="V13" i="21"/>
  <c r="U13" i="21"/>
  <c r="T13" i="21"/>
  <c r="S13" i="21"/>
  <c r="Y13" i="21" s="1"/>
  <c r="AG13" i="21" s="1"/>
  <c r="R13" i="21"/>
  <c r="X13" i="21" s="1"/>
  <c r="AE12" i="21"/>
  <c r="AD12" i="21"/>
  <c r="AE8" i="21"/>
  <c r="AD8" i="21"/>
  <c r="AC8" i="21"/>
  <c r="AB8" i="21"/>
  <c r="AA8" i="21"/>
  <c r="W8" i="21"/>
  <c r="V8" i="21"/>
  <c r="U8" i="21"/>
  <c r="AI8" i="21" s="1"/>
  <c r="T8" i="21"/>
  <c r="S8" i="21"/>
  <c r="R8" i="21"/>
  <c r="AE6" i="21"/>
  <c r="AD6" i="21"/>
  <c r="AE5" i="21"/>
  <c r="AD5" i="21"/>
  <c r="AE3" i="21"/>
  <c r="AD3" i="21"/>
  <c r="AC3" i="21"/>
  <c r="AB3" i="21"/>
  <c r="AA3" i="21"/>
  <c r="W3" i="21"/>
  <c r="V3" i="21"/>
  <c r="U3" i="21"/>
  <c r="AI3" i="21" s="1"/>
  <c r="T3" i="21"/>
  <c r="S3" i="21"/>
  <c r="R3" i="21"/>
  <c r="X3" i="21" s="1"/>
  <c r="AF3" i="21" s="1"/>
  <c r="J1024" i="21"/>
  <c r="M1024" i="21" s="1"/>
  <c r="J1023" i="21"/>
  <c r="M1023" i="21" s="1"/>
  <c r="J1022" i="21"/>
  <c r="J1021" i="21"/>
  <c r="M1021" i="21" s="1"/>
  <c r="J1020" i="21"/>
  <c r="M1020" i="21" s="1"/>
  <c r="J1019" i="21"/>
  <c r="M1019" i="21" s="1"/>
  <c r="J1018" i="21"/>
  <c r="J1017" i="21"/>
  <c r="M1017" i="21" s="1"/>
  <c r="J1016" i="21"/>
  <c r="M1016" i="21" s="1"/>
  <c r="J1015" i="21"/>
  <c r="M1015" i="21" s="1"/>
  <c r="J1014" i="21"/>
  <c r="M1014" i="21" s="1"/>
  <c r="J1013" i="21"/>
  <c r="M1013" i="21" s="1"/>
  <c r="J1012" i="21"/>
  <c r="J1011" i="21"/>
  <c r="M1011" i="21" s="1"/>
  <c r="J1010" i="21"/>
  <c r="M1010" i="21" s="1"/>
  <c r="J1009" i="21"/>
  <c r="M1009" i="21" s="1"/>
  <c r="J595" i="21"/>
  <c r="M595" i="21" s="1"/>
  <c r="J594" i="21"/>
  <c r="J593" i="21"/>
  <c r="M593" i="21" s="1"/>
  <c r="J592" i="21"/>
  <c r="J591" i="21"/>
  <c r="J590" i="21"/>
  <c r="M590" i="21" s="1"/>
  <c r="J589" i="21"/>
  <c r="J588" i="21"/>
  <c r="J587" i="21"/>
  <c r="M587" i="21" s="1"/>
  <c r="J586" i="21"/>
  <c r="J585" i="21"/>
  <c r="M585" i="21" s="1"/>
  <c r="J584" i="21"/>
  <c r="J583" i="21"/>
  <c r="J582" i="21"/>
  <c r="M582" i="21" s="1"/>
  <c r="J581" i="21"/>
  <c r="L580" i="21"/>
  <c r="K580" i="21"/>
  <c r="N580" i="21" s="1"/>
  <c r="L579" i="21"/>
  <c r="K579" i="21"/>
  <c r="N579" i="21" s="1"/>
  <c r="L578" i="21"/>
  <c r="K578" i="21"/>
  <c r="L577" i="21"/>
  <c r="O577" i="21" s="1"/>
  <c r="K577" i="21"/>
  <c r="L576" i="21"/>
  <c r="K576" i="21"/>
  <c r="N576" i="21" s="1"/>
  <c r="L575" i="21"/>
  <c r="K575" i="21"/>
  <c r="N575" i="21" s="1"/>
  <c r="L574" i="21"/>
  <c r="K574" i="21"/>
  <c r="L573" i="21"/>
  <c r="O573" i="21" s="1"/>
  <c r="K573" i="21"/>
  <c r="L572" i="21"/>
  <c r="K572" i="21"/>
  <c r="N572" i="21" s="1"/>
  <c r="L571" i="21"/>
  <c r="K571" i="21"/>
  <c r="N571" i="21" s="1"/>
  <c r="L570" i="21"/>
  <c r="K570" i="21"/>
  <c r="L569" i="21"/>
  <c r="O569" i="21" s="1"/>
  <c r="K569" i="21"/>
  <c r="L568" i="21"/>
  <c r="K568" i="21"/>
  <c r="N568" i="21" s="1"/>
  <c r="L567" i="21"/>
  <c r="K567" i="21"/>
  <c r="N567" i="21" s="1"/>
  <c r="J566" i="21"/>
  <c r="J565" i="21"/>
  <c r="J564" i="21"/>
  <c r="M564" i="21" s="1"/>
  <c r="J563" i="21"/>
  <c r="J562" i="21"/>
  <c r="J561" i="21"/>
  <c r="M561" i="21" s="1"/>
  <c r="J560" i="21"/>
  <c r="J559" i="21"/>
  <c r="M559" i="21" s="1"/>
  <c r="J558" i="21"/>
  <c r="J557" i="21"/>
  <c r="J556" i="21"/>
  <c r="M556" i="21" s="1"/>
  <c r="J555" i="21"/>
  <c r="J554" i="21"/>
  <c r="J553" i="21"/>
  <c r="M553" i="21" s="1"/>
  <c r="J552" i="21"/>
  <c r="J1039" i="21"/>
  <c r="M1039" i="21" s="1"/>
  <c r="J1038" i="21"/>
  <c r="M1038" i="21" s="1"/>
  <c r="J1037" i="21"/>
  <c r="M1037" i="21" s="1"/>
  <c r="J1036" i="21"/>
  <c r="M1036" i="21" s="1"/>
  <c r="J1035" i="21"/>
  <c r="M1035" i="21" s="1"/>
  <c r="J1034" i="21"/>
  <c r="M1034" i="21" s="1"/>
  <c r="J1033" i="21"/>
  <c r="M1033" i="21" s="1"/>
  <c r="M1032" i="21"/>
  <c r="J1032" i="21"/>
  <c r="J1031" i="21"/>
  <c r="M1031" i="21" s="1"/>
  <c r="J1030" i="21"/>
  <c r="M1030" i="21" s="1"/>
  <c r="J1029" i="21"/>
  <c r="M1029" i="21" s="1"/>
  <c r="J1028" i="21"/>
  <c r="M1028" i="21" s="1"/>
  <c r="J1027" i="21"/>
  <c r="M1027" i="21" s="1"/>
  <c r="J1026" i="21"/>
  <c r="M1026" i="21" s="1"/>
  <c r="J1025" i="21"/>
  <c r="M1022" i="21"/>
  <c r="M1018" i="21"/>
  <c r="M1012" i="21"/>
  <c r="J1008" i="21"/>
  <c r="M1008" i="21" s="1"/>
  <c r="J1007" i="21"/>
  <c r="M1007" i="21" s="1"/>
  <c r="J1006" i="21"/>
  <c r="M1006" i="21" s="1"/>
  <c r="J1005" i="21"/>
  <c r="M1005" i="21" s="1"/>
  <c r="J1004" i="21"/>
  <c r="M1004" i="21" s="1"/>
  <c r="J1003" i="21"/>
  <c r="M1003" i="21" s="1"/>
  <c r="J1002" i="21"/>
  <c r="M1002" i="21" s="1"/>
  <c r="J1001" i="21"/>
  <c r="M1001" i="21" s="1"/>
  <c r="J1000" i="21"/>
  <c r="M1000" i="21" s="1"/>
  <c r="J999" i="21"/>
  <c r="M999" i="21" s="1"/>
  <c r="J998" i="21"/>
  <c r="M998" i="21" s="1"/>
  <c r="J997" i="21"/>
  <c r="M997" i="21" s="1"/>
  <c r="J996" i="21"/>
  <c r="M996" i="21" s="1"/>
  <c r="J995" i="21"/>
  <c r="M995" i="21" s="1"/>
  <c r="J994" i="21"/>
  <c r="M994" i="21" s="1"/>
  <c r="J993" i="21"/>
  <c r="M993" i="21" s="1"/>
  <c r="J992" i="21"/>
  <c r="M992" i="21" s="1"/>
  <c r="J991" i="21"/>
  <c r="M991" i="21" s="1"/>
  <c r="J990" i="21"/>
  <c r="M990" i="21" s="1"/>
  <c r="J989" i="21"/>
  <c r="M989" i="21" s="1"/>
  <c r="J988" i="21"/>
  <c r="M988" i="21" s="1"/>
  <c r="J987" i="21"/>
  <c r="M987" i="21" s="1"/>
  <c r="J986" i="21"/>
  <c r="M986" i="21" s="1"/>
  <c r="J985" i="21"/>
  <c r="M985" i="21" s="1"/>
  <c r="J984" i="21"/>
  <c r="M984" i="21" s="1"/>
  <c r="J983" i="21"/>
  <c r="M983" i="21" s="1"/>
  <c r="J982" i="21"/>
  <c r="M982" i="21" s="1"/>
  <c r="J981" i="21"/>
  <c r="M981" i="21" s="1"/>
  <c r="J980" i="21"/>
  <c r="M980" i="21" s="1"/>
  <c r="J979" i="21"/>
  <c r="M979" i="21" s="1"/>
  <c r="J978" i="21"/>
  <c r="M978" i="21" s="1"/>
  <c r="J977" i="21"/>
  <c r="M977" i="21" s="1"/>
  <c r="J976" i="21"/>
  <c r="M976" i="21" s="1"/>
  <c r="J975" i="21"/>
  <c r="M975" i="21" s="1"/>
  <c r="J974" i="21"/>
  <c r="M974" i="21" s="1"/>
  <c r="J973" i="21"/>
  <c r="M973" i="21" s="1"/>
  <c r="J972" i="21"/>
  <c r="M972" i="21" s="1"/>
  <c r="J971" i="21"/>
  <c r="M971" i="21" s="1"/>
  <c r="J970" i="21"/>
  <c r="M970" i="21" s="1"/>
  <c r="J969" i="21"/>
  <c r="M969" i="21" s="1"/>
  <c r="J968" i="21"/>
  <c r="M968" i="21" s="1"/>
  <c r="J967" i="21"/>
  <c r="M967" i="21" s="1"/>
  <c r="J966" i="21"/>
  <c r="M966" i="21" s="1"/>
  <c r="J965" i="21"/>
  <c r="M965" i="21" s="1"/>
  <c r="J964" i="21"/>
  <c r="M964" i="21" s="1"/>
  <c r="J963" i="21"/>
  <c r="M963" i="21" s="1"/>
  <c r="J962" i="21"/>
  <c r="M962" i="21" s="1"/>
  <c r="J961" i="21"/>
  <c r="M961" i="21" s="1"/>
  <c r="J960" i="21"/>
  <c r="M960" i="21" s="1"/>
  <c r="J959" i="21"/>
  <c r="M959" i="21" s="1"/>
  <c r="M958" i="21"/>
  <c r="J958" i="21"/>
  <c r="J957" i="21"/>
  <c r="M957" i="21" s="1"/>
  <c r="J956" i="21"/>
  <c r="M956" i="21" s="1"/>
  <c r="J955" i="21"/>
  <c r="M955" i="21" s="1"/>
  <c r="J954" i="21"/>
  <c r="M954" i="21" s="1"/>
  <c r="J953" i="21"/>
  <c r="M953" i="21" s="1"/>
  <c r="J952" i="21"/>
  <c r="M952" i="21" s="1"/>
  <c r="J951" i="21"/>
  <c r="M951" i="21" s="1"/>
  <c r="M950" i="21"/>
  <c r="J950" i="21"/>
  <c r="J949" i="21"/>
  <c r="M949" i="21" s="1"/>
  <c r="J948" i="21"/>
  <c r="M948" i="21" s="1"/>
  <c r="J947" i="21"/>
  <c r="M947" i="21" s="1"/>
  <c r="J946" i="21"/>
  <c r="M946" i="21" s="1"/>
  <c r="J945" i="21"/>
  <c r="M945" i="21" s="1"/>
  <c r="J944" i="21"/>
  <c r="M944" i="21" s="1"/>
  <c r="J943" i="21"/>
  <c r="M943" i="21" s="1"/>
  <c r="M942" i="21"/>
  <c r="J942" i="21"/>
  <c r="J941" i="21"/>
  <c r="M941" i="21" s="1"/>
  <c r="J940" i="21"/>
  <c r="M940" i="21" s="1"/>
  <c r="J939" i="21"/>
  <c r="M939" i="21" s="1"/>
  <c r="M938" i="21"/>
  <c r="J938" i="21"/>
  <c r="J937" i="21"/>
  <c r="M937" i="21" s="1"/>
  <c r="J936" i="21"/>
  <c r="M936" i="21" s="1"/>
  <c r="J935" i="21"/>
  <c r="M935" i="21" s="1"/>
  <c r="J934" i="21"/>
  <c r="M934" i="21" s="1"/>
  <c r="M933" i="21"/>
  <c r="J933" i="21"/>
  <c r="J932" i="21"/>
  <c r="M932" i="21" s="1"/>
  <c r="J931" i="21"/>
  <c r="M931" i="21" s="1"/>
  <c r="J930" i="21"/>
  <c r="M930" i="21" s="1"/>
  <c r="M929" i="21"/>
  <c r="J929" i="21"/>
  <c r="J928" i="21"/>
  <c r="M928" i="21" s="1"/>
  <c r="J927" i="21"/>
  <c r="M927" i="21" s="1"/>
  <c r="J926" i="21"/>
  <c r="M926" i="21" s="1"/>
  <c r="J925" i="21"/>
  <c r="M925" i="21" s="1"/>
  <c r="J924" i="21"/>
  <c r="M924" i="21" s="1"/>
  <c r="J923" i="21"/>
  <c r="M923" i="21" s="1"/>
  <c r="J922" i="21"/>
  <c r="M922" i="21" s="1"/>
  <c r="J921" i="21"/>
  <c r="M921" i="21" s="1"/>
  <c r="J920" i="21"/>
  <c r="M920" i="21" s="1"/>
  <c r="J919" i="21"/>
  <c r="M919" i="21" s="1"/>
  <c r="J918" i="21"/>
  <c r="M918" i="21" s="1"/>
  <c r="J917" i="21"/>
  <c r="M917" i="21" s="1"/>
  <c r="J916" i="21"/>
  <c r="M916" i="21" s="1"/>
  <c r="J915" i="21"/>
  <c r="M915" i="21" s="1"/>
  <c r="J914" i="21"/>
  <c r="M914" i="21" s="1"/>
  <c r="J913" i="21"/>
  <c r="M913" i="21" s="1"/>
  <c r="J912" i="21"/>
  <c r="M912" i="21" s="1"/>
  <c r="M911" i="21"/>
  <c r="J911" i="21"/>
  <c r="J910" i="21"/>
  <c r="M910" i="21" s="1"/>
  <c r="J909" i="21"/>
  <c r="M909" i="21" s="1"/>
  <c r="J908" i="21"/>
  <c r="M908" i="21" s="1"/>
  <c r="J907" i="21"/>
  <c r="M907" i="21" s="1"/>
  <c r="J906" i="21"/>
  <c r="M906" i="21" s="1"/>
  <c r="J905" i="21"/>
  <c r="M905" i="21" s="1"/>
  <c r="J904" i="21"/>
  <c r="M904" i="21" s="1"/>
  <c r="J903" i="21"/>
  <c r="M903" i="21" s="1"/>
  <c r="J902" i="21"/>
  <c r="M902" i="21" s="1"/>
  <c r="J901" i="21"/>
  <c r="M901" i="21" s="1"/>
  <c r="J900" i="21"/>
  <c r="M900" i="21" s="1"/>
  <c r="J899" i="21"/>
  <c r="M899" i="21" s="1"/>
  <c r="J898" i="21"/>
  <c r="M898" i="21" s="1"/>
  <c r="J897" i="21"/>
  <c r="M897" i="21" s="1"/>
  <c r="J896" i="21"/>
  <c r="M896" i="21" s="1"/>
  <c r="J895" i="21"/>
  <c r="M895" i="21" s="1"/>
  <c r="J894" i="21"/>
  <c r="M894" i="21" s="1"/>
  <c r="J893" i="21"/>
  <c r="M893" i="21" s="1"/>
  <c r="J892" i="21"/>
  <c r="M892" i="21" s="1"/>
  <c r="M891" i="21"/>
  <c r="J891" i="21"/>
  <c r="J890" i="21"/>
  <c r="M890" i="21" s="1"/>
  <c r="J889" i="21"/>
  <c r="M889" i="21" s="1"/>
  <c r="M888" i="21"/>
  <c r="J888" i="21"/>
  <c r="J887" i="21"/>
  <c r="M887" i="21" s="1"/>
  <c r="J886" i="21"/>
  <c r="M886" i="21" s="1"/>
  <c r="J885" i="21"/>
  <c r="M885" i="21" s="1"/>
  <c r="M884" i="21"/>
  <c r="J884" i="21"/>
  <c r="J883" i="21"/>
  <c r="M883" i="21" s="1"/>
  <c r="J882" i="21"/>
  <c r="M882" i="21" s="1"/>
  <c r="M881" i="21"/>
  <c r="J881" i="21"/>
  <c r="J880" i="21"/>
  <c r="M880" i="21" s="1"/>
  <c r="J879" i="21"/>
  <c r="M879" i="21" s="1"/>
  <c r="J878" i="21"/>
  <c r="M878" i="21" s="1"/>
  <c r="J877" i="21"/>
  <c r="M877" i="21" s="1"/>
  <c r="J876" i="21"/>
  <c r="M876" i="21" s="1"/>
  <c r="M875" i="21"/>
  <c r="J875" i="21"/>
  <c r="J874" i="21"/>
  <c r="M874" i="21" s="1"/>
  <c r="J873" i="21"/>
  <c r="M873" i="21" s="1"/>
  <c r="J872" i="21"/>
  <c r="M872" i="21" s="1"/>
  <c r="J871" i="21"/>
  <c r="M871" i="21" s="1"/>
  <c r="J870" i="21"/>
  <c r="M870" i="21" s="1"/>
  <c r="M869" i="21"/>
  <c r="J869" i="21"/>
  <c r="J868" i="21"/>
  <c r="M868" i="21" s="1"/>
  <c r="M867" i="21"/>
  <c r="J867" i="21"/>
  <c r="J866" i="21"/>
  <c r="M866" i="21" s="1"/>
  <c r="M865" i="21"/>
  <c r="J865" i="21"/>
  <c r="J864" i="21"/>
  <c r="M864" i="21" s="1"/>
  <c r="J863" i="21"/>
  <c r="M863" i="21" s="1"/>
  <c r="J862" i="21"/>
  <c r="M862" i="21" s="1"/>
  <c r="J861" i="21"/>
  <c r="M861" i="21" s="1"/>
  <c r="J860" i="21"/>
  <c r="M860" i="21" s="1"/>
  <c r="M859" i="21"/>
  <c r="J859" i="21"/>
  <c r="J858" i="21"/>
  <c r="M858" i="21" s="1"/>
  <c r="M857" i="21"/>
  <c r="J857" i="21"/>
  <c r="J856" i="21"/>
  <c r="M856" i="21" s="1"/>
  <c r="J855" i="21"/>
  <c r="M855" i="21" s="1"/>
  <c r="J854" i="21"/>
  <c r="M854" i="21" s="1"/>
  <c r="J853" i="21"/>
  <c r="M853" i="21" s="1"/>
  <c r="J852" i="21"/>
  <c r="M852" i="21" s="1"/>
  <c r="M851" i="21"/>
  <c r="J851" i="21"/>
  <c r="J850" i="21"/>
  <c r="M850" i="21" s="1"/>
  <c r="J849" i="21"/>
  <c r="M849" i="21" s="1"/>
  <c r="M848" i="21"/>
  <c r="J848" i="21"/>
  <c r="J847" i="21"/>
  <c r="M847" i="21" s="1"/>
  <c r="J846" i="21"/>
  <c r="M846" i="21" s="1"/>
  <c r="J845" i="21"/>
  <c r="M845" i="21" s="1"/>
  <c r="J844" i="21"/>
  <c r="M844" i="21" s="1"/>
  <c r="J843" i="21"/>
  <c r="M843" i="21" s="1"/>
  <c r="J842" i="21"/>
  <c r="M842" i="21" s="1"/>
  <c r="J841" i="21"/>
  <c r="M841" i="21" s="1"/>
  <c r="J840" i="21"/>
  <c r="M840" i="21" s="1"/>
  <c r="J839" i="21"/>
  <c r="M839" i="21" s="1"/>
  <c r="J838" i="21"/>
  <c r="M838" i="21" s="1"/>
  <c r="M837" i="21"/>
  <c r="J837" i="21"/>
  <c r="J836" i="21"/>
  <c r="M836" i="21" s="1"/>
  <c r="J835" i="21"/>
  <c r="M835" i="21" s="1"/>
  <c r="J834" i="21"/>
  <c r="M834" i="21" s="1"/>
  <c r="J833" i="21"/>
  <c r="M833" i="21" s="1"/>
  <c r="J832" i="21"/>
  <c r="M832" i="21" s="1"/>
  <c r="J831" i="21"/>
  <c r="M831" i="21" s="1"/>
  <c r="J830" i="21"/>
  <c r="M830" i="21" s="1"/>
  <c r="J829" i="21"/>
  <c r="M829" i="21" s="1"/>
  <c r="M828" i="21"/>
  <c r="J828" i="21"/>
  <c r="J827" i="21"/>
  <c r="M827" i="21" s="1"/>
  <c r="J826" i="21"/>
  <c r="M826" i="21" s="1"/>
  <c r="J825" i="21"/>
  <c r="M825" i="21" s="1"/>
  <c r="J824" i="21"/>
  <c r="M824" i="21" s="1"/>
  <c r="J823" i="21"/>
  <c r="M823" i="21" s="1"/>
  <c r="J822" i="21"/>
  <c r="M822" i="21" s="1"/>
  <c r="J821" i="21"/>
  <c r="M821" i="21" s="1"/>
  <c r="J820" i="21"/>
  <c r="J819" i="21"/>
  <c r="M819" i="21" s="1"/>
  <c r="J818" i="21"/>
  <c r="M818" i="21" s="1"/>
  <c r="J817" i="21"/>
  <c r="M817" i="21" s="1"/>
  <c r="J816" i="21"/>
  <c r="M816" i="21" s="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J809" i="21"/>
  <c r="M809" i="21" s="1"/>
  <c r="J808" i="21"/>
  <c r="M808" i="21" s="1"/>
  <c r="J807" i="21"/>
  <c r="M807" i="21" s="1"/>
  <c r="J806" i="21"/>
  <c r="M806" i="21" s="1"/>
  <c r="J805" i="21"/>
  <c r="M805" i="21" s="1"/>
  <c r="J804" i="21"/>
  <c r="M804" i="21" s="1"/>
  <c r="M803" i="21"/>
  <c r="J803" i="21"/>
  <c r="M802" i="21"/>
  <c r="J802" i="21"/>
  <c r="J801" i="21"/>
  <c r="M801" i="21" s="1"/>
  <c r="J800" i="21"/>
  <c r="M800" i="21" s="1"/>
  <c r="J799" i="21"/>
  <c r="M799" i="21" s="1"/>
  <c r="M798" i="21"/>
  <c r="J798" i="21"/>
  <c r="J797" i="21"/>
  <c r="M797" i="21" s="1"/>
  <c r="J796" i="21"/>
  <c r="M796" i="21" s="1"/>
  <c r="J795" i="21"/>
  <c r="M795" i="21" s="1"/>
  <c r="J794" i="21"/>
  <c r="M794" i="21" s="1"/>
  <c r="J793" i="21"/>
  <c r="M793" i="21" s="1"/>
  <c r="J792" i="21"/>
  <c r="M792" i="21" s="1"/>
  <c r="M791" i="21"/>
  <c r="J791" i="21"/>
  <c r="J790" i="21"/>
  <c r="M790" i="21" s="1"/>
  <c r="J789" i="21"/>
  <c r="M789" i="21" s="1"/>
  <c r="J788" i="21"/>
  <c r="M788" i="21" s="1"/>
  <c r="J787" i="21"/>
  <c r="M787" i="21" s="1"/>
  <c r="J786" i="21"/>
  <c r="M786" i="21" s="1"/>
  <c r="J785" i="21"/>
  <c r="M785" i="21" s="1"/>
  <c r="J784" i="21"/>
  <c r="J783" i="21"/>
  <c r="M783" i="21" s="1"/>
  <c r="J782" i="21"/>
  <c r="M782" i="21" s="1"/>
  <c r="J781" i="21"/>
  <c r="M781" i="21" s="1"/>
  <c r="J780" i="21"/>
  <c r="M780" i="21" s="1"/>
  <c r="J779" i="21"/>
  <c r="M779" i="21" s="1"/>
  <c r="J778" i="21"/>
  <c r="M778" i="21" s="1"/>
  <c r="M777" i="21"/>
  <c r="J777" i="21"/>
  <c r="J776" i="21"/>
  <c r="M776" i="21" s="1"/>
  <c r="J775" i="21"/>
  <c r="M775" i="21" s="1"/>
  <c r="J774" i="21"/>
  <c r="M774" i="21" s="1"/>
  <c r="J773" i="21"/>
  <c r="M773" i="21" s="1"/>
  <c r="J772" i="21"/>
  <c r="M772" i="21" s="1"/>
  <c r="M771" i="21"/>
  <c r="J771" i="21"/>
  <c r="J770" i="21"/>
  <c r="M770" i="21" s="1"/>
  <c r="J769" i="21"/>
  <c r="M769" i="21" s="1"/>
  <c r="J768" i="21"/>
  <c r="M768" i="21" s="1"/>
  <c r="J767" i="21"/>
  <c r="M767" i="21" s="1"/>
  <c r="J766" i="21"/>
  <c r="M766" i="21" s="1"/>
  <c r="M765" i="21"/>
  <c r="J765" i="21"/>
  <c r="J764" i="21"/>
  <c r="M764" i="21" s="1"/>
  <c r="M763" i="21"/>
  <c r="J763" i="21"/>
  <c r="J762" i="21"/>
  <c r="M762" i="21" s="1"/>
  <c r="J761" i="21"/>
  <c r="M761" i="21" s="1"/>
  <c r="J760" i="21"/>
  <c r="M760" i="21" s="1"/>
  <c r="M759" i="21"/>
  <c r="J759" i="21"/>
  <c r="J758" i="21"/>
  <c r="M758" i="21" s="1"/>
  <c r="J757" i="21"/>
  <c r="M757" i="21" s="1"/>
  <c r="J756" i="21"/>
  <c r="M756" i="21" s="1"/>
  <c r="J755" i="21"/>
  <c r="M755" i="21" s="1"/>
  <c r="J754" i="21"/>
  <c r="M754" i="21" s="1"/>
  <c r="J753" i="21"/>
  <c r="M753" i="21" s="1"/>
  <c r="J752" i="21"/>
  <c r="M752" i="21" s="1"/>
  <c r="J751" i="21"/>
  <c r="M751" i="21" s="1"/>
  <c r="J750" i="21"/>
  <c r="M750" i="21" s="1"/>
  <c r="J749" i="21"/>
  <c r="M749" i="21" s="1"/>
  <c r="J748" i="21"/>
  <c r="M748" i="21" s="1"/>
  <c r="J747" i="21"/>
  <c r="M747" i="21" s="1"/>
  <c r="J746" i="21"/>
  <c r="M746" i="21" s="1"/>
  <c r="J745" i="21"/>
  <c r="M745" i="21" s="1"/>
  <c r="J744" i="21"/>
  <c r="M744" i="21" s="1"/>
  <c r="J743" i="21"/>
  <c r="M743" i="21" s="1"/>
  <c r="J742" i="21"/>
  <c r="M742" i="21" s="1"/>
  <c r="J741" i="21"/>
  <c r="M741" i="21" s="1"/>
  <c r="J740" i="21"/>
  <c r="M740" i="21" s="1"/>
  <c r="J739" i="21"/>
  <c r="M739" i="21" s="1"/>
  <c r="J738" i="21"/>
  <c r="M738" i="21" s="1"/>
  <c r="J737" i="21"/>
  <c r="M737" i="21" s="1"/>
  <c r="J736" i="21"/>
  <c r="M736" i="21" s="1"/>
  <c r="M735" i="21"/>
  <c r="J735" i="21"/>
  <c r="J734" i="21"/>
  <c r="M734" i="21" s="1"/>
  <c r="J733" i="21"/>
  <c r="M733" i="21" s="1"/>
  <c r="J732" i="21"/>
  <c r="M732" i="21" s="1"/>
  <c r="J731" i="21"/>
  <c r="M731" i="21" s="1"/>
  <c r="J730" i="21"/>
  <c r="M730" i="21" s="1"/>
  <c r="J729" i="21"/>
  <c r="M729" i="21" s="1"/>
  <c r="J728" i="21"/>
  <c r="M728" i="21" s="1"/>
  <c r="J727" i="21"/>
  <c r="M727" i="21" s="1"/>
  <c r="J726" i="21"/>
  <c r="M726" i="21" s="1"/>
  <c r="J725" i="21"/>
  <c r="M725" i="21" s="1"/>
  <c r="J724" i="21"/>
  <c r="M724" i="21" s="1"/>
  <c r="J723" i="21"/>
  <c r="M723" i="21" s="1"/>
  <c r="J722" i="21"/>
  <c r="M722" i="21" s="1"/>
  <c r="J721" i="21"/>
  <c r="M721" i="21" s="1"/>
  <c r="J720" i="21"/>
  <c r="M720" i="21" s="1"/>
  <c r="M719" i="21"/>
  <c r="J719" i="21"/>
  <c r="J718" i="21"/>
  <c r="M718" i="21" s="1"/>
  <c r="J717" i="21"/>
  <c r="M717" i="21" s="1"/>
  <c r="J716" i="21"/>
  <c r="M716" i="21" s="1"/>
  <c r="M715" i="21"/>
  <c r="J715" i="21"/>
  <c r="J714" i="21"/>
  <c r="M714" i="21" s="1"/>
  <c r="M713" i="21"/>
  <c r="J713" i="21"/>
  <c r="J712" i="21"/>
  <c r="M712" i="21" s="1"/>
  <c r="J711" i="21"/>
  <c r="M711" i="21" s="1"/>
  <c r="J710" i="21"/>
  <c r="M710" i="21" s="1"/>
  <c r="J709" i="21"/>
  <c r="M709" i="21" s="1"/>
  <c r="J708" i="21"/>
  <c r="M708" i="21" s="1"/>
  <c r="J707" i="21"/>
  <c r="M707" i="21" s="1"/>
  <c r="J706" i="21"/>
  <c r="M706" i="21" s="1"/>
  <c r="J705" i="21"/>
  <c r="M705" i="21" s="1"/>
  <c r="J704" i="21"/>
  <c r="M704" i="21" s="1"/>
  <c r="J703" i="21"/>
  <c r="M703" i="21" s="1"/>
  <c r="J702" i="21"/>
  <c r="M702" i="21" s="1"/>
  <c r="J701" i="21"/>
  <c r="M701" i="21" s="1"/>
  <c r="J700" i="21"/>
  <c r="M700" i="21" s="1"/>
  <c r="M699" i="21"/>
  <c r="J699" i="21"/>
  <c r="J698" i="21"/>
  <c r="M698" i="21" s="1"/>
  <c r="J697" i="21"/>
  <c r="M697" i="21" s="1"/>
  <c r="J696" i="21"/>
  <c r="M696" i="21" s="1"/>
  <c r="J695" i="21"/>
  <c r="M695" i="21" s="1"/>
  <c r="J694" i="21"/>
  <c r="M694" i="21" s="1"/>
  <c r="J693" i="21"/>
  <c r="M693" i="21" s="1"/>
  <c r="J692" i="21"/>
  <c r="M692" i="21" s="1"/>
  <c r="J691" i="21"/>
  <c r="M691" i="21" s="1"/>
  <c r="J690" i="21"/>
  <c r="M690" i="21" s="1"/>
  <c r="J689" i="21"/>
  <c r="M689" i="21" s="1"/>
  <c r="J688" i="21"/>
  <c r="M688" i="21" s="1"/>
  <c r="J687" i="21"/>
  <c r="M687" i="21" s="1"/>
  <c r="J686" i="21"/>
  <c r="M686" i="21" s="1"/>
  <c r="J685" i="21"/>
  <c r="M685" i="21" s="1"/>
  <c r="J684" i="21"/>
  <c r="M684" i="21" s="1"/>
  <c r="J683" i="21"/>
  <c r="M683" i="21" s="1"/>
  <c r="J682" i="21"/>
  <c r="M682" i="21" s="1"/>
  <c r="M681" i="21"/>
  <c r="J681" i="21"/>
  <c r="J680" i="21"/>
  <c r="M680" i="21" s="1"/>
  <c r="M679" i="21"/>
  <c r="J679" i="21"/>
  <c r="J678" i="21"/>
  <c r="M678" i="21" s="1"/>
  <c r="J677" i="21"/>
  <c r="M677" i="21" s="1"/>
  <c r="J676" i="21"/>
  <c r="M676" i="21" s="1"/>
  <c r="M675" i="21"/>
  <c r="J675" i="21"/>
  <c r="J674" i="21"/>
  <c r="M674" i="21" s="1"/>
  <c r="M673" i="21"/>
  <c r="J673" i="21"/>
  <c r="J672" i="21"/>
  <c r="M672" i="21" s="1"/>
  <c r="J671" i="21"/>
  <c r="M671" i="21" s="1"/>
  <c r="M670" i="21"/>
  <c r="J670" i="21"/>
  <c r="J669" i="21"/>
  <c r="M669" i="21" s="1"/>
  <c r="J668" i="21"/>
  <c r="M668" i="21" s="1"/>
  <c r="J667" i="21"/>
  <c r="M667" i="21" s="1"/>
  <c r="J666" i="21"/>
  <c r="M666" i="21" s="1"/>
  <c r="J665" i="21"/>
  <c r="M665" i="21" s="1"/>
  <c r="J664" i="21"/>
  <c r="M664" i="21" s="1"/>
  <c r="J663" i="21"/>
  <c r="M663" i="21" s="1"/>
  <c r="J662" i="21"/>
  <c r="M662" i="21" s="1"/>
  <c r="J661" i="21"/>
  <c r="M661" i="21" s="1"/>
  <c r="J660" i="21"/>
  <c r="M660" i="21" s="1"/>
  <c r="J659" i="21"/>
  <c r="M659" i="21" s="1"/>
  <c r="J658" i="21"/>
  <c r="M658" i="21" s="1"/>
  <c r="J657" i="21"/>
  <c r="M657" i="21" s="1"/>
  <c r="J656" i="21"/>
  <c r="M656" i="21" s="1"/>
  <c r="J655" i="21"/>
  <c r="M655" i="21" s="1"/>
  <c r="J654" i="21"/>
  <c r="M654" i="21" s="1"/>
  <c r="M653" i="21"/>
  <c r="J653" i="21"/>
  <c r="J652" i="21"/>
  <c r="M652" i="21" s="1"/>
  <c r="J651" i="21"/>
  <c r="M651" i="21" s="1"/>
  <c r="J650" i="21"/>
  <c r="M650" i="21" s="1"/>
  <c r="J649" i="21"/>
  <c r="M649" i="21" s="1"/>
  <c r="J648" i="21"/>
  <c r="M648" i="21" s="1"/>
  <c r="J647" i="21"/>
  <c r="M647" i="21" s="1"/>
  <c r="J646" i="21"/>
  <c r="M646" i="21" s="1"/>
  <c r="J645" i="21"/>
  <c r="M645" i="21" s="1"/>
  <c r="J644" i="21"/>
  <c r="M644" i="21" s="1"/>
  <c r="J643" i="21"/>
  <c r="M643" i="21" s="1"/>
  <c r="M642" i="21"/>
  <c r="J642" i="21"/>
  <c r="J641" i="21"/>
  <c r="M641" i="21" s="1"/>
  <c r="J640" i="21"/>
  <c r="M640" i="21" s="1"/>
  <c r="J639" i="21"/>
  <c r="M639" i="21" s="1"/>
  <c r="J638" i="21"/>
  <c r="M638" i="21" s="1"/>
  <c r="J637" i="21"/>
  <c r="M637" i="21" s="1"/>
  <c r="J636" i="21"/>
  <c r="M636" i="21" s="1"/>
  <c r="J635" i="21"/>
  <c r="M635" i="21" s="1"/>
  <c r="J634" i="21"/>
  <c r="M634" i="21" s="1"/>
  <c r="J633" i="21"/>
  <c r="M633" i="21" s="1"/>
  <c r="J632" i="21"/>
  <c r="M632" i="21" s="1"/>
  <c r="J631" i="21"/>
  <c r="M631" i="21" s="1"/>
  <c r="J630" i="21"/>
  <c r="M630" i="21" s="1"/>
  <c r="J629" i="21"/>
  <c r="M629" i="21" s="1"/>
  <c r="J628" i="21"/>
  <c r="M628" i="21" s="1"/>
  <c r="J627" i="21"/>
  <c r="M627" i="21" s="1"/>
  <c r="J626" i="21"/>
  <c r="M626" i="21" s="1"/>
  <c r="J625" i="21"/>
  <c r="M625" i="21" s="1"/>
  <c r="J624" i="21"/>
  <c r="M624" i="21" s="1"/>
  <c r="J623" i="21"/>
  <c r="M623" i="21" s="1"/>
  <c r="J622" i="21"/>
  <c r="M622" i="21" s="1"/>
  <c r="J621" i="21"/>
  <c r="M621" i="21" s="1"/>
  <c r="J620" i="21"/>
  <c r="M620" i="21" s="1"/>
  <c r="J619" i="21"/>
  <c r="M619" i="21" s="1"/>
  <c r="M618" i="21"/>
  <c r="J618" i="21"/>
  <c r="M617" i="21"/>
  <c r="J617" i="21"/>
  <c r="J616" i="21"/>
  <c r="M616" i="21" s="1"/>
  <c r="J615" i="21"/>
  <c r="M615" i="21" s="1"/>
  <c r="J614" i="21"/>
  <c r="M614" i="21" s="1"/>
  <c r="J613" i="21"/>
  <c r="M613" i="21" s="1"/>
  <c r="J612" i="21"/>
  <c r="M612" i="21" s="1"/>
  <c r="J611" i="21"/>
  <c r="M611" i="21" s="1"/>
  <c r="M610" i="21"/>
  <c r="J610" i="21"/>
  <c r="J609" i="21"/>
  <c r="M609" i="21" s="1"/>
  <c r="J608" i="21"/>
  <c r="M608" i="21" s="1"/>
  <c r="J607" i="21"/>
  <c r="M607" i="21" s="1"/>
  <c r="J606" i="21"/>
  <c r="M606" i="21" s="1"/>
  <c r="M605" i="21"/>
  <c r="J605" i="21"/>
  <c r="J604" i="21"/>
  <c r="M604" i="21" s="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J597" i="21"/>
  <c r="M597" i="21" s="1"/>
  <c r="J596" i="21"/>
  <c r="M594" i="21"/>
  <c r="M592" i="21"/>
  <c r="M591" i="21"/>
  <c r="M589" i="21"/>
  <c r="M588" i="21"/>
  <c r="M586" i="21"/>
  <c r="M584" i="21"/>
  <c r="M583" i="21"/>
  <c r="M581" i="21"/>
  <c r="O580" i="21"/>
  <c r="O579" i="21"/>
  <c r="O578" i="21"/>
  <c r="N578" i="21"/>
  <c r="N577" i="21"/>
  <c r="O576" i="21"/>
  <c r="O575" i="21"/>
  <c r="O574" i="21"/>
  <c r="N574" i="21"/>
  <c r="N573" i="21"/>
  <c r="O572" i="21"/>
  <c r="O571" i="21"/>
  <c r="O570" i="21"/>
  <c r="N570" i="21"/>
  <c r="N569" i="21"/>
  <c r="O568" i="21"/>
  <c r="O567" i="21"/>
  <c r="M566" i="21"/>
  <c r="M565" i="21"/>
  <c r="M563" i="21"/>
  <c r="M562" i="21"/>
  <c r="M560" i="21"/>
  <c r="M558" i="21"/>
  <c r="M557" i="21"/>
  <c r="M555" i="21"/>
  <c r="M554" i="21"/>
  <c r="M552" i="21"/>
  <c r="J551" i="21"/>
  <c r="M551" i="21" s="1"/>
  <c r="J550" i="21"/>
  <c r="M550" i="21" s="1"/>
  <c r="J549" i="21"/>
  <c r="M549" i="21" s="1"/>
  <c r="J548" i="21"/>
  <c r="M548" i="21" s="1"/>
  <c r="J547" i="21"/>
  <c r="M547" i="21" s="1"/>
  <c r="J546" i="21"/>
  <c r="M546" i="21" s="1"/>
  <c r="J545" i="21"/>
  <c r="M545" i="21" s="1"/>
  <c r="J544" i="21"/>
  <c r="M544" i="21" s="1"/>
  <c r="J543" i="21"/>
  <c r="M543" i="21" s="1"/>
  <c r="J542" i="21"/>
  <c r="M542" i="21" s="1"/>
  <c r="J541" i="21"/>
  <c r="M541" i="21" s="1"/>
  <c r="M540" i="21"/>
  <c r="J540" i="21"/>
  <c r="J539" i="21"/>
  <c r="M539" i="21" s="1"/>
  <c r="J538" i="21"/>
  <c r="M538" i="21" s="1"/>
  <c r="J537" i="21"/>
  <c r="M537" i="21" s="1"/>
  <c r="M536" i="21"/>
  <c r="J536" i="21"/>
  <c r="J535" i="21"/>
  <c r="M535" i="21" s="1"/>
  <c r="J534" i="21"/>
  <c r="M534" i="21" s="1"/>
  <c r="J533" i="21"/>
  <c r="M533" i="21" s="1"/>
  <c r="J532" i="21"/>
  <c r="M532" i="21" s="1"/>
  <c r="J531" i="21"/>
  <c r="M531" i="21" s="1"/>
  <c r="J530" i="21"/>
  <c r="M530" i="21" s="1"/>
  <c r="M529" i="21"/>
  <c r="J529" i="21"/>
  <c r="J528" i="21"/>
  <c r="M528" i="21" s="1"/>
  <c r="J527" i="21"/>
  <c r="M527" i="21" s="1"/>
  <c r="J526" i="21"/>
  <c r="M526" i="21" s="1"/>
  <c r="M525" i="21"/>
  <c r="J525" i="21"/>
  <c r="J524" i="21"/>
  <c r="M524" i="21" s="1"/>
  <c r="J523" i="21"/>
  <c r="M523" i="21" s="1"/>
  <c r="J522" i="21"/>
  <c r="M522" i="21" s="1"/>
  <c r="J521" i="21"/>
  <c r="M521" i="21" s="1"/>
  <c r="L520" i="21"/>
  <c r="O520" i="21" s="1"/>
  <c r="K520" i="21"/>
  <c r="N520" i="21" s="1"/>
  <c r="L519" i="21"/>
  <c r="O519" i="21" s="1"/>
  <c r="K519" i="21"/>
  <c r="N519" i="21" s="1"/>
  <c r="L518" i="21"/>
  <c r="O518" i="21" s="1"/>
  <c r="K518" i="21"/>
  <c r="N518" i="21" s="1"/>
  <c r="L517" i="21"/>
  <c r="O517" i="21" s="1"/>
  <c r="K517" i="21"/>
  <c r="N517" i="21" s="1"/>
  <c r="L516" i="21"/>
  <c r="O516" i="21" s="1"/>
  <c r="K516" i="21"/>
  <c r="N516" i="21" s="1"/>
  <c r="L515" i="21"/>
  <c r="O515" i="21" s="1"/>
  <c r="K515" i="21"/>
  <c r="N515" i="21" s="1"/>
  <c r="L514" i="21"/>
  <c r="O514" i="21" s="1"/>
  <c r="K514" i="21"/>
  <c r="N514" i="21" s="1"/>
  <c r="L513" i="21"/>
  <c r="O513" i="21" s="1"/>
  <c r="K513" i="21"/>
  <c r="N513" i="21" s="1"/>
  <c r="N512" i="21"/>
  <c r="L512" i="21"/>
  <c r="O512" i="21" s="1"/>
  <c r="K512" i="21"/>
  <c r="L511" i="21"/>
  <c r="O511" i="21" s="1"/>
  <c r="K511" i="21"/>
  <c r="N511" i="21" s="1"/>
  <c r="N510" i="21"/>
  <c r="L510" i="21"/>
  <c r="O510" i="21" s="1"/>
  <c r="K510" i="21"/>
  <c r="O509" i="21"/>
  <c r="L509" i="21"/>
  <c r="K509" i="21"/>
  <c r="N509" i="21" s="1"/>
  <c r="L508" i="21"/>
  <c r="O508" i="21" s="1"/>
  <c r="K508" i="21"/>
  <c r="N508" i="21" s="1"/>
  <c r="L507" i="21"/>
  <c r="O507" i="21" s="1"/>
  <c r="K507" i="21"/>
  <c r="N507" i="21" s="1"/>
  <c r="L506" i="21"/>
  <c r="O506" i="21" s="1"/>
  <c r="K506" i="21"/>
  <c r="N506" i="21" s="1"/>
  <c r="O505" i="21"/>
  <c r="L505" i="21"/>
  <c r="K505" i="21"/>
  <c r="N505" i="21" s="1"/>
  <c r="L504" i="21"/>
  <c r="O504" i="21" s="1"/>
  <c r="K504" i="21"/>
  <c r="N504" i="21" s="1"/>
  <c r="L503" i="21"/>
  <c r="O503" i="21" s="1"/>
  <c r="K503" i="21"/>
  <c r="N503" i="21" s="1"/>
  <c r="O502" i="21"/>
  <c r="L502" i="21"/>
  <c r="K502" i="21"/>
  <c r="N502" i="21" s="1"/>
  <c r="L501" i="21"/>
  <c r="O501" i="21" s="1"/>
  <c r="K501" i="21"/>
  <c r="N501" i="21" s="1"/>
  <c r="L500" i="21"/>
  <c r="O500" i="21" s="1"/>
  <c r="K500" i="21"/>
  <c r="N500" i="21" s="1"/>
  <c r="L499" i="21"/>
  <c r="O499" i="21" s="1"/>
  <c r="K499" i="21"/>
  <c r="N499" i="21" s="1"/>
  <c r="N498" i="21"/>
  <c r="L498" i="21"/>
  <c r="O498" i="21" s="1"/>
  <c r="K498" i="21"/>
  <c r="L497" i="21"/>
  <c r="O497" i="21" s="1"/>
  <c r="K497" i="21"/>
  <c r="N497" i="21" s="1"/>
  <c r="L496" i="21"/>
  <c r="O496" i="21" s="1"/>
  <c r="K496" i="21"/>
  <c r="N496" i="21" s="1"/>
  <c r="L495" i="21"/>
  <c r="O495" i="21" s="1"/>
  <c r="K495" i="21"/>
  <c r="N495" i="21" s="1"/>
  <c r="O494" i="21"/>
  <c r="L494" i="21"/>
  <c r="K494" i="21"/>
  <c r="N494" i="21" s="1"/>
  <c r="L493" i="21"/>
  <c r="O493" i="21" s="1"/>
  <c r="K493" i="21"/>
  <c r="N493" i="21" s="1"/>
  <c r="N492" i="21"/>
  <c r="L492" i="21"/>
  <c r="O492" i="21" s="1"/>
  <c r="K492" i="21"/>
  <c r="L491" i="21"/>
  <c r="O491" i="21" s="1"/>
  <c r="K491" i="21"/>
  <c r="N491" i="21" s="1"/>
  <c r="N490" i="21"/>
  <c r="L490" i="21"/>
  <c r="O490" i="21" s="1"/>
  <c r="K490" i="21"/>
  <c r="L489" i="21"/>
  <c r="O489" i="21" s="1"/>
  <c r="K489" i="21"/>
  <c r="N489" i="21" s="1"/>
  <c r="M488" i="21"/>
  <c r="J488" i="21"/>
  <c r="J487" i="21"/>
  <c r="M487" i="21" s="1"/>
  <c r="J486" i="21"/>
  <c r="M486" i="21" s="1"/>
  <c r="J485" i="21"/>
  <c r="M485" i="21" s="1"/>
  <c r="J484" i="21"/>
  <c r="M484" i="21" s="1"/>
  <c r="J483" i="21"/>
  <c r="M483" i="21" s="1"/>
  <c r="J482" i="21"/>
  <c r="M482" i="21" s="1"/>
  <c r="M481" i="21"/>
  <c r="J481" i="21"/>
  <c r="J480" i="21"/>
  <c r="M480" i="21" s="1"/>
  <c r="J479" i="21"/>
  <c r="M479" i="21" s="1"/>
  <c r="J478" i="21"/>
  <c r="M478" i="21" s="1"/>
  <c r="J477" i="21"/>
  <c r="M477" i="21" s="1"/>
  <c r="J476" i="21"/>
  <c r="M476" i="21" s="1"/>
  <c r="J475" i="21"/>
  <c r="M475" i="21" s="1"/>
  <c r="J474" i="21"/>
  <c r="M474" i="21" s="1"/>
  <c r="J473" i="21"/>
  <c r="M473" i="21" s="1"/>
  <c r="J472" i="21"/>
  <c r="M472" i="21" s="1"/>
  <c r="J471" i="21"/>
  <c r="M471" i="21" s="1"/>
  <c r="J470" i="21"/>
  <c r="M470" i="21" s="1"/>
  <c r="J469" i="21"/>
  <c r="M469" i="21" s="1"/>
  <c r="J468" i="21"/>
  <c r="M468" i="21" s="1"/>
  <c r="J467" i="21"/>
  <c r="M467" i="21" s="1"/>
  <c r="J466" i="21"/>
  <c r="M466" i="21" s="1"/>
  <c r="M465" i="21"/>
  <c r="J465" i="21"/>
  <c r="J464" i="21"/>
  <c r="M464" i="21" s="1"/>
  <c r="J463" i="21"/>
  <c r="M463" i="21" s="1"/>
  <c r="J462" i="21"/>
  <c r="M462" i="21" s="1"/>
  <c r="M461" i="21"/>
  <c r="J461" i="21"/>
  <c r="J460" i="21"/>
  <c r="M460" i="21" s="1"/>
  <c r="J459" i="21"/>
  <c r="M459" i="21" s="1"/>
  <c r="J458" i="21"/>
  <c r="M458" i="21" s="1"/>
  <c r="J457" i="21"/>
  <c r="M457" i="21" s="1"/>
  <c r="J456" i="21"/>
  <c r="M456" i="21" s="1"/>
  <c r="J455" i="21"/>
  <c r="M455" i="21" s="1"/>
  <c r="M454" i="21"/>
  <c r="J454" i="21"/>
  <c r="J453" i="21"/>
  <c r="M453" i="21" s="1"/>
  <c r="J452" i="21"/>
  <c r="M452" i="21" s="1"/>
  <c r="J451" i="21"/>
  <c r="M451" i="21" s="1"/>
  <c r="M450" i="21"/>
  <c r="J450" i="21"/>
  <c r="M449" i="21"/>
  <c r="J449" i="21"/>
  <c r="J448" i="21"/>
  <c r="M448" i="21" s="1"/>
  <c r="J447" i="21"/>
  <c r="M447" i="21" s="1"/>
  <c r="J446" i="21"/>
  <c r="M446" i="21" s="1"/>
  <c r="J445" i="21"/>
  <c r="M445" i="21" s="1"/>
  <c r="J444" i="21"/>
  <c r="M444" i="21" s="1"/>
  <c r="J443" i="21"/>
  <c r="M443" i="21" s="1"/>
  <c r="J442" i="21"/>
  <c r="M442" i="21" s="1"/>
  <c r="J441" i="21"/>
  <c r="M441" i="21" s="1"/>
  <c r="J440" i="21"/>
  <c r="M440" i="21" s="1"/>
  <c r="J439" i="21"/>
  <c r="M439" i="21" s="1"/>
  <c r="J438" i="21"/>
  <c r="M438" i="21" s="1"/>
  <c r="J437" i="21"/>
  <c r="M437" i="21" s="1"/>
  <c r="J436" i="21"/>
  <c r="M436" i="21" s="1"/>
  <c r="J435" i="21"/>
  <c r="M435" i="21" s="1"/>
  <c r="J434" i="21"/>
  <c r="M434" i="21" s="1"/>
  <c r="M433" i="21"/>
  <c r="J433" i="21"/>
  <c r="J432" i="21"/>
  <c r="M432" i="21" s="1"/>
  <c r="J431" i="21"/>
  <c r="M431" i="21" s="1"/>
  <c r="O430" i="21"/>
  <c r="L430" i="21"/>
  <c r="K430" i="21"/>
  <c r="N430" i="21" s="1"/>
  <c r="L429" i="21"/>
  <c r="O429" i="21" s="1"/>
  <c r="K429" i="21"/>
  <c r="N429" i="21" s="1"/>
  <c r="L428" i="21"/>
  <c r="O428" i="21" s="1"/>
  <c r="K428" i="21"/>
  <c r="N428" i="21" s="1"/>
  <c r="O427" i="21"/>
  <c r="L427" i="21"/>
  <c r="K427" i="21"/>
  <c r="N427" i="21" s="1"/>
  <c r="O426" i="21"/>
  <c r="L426" i="21"/>
  <c r="K426" i="21"/>
  <c r="N426" i="21" s="1"/>
  <c r="L425" i="21"/>
  <c r="O425" i="21" s="1"/>
  <c r="K425" i="21"/>
  <c r="N425" i="21" s="1"/>
  <c r="L424" i="21"/>
  <c r="O424" i="21" s="1"/>
  <c r="K424" i="21"/>
  <c r="N424" i="21" s="1"/>
  <c r="L423" i="21"/>
  <c r="O423" i="21" s="1"/>
  <c r="K423" i="21"/>
  <c r="N423" i="21" s="1"/>
  <c r="L422" i="21"/>
  <c r="O422" i="21" s="1"/>
  <c r="K422" i="21"/>
  <c r="N422" i="21" s="1"/>
  <c r="L421" i="21"/>
  <c r="O421" i="21" s="1"/>
  <c r="K421" i="21"/>
  <c r="N421" i="21" s="1"/>
  <c r="L420" i="21"/>
  <c r="O420" i="21" s="1"/>
  <c r="K420" i="21"/>
  <c r="N420" i="21" s="1"/>
  <c r="L419" i="21"/>
  <c r="O419" i="21" s="1"/>
  <c r="K419" i="21"/>
  <c r="N419" i="21" s="1"/>
  <c r="L418" i="21"/>
  <c r="O418" i="21" s="1"/>
  <c r="K418" i="21"/>
  <c r="N418" i="21" s="1"/>
  <c r="N417" i="21"/>
  <c r="L417" i="21"/>
  <c r="O417" i="21" s="1"/>
  <c r="K417" i="21"/>
  <c r="L416" i="21"/>
  <c r="O416" i="21" s="1"/>
  <c r="K416" i="21"/>
  <c r="N416" i="21" s="1"/>
  <c r="L415" i="21"/>
  <c r="O415" i="21" s="1"/>
  <c r="K415" i="21"/>
  <c r="N415" i="21" s="1"/>
  <c r="N414" i="21"/>
  <c r="L414" i="21"/>
  <c r="O414" i="21" s="1"/>
  <c r="K414" i="21"/>
  <c r="N413" i="21"/>
  <c r="L413" i="21"/>
  <c r="O413" i="21" s="1"/>
  <c r="K413" i="21"/>
  <c r="L412" i="21"/>
  <c r="O412" i="21" s="1"/>
  <c r="K412" i="21"/>
  <c r="N412" i="21" s="1"/>
  <c r="L411" i="21"/>
  <c r="O411" i="21" s="1"/>
  <c r="K411" i="21"/>
  <c r="N411" i="21" s="1"/>
  <c r="O410" i="21"/>
  <c r="L410" i="21"/>
  <c r="K410" i="21"/>
  <c r="N410" i="21" s="1"/>
  <c r="N409" i="21"/>
  <c r="L409" i="21"/>
  <c r="O409" i="21" s="1"/>
  <c r="K409" i="21"/>
  <c r="L408" i="21"/>
  <c r="O408" i="21" s="1"/>
  <c r="K408" i="21"/>
  <c r="N408" i="21" s="1"/>
  <c r="L407" i="21"/>
  <c r="O407" i="21" s="1"/>
  <c r="K407" i="21"/>
  <c r="N407" i="21" s="1"/>
  <c r="N406" i="21"/>
  <c r="L406" i="21"/>
  <c r="O406" i="21" s="1"/>
  <c r="K406" i="21"/>
  <c r="L405" i="21"/>
  <c r="O405" i="21" s="1"/>
  <c r="K405" i="21"/>
  <c r="N405" i="21" s="1"/>
  <c r="L404" i="21"/>
  <c r="O404" i="21" s="1"/>
  <c r="K404" i="21"/>
  <c r="N404" i="21" s="1"/>
  <c r="J403" i="21"/>
  <c r="M403" i="21" s="1"/>
  <c r="M402" i="21"/>
  <c r="J402" i="21"/>
  <c r="M401" i="21"/>
  <c r="J401" i="21"/>
  <c r="J400" i="21"/>
  <c r="M400" i="21" s="1"/>
  <c r="J399" i="21"/>
  <c r="M399" i="21" s="1"/>
  <c r="J398" i="21"/>
  <c r="M398" i="21" s="1"/>
  <c r="M397" i="21"/>
  <c r="J397" i="21"/>
  <c r="J396" i="21"/>
  <c r="M396" i="21" s="1"/>
  <c r="J395" i="21"/>
  <c r="M395" i="21" s="1"/>
  <c r="J394" i="21"/>
  <c r="M394" i="21" s="1"/>
  <c r="J393" i="21"/>
  <c r="M393" i="21" s="1"/>
  <c r="J392" i="21"/>
  <c r="M392" i="21" s="1"/>
  <c r="J391" i="21"/>
  <c r="M391" i="21" s="1"/>
  <c r="M390" i="21"/>
  <c r="J390" i="21"/>
  <c r="J389" i="21"/>
  <c r="M389" i="21" s="1"/>
  <c r="J388" i="21"/>
  <c r="M388" i="21" s="1"/>
  <c r="J387" i="21"/>
  <c r="M387" i="21" s="1"/>
  <c r="M386" i="21"/>
  <c r="J386" i="21"/>
  <c r="J385" i="21"/>
  <c r="M385" i="21" s="1"/>
  <c r="J384" i="21"/>
  <c r="M384" i="21" s="1"/>
  <c r="J383" i="21"/>
  <c r="M383" i="21" s="1"/>
  <c r="J382" i="21"/>
  <c r="M382" i="21" s="1"/>
  <c r="J381" i="21"/>
  <c r="M381" i="21" s="1"/>
  <c r="J380" i="21"/>
  <c r="M380" i="21" s="1"/>
  <c r="J379" i="21"/>
  <c r="M379" i="21" s="1"/>
  <c r="L378" i="21"/>
  <c r="O378" i="21" s="1"/>
  <c r="J378" i="21"/>
  <c r="M378" i="21" s="1"/>
  <c r="M377" i="21"/>
  <c r="L377" i="21"/>
  <c r="O377" i="21" s="1"/>
  <c r="J377" i="21"/>
  <c r="L376" i="21"/>
  <c r="O376" i="21" s="1"/>
  <c r="J376" i="21"/>
  <c r="M376" i="21" s="1"/>
  <c r="L375" i="21"/>
  <c r="O375" i="21" s="1"/>
  <c r="J375" i="21"/>
  <c r="M375" i="21" s="1"/>
  <c r="M374" i="21"/>
  <c r="L374" i="21"/>
  <c r="O374" i="21" s="1"/>
  <c r="J374" i="21"/>
  <c r="L373" i="21"/>
  <c r="O373" i="21" s="1"/>
  <c r="J373" i="21"/>
  <c r="M373" i="21" s="1"/>
  <c r="L372" i="21"/>
  <c r="O372" i="21" s="1"/>
  <c r="J372" i="21"/>
  <c r="M372" i="21" s="1"/>
  <c r="O371" i="21"/>
  <c r="L371" i="21"/>
  <c r="J371" i="21"/>
  <c r="M371" i="21" s="1"/>
  <c r="L370" i="21"/>
  <c r="O370" i="21" s="1"/>
  <c r="J370" i="21"/>
  <c r="M370" i="21" s="1"/>
  <c r="L369" i="21"/>
  <c r="O369" i="21" s="1"/>
  <c r="J369" i="21"/>
  <c r="M369" i="21" s="1"/>
  <c r="L368" i="21"/>
  <c r="O368" i="21" s="1"/>
  <c r="J368" i="21"/>
  <c r="M368" i="21" s="1"/>
  <c r="L367" i="21"/>
  <c r="O367" i="21" s="1"/>
  <c r="J367" i="21"/>
  <c r="M367" i="21" s="1"/>
  <c r="O366" i="21"/>
  <c r="L366" i="21"/>
  <c r="K366" i="21"/>
  <c r="N366" i="21" s="1"/>
  <c r="L365" i="21"/>
  <c r="O365" i="21" s="1"/>
  <c r="K365" i="21"/>
  <c r="N365" i="21" s="1"/>
  <c r="L364" i="21"/>
  <c r="O364" i="21" s="1"/>
  <c r="K364" i="21"/>
  <c r="N364" i="21" s="1"/>
  <c r="O363" i="21"/>
  <c r="L363" i="21"/>
  <c r="K363" i="21"/>
  <c r="N363" i="21" s="1"/>
  <c r="L362" i="21"/>
  <c r="O362" i="21" s="1"/>
  <c r="K362" i="21"/>
  <c r="N362" i="21" s="1"/>
  <c r="N361" i="21"/>
  <c r="L361" i="21"/>
  <c r="O361" i="21" s="1"/>
  <c r="K361" i="21"/>
  <c r="L360" i="21"/>
  <c r="O360" i="21" s="1"/>
  <c r="K360" i="21"/>
  <c r="N360" i="21" s="1"/>
  <c r="L359" i="21"/>
  <c r="O359" i="21" s="1"/>
  <c r="K359" i="21"/>
  <c r="N359" i="21" s="1"/>
  <c r="N358" i="21"/>
  <c r="L358" i="21"/>
  <c r="O358" i="21" s="1"/>
  <c r="K358" i="21"/>
  <c r="L357" i="21"/>
  <c r="O357" i="21" s="1"/>
  <c r="K357" i="21"/>
  <c r="N357" i="21" s="1"/>
  <c r="L356" i="21"/>
  <c r="O356" i="21" s="1"/>
  <c r="K356" i="21"/>
  <c r="N356" i="21" s="1"/>
  <c r="O355" i="21"/>
  <c r="L355" i="21"/>
  <c r="K355" i="21"/>
  <c r="N355" i="21" s="1"/>
  <c r="L354" i="21"/>
  <c r="O354" i="21" s="1"/>
  <c r="J354" i="21"/>
  <c r="M354" i="21" s="1"/>
  <c r="L353" i="21"/>
  <c r="O353" i="21" s="1"/>
  <c r="J353" i="21"/>
  <c r="M353" i="21" s="1"/>
  <c r="L352" i="21"/>
  <c r="O352" i="21" s="1"/>
  <c r="J352" i="21"/>
  <c r="M352" i="21" s="1"/>
  <c r="L351" i="21"/>
  <c r="O351" i="21" s="1"/>
  <c r="J351" i="21"/>
  <c r="M351" i="21" s="1"/>
  <c r="O350" i="21"/>
  <c r="L350" i="21"/>
  <c r="J350" i="21"/>
  <c r="M350" i="21" s="1"/>
  <c r="L349" i="21"/>
  <c r="O349" i="21" s="1"/>
  <c r="J349" i="21"/>
  <c r="M349" i="21" s="1"/>
  <c r="L348" i="21"/>
  <c r="O348" i="21" s="1"/>
  <c r="J348" i="21"/>
  <c r="M348" i="21" s="1"/>
  <c r="O347" i="21"/>
  <c r="L347" i="21"/>
  <c r="J347" i="21"/>
  <c r="M347" i="21" s="1"/>
  <c r="L346" i="21"/>
  <c r="O346" i="21" s="1"/>
  <c r="J346" i="21"/>
  <c r="M346" i="21" s="1"/>
  <c r="M345" i="21"/>
  <c r="L345" i="21"/>
  <c r="O345" i="21" s="1"/>
  <c r="J345" i="21"/>
  <c r="L344" i="21"/>
  <c r="O344" i="21" s="1"/>
  <c r="J344" i="21"/>
  <c r="M344" i="21" s="1"/>
  <c r="L343" i="21"/>
  <c r="O343" i="21" s="1"/>
  <c r="J343" i="21"/>
  <c r="M343" i="21" s="1"/>
  <c r="M342" i="21"/>
  <c r="J342" i="21"/>
  <c r="J341" i="21"/>
  <c r="M341" i="21" s="1"/>
  <c r="J340" i="21"/>
  <c r="M340" i="21" s="1"/>
  <c r="J339" i="21"/>
  <c r="M339" i="21" s="1"/>
  <c r="J338" i="21"/>
  <c r="M338" i="21" s="1"/>
  <c r="J337" i="21"/>
  <c r="M337" i="21" s="1"/>
  <c r="J336" i="21"/>
  <c r="M336" i="21" s="1"/>
  <c r="J335" i="21"/>
  <c r="M335" i="21" s="1"/>
  <c r="J334" i="21"/>
  <c r="M334" i="21" s="1"/>
  <c r="J333" i="21"/>
  <c r="M333" i="21" s="1"/>
  <c r="M332" i="21"/>
  <c r="J332" i="21"/>
  <c r="J331" i="21"/>
  <c r="M331" i="21" s="1"/>
  <c r="L330" i="21"/>
  <c r="O330" i="21" s="1"/>
  <c r="K330" i="21"/>
  <c r="N330" i="21" s="1"/>
  <c r="L329" i="21"/>
  <c r="O329" i="21" s="1"/>
  <c r="K329" i="21"/>
  <c r="N329" i="21" s="1"/>
  <c r="O328" i="21"/>
  <c r="L328" i="21"/>
  <c r="K328" i="21"/>
  <c r="N328" i="21" s="1"/>
  <c r="L327" i="21"/>
  <c r="O327" i="21" s="1"/>
  <c r="K327" i="21"/>
  <c r="N327" i="21" s="1"/>
  <c r="L326" i="21"/>
  <c r="O326" i="21" s="1"/>
  <c r="K326" i="21"/>
  <c r="N326" i="21" s="1"/>
  <c r="L325" i="21"/>
  <c r="O325" i="21" s="1"/>
  <c r="K325" i="21"/>
  <c r="N325" i="21" s="1"/>
  <c r="L324" i="21"/>
  <c r="O324" i="21" s="1"/>
  <c r="K324" i="21"/>
  <c r="N324" i="21" s="1"/>
  <c r="O323" i="21"/>
  <c r="L323" i="21"/>
  <c r="K323" i="21"/>
  <c r="N323" i="21" s="1"/>
  <c r="L322" i="21"/>
  <c r="O322" i="21" s="1"/>
  <c r="K322" i="21"/>
  <c r="N322" i="21" s="1"/>
  <c r="O321" i="21"/>
  <c r="L321" i="21"/>
  <c r="K321" i="21"/>
  <c r="N321" i="21" s="1"/>
  <c r="L320" i="21"/>
  <c r="O320" i="21" s="1"/>
  <c r="K320" i="21"/>
  <c r="N320" i="21" s="1"/>
  <c r="L319" i="21"/>
  <c r="O319" i="21" s="1"/>
  <c r="K319" i="21"/>
  <c r="N319" i="21" s="1"/>
  <c r="M318" i="21"/>
  <c r="J318" i="21"/>
  <c r="J317" i="21"/>
  <c r="M317" i="21" s="1"/>
  <c r="J316" i="21"/>
  <c r="M316" i="21" s="1"/>
  <c r="J315" i="21"/>
  <c r="M315" i="21" s="1"/>
  <c r="J314" i="21"/>
  <c r="M314" i="21" s="1"/>
  <c r="J313" i="21"/>
  <c r="M313" i="21" s="1"/>
  <c r="J312" i="21"/>
  <c r="M312" i="21" s="1"/>
  <c r="J311" i="21"/>
  <c r="M311" i="21" s="1"/>
  <c r="J310" i="21"/>
  <c r="M310" i="21" s="1"/>
  <c r="J309" i="21"/>
  <c r="M309" i="21" s="1"/>
  <c r="J308" i="21"/>
  <c r="M308" i="21" s="1"/>
  <c r="J307" i="21"/>
  <c r="M307" i="21" s="1"/>
  <c r="J306" i="21"/>
  <c r="M306" i="21" s="1"/>
  <c r="J305" i="21"/>
  <c r="M305" i="21" s="1"/>
  <c r="J304" i="21"/>
  <c r="M304" i="21" s="1"/>
  <c r="J303" i="21"/>
  <c r="M303" i="21" s="1"/>
  <c r="M302" i="21"/>
  <c r="J302" i="21"/>
  <c r="J301" i="21"/>
  <c r="M301" i="21" s="1"/>
  <c r="J300" i="21"/>
  <c r="M300" i="21" s="1"/>
  <c r="J299" i="21"/>
  <c r="M299" i="21" s="1"/>
  <c r="M298" i="21"/>
  <c r="J298" i="21"/>
  <c r="J297" i="21"/>
  <c r="M297" i="21" s="1"/>
  <c r="J296" i="21"/>
  <c r="M296" i="21" s="1"/>
  <c r="J295" i="21"/>
  <c r="M295" i="21" s="1"/>
  <c r="M294" i="21"/>
  <c r="J294" i="21"/>
  <c r="J293" i="21"/>
  <c r="M293" i="21" s="1"/>
  <c r="J292" i="21"/>
  <c r="M292" i="21" s="1"/>
  <c r="J291" i="21"/>
  <c r="M291" i="21" s="1"/>
  <c r="M290" i="21"/>
  <c r="J290" i="21"/>
  <c r="J289" i="21"/>
  <c r="M289" i="21" s="1"/>
  <c r="J288" i="21"/>
  <c r="M288" i="21" s="1"/>
  <c r="J287" i="21"/>
  <c r="M287" i="21" s="1"/>
  <c r="M286" i="21"/>
  <c r="J286" i="21"/>
  <c r="J285" i="21"/>
  <c r="M285" i="21" s="1"/>
  <c r="J284" i="21"/>
  <c r="M284" i="21" s="1"/>
  <c r="J283" i="21"/>
  <c r="M283" i="21" s="1"/>
  <c r="J282" i="21"/>
  <c r="M282" i="21" s="1"/>
  <c r="J281" i="21"/>
  <c r="M281" i="21" s="1"/>
  <c r="J280" i="21"/>
  <c r="M280" i="21" s="1"/>
  <c r="J279" i="21"/>
  <c r="M279" i="21" s="1"/>
  <c r="J278" i="21"/>
  <c r="M278" i="21" s="1"/>
  <c r="J277" i="21"/>
  <c r="M277" i="21" s="1"/>
  <c r="J276" i="21"/>
  <c r="M276" i="21" s="1"/>
  <c r="L275" i="21"/>
  <c r="O275" i="21" s="1"/>
  <c r="K275" i="21"/>
  <c r="N275" i="21" s="1"/>
  <c r="O274" i="21"/>
  <c r="L274" i="21"/>
  <c r="K274" i="21"/>
  <c r="N274" i="21" s="1"/>
  <c r="L273" i="21"/>
  <c r="O273" i="21" s="1"/>
  <c r="K273" i="21"/>
  <c r="N273" i="21" s="1"/>
  <c r="L272" i="21"/>
  <c r="O272" i="21" s="1"/>
  <c r="K272" i="21"/>
  <c r="N272" i="21" s="1"/>
  <c r="L271" i="21"/>
  <c r="O271" i="21" s="1"/>
  <c r="K271" i="21"/>
  <c r="N271" i="21" s="1"/>
  <c r="L270" i="21"/>
  <c r="O270" i="21" s="1"/>
  <c r="K270" i="21"/>
  <c r="N270" i="21" s="1"/>
  <c r="O269" i="21"/>
  <c r="L269" i="21"/>
  <c r="K269" i="21"/>
  <c r="N269" i="21" s="1"/>
  <c r="L268" i="21"/>
  <c r="O268" i="21" s="1"/>
  <c r="K268" i="21"/>
  <c r="N268" i="21" s="1"/>
  <c r="L267" i="21"/>
  <c r="O267" i="21" s="1"/>
  <c r="K267" i="21"/>
  <c r="N267" i="21" s="1"/>
  <c r="O266" i="21"/>
  <c r="L266" i="21"/>
  <c r="K266" i="21"/>
  <c r="N266" i="21" s="1"/>
  <c r="L265" i="21"/>
  <c r="O265" i="21" s="1"/>
  <c r="K265" i="21"/>
  <c r="N265" i="21" s="1"/>
  <c r="L264" i="21"/>
  <c r="O264" i="21" s="1"/>
  <c r="K264" i="21"/>
  <c r="N264" i="21" s="1"/>
  <c r="L263" i="21"/>
  <c r="O263" i="21" s="1"/>
  <c r="K263" i="21"/>
  <c r="N263" i="21" s="1"/>
  <c r="L262" i="21"/>
  <c r="O262" i="21" s="1"/>
  <c r="K262" i="21"/>
  <c r="N262" i="21" s="1"/>
  <c r="O261" i="21"/>
  <c r="L261" i="21"/>
  <c r="K261" i="21"/>
  <c r="N261" i="21" s="1"/>
  <c r="L260" i="21"/>
  <c r="O260" i="21" s="1"/>
  <c r="K260" i="21"/>
  <c r="N260" i="21" s="1"/>
  <c r="L259" i="21"/>
  <c r="O259" i="21" s="1"/>
  <c r="K259" i="21"/>
  <c r="N259" i="21" s="1"/>
  <c r="L258" i="21"/>
  <c r="O258" i="21" s="1"/>
  <c r="K258" i="21"/>
  <c r="N258" i="21" s="1"/>
  <c r="L257" i="21"/>
  <c r="O257" i="21" s="1"/>
  <c r="K257" i="21"/>
  <c r="N257" i="21" s="1"/>
  <c r="L256" i="21"/>
  <c r="O256" i="21" s="1"/>
  <c r="K256" i="21"/>
  <c r="N256" i="21" s="1"/>
  <c r="L255" i="21"/>
  <c r="O255" i="21" s="1"/>
  <c r="K255" i="21"/>
  <c r="N255" i="21" s="1"/>
  <c r="L254" i="21"/>
  <c r="O254" i="21" s="1"/>
  <c r="K254" i="21"/>
  <c r="N254" i="21" s="1"/>
  <c r="L253" i="21"/>
  <c r="O253" i="21" s="1"/>
  <c r="K253" i="21"/>
  <c r="N253" i="21" s="1"/>
  <c r="O252" i="21"/>
  <c r="L252" i="21"/>
  <c r="K252" i="21"/>
  <c r="N252" i="21" s="1"/>
  <c r="L251" i="21"/>
  <c r="O251" i="21" s="1"/>
  <c r="K251" i="21"/>
  <c r="N251" i="21" s="1"/>
  <c r="L250" i="21"/>
  <c r="O250" i="21" s="1"/>
  <c r="K250" i="21"/>
  <c r="N250" i="21" s="1"/>
  <c r="O249" i="21"/>
  <c r="L249" i="21"/>
  <c r="K249" i="21"/>
  <c r="N249" i="21" s="1"/>
  <c r="L248" i="21"/>
  <c r="O248" i="21" s="1"/>
  <c r="K248" i="21"/>
  <c r="N248" i="21" s="1"/>
  <c r="L247" i="21"/>
  <c r="O247" i="21" s="1"/>
  <c r="K247" i="21"/>
  <c r="N247" i="21" s="1"/>
  <c r="L246" i="21"/>
  <c r="O246" i="21" s="1"/>
  <c r="K246" i="21"/>
  <c r="N246" i="21" s="1"/>
  <c r="J245" i="21"/>
  <c r="M245" i="21" s="1"/>
  <c r="J244" i="21"/>
  <c r="M244" i="21" s="1"/>
  <c r="J243" i="21"/>
  <c r="M243" i="21" s="1"/>
  <c r="J242" i="21"/>
  <c r="M242" i="21" s="1"/>
  <c r="J241" i="21"/>
  <c r="M241" i="21" s="1"/>
  <c r="J240" i="21"/>
  <c r="M240" i="21" s="1"/>
  <c r="J239" i="21"/>
  <c r="M239" i="21" s="1"/>
  <c r="J238" i="21"/>
  <c r="M238" i="21" s="1"/>
  <c r="J237" i="21"/>
  <c r="M237" i="21" s="1"/>
  <c r="J236" i="21"/>
  <c r="M236" i="21" s="1"/>
  <c r="J235" i="21"/>
  <c r="M235" i="21" s="1"/>
  <c r="J234" i="21"/>
  <c r="M234" i="21" s="1"/>
  <c r="M233" i="21"/>
  <c r="J233" i="21"/>
  <c r="J232" i="21"/>
  <c r="M232" i="21" s="1"/>
  <c r="J231" i="21"/>
  <c r="M231" i="21" s="1"/>
  <c r="J230" i="21"/>
  <c r="M230" i="21" s="1"/>
  <c r="M229" i="21"/>
  <c r="J229" i="21"/>
  <c r="J228" i="21"/>
  <c r="M228" i="21" s="1"/>
  <c r="J227" i="21"/>
  <c r="M227" i="21" s="1"/>
  <c r="J226" i="21"/>
  <c r="M226" i="21" s="1"/>
  <c r="M225" i="21"/>
  <c r="J225" i="21"/>
  <c r="M224" i="21"/>
  <c r="J224" i="21"/>
  <c r="J223" i="21"/>
  <c r="M223" i="21" s="1"/>
  <c r="J222" i="21"/>
  <c r="M222" i="21" s="1"/>
  <c r="J221" i="21"/>
  <c r="M221" i="21" s="1"/>
  <c r="J220" i="21"/>
  <c r="M220" i="21" s="1"/>
  <c r="J219" i="21"/>
  <c r="M219" i="21" s="1"/>
  <c r="J218" i="21"/>
  <c r="M218" i="21" s="1"/>
  <c r="J217" i="21"/>
  <c r="M217" i="21" s="1"/>
  <c r="J216" i="21"/>
  <c r="M216" i="21" s="1"/>
  <c r="M215" i="21"/>
  <c r="J215" i="21"/>
  <c r="J75" i="21"/>
  <c r="M75" i="21" s="1"/>
  <c r="J74" i="21"/>
  <c r="M74" i="21" s="1"/>
  <c r="J73" i="21"/>
  <c r="M73" i="21" s="1"/>
  <c r="J72" i="21"/>
  <c r="M72" i="21" s="1"/>
  <c r="J71" i="21"/>
  <c r="M71" i="21" s="1"/>
  <c r="J70" i="21"/>
  <c r="M70" i="21" s="1"/>
  <c r="J69" i="21"/>
  <c r="M69" i="21" s="1"/>
  <c r="J68" i="21"/>
  <c r="M68" i="21" s="1"/>
  <c r="J67" i="21"/>
  <c r="M67" i="21" s="1"/>
  <c r="J66" i="21"/>
  <c r="M66" i="21" s="1"/>
  <c r="J65" i="21"/>
  <c r="M65" i="21" s="1"/>
  <c r="J64" i="21"/>
  <c r="M64" i="21" s="1"/>
  <c r="L63" i="21"/>
  <c r="O63" i="21" s="1"/>
  <c r="K63" i="21"/>
  <c r="N63" i="21" s="1"/>
  <c r="L62" i="21"/>
  <c r="O62" i="21" s="1"/>
  <c r="K62" i="21"/>
  <c r="N62" i="21" s="1"/>
  <c r="O61" i="21"/>
  <c r="L61" i="21"/>
  <c r="K61" i="21"/>
  <c r="N61" i="21" s="1"/>
  <c r="L60" i="21"/>
  <c r="O60" i="21" s="1"/>
  <c r="K60" i="21"/>
  <c r="N60" i="21" s="1"/>
  <c r="L59" i="21"/>
  <c r="O59" i="21" s="1"/>
  <c r="K59" i="21"/>
  <c r="N59" i="21" s="1"/>
  <c r="L58" i="21"/>
  <c r="O58" i="21" s="1"/>
  <c r="K58" i="21"/>
  <c r="N58" i="21" s="1"/>
  <c r="L57" i="21"/>
  <c r="O57" i="21" s="1"/>
  <c r="K57" i="21"/>
  <c r="N57" i="21" s="1"/>
  <c r="L56" i="21"/>
  <c r="O56" i="21" s="1"/>
  <c r="K56" i="21"/>
  <c r="N56" i="21" s="1"/>
  <c r="L55" i="21"/>
  <c r="O55" i="21" s="1"/>
  <c r="K55" i="21"/>
  <c r="N55" i="21" s="1"/>
  <c r="L54" i="21"/>
  <c r="O54" i="21" s="1"/>
  <c r="K54" i="21"/>
  <c r="N54" i="21" s="1"/>
  <c r="N53" i="21"/>
  <c r="L53" i="21"/>
  <c r="O53" i="21" s="1"/>
  <c r="K53" i="21"/>
  <c r="L52" i="21"/>
  <c r="O52" i="21" s="1"/>
  <c r="K52" i="21"/>
  <c r="N52" i="21" s="1"/>
  <c r="J51" i="21"/>
  <c r="M51" i="21" s="1"/>
  <c r="J50" i="21"/>
  <c r="M50" i="21" s="1"/>
  <c r="J49" i="21"/>
  <c r="M49" i="21" s="1"/>
  <c r="M48" i="21"/>
  <c r="J48" i="21"/>
  <c r="J47" i="21"/>
  <c r="M47" i="21" s="1"/>
  <c r="J46" i="21"/>
  <c r="M46" i="21" s="1"/>
  <c r="J45" i="21"/>
  <c r="M45" i="21" s="1"/>
  <c r="J44" i="21"/>
  <c r="M44" i="21" s="1"/>
  <c r="J43" i="21"/>
  <c r="M43" i="21" s="1"/>
  <c r="J42" i="21"/>
  <c r="M42" i="21" s="1"/>
  <c r="J41" i="21"/>
  <c r="M41" i="21" s="1"/>
  <c r="J40" i="21"/>
  <c r="L13" i="21"/>
  <c r="O13" i="21" s="1"/>
  <c r="K13" i="21"/>
  <c r="N13" i="21" s="1"/>
  <c r="L12" i="21"/>
  <c r="O12" i="21" s="1"/>
  <c r="K12" i="21"/>
  <c r="N12" i="21" s="1"/>
  <c r="L11" i="21"/>
  <c r="O11" i="21" s="1"/>
  <c r="K11" i="21"/>
  <c r="N11" i="21" s="1"/>
  <c r="L10" i="21"/>
  <c r="O10" i="21" s="1"/>
  <c r="K10" i="21"/>
  <c r="N10" i="21" s="1"/>
  <c r="L9" i="21"/>
  <c r="O9" i="21" s="1"/>
  <c r="K9" i="21"/>
  <c r="N9" i="21" s="1"/>
  <c r="N8" i="21"/>
  <c r="L8" i="21"/>
  <c r="O8" i="21" s="1"/>
  <c r="K8" i="21"/>
  <c r="L7" i="21"/>
  <c r="O7" i="21" s="1"/>
  <c r="K7" i="21"/>
  <c r="N7" i="21" s="1"/>
  <c r="L6" i="21"/>
  <c r="O6" i="21" s="1"/>
  <c r="K6" i="21"/>
  <c r="N6" i="21" s="1"/>
  <c r="L5" i="21"/>
  <c r="O5" i="21" s="1"/>
  <c r="K5" i="21"/>
  <c r="N5" i="21" s="1"/>
  <c r="L4" i="21"/>
  <c r="O4" i="21" s="1"/>
  <c r="K4" i="21"/>
  <c r="N4" i="21" s="1"/>
  <c r="L3" i="21"/>
  <c r="O3" i="21" s="1"/>
  <c r="K3" i="21"/>
  <c r="N3" i="21" s="1"/>
  <c r="O2" i="21"/>
  <c r="L2" i="21"/>
  <c r="K2" i="21"/>
  <c r="N2" i="21" s="1"/>
  <c r="X1024" i="16"/>
  <c r="W1024" i="16"/>
  <c r="X1023" i="16"/>
  <c r="W1023" i="16"/>
  <c r="X1022" i="16"/>
  <c r="W1022" i="16"/>
  <c r="X1021" i="16"/>
  <c r="W1021" i="16"/>
  <c r="X1020" i="16"/>
  <c r="W1020" i="16"/>
  <c r="X1019" i="16"/>
  <c r="W1019" i="16"/>
  <c r="X1018" i="16"/>
  <c r="W1018" i="16"/>
  <c r="X1017" i="16"/>
  <c r="W1017" i="16"/>
  <c r="X1016" i="16"/>
  <c r="W1016" i="16"/>
  <c r="X1015" i="16"/>
  <c r="W1015" i="16"/>
  <c r="X1014" i="16"/>
  <c r="W1014" i="16"/>
  <c r="X1013" i="16"/>
  <c r="W1013" i="16"/>
  <c r="X1012" i="16"/>
  <c r="W1012" i="16"/>
  <c r="X1011" i="16"/>
  <c r="W1011" i="16"/>
  <c r="X1010" i="16"/>
  <c r="W1010" i="16"/>
  <c r="X1009" i="16"/>
  <c r="W1009" i="16"/>
  <c r="X595" i="16"/>
  <c r="W595" i="16"/>
  <c r="X594" i="16"/>
  <c r="W594" i="16"/>
  <c r="X593" i="16"/>
  <c r="W593" i="16"/>
  <c r="X592" i="16"/>
  <c r="W592" i="16"/>
  <c r="X591" i="16"/>
  <c r="W591" i="16"/>
  <c r="X590" i="16"/>
  <c r="W590" i="16"/>
  <c r="X589" i="16"/>
  <c r="W589" i="16"/>
  <c r="X588" i="16"/>
  <c r="W588" i="16"/>
  <c r="X587" i="16"/>
  <c r="W587" i="16"/>
  <c r="X586" i="16"/>
  <c r="W586" i="16"/>
  <c r="X585" i="16"/>
  <c r="W585" i="16"/>
  <c r="X584" i="16"/>
  <c r="W584" i="16"/>
  <c r="X583" i="16"/>
  <c r="W583" i="16"/>
  <c r="X582" i="16"/>
  <c r="W582" i="16"/>
  <c r="X581" i="16"/>
  <c r="W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X566" i="16"/>
  <c r="W566" i="16"/>
  <c r="X565" i="16"/>
  <c r="W565" i="16"/>
  <c r="X564" i="16"/>
  <c r="W564" i="16"/>
  <c r="X563" i="16"/>
  <c r="W563" i="16"/>
  <c r="X562" i="16"/>
  <c r="W562" i="16"/>
  <c r="X561" i="16"/>
  <c r="W561" i="16"/>
  <c r="X560" i="16"/>
  <c r="W560" i="16"/>
  <c r="X559" i="16"/>
  <c r="W559" i="16"/>
  <c r="X558" i="16"/>
  <c r="W558" i="16"/>
  <c r="X557" i="16"/>
  <c r="W557" i="16"/>
  <c r="X556" i="16"/>
  <c r="W556" i="16"/>
  <c r="X555" i="16"/>
  <c r="W555" i="16"/>
  <c r="X554" i="16"/>
  <c r="W554" i="16"/>
  <c r="X553" i="16"/>
  <c r="W553" i="16"/>
  <c r="X552" i="16"/>
  <c r="W552" i="16"/>
  <c r="AD268" i="17"/>
  <c r="X268" i="17"/>
  <c r="W268" i="17"/>
  <c r="AD267" i="17"/>
  <c r="X267" i="17"/>
  <c r="W267" i="17"/>
  <c r="AD266" i="17"/>
  <c r="X266" i="17"/>
  <c r="W266" i="17"/>
  <c r="AD265" i="17"/>
  <c r="X265" i="17"/>
  <c r="W265" i="17"/>
  <c r="AC265" i="17" s="1"/>
  <c r="AD264" i="17"/>
  <c r="X264" i="17"/>
  <c r="W264" i="17"/>
  <c r="AD263" i="17"/>
  <c r="X263" i="17"/>
  <c r="W263" i="17"/>
  <c r="AD262" i="17"/>
  <c r="X262" i="17"/>
  <c r="W262" i="17"/>
  <c r="AD261" i="17"/>
  <c r="X261" i="17"/>
  <c r="W261" i="17"/>
  <c r="AD260" i="17"/>
  <c r="X260" i="17"/>
  <c r="W260" i="17"/>
  <c r="AD259" i="17"/>
  <c r="X259" i="17"/>
  <c r="W259" i="17"/>
  <c r="AD258" i="17"/>
  <c r="X258" i="17"/>
  <c r="W258" i="17"/>
  <c r="AD257" i="17"/>
  <c r="X257" i="17"/>
  <c r="W257" i="17"/>
  <c r="AC257" i="17" s="1"/>
  <c r="AD256" i="17"/>
  <c r="X256" i="17"/>
  <c r="W256" i="17"/>
  <c r="AD255" i="17"/>
  <c r="X255" i="17"/>
  <c r="W255" i="17"/>
  <c r="AD254" i="17"/>
  <c r="X254" i="17"/>
  <c r="W254" i="17"/>
  <c r="AD253" i="17"/>
  <c r="X253" i="17"/>
  <c r="W253" i="17"/>
  <c r="X214" i="16"/>
  <c r="W214" i="16"/>
  <c r="V214" i="16"/>
  <c r="X213" i="16"/>
  <c r="W213" i="16"/>
  <c r="V213" i="16"/>
  <c r="X212" i="16"/>
  <c r="W212" i="16"/>
  <c r="V212" i="16"/>
  <c r="X211" i="16"/>
  <c r="W211" i="16"/>
  <c r="V211" i="16"/>
  <c r="X210" i="16"/>
  <c r="W210" i="16"/>
  <c r="V210" i="16"/>
  <c r="X209" i="16"/>
  <c r="W209" i="16"/>
  <c r="V209" i="16"/>
  <c r="X208" i="16"/>
  <c r="W208" i="16"/>
  <c r="V208" i="16"/>
  <c r="X207" i="16"/>
  <c r="W207" i="16"/>
  <c r="V207" i="16"/>
  <c r="X206" i="16"/>
  <c r="W206" i="16"/>
  <c r="V206" i="16"/>
  <c r="X205" i="16"/>
  <c r="W205" i="16"/>
  <c r="V205" i="16"/>
  <c r="X204" i="16"/>
  <c r="W204" i="16"/>
  <c r="V204" i="16"/>
  <c r="X203" i="16"/>
  <c r="W203" i="16"/>
  <c r="V203" i="16"/>
  <c r="X202" i="16"/>
  <c r="W202" i="16"/>
  <c r="V202" i="16"/>
  <c r="X201" i="16"/>
  <c r="W201" i="16"/>
  <c r="V201" i="16"/>
  <c r="X200" i="16"/>
  <c r="W200" i="16"/>
  <c r="V200" i="16"/>
  <c r="X199" i="16"/>
  <c r="W199" i="16"/>
  <c r="V199" i="16"/>
  <c r="X198" i="16"/>
  <c r="W198" i="16"/>
  <c r="V198" i="16"/>
  <c r="X197" i="16"/>
  <c r="W197" i="16"/>
  <c r="V197" i="16"/>
  <c r="X196" i="16"/>
  <c r="W196" i="16"/>
  <c r="V196" i="16"/>
  <c r="X195" i="16"/>
  <c r="W195" i="16"/>
  <c r="V195" i="16"/>
  <c r="X194" i="16"/>
  <c r="W194" i="16"/>
  <c r="V194" i="16"/>
  <c r="X193" i="16"/>
  <c r="W193" i="16"/>
  <c r="V193" i="16"/>
  <c r="X192" i="16"/>
  <c r="W192" i="16"/>
  <c r="V192" i="16"/>
  <c r="X191" i="16"/>
  <c r="W191" i="16"/>
  <c r="V191" i="16"/>
  <c r="X190" i="16"/>
  <c r="W190" i="16"/>
  <c r="V190" i="16"/>
  <c r="X189" i="16"/>
  <c r="W189" i="16"/>
  <c r="V189" i="16"/>
  <c r="AD119" i="17"/>
  <c r="X119" i="17"/>
  <c r="W119" i="17"/>
  <c r="AD118" i="17"/>
  <c r="X118" i="17"/>
  <c r="W118" i="17"/>
  <c r="AD117" i="17"/>
  <c r="X117" i="17"/>
  <c r="W117" i="17"/>
  <c r="AD116" i="17"/>
  <c r="X116" i="17"/>
  <c r="AC116" i="17" s="1"/>
  <c r="W116" i="17"/>
  <c r="AD115" i="17"/>
  <c r="X115" i="17"/>
  <c r="W115" i="17"/>
  <c r="AD114" i="17"/>
  <c r="X114" i="17"/>
  <c r="AC114" i="17" s="1"/>
  <c r="W114" i="17"/>
  <c r="AD113" i="17"/>
  <c r="X113" i="17"/>
  <c r="W113" i="17"/>
  <c r="AD112" i="17"/>
  <c r="X112" i="17"/>
  <c r="W112" i="17"/>
  <c r="AD111" i="17"/>
  <c r="X111" i="17"/>
  <c r="W111" i="17"/>
  <c r="AD110" i="17"/>
  <c r="X110" i="17"/>
  <c r="W110" i="17"/>
  <c r="AD109" i="17"/>
  <c r="X109" i="17"/>
  <c r="AC109" i="17" s="1"/>
  <c r="W109" i="17"/>
  <c r="AD108" i="17"/>
  <c r="X108" i="17"/>
  <c r="AC108" i="17" s="1"/>
  <c r="W108" i="17"/>
  <c r="AD107" i="17"/>
  <c r="X107" i="17"/>
  <c r="AC107" i="17" s="1"/>
  <c r="W107" i="17"/>
  <c r="AD106" i="17"/>
  <c r="X106" i="17"/>
  <c r="AC106" i="17" s="1"/>
  <c r="W106" i="17"/>
  <c r="AD105" i="17"/>
  <c r="X105" i="17"/>
  <c r="AC105" i="17" s="1"/>
  <c r="W105" i="17"/>
  <c r="AE104" i="17"/>
  <c r="V104" i="17"/>
  <c r="AB104" i="17" s="1"/>
  <c r="AE103" i="17"/>
  <c r="V103" i="17"/>
  <c r="AB103" i="17" s="1"/>
  <c r="AE102" i="17"/>
  <c r="V102" i="17"/>
  <c r="AB102" i="17" s="1"/>
  <c r="AE101" i="17"/>
  <c r="V101" i="17"/>
  <c r="AB101" i="17" s="1"/>
  <c r="AE100" i="17"/>
  <c r="V100" i="17"/>
  <c r="AB100" i="17" s="1"/>
  <c r="AE99" i="17"/>
  <c r="AB99" i="17"/>
  <c r="V99" i="17"/>
  <c r="AE98" i="17"/>
  <c r="V98" i="17"/>
  <c r="AB98" i="17" s="1"/>
  <c r="AE97" i="17"/>
  <c r="V97" i="17"/>
  <c r="AB97" i="17" s="1"/>
  <c r="AE96" i="17"/>
  <c r="V96" i="17"/>
  <c r="AB96" i="17" s="1"/>
  <c r="AE95" i="17"/>
  <c r="V95" i="17"/>
  <c r="AB95" i="17" s="1"/>
  <c r="AE94" i="17"/>
  <c r="AB94" i="17"/>
  <c r="V94" i="17"/>
  <c r="AE93" i="17"/>
  <c r="V93" i="17"/>
  <c r="AB93" i="17" s="1"/>
  <c r="AE92" i="17"/>
  <c r="V92" i="17"/>
  <c r="AB92" i="17" s="1"/>
  <c r="AE91" i="17"/>
  <c r="V91" i="17"/>
  <c r="AB91" i="17" s="1"/>
  <c r="AD90" i="17"/>
  <c r="X90" i="17"/>
  <c r="W90" i="17"/>
  <c r="AD89" i="17"/>
  <c r="X89" i="17"/>
  <c r="W89" i="17"/>
  <c r="AD88" i="17"/>
  <c r="X88" i="17"/>
  <c r="AC88" i="17" s="1"/>
  <c r="W88" i="17"/>
  <c r="AD87" i="17"/>
  <c r="X87" i="17"/>
  <c r="W87" i="17"/>
  <c r="AD86" i="17"/>
  <c r="X86" i="17"/>
  <c r="W86" i="17"/>
  <c r="AD85" i="17"/>
  <c r="X85" i="17"/>
  <c r="W85" i="17"/>
  <c r="AD84" i="17"/>
  <c r="X84" i="17"/>
  <c r="W84" i="17"/>
  <c r="AD83" i="17"/>
  <c r="X83" i="17"/>
  <c r="W83" i="17"/>
  <c r="AD82" i="17"/>
  <c r="X82" i="17"/>
  <c r="W82" i="17"/>
  <c r="AC82" i="17" s="1"/>
  <c r="AD81" i="17"/>
  <c r="X81" i="17"/>
  <c r="W81" i="17"/>
  <c r="AD80" i="17"/>
  <c r="X80" i="17"/>
  <c r="AC80" i="17" s="1"/>
  <c r="W80" i="17"/>
  <c r="AD79" i="17"/>
  <c r="X79" i="17"/>
  <c r="W79" i="17"/>
  <c r="AD78" i="17"/>
  <c r="X78" i="17"/>
  <c r="W78" i="17"/>
  <c r="AD77" i="17"/>
  <c r="X77" i="17"/>
  <c r="W77" i="17"/>
  <c r="AC77" i="17" s="1"/>
  <c r="AD76" i="17"/>
  <c r="X76" i="17"/>
  <c r="W76" i="17"/>
  <c r="X39" i="17"/>
  <c r="W39" i="17"/>
  <c r="V39" i="17"/>
  <c r="AB39" i="17" s="1"/>
  <c r="X38" i="17"/>
  <c r="W38" i="17"/>
  <c r="AC38" i="17" s="1"/>
  <c r="V38" i="17"/>
  <c r="AB38" i="17" s="1"/>
  <c r="X37" i="17"/>
  <c r="W37" i="17"/>
  <c r="AC37" i="17" s="1"/>
  <c r="V37" i="17"/>
  <c r="AB37" i="17" s="1"/>
  <c r="X36" i="17"/>
  <c r="W36" i="17"/>
  <c r="AC36" i="17" s="1"/>
  <c r="V36" i="17"/>
  <c r="AB36" i="17" s="1"/>
  <c r="X35" i="17"/>
  <c r="AC35" i="17" s="1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AB31" i="17"/>
  <c r="X31" i="17"/>
  <c r="W31" i="17"/>
  <c r="AC31" i="17" s="1"/>
  <c r="V31" i="17"/>
  <c r="X30" i="17"/>
  <c r="W30" i="17"/>
  <c r="V30" i="17"/>
  <c r="AB30" i="17" s="1"/>
  <c r="X29" i="17"/>
  <c r="AC29" i="17" s="1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AC25" i="17" s="1"/>
  <c r="V25" i="17"/>
  <c r="AB25" i="17" s="1"/>
  <c r="X24" i="17"/>
  <c r="W24" i="17"/>
  <c r="V24" i="17"/>
  <c r="AB24" i="17" s="1"/>
  <c r="X23" i="17"/>
  <c r="W23" i="17"/>
  <c r="V23" i="17"/>
  <c r="AB23" i="17" s="1"/>
  <c r="AB22" i="17"/>
  <c r="X22" i="17"/>
  <c r="W22" i="17"/>
  <c r="AC22" i="17" s="1"/>
  <c r="V22" i="17"/>
  <c r="X21" i="17"/>
  <c r="AC21" i="17" s="1"/>
  <c r="W21" i="17"/>
  <c r="V21" i="17"/>
  <c r="AB21" i="17" s="1"/>
  <c r="X20" i="17"/>
  <c r="W20" i="17"/>
  <c r="V20" i="17"/>
  <c r="AB20" i="17" s="1"/>
  <c r="X19" i="17"/>
  <c r="W19" i="17"/>
  <c r="AC19" i="17" s="1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AC14" i="17" s="1"/>
  <c r="V14" i="17"/>
  <c r="AB14" i="17" s="1"/>
  <c r="M40" i="5"/>
  <c r="M39" i="5"/>
  <c r="M38" i="5"/>
  <c r="AJ9" i="17"/>
  <c r="AI9" i="17"/>
  <c r="AJ7" i="17"/>
  <c r="AI7" i="17"/>
  <c r="AJ4" i="17"/>
  <c r="AI4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D145" i="17"/>
  <c r="AD144" i="17"/>
  <c r="AD143" i="17"/>
  <c r="AD142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75" i="17"/>
  <c r="AD74" i="17"/>
  <c r="AD73" i="17"/>
  <c r="AD72" i="17"/>
  <c r="AD71" i="17"/>
  <c r="AD70" i="17"/>
  <c r="AD69" i="17"/>
  <c r="AD68" i="17"/>
  <c r="AD67" i="17"/>
  <c r="AD66" i="17"/>
  <c r="AD65" i="17"/>
  <c r="AD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D51" i="17"/>
  <c r="AD50" i="17"/>
  <c r="AD49" i="17"/>
  <c r="AD48" i="17"/>
  <c r="AD47" i="17"/>
  <c r="AD46" i="17"/>
  <c r="AD45" i="17"/>
  <c r="AD44" i="17"/>
  <c r="AD43" i="17"/>
  <c r="AD42" i="17"/>
  <c r="AD41" i="17"/>
  <c r="AD40" i="17"/>
  <c r="AE13" i="17"/>
  <c r="AE12" i="17"/>
  <c r="AE11" i="17"/>
  <c r="AE10" i="17"/>
  <c r="AE9" i="17"/>
  <c r="AE8" i="17"/>
  <c r="AE7" i="17"/>
  <c r="AE6" i="17"/>
  <c r="AE5" i="17"/>
  <c r="AE4" i="17"/>
  <c r="AE3" i="17"/>
  <c r="AE2" i="17"/>
  <c r="V268" i="17"/>
  <c r="AB268" i="17" s="1"/>
  <c r="V267" i="17"/>
  <c r="AB267" i="17" s="1"/>
  <c r="V266" i="17"/>
  <c r="AB266" i="17" s="1"/>
  <c r="V265" i="17"/>
  <c r="AB265" i="17" s="1"/>
  <c r="V264" i="17"/>
  <c r="AB264" i="17" s="1"/>
  <c r="V263" i="17"/>
  <c r="AB263" i="17" s="1"/>
  <c r="V262" i="17"/>
  <c r="AB262" i="17" s="1"/>
  <c r="V261" i="17"/>
  <c r="AB261" i="17" s="1"/>
  <c r="V260" i="17"/>
  <c r="AB260" i="17" s="1"/>
  <c r="V259" i="17"/>
  <c r="AB259" i="17" s="1"/>
  <c r="V258" i="17"/>
  <c r="AB258" i="17" s="1"/>
  <c r="V257" i="17"/>
  <c r="AB257" i="17" s="1"/>
  <c r="V256" i="17"/>
  <c r="AB256" i="17" s="1"/>
  <c r="V255" i="17"/>
  <c r="AB255" i="17" s="1"/>
  <c r="V254" i="17"/>
  <c r="AB254" i="17" s="1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V166" i="17"/>
  <c r="AB166" i="17" s="1"/>
  <c r="X165" i="17"/>
  <c r="W165" i="17"/>
  <c r="V165" i="17"/>
  <c r="AB165" i="17" s="1"/>
  <c r="X164" i="17"/>
  <c r="W164" i="17"/>
  <c r="V164" i="17"/>
  <c r="AB164" i="17" s="1"/>
  <c r="X163" i="17"/>
  <c r="W163" i="17"/>
  <c r="V163" i="17"/>
  <c r="AB163" i="17" s="1"/>
  <c r="X162" i="17"/>
  <c r="W162" i="17"/>
  <c r="V162" i="17"/>
  <c r="AB162" i="17" s="1"/>
  <c r="X161" i="17"/>
  <c r="W161" i="17"/>
  <c r="V161" i="17"/>
  <c r="AB161" i="17" s="1"/>
  <c r="X160" i="17"/>
  <c r="W160" i="17"/>
  <c r="V160" i="17"/>
  <c r="AB160" i="17" s="1"/>
  <c r="X159" i="17"/>
  <c r="W159" i="17"/>
  <c r="V159" i="17"/>
  <c r="AB159" i="17" s="1"/>
  <c r="X158" i="17"/>
  <c r="W158" i="17"/>
  <c r="V158" i="17"/>
  <c r="AB158" i="17" s="1"/>
  <c r="X157" i="17"/>
  <c r="W157" i="17"/>
  <c r="V157" i="17"/>
  <c r="AB157" i="17" s="1"/>
  <c r="X156" i="17"/>
  <c r="W156" i="17"/>
  <c r="V156" i="17"/>
  <c r="AB156" i="17" s="1"/>
  <c r="X155" i="17"/>
  <c r="W155" i="17"/>
  <c r="V155" i="17"/>
  <c r="AB155" i="17" s="1"/>
  <c r="X154" i="17"/>
  <c r="W154" i="17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V149" i="17"/>
  <c r="AB149" i="17" s="1"/>
  <c r="X148" i="17"/>
  <c r="W148" i="17"/>
  <c r="V148" i="17"/>
  <c r="AB148" i="17" s="1"/>
  <c r="X147" i="17"/>
  <c r="W147" i="17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V142" i="17"/>
  <c r="AB142" i="17" s="1"/>
  <c r="X141" i="17"/>
  <c r="W141" i="17"/>
  <c r="V141" i="17"/>
  <c r="AB141" i="17" s="1"/>
  <c r="X140" i="17"/>
  <c r="W140" i="17"/>
  <c r="V140" i="17"/>
  <c r="AB140" i="17" s="1"/>
  <c r="X139" i="17"/>
  <c r="W139" i="17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V134" i="17"/>
  <c r="AB134" i="17" s="1"/>
  <c r="X133" i="17"/>
  <c r="W133" i="17"/>
  <c r="V133" i="17"/>
  <c r="AB133" i="17" s="1"/>
  <c r="X132" i="17"/>
  <c r="W132" i="17"/>
  <c r="V132" i="17"/>
  <c r="AB132" i="17" s="1"/>
  <c r="X131" i="17"/>
  <c r="W131" i="17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V126" i="17"/>
  <c r="AB126" i="17" s="1"/>
  <c r="X125" i="17"/>
  <c r="W125" i="17"/>
  <c r="V125" i="17"/>
  <c r="AB125" i="17" s="1"/>
  <c r="X124" i="17"/>
  <c r="W124" i="17"/>
  <c r="V124" i="17"/>
  <c r="AB124" i="17" s="1"/>
  <c r="X123" i="17"/>
  <c r="W123" i="17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V119" i="17"/>
  <c r="AB119" i="17" s="1"/>
  <c r="V118" i="17"/>
  <c r="AB118" i="17" s="1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V111" i="17"/>
  <c r="AB111" i="17" s="1"/>
  <c r="V110" i="17"/>
  <c r="AB110" i="17" s="1"/>
  <c r="V109" i="17"/>
  <c r="AB109" i="17" s="1"/>
  <c r="V108" i="17"/>
  <c r="AB108" i="17" s="1"/>
  <c r="V107" i="17"/>
  <c r="AB107" i="17" s="1"/>
  <c r="V106" i="17"/>
  <c r="AB106" i="17" s="1"/>
  <c r="V105" i="17"/>
  <c r="AB105" i="17" s="1"/>
  <c r="X104" i="17"/>
  <c r="W104" i="17"/>
  <c r="X103" i="17"/>
  <c r="W103" i="17"/>
  <c r="X102" i="17"/>
  <c r="W102" i="17"/>
  <c r="X101" i="17"/>
  <c r="W101" i="17"/>
  <c r="X100" i="17"/>
  <c r="W100" i="17"/>
  <c r="X99" i="17"/>
  <c r="W99" i="17"/>
  <c r="AC99" i="17" s="1"/>
  <c r="X98" i="17"/>
  <c r="W98" i="17"/>
  <c r="X97" i="17"/>
  <c r="W97" i="17"/>
  <c r="X96" i="17"/>
  <c r="W96" i="17"/>
  <c r="X95" i="17"/>
  <c r="W95" i="17"/>
  <c r="AC95" i="17" s="1"/>
  <c r="X94" i="17"/>
  <c r="W94" i="17"/>
  <c r="X93" i="17"/>
  <c r="W93" i="17"/>
  <c r="X92" i="17"/>
  <c r="W92" i="17"/>
  <c r="X91" i="17"/>
  <c r="W91" i="17"/>
  <c r="AC91" i="17" s="1"/>
  <c r="V90" i="17"/>
  <c r="AB90" i="17" s="1"/>
  <c r="V89" i="17"/>
  <c r="AB89" i="17" s="1"/>
  <c r="V88" i="17"/>
  <c r="AB88" i="17" s="1"/>
  <c r="V87" i="17"/>
  <c r="AB87" i="17" s="1"/>
  <c r="V86" i="17"/>
  <c r="AB86" i="17" s="1"/>
  <c r="V85" i="17"/>
  <c r="AB85" i="17" s="1"/>
  <c r="V84" i="17"/>
  <c r="AB84" i="17" s="1"/>
  <c r="V83" i="17"/>
  <c r="AB83" i="17" s="1"/>
  <c r="V82" i="17"/>
  <c r="AB82" i="17" s="1"/>
  <c r="V81" i="17"/>
  <c r="AB81" i="17" s="1"/>
  <c r="V80" i="17"/>
  <c r="AB80" i="17" s="1"/>
  <c r="V79" i="17"/>
  <c r="AB79" i="17" s="1"/>
  <c r="V78" i="17"/>
  <c r="AB78" i="17" s="1"/>
  <c r="V77" i="17"/>
  <c r="AB77" i="17" s="1"/>
  <c r="V76" i="17"/>
  <c r="AB76" i="17" s="1"/>
  <c r="X75" i="17"/>
  <c r="W75" i="17"/>
  <c r="AC75" i="17" s="1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V72" i="17"/>
  <c r="AB72" i="17" s="1"/>
  <c r="X71" i="17"/>
  <c r="W71" i="17"/>
  <c r="V71" i="17"/>
  <c r="AB71" i="17" s="1"/>
  <c r="X70" i="17"/>
  <c r="W70" i="17"/>
  <c r="AC70" i="17" s="1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AC67" i="17" s="1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AC62" i="17" s="1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AC59" i="17" s="1"/>
  <c r="V59" i="17"/>
  <c r="AB59" i="17" s="1"/>
  <c r="X58" i="17"/>
  <c r="W58" i="17"/>
  <c r="V58" i="17"/>
  <c r="AB58" i="17" s="1"/>
  <c r="X57" i="17"/>
  <c r="W57" i="17"/>
  <c r="V57" i="17"/>
  <c r="AB57" i="17" s="1"/>
  <c r="X56" i="17"/>
  <c r="W56" i="17"/>
  <c r="V56" i="17"/>
  <c r="AB56" i="17" s="1"/>
  <c r="X55" i="17"/>
  <c r="W55" i="17"/>
  <c r="V55" i="17"/>
  <c r="AB55" i="17" s="1"/>
  <c r="X54" i="17"/>
  <c r="W54" i="17"/>
  <c r="AC54" i="17" s="1"/>
  <c r="V54" i="17"/>
  <c r="AB54" i="17" s="1"/>
  <c r="X53" i="17"/>
  <c r="W53" i="17"/>
  <c r="V53" i="17"/>
  <c r="AB53" i="17" s="1"/>
  <c r="X52" i="17"/>
  <c r="W52" i="17"/>
  <c r="V52" i="17"/>
  <c r="AB52" i="17" s="1"/>
  <c r="X51" i="17"/>
  <c r="W51" i="17"/>
  <c r="AC51" i="17" s="1"/>
  <c r="V51" i="17"/>
  <c r="AB51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X46" i="17"/>
  <c r="W46" i="17"/>
  <c r="AC46" i="17" s="1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AC43" i="17" s="1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13" i="17"/>
  <c r="W13" i="17"/>
  <c r="V13" i="17"/>
  <c r="AB13" i="17" s="1"/>
  <c r="X12" i="17"/>
  <c r="W12" i="17"/>
  <c r="AC12" i="17" s="1"/>
  <c r="V12" i="17"/>
  <c r="AB12" i="17" s="1"/>
  <c r="X11" i="17"/>
  <c r="W11" i="17"/>
  <c r="AC11" i="17" s="1"/>
  <c r="V11" i="17"/>
  <c r="AB11" i="17" s="1"/>
  <c r="X10" i="17"/>
  <c r="W10" i="17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AC4" i="17" s="1"/>
  <c r="V4" i="17"/>
  <c r="AB4" i="17" s="1"/>
  <c r="X3" i="17"/>
  <c r="W3" i="17"/>
  <c r="AC3" i="17" s="1"/>
  <c r="V3" i="17"/>
  <c r="AB3" i="17" s="1"/>
  <c r="X2" i="17"/>
  <c r="W2" i="17"/>
  <c r="V2" i="17"/>
  <c r="AB2" i="17" s="1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D1024" i="16"/>
  <c r="AC1024" i="16"/>
  <c r="AE1023" i="16"/>
  <c r="AD1023" i="16"/>
  <c r="AC1023" i="16"/>
  <c r="AE1022" i="16"/>
  <c r="AD1022" i="16"/>
  <c r="AC1022" i="16"/>
  <c r="AE1021" i="16"/>
  <c r="AD1021" i="16"/>
  <c r="AC1021" i="16"/>
  <c r="AE1020" i="16"/>
  <c r="AD1020" i="16"/>
  <c r="AC1020" i="16"/>
  <c r="AE1019" i="16"/>
  <c r="AD1019" i="16"/>
  <c r="AC1019" i="16"/>
  <c r="AE1018" i="16"/>
  <c r="AD1018" i="16"/>
  <c r="AC1018" i="16"/>
  <c r="AE1017" i="16"/>
  <c r="AD1017" i="16"/>
  <c r="AC1017" i="16"/>
  <c r="AE1016" i="16"/>
  <c r="AD1016" i="16"/>
  <c r="AC1016" i="16"/>
  <c r="AE1015" i="16"/>
  <c r="AD1015" i="16"/>
  <c r="AC1015" i="16"/>
  <c r="AE1014" i="16"/>
  <c r="AD1014" i="16"/>
  <c r="AC1014" i="16"/>
  <c r="AE1013" i="16"/>
  <c r="AD1013" i="16"/>
  <c r="AC1013" i="16"/>
  <c r="AE1012" i="16"/>
  <c r="AD1012" i="16"/>
  <c r="AC1012" i="16"/>
  <c r="AE1011" i="16"/>
  <c r="AD1011" i="16"/>
  <c r="AC1011" i="16"/>
  <c r="AE1010" i="16"/>
  <c r="AD1010" i="16"/>
  <c r="AC1010" i="16"/>
  <c r="AE1009" i="16"/>
  <c r="AD1009" i="16"/>
  <c r="AC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E973" i="16"/>
  <c r="AE972" i="16"/>
  <c r="AE971" i="16"/>
  <c r="AE970" i="16"/>
  <c r="AE969" i="16"/>
  <c r="AE968" i="16"/>
  <c r="AE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D595" i="16"/>
  <c r="AC595" i="16"/>
  <c r="AE594" i="16"/>
  <c r="AD594" i="16"/>
  <c r="AC594" i="16"/>
  <c r="AE593" i="16"/>
  <c r="AD593" i="16"/>
  <c r="AC593" i="16"/>
  <c r="AE592" i="16"/>
  <c r="AD592" i="16"/>
  <c r="AC592" i="16"/>
  <c r="AE591" i="16"/>
  <c r="AD591" i="16"/>
  <c r="AC591" i="16"/>
  <c r="AE590" i="16"/>
  <c r="AD590" i="16"/>
  <c r="AC590" i="16"/>
  <c r="AE589" i="16"/>
  <c r="AD589" i="16"/>
  <c r="AC589" i="16"/>
  <c r="AE588" i="16"/>
  <c r="AD588" i="16"/>
  <c r="AC588" i="16"/>
  <c r="AE587" i="16"/>
  <c r="AD587" i="16"/>
  <c r="AC587" i="16"/>
  <c r="AE586" i="16"/>
  <c r="AD586" i="16"/>
  <c r="AC586" i="16"/>
  <c r="AE585" i="16"/>
  <c r="AD585" i="16"/>
  <c r="AC585" i="16"/>
  <c r="AE584" i="16"/>
  <c r="AD584" i="16"/>
  <c r="AC584" i="16"/>
  <c r="AE583" i="16"/>
  <c r="AD583" i="16"/>
  <c r="AC583" i="16"/>
  <c r="AE582" i="16"/>
  <c r="AD582" i="16"/>
  <c r="AC582" i="16"/>
  <c r="AE581" i="16"/>
  <c r="AD581" i="16"/>
  <c r="AC581" i="16"/>
  <c r="AG580" i="16"/>
  <c r="AF580" i="16"/>
  <c r="AB580" i="16"/>
  <c r="AG579" i="16"/>
  <c r="AF579" i="16"/>
  <c r="AB579" i="16"/>
  <c r="AG578" i="16"/>
  <c r="AF578" i="16"/>
  <c r="AB578" i="16"/>
  <c r="AG577" i="16"/>
  <c r="AF577" i="16"/>
  <c r="AB577" i="16"/>
  <c r="AG576" i="16"/>
  <c r="AF576" i="16"/>
  <c r="AB576" i="16"/>
  <c r="AG575" i="16"/>
  <c r="AF575" i="16"/>
  <c r="AB575" i="16"/>
  <c r="AG574" i="16"/>
  <c r="AF574" i="16"/>
  <c r="AB574" i="16"/>
  <c r="AG573" i="16"/>
  <c r="AF573" i="16"/>
  <c r="AB573" i="16"/>
  <c r="AG572" i="16"/>
  <c r="AF572" i="16"/>
  <c r="AB572" i="16"/>
  <c r="AG571" i="16"/>
  <c r="AF571" i="16"/>
  <c r="AB571" i="16"/>
  <c r="AG570" i="16"/>
  <c r="AF570" i="16"/>
  <c r="AB570" i="16"/>
  <c r="AG569" i="16"/>
  <c r="AF569" i="16"/>
  <c r="AB569" i="16"/>
  <c r="AG568" i="16"/>
  <c r="AF568" i="16"/>
  <c r="AB568" i="16"/>
  <c r="AG567" i="16"/>
  <c r="AF567" i="16"/>
  <c r="AB567" i="16"/>
  <c r="AE566" i="16"/>
  <c r="AD566" i="16"/>
  <c r="AC566" i="16"/>
  <c r="AE565" i="16"/>
  <c r="AD565" i="16"/>
  <c r="AC565" i="16"/>
  <c r="AE564" i="16"/>
  <c r="AD564" i="16"/>
  <c r="AC564" i="16"/>
  <c r="AE563" i="16"/>
  <c r="AD563" i="16"/>
  <c r="AC563" i="16"/>
  <c r="AE562" i="16"/>
  <c r="AD562" i="16"/>
  <c r="AC562" i="16"/>
  <c r="AE561" i="16"/>
  <c r="AD561" i="16"/>
  <c r="AC561" i="16"/>
  <c r="AE560" i="16"/>
  <c r="AD560" i="16"/>
  <c r="AC560" i="16"/>
  <c r="AE559" i="16"/>
  <c r="AD559" i="16"/>
  <c r="AC559" i="16"/>
  <c r="AE558" i="16"/>
  <c r="AD558" i="16"/>
  <c r="AC558" i="16"/>
  <c r="AE557" i="16"/>
  <c r="AD557" i="16"/>
  <c r="AC557" i="16"/>
  <c r="AE556" i="16"/>
  <c r="AD556" i="16"/>
  <c r="AC556" i="16"/>
  <c r="AE555" i="16"/>
  <c r="AD555" i="16"/>
  <c r="AC555" i="16"/>
  <c r="AE554" i="16"/>
  <c r="AD554" i="16"/>
  <c r="AC554" i="16"/>
  <c r="AE553" i="16"/>
  <c r="AD553" i="16"/>
  <c r="AC553" i="16"/>
  <c r="AE552" i="16"/>
  <c r="AD552" i="16"/>
  <c r="AC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G520" i="16"/>
  <c r="AF520" i="16"/>
  <c r="AG519" i="16"/>
  <c r="AF519" i="16"/>
  <c r="AG518" i="16"/>
  <c r="AF518" i="16"/>
  <c r="AG517" i="16"/>
  <c r="AF517" i="16"/>
  <c r="AG516" i="16"/>
  <c r="AF516" i="16"/>
  <c r="AG515" i="16"/>
  <c r="AF515" i="16"/>
  <c r="AG514" i="16"/>
  <c r="AF514" i="16"/>
  <c r="AG513" i="16"/>
  <c r="AF513" i="16"/>
  <c r="AG512" i="16"/>
  <c r="AF512" i="16"/>
  <c r="AG511" i="16"/>
  <c r="AF511" i="16"/>
  <c r="AG510" i="16"/>
  <c r="AF510" i="16"/>
  <c r="AG509" i="16"/>
  <c r="AF509" i="16"/>
  <c r="AG508" i="16"/>
  <c r="AF508" i="16"/>
  <c r="AG507" i="16"/>
  <c r="AF507" i="16"/>
  <c r="AG506" i="16"/>
  <c r="AF506" i="16"/>
  <c r="AG505" i="16"/>
  <c r="AF505" i="16"/>
  <c r="AG504" i="16"/>
  <c r="AF504" i="16"/>
  <c r="AG503" i="16"/>
  <c r="AF503" i="16"/>
  <c r="AG502" i="16"/>
  <c r="AF502" i="16"/>
  <c r="AG501" i="16"/>
  <c r="AF501" i="16"/>
  <c r="AG500" i="16"/>
  <c r="AF500" i="16"/>
  <c r="AG499" i="16"/>
  <c r="AF499" i="16"/>
  <c r="AG498" i="16"/>
  <c r="AF498" i="16"/>
  <c r="AG497" i="16"/>
  <c r="AF497" i="16"/>
  <c r="AG496" i="16"/>
  <c r="AF496" i="16"/>
  <c r="AG495" i="16"/>
  <c r="AF495" i="16"/>
  <c r="AG494" i="16"/>
  <c r="AF494" i="16"/>
  <c r="AG493" i="16"/>
  <c r="AF493" i="16"/>
  <c r="AG492" i="16"/>
  <c r="AF492" i="16"/>
  <c r="AG491" i="16"/>
  <c r="AF491" i="16"/>
  <c r="AG490" i="16"/>
  <c r="AF490" i="16"/>
  <c r="AG489" i="16"/>
  <c r="AF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G430" i="16"/>
  <c r="AF430" i="16"/>
  <c r="AG429" i="16"/>
  <c r="AF429" i="16"/>
  <c r="AG428" i="16"/>
  <c r="AF428" i="16"/>
  <c r="AG427" i="16"/>
  <c r="AF427" i="16"/>
  <c r="AG426" i="16"/>
  <c r="AF426" i="16"/>
  <c r="AG425" i="16"/>
  <c r="AF425" i="16"/>
  <c r="AG424" i="16"/>
  <c r="AF424" i="16"/>
  <c r="AG423" i="16"/>
  <c r="AF423" i="16"/>
  <c r="AG422" i="16"/>
  <c r="AF422" i="16"/>
  <c r="AG421" i="16"/>
  <c r="AF421" i="16"/>
  <c r="AG420" i="16"/>
  <c r="AF420" i="16"/>
  <c r="AG419" i="16"/>
  <c r="AF419" i="16"/>
  <c r="AG418" i="16"/>
  <c r="AF418" i="16"/>
  <c r="AG417" i="16"/>
  <c r="AF417" i="16"/>
  <c r="AG416" i="16"/>
  <c r="AF416" i="16"/>
  <c r="AG415" i="16"/>
  <c r="AF415" i="16"/>
  <c r="AG414" i="16"/>
  <c r="AF414" i="16"/>
  <c r="AG413" i="16"/>
  <c r="AF413" i="16"/>
  <c r="AG412" i="16"/>
  <c r="AF412" i="16"/>
  <c r="AG411" i="16"/>
  <c r="AF411" i="16"/>
  <c r="AG410" i="16"/>
  <c r="AF410" i="16"/>
  <c r="AG409" i="16"/>
  <c r="AF409" i="16"/>
  <c r="AG408" i="16"/>
  <c r="AF408" i="16"/>
  <c r="AG407" i="16"/>
  <c r="AF407" i="16"/>
  <c r="AG406" i="16"/>
  <c r="AF406" i="16"/>
  <c r="AG405" i="16"/>
  <c r="AF405" i="16"/>
  <c r="AG404" i="16"/>
  <c r="AF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G378" i="16"/>
  <c r="AE378" i="16"/>
  <c r="AG377" i="16"/>
  <c r="AE377" i="16"/>
  <c r="AG376" i="16"/>
  <c r="AE376" i="16"/>
  <c r="AG375" i="16"/>
  <c r="AE375" i="16"/>
  <c r="AG374" i="16"/>
  <c r="AE374" i="16"/>
  <c r="AG373" i="16"/>
  <c r="AE373" i="16"/>
  <c r="AG372" i="16"/>
  <c r="AE372" i="16"/>
  <c r="AG371" i="16"/>
  <c r="AE371" i="16"/>
  <c r="AG370" i="16"/>
  <c r="AE370" i="16"/>
  <c r="AG369" i="16"/>
  <c r="AE369" i="16"/>
  <c r="AG368" i="16"/>
  <c r="AE368" i="16"/>
  <c r="AG367" i="16"/>
  <c r="AE367" i="16"/>
  <c r="AG366" i="16"/>
  <c r="AF366" i="16"/>
  <c r="AG365" i="16"/>
  <c r="AF365" i="16"/>
  <c r="AG364" i="16"/>
  <c r="AF364" i="16"/>
  <c r="AG363" i="16"/>
  <c r="AF363" i="16"/>
  <c r="AG362" i="16"/>
  <c r="AF362" i="16"/>
  <c r="AG361" i="16"/>
  <c r="AF361" i="16"/>
  <c r="AG360" i="16"/>
  <c r="AF360" i="16"/>
  <c r="AG359" i="16"/>
  <c r="AF359" i="16"/>
  <c r="AG358" i="16"/>
  <c r="AF358" i="16"/>
  <c r="AG357" i="16"/>
  <c r="AF357" i="16"/>
  <c r="AG356" i="16"/>
  <c r="AF356" i="16"/>
  <c r="AG355" i="16"/>
  <c r="AF355" i="16"/>
  <c r="AG354" i="16"/>
  <c r="AE354" i="16"/>
  <c r="AG353" i="16"/>
  <c r="AE353" i="16"/>
  <c r="AG352" i="16"/>
  <c r="AE352" i="16"/>
  <c r="AG351" i="16"/>
  <c r="AE351" i="16"/>
  <c r="AG350" i="16"/>
  <c r="AE350" i="16"/>
  <c r="AG349" i="16"/>
  <c r="AE349" i="16"/>
  <c r="AG348" i="16"/>
  <c r="AE348" i="16"/>
  <c r="AG347" i="16"/>
  <c r="AE347" i="16"/>
  <c r="AG346" i="16"/>
  <c r="AE346" i="16"/>
  <c r="AG345" i="16"/>
  <c r="AE345" i="16"/>
  <c r="AG344" i="16"/>
  <c r="AE344" i="16"/>
  <c r="AG343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G330" i="16"/>
  <c r="AF330" i="16"/>
  <c r="AG329" i="16"/>
  <c r="AF329" i="16"/>
  <c r="AG328" i="16"/>
  <c r="AF328" i="16"/>
  <c r="AG327" i="16"/>
  <c r="AF327" i="16"/>
  <c r="AG326" i="16"/>
  <c r="AF326" i="16"/>
  <c r="AG325" i="16"/>
  <c r="AF325" i="16"/>
  <c r="AG324" i="16"/>
  <c r="AF324" i="16"/>
  <c r="AG323" i="16"/>
  <c r="AF323" i="16"/>
  <c r="AG322" i="16"/>
  <c r="AF322" i="16"/>
  <c r="AG321" i="16"/>
  <c r="AF321" i="16"/>
  <c r="AG320" i="16"/>
  <c r="AF320" i="16"/>
  <c r="AG319" i="16"/>
  <c r="AF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F269" i="16"/>
  <c r="AG268" i="16"/>
  <c r="AF268" i="16"/>
  <c r="AG267" i="16"/>
  <c r="AF267" i="16"/>
  <c r="AG266" i="16"/>
  <c r="AF266" i="16"/>
  <c r="AG265" i="16"/>
  <c r="AF265" i="16"/>
  <c r="AG264" i="16"/>
  <c r="AF264" i="16"/>
  <c r="AG263" i="16"/>
  <c r="AF263" i="16"/>
  <c r="AG262" i="16"/>
  <c r="AF262" i="16"/>
  <c r="AG261" i="16"/>
  <c r="AF261" i="16"/>
  <c r="AG260" i="16"/>
  <c r="AF260" i="16"/>
  <c r="AG259" i="16"/>
  <c r="AF259" i="16"/>
  <c r="AG258" i="16"/>
  <c r="AF258" i="16"/>
  <c r="AG257" i="16"/>
  <c r="AF257" i="16"/>
  <c r="AG256" i="16"/>
  <c r="AF256" i="16"/>
  <c r="AG255" i="16"/>
  <c r="AF255" i="16"/>
  <c r="AG254" i="16"/>
  <c r="AF254" i="16"/>
  <c r="AG253" i="16"/>
  <c r="AF253" i="16"/>
  <c r="AG252" i="16"/>
  <c r="AF252" i="16"/>
  <c r="AG251" i="16"/>
  <c r="AF251" i="16"/>
  <c r="AG250" i="16"/>
  <c r="AF250" i="16"/>
  <c r="AG249" i="16"/>
  <c r="AF249" i="16"/>
  <c r="AG248" i="16"/>
  <c r="AF248" i="16"/>
  <c r="AG247" i="16"/>
  <c r="AF247" i="16"/>
  <c r="AG246" i="16"/>
  <c r="AF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D214" i="16"/>
  <c r="AC214" i="16"/>
  <c r="AB214" i="16"/>
  <c r="AD213" i="16"/>
  <c r="AC213" i="16"/>
  <c r="AB213" i="16"/>
  <c r="AD212" i="16"/>
  <c r="AC212" i="16"/>
  <c r="AB212" i="16"/>
  <c r="AD211" i="16"/>
  <c r="AC211" i="16"/>
  <c r="AB211" i="16"/>
  <c r="AD210" i="16"/>
  <c r="AC210" i="16"/>
  <c r="AB210" i="16"/>
  <c r="AD209" i="16"/>
  <c r="AC209" i="16"/>
  <c r="AB209" i="16"/>
  <c r="AD208" i="16"/>
  <c r="AC208" i="16"/>
  <c r="AB208" i="16"/>
  <c r="AD207" i="16"/>
  <c r="AC207" i="16"/>
  <c r="AB207" i="16"/>
  <c r="AD206" i="16"/>
  <c r="AC206" i="16"/>
  <c r="AB206" i="16"/>
  <c r="AD205" i="16"/>
  <c r="AC205" i="16"/>
  <c r="AB205" i="16"/>
  <c r="AD204" i="16"/>
  <c r="AC204" i="16"/>
  <c r="AB204" i="16"/>
  <c r="AD203" i="16"/>
  <c r="AC203" i="16"/>
  <c r="AB203" i="16"/>
  <c r="AD202" i="16"/>
  <c r="AC202" i="16"/>
  <c r="AB202" i="16"/>
  <c r="AD201" i="16"/>
  <c r="AC201" i="16"/>
  <c r="AB201" i="16"/>
  <c r="AD200" i="16"/>
  <c r="AC200" i="16"/>
  <c r="AB200" i="16"/>
  <c r="AD199" i="16"/>
  <c r="AC199" i="16"/>
  <c r="AB199" i="16"/>
  <c r="AD198" i="16"/>
  <c r="AC198" i="16"/>
  <c r="AB198" i="16"/>
  <c r="AD197" i="16"/>
  <c r="AC197" i="16"/>
  <c r="AB197" i="16"/>
  <c r="AD196" i="16"/>
  <c r="AC196" i="16"/>
  <c r="AB196" i="16"/>
  <c r="AD195" i="16"/>
  <c r="AC195" i="16"/>
  <c r="AB195" i="16"/>
  <c r="AD194" i="16"/>
  <c r="AC194" i="16"/>
  <c r="AB194" i="16"/>
  <c r="AD193" i="16"/>
  <c r="AC193" i="16"/>
  <c r="AB193" i="16"/>
  <c r="AD192" i="16"/>
  <c r="AC192" i="16"/>
  <c r="AB192" i="16"/>
  <c r="AD191" i="16"/>
  <c r="AC191" i="16"/>
  <c r="AB191" i="16"/>
  <c r="AD190" i="16"/>
  <c r="AC190" i="16"/>
  <c r="AB190" i="16"/>
  <c r="AD189" i="16"/>
  <c r="AC189" i="16"/>
  <c r="AB189" i="16"/>
  <c r="AE75" i="16"/>
  <c r="AE74" i="16"/>
  <c r="AE73" i="16"/>
  <c r="AE72" i="16"/>
  <c r="AE71" i="16"/>
  <c r="AE70" i="16"/>
  <c r="AE69" i="16"/>
  <c r="AE68" i="16"/>
  <c r="AE67" i="16"/>
  <c r="AE66" i="16"/>
  <c r="AE65" i="16"/>
  <c r="AE64" i="16"/>
  <c r="AG63" i="16"/>
  <c r="AF63" i="16"/>
  <c r="AG62" i="16"/>
  <c r="AF62" i="16"/>
  <c r="AG61" i="16"/>
  <c r="AF61" i="16"/>
  <c r="AG60" i="16"/>
  <c r="AF60" i="16"/>
  <c r="AG59" i="16"/>
  <c r="AF59" i="16"/>
  <c r="AG58" i="16"/>
  <c r="AF58" i="16"/>
  <c r="AG57" i="16"/>
  <c r="AF57" i="16"/>
  <c r="AG56" i="16"/>
  <c r="AF56" i="16"/>
  <c r="AG55" i="16"/>
  <c r="AF55" i="16"/>
  <c r="AG54" i="16"/>
  <c r="AF54" i="16"/>
  <c r="AG53" i="16"/>
  <c r="AF53" i="16"/>
  <c r="AG52" i="16"/>
  <c r="AF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G13" i="16"/>
  <c r="AF13" i="16"/>
  <c r="AG12" i="16"/>
  <c r="AF12" i="16"/>
  <c r="AG11" i="16"/>
  <c r="AF11" i="16"/>
  <c r="AG10" i="16"/>
  <c r="AF10" i="16"/>
  <c r="AG9" i="16"/>
  <c r="AF9" i="16"/>
  <c r="AG8" i="16"/>
  <c r="AF8" i="16"/>
  <c r="AG7" i="16"/>
  <c r="AF7" i="16"/>
  <c r="AG6" i="16"/>
  <c r="AF6" i="16"/>
  <c r="AG5" i="16"/>
  <c r="AF5" i="16"/>
  <c r="AG4" i="16"/>
  <c r="AF4" i="16"/>
  <c r="AG3" i="16"/>
  <c r="AF3" i="16"/>
  <c r="AG2" i="16"/>
  <c r="AF2" i="16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V1024" i="16"/>
  <c r="AB1024" i="16" s="1"/>
  <c r="V1023" i="16"/>
  <c r="AB1023" i="16" s="1"/>
  <c r="V1022" i="16"/>
  <c r="AB1022" i="16" s="1"/>
  <c r="V1021" i="16"/>
  <c r="AB1021" i="16" s="1"/>
  <c r="V1020" i="16"/>
  <c r="AB1020" i="16" s="1"/>
  <c r="V1019" i="16"/>
  <c r="AB1019" i="16" s="1"/>
  <c r="V1018" i="16"/>
  <c r="AB1018" i="16" s="1"/>
  <c r="V1017" i="16"/>
  <c r="AB1017" i="16" s="1"/>
  <c r="V1016" i="16"/>
  <c r="AB1016" i="16" s="1"/>
  <c r="V1015" i="16"/>
  <c r="AB1015" i="16" s="1"/>
  <c r="V1014" i="16"/>
  <c r="AB1014" i="16" s="1"/>
  <c r="V1013" i="16"/>
  <c r="AB1013" i="16" s="1"/>
  <c r="V1012" i="16"/>
  <c r="AB1012" i="16" s="1"/>
  <c r="V1011" i="16"/>
  <c r="AB1011" i="16" s="1"/>
  <c r="V1010" i="16"/>
  <c r="AB1010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V595" i="16"/>
  <c r="AB595" i="16" s="1"/>
  <c r="V594" i="16"/>
  <c r="AB594" i="16" s="1"/>
  <c r="V593" i="16"/>
  <c r="AB593" i="16" s="1"/>
  <c r="V592" i="16"/>
  <c r="AB592" i="16" s="1"/>
  <c r="V591" i="16"/>
  <c r="AB591" i="16" s="1"/>
  <c r="V590" i="16"/>
  <c r="AB590" i="16" s="1"/>
  <c r="V589" i="16"/>
  <c r="AB589" i="16" s="1"/>
  <c r="V588" i="16"/>
  <c r="AB588" i="16" s="1"/>
  <c r="V587" i="16"/>
  <c r="AB587" i="16" s="1"/>
  <c r="V586" i="16"/>
  <c r="AB586" i="16" s="1"/>
  <c r="V585" i="16"/>
  <c r="AB585" i="16" s="1"/>
  <c r="V584" i="16"/>
  <c r="AB584" i="16" s="1"/>
  <c r="V583" i="16"/>
  <c r="AB583" i="16" s="1"/>
  <c r="V582" i="16"/>
  <c r="AB582" i="16" s="1"/>
  <c r="V581" i="16"/>
  <c r="AB581" i="16" s="1"/>
  <c r="X580" i="16"/>
  <c r="AD580" i="16" s="1"/>
  <c r="W580" i="16"/>
  <c r="AC580" i="16" s="1"/>
  <c r="X579" i="16"/>
  <c r="AD579" i="16" s="1"/>
  <c r="W579" i="16"/>
  <c r="AC579" i="16" s="1"/>
  <c r="X578" i="16"/>
  <c r="AD578" i="16" s="1"/>
  <c r="W578" i="16"/>
  <c r="AC578" i="16" s="1"/>
  <c r="X577" i="16"/>
  <c r="AD577" i="16" s="1"/>
  <c r="W577" i="16"/>
  <c r="AC577" i="16" s="1"/>
  <c r="X576" i="16"/>
  <c r="AD576" i="16" s="1"/>
  <c r="W576" i="16"/>
  <c r="AC576" i="16" s="1"/>
  <c r="X575" i="16"/>
  <c r="AD575" i="16" s="1"/>
  <c r="W575" i="16"/>
  <c r="AC575" i="16" s="1"/>
  <c r="X574" i="16"/>
  <c r="AD574" i="16" s="1"/>
  <c r="W574" i="16"/>
  <c r="AC574" i="16" s="1"/>
  <c r="X573" i="16"/>
  <c r="AD573" i="16" s="1"/>
  <c r="W573" i="16"/>
  <c r="AC573" i="16" s="1"/>
  <c r="X572" i="16"/>
  <c r="AD572" i="16" s="1"/>
  <c r="W572" i="16"/>
  <c r="AC572" i="16" s="1"/>
  <c r="X571" i="16"/>
  <c r="AD571" i="16" s="1"/>
  <c r="W571" i="16"/>
  <c r="AC571" i="16" s="1"/>
  <c r="X570" i="16"/>
  <c r="AD570" i="16" s="1"/>
  <c r="W570" i="16"/>
  <c r="AC570" i="16" s="1"/>
  <c r="X569" i="16"/>
  <c r="AD569" i="16" s="1"/>
  <c r="W569" i="16"/>
  <c r="AC569" i="16" s="1"/>
  <c r="X568" i="16"/>
  <c r="AD568" i="16" s="1"/>
  <c r="W568" i="16"/>
  <c r="AC568" i="16" s="1"/>
  <c r="X567" i="16"/>
  <c r="AD567" i="16" s="1"/>
  <c r="W567" i="16"/>
  <c r="AC567" i="16" s="1"/>
  <c r="V566" i="16"/>
  <c r="AB566" i="16" s="1"/>
  <c r="V565" i="16"/>
  <c r="AB565" i="16" s="1"/>
  <c r="V564" i="16"/>
  <c r="AB564" i="16" s="1"/>
  <c r="V563" i="16"/>
  <c r="AB563" i="16" s="1"/>
  <c r="V562" i="16"/>
  <c r="AB562" i="16" s="1"/>
  <c r="V561" i="16"/>
  <c r="AB561" i="16" s="1"/>
  <c r="V560" i="16"/>
  <c r="AB560" i="16" s="1"/>
  <c r="V559" i="16"/>
  <c r="AB559" i="16" s="1"/>
  <c r="V558" i="16"/>
  <c r="AB558" i="16" s="1"/>
  <c r="V557" i="16"/>
  <c r="AB557" i="16" s="1"/>
  <c r="V556" i="16"/>
  <c r="AB556" i="16" s="1"/>
  <c r="V555" i="16"/>
  <c r="AB555" i="16" s="1"/>
  <c r="V554" i="16"/>
  <c r="AB554" i="16" s="1"/>
  <c r="V553" i="16"/>
  <c r="AB553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67" i="6"/>
  <c r="AB67" i="6"/>
  <c r="AA67" i="6"/>
  <c r="AA67" i="7" s="1"/>
  <c r="Z67" i="6"/>
  <c r="Y67" i="6"/>
  <c r="X67" i="6"/>
  <c r="AD66" i="6"/>
  <c r="AB66" i="6"/>
  <c r="AA66" i="6"/>
  <c r="AA66" i="7" s="1"/>
  <c r="Z66" i="6"/>
  <c r="Z66" i="7" s="1"/>
  <c r="Y66" i="6"/>
  <c r="X66" i="6"/>
  <c r="AD65" i="6"/>
  <c r="AB65" i="6"/>
  <c r="AA65" i="6"/>
  <c r="AA65" i="7" s="1"/>
  <c r="Z65" i="6"/>
  <c r="Y65" i="6"/>
  <c r="X65" i="6"/>
  <c r="AD64" i="6"/>
  <c r="AB64" i="6"/>
  <c r="AA64" i="6"/>
  <c r="AA64" i="7" s="1"/>
  <c r="Z64" i="6"/>
  <c r="Z64" i="7" s="1"/>
  <c r="Y64" i="6"/>
  <c r="X64" i="6"/>
  <c r="AD63" i="6"/>
  <c r="AB63" i="6"/>
  <c r="AA63" i="6"/>
  <c r="AA63" i="7" s="1"/>
  <c r="Z63" i="6"/>
  <c r="Z63" i="7" s="1"/>
  <c r="Y63" i="6"/>
  <c r="X63" i="6"/>
  <c r="AD62" i="6"/>
  <c r="AB62" i="6"/>
  <c r="AA62" i="6"/>
  <c r="AA62" i="7" s="1"/>
  <c r="Z62" i="6"/>
  <c r="Y62" i="6"/>
  <c r="X62" i="6"/>
  <c r="AD61" i="6"/>
  <c r="AB61" i="6"/>
  <c r="AA61" i="6"/>
  <c r="AA61" i="7" s="1"/>
  <c r="Z61" i="6"/>
  <c r="Y61" i="6"/>
  <c r="X61" i="6"/>
  <c r="AD60" i="6"/>
  <c r="AB60" i="6"/>
  <c r="AA60" i="6"/>
  <c r="AA60" i="7" s="1"/>
  <c r="Z60" i="6"/>
  <c r="Z60" i="7" s="1"/>
  <c r="Y60" i="6"/>
  <c r="X60" i="6"/>
  <c r="AD59" i="6"/>
  <c r="AB59" i="6"/>
  <c r="AA59" i="6"/>
  <c r="Z59" i="6"/>
  <c r="Z59" i="7" s="1"/>
  <c r="Y59" i="6"/>
  <c r="X59" i="6"/>
  <c r="AD58" i="6"/>
  <c r="AB58" i="6"/>
  <c r="AA58" i="6"/>
  <c r="Z58" i="6"/>
  <c r="Y58" i="6"/>
  <c r="X58" i="6"/>
  <c r="AD57" i="6"/>
  <c r="AB57" i="6"/>
  <c r="AA57" i="6"/>
  <c r="AA57" i="7" s="1"/>
  <c r="Z57" i="6"/>
  <c r="Z57" i="7" s="1"/>
  <c r="Y57" i="6"/>
  <c r="X57" i="6"/>
  <c r="AD56" i="6"/>
  <c r="AB56" i="6"/>
  <c r="AA56" i="6"/>
  <c r="AA56" i="7" s="1"/>
  <c r="Z56" i="6"/>
  <c r="Y56" i="6"/>
  <c r="X56" i="6"/>
  <c r="AD55" i="6"/>
  <c r="AB55" i="6"/>
  <c r="AA55" i="6"/>
  <c r="Z55" i="6"/>
  <c r="Z55" i="7" s="1"/>
  <c r="Y55" i="6"/>
  <c r="X55" i="6"/>
  <c r="AD54" i="6"/>
  <c r="AB54" i="6"/>
  <c r="AA54" i="6"/>
  <c r="AA54" i="7" s="1"/>
  <c r="Z54" i="6"/>
  <c r="Y54" i="6"/>
  <c r="X54" i="6"/>
  <c r="AD53" i="6"/>
  <c r="AB53" i="6"/>
  <c r="AA53" i="6"/>
  <c r="AA53" i="7" s="1"/>
  <c r="Z53" i="6"/>
  <c r="Z53" i="7" s="1"/>
  <c r="Y53" i="6"/>
  <c r="X53" i="6"/>
  <c r="AD52" i="6"/>
  <c r="AB52" i="6"/>
  <c r="AA52" i="6"/>
  <c r="Z52" i="6"/>
  <c r="Y52" i="6"/>
  <c r="X52" i="6"/>
  <c r="AD51" i="6"/>
  <c r="AB51" i="6"/>
  <c r="AA51" i="6"/>
  <c r="AA51" i="7" s="1"/>
  <c r="Z51" i="6"/>
  <c r="Z51" i="7" s="1"/>
  <c r="Y51" i="6"/>
  <c r="X51" i="6"/>
  <c r="AD50" i="6"/>
  <c r="AB50" i="6"/>
  <c r="AA50" i="6"/>
  <c r="Z50" i="6"/>
  <c r="Y50" i="6"/>
  <c r="X50" i="6"/>
  <c r="AD49" i="6"/>
  <c r="AB49" i="6"/>
  <c r="AA49" i="6"/>
  <c r="AA49" i="7" s="1"/>
  <c r="Z49" i="6"/>
  <c r="Z49" i="7" s="1"/>
  <c r="Y49" i="6"/>
  <c r="X49" i="6"/>
  <c r="AD48" i="6"/>
  <c r="AB48" i="6"/>
  <c r="AA48" i="6"/>
  <c r="AA48" i="7" s="1"/>
  <c r="Z48" i="6"/>
  <c r="Z48" i="7" s="1"/>
  <c r="Y48" i="6"/>
  <c r="X48" i="6"/>
  <c r="AD47" i="6"/>
  <c r="AB47" i="6"/>
  <c r="AA47" i="6"/>
  <c r="AA47" i="7" s="1"/>
  <c r="Z47" i="6"/>
  <c r="Y47" i="6"/>
  <c r="X47" i="6"/>
  <c r="AD46" i="6"/>
  <c r="AB46" i="6"/>
  <c r="AA46" i="6"/>
  <c r="Z46" i="6"/>
  <c r="Z46" i="7" s="1"/>
  <c r="Y46" i="6"/>
  <c r="X46" i="6"/>
  <c r="AD45" i="6"/>
  <c r="AB45" i="6"/>
  <c r="AA45" i="6"/>
  <c r="AA45" i="7" s="1"/>
  <c r="Z45" i="6"/>
  <c r="Y45" i="6"/>
  <c r="X45" i="6"/>
  <c r="AD44" i="6"/>
  <c r="AB44" i="6"/>
  <c r="AA44" i="6"/>
  <c r="Z44" i="6"/>
  <c r="Z44" i="7" s="1"/>
  <c r="Y44" i="6"/>
  <c r="X44" i="6"/>
  <c r="AD43" i="6"/>
  <c r="AB43" i="6"/>
  <c r="AA43" i="6"/>
  <c r="AA43" i="7" s="1"/>
  <c r="Z43" i="6"/>
  <c r="Y43" i="6"/>
  <c r="X43" i="6"/>
  <c r="AD42" i="6"/>
  <c r="AB42" i="6"/>
  <c r="AA42" i="6"/>
  <c r="Z42" i="6"/>
  <c r="Y42" i="6"/>
  <c r="X42" i="6"/>
  <c r="AD41" i="6"/>
  <c r="AC41" i="6"/>
  <c r="AB41" i="6"/>
  <c r="AA41" i="6"/>
  <c r="AA41" i="7" s="1"/>
  <c r="Z41" i="6"/>
  <c r="Z41" i="7" s="1"/>
  <c r="Y41" i="6"/>
  <c r="X41" i="6"/>
  <c r="W41" i="6"/>
  <c r="V41" i="6"/>
  <c r="U41" i="6"/>
  <c r="AD40" i="6"/>
  <c r="AB40" i="6"/>
  <c r="AA40" i="6"/>
  <c r="AA40" i="7" s="1"/>
  <c r="Z40" i="6"/>
  <c r="Z40" i="7" s="1"/>
  <c r="Y40" i="6"/>
  <c r="X40" i="6"/>
  <c r="AD39" i="6"/>
  <c r="AB39" i="6"/>
  <c r="AA39" i="6"/>
  <c r="Z39" i="6"/>
  <c r="Y39" i="6"/>
  <c r="X39" i="6"/>
  <c r="W39" i="6"/>
  <c r="AD38" i="6"/>
  <c r="AB38" i="6"/>
  <c r="AA38" i="6"/>
  <c r="AA38" i="7" s="1"/>
  <c r="Z38" i="6"/>
  <c r="Z38" i="7" s="1"/>
  <c r="Y38" i="6"/>
  <c r="X38" i="6"/>
  <c r="AD37" i="6"/>
  <c r="AB37" i="6"/>
  <c r="AA37" i="6"/>
  <c r="AA37" i="7" s="1"/>
  <c r="Z37" i="6"/>
  <c r="Y37" i="6"/>
  <c r="X37" i="6"/>
  <c r="AD36" i="6"/>
  <c r="AC36" i="6"/>
  <c r="AB36" i="6"/>
  <c r="AA36" i="6"/>
  <c r="AA36" i="7" s="1"/>
  <c r="Z36" i="6"/>
  <c r="Y36" i="6"/>
  <c r="X36" i="6"/>
  <c r="W36" i="6"/>
  <c r="V36" i="6"/>
  <c r="U36" i="6"/>
  <c r="AD35" i="6"/>
  <c r="AC35" i="6"/>
  <c r="AB35" i="6"/>
  <c r="AA35" i="6"/>
  <c r="Z35" i="6"/>
  <c r="Z35" i="7" s="1"/>
  <c r="Y35" i="6"/>
  <c r="X35" i="6"/>
  <c r="W35" i="6"/>
  <c r="V35" i="6"/>
  <c r="U35" i="6"/>
  <c r="AD34" i="6"/>
  <c r="AC34" i="6"/>
  <c r="AB34" i="6"/>
  <c r="AA34" i="6"/>
  <c r="AA34" i="7" s="1"/>
  <c r="Z34" i="6"/>
  <c r="Y34" i="6"/>
  <c r="X34" i="6"/>
  <c r="W34" i="6"/>
  <c r="V34" i="6"/>
  <c r="U34" i="6"/>
  <c r="AD33" i="6"/>
  <c r="AC33" i="6"/>
  <c r="AB33" i="6"/>
  <c r="AA33" i="6"/>
  <c r="AA33" i="7" s="1"/>
  <c r="Z33" i="6"/>
  <c r="Z33" i="7" s="1"/>
  <c r="Y33" i="6"/>
  <c r="X33" i="6"/>
  <c r="W33" i="6"/>
  <c r="V33" i="6"/>
  <c r="U33" i="6"/>
  <c r="AD32" i="6"/>
  <c r="AC32" i="6"/>
  <c r="AB32" i="6"/>
  <c r="AA32" i="6"/>
  <c r="AA32" i="7" s="1"/>
  <c r="Z32" i="6"/>
  <c r="Y32" i="6"/>
  <c r="X32" i="6"/>
  <c r="W32" i="6"/>
  <c r="V32" i="6"/>
  <c r="U32" i="6"/>
  <c r="AD31" i="6"/>
  <c r="AC31" i="6"/>
  <c r="AB31" i="6"/>
  <c r="AA31" i="6"/>
  <c r="Z31" i="6"/>
  <c r="Z31" i="7" s="1"/>
  <c r="Y31" i="6"/>
  <c r="X31" i="6"/>
  <c r="W31" i="6"/>
  <c r="V31" i="6"/>
  <c r="U31" i="6"/>
  <c r="AD30" i="6"/>
  <c r="AC30" i="6"/>
  <c r="AB30" i="6"/>
  <c r="AA30" i="6"/>
  <c r="Z30" i="6"/>
  <c r="Z30" i="7" s="1"/>
  <c r="Y30" i="6"/>
  <c r="X30" i="6"/>
  <c r="W30" i="6"/>
  <c r="V30" i="6"/>
  <c r="U30" i="6"/>
  <c r="AD29" i="6"/>
  <c r="AC29" i="6"/>
  <c r="AB29" i="6"/>
  <c r="AA29" i="6"/>
  <c r="AA29" i="7" s="1"/>
  <c r="Z29" i="6"/>
  <c r="Y29" i="6"/>
  <c r="X29" i="6"/>
  <c r="W29" i="6"/>
  <c r="V29" i="6"/>
  <c r="U29" i="6"/>
  <c r="AD28" i="6"/>
  <c r="AC28" i="6"/>
  <c r="AB28" i="6"/>
  <c r="AA28" i="6"/>
  <c r="AA28" i="7" s="1"/>
  <c r="Z28" i="6"/>
  <c r="Y28" i="6"/>
  <c r="X28" i="6"/>
  <c r="W28" i="6"/>
  <c r="V28" i="6"/>
  <c r="U28" i="6"/>
  <c r="AD27" i="6"/>
  <c r="AC27" i="6"/>
  <c r="AB27" i="6"/>
  <c r="AA27" i="6"/>
  <c r="Z27" i="6"/>
  <c r="Z27" i="7" s="1"/>
  <c r="Y27" i="6"/>
  <c r="X27" i="6"/>
  <c r="W27" i="6"/>
  <c r="V27" i="6"/>
  <c r="U27" i="6"/>
  <c r="AD26" i="6"/>
  <c r="AC26" i="6"/>
  <c r="AB26" i="6"/>
  <c r="AA26" i="6"/>
  <c r="AA26" i="7" s="1"/>
  <c r="Z26" i="6"/>
  <c r="Z26" i="7" s="1"/>
  <c r="Y26" i="6"/>
  <c r="X26" i="6"/>
  <c r="W26" i="6"/>
  <c r="V26" i="6"/>
  <c r="U26" i="6"/>
  <c r="AD25" i="6"/>
  <c r="AC25" i="6"/>
  <c r="AB25" i="6"/>
  <c r="AA25" i="6"/>
  <c r="AA25" i="7" s="1"/>
  <c r="Z25" i="6"/>
  <c r="Y25" i="6"/>
  <c r="X25" i="6"/>
  <c r="W25" i="6"/>
  <c r="V25" i="6"/>
  <c r="U25" i="6"/>
  <c r="AD24" i="6"/>
  <c r="AC24" i="6"/>
  <c r="AB24" i="6"/>
  <c r="AA24" i="6"/>
  <c r="AA24" i="7" s="1"/>
  <c r="Z24" i="6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AA22" i="7" s="1"/>
  <c r="Z22" i="6"/>
  <c r="Z22" i="7" s="1"/>
  <c r="Y22" i="6"/>
  <c r="X22" i="6"/>
  <c r="W22" i="6"/>
  <c r="V22" i="6"/>
  <c r="U22" i="6"/>
  <c r="AD21" i="6"/>
  <c r="AC21" i="6"/>
  <c r="AB21" i="6"/>
  <c r="AA21" i="6"/>
  <c r="AA21" i="7" s="1"/>
  <c r="Z21" i="6"/>
  <c r="Z21" i="7" s="1"/>
  <c r="Y21" i="6"/>
  <c r="X21" i="6"/>
  <c r="W21" i="6"/>
  <c r="V21" i="6"/>
  <c r="U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Z19" i="6"/>
  <c r="Z19" i="7" s="1"/>
  <c r="Y19" i="6"/>
  <c r="X19" i="6"/>
  <c r="W19" i="6"/>
  <c r="V19" i="6"/>
  <c r="U19" i="6"/>
  <c r="AD18" i="6"/>
  <c r="AC18" i="6"/>
  <c r="AB18" i="6"/>
  <c r="AA18" i="6"/>
  <c r="AA18" i="7" s="1"/>
  <c r="Z18" i="6"/>
  <c r="Y18" i="6"/>
  <c r="X18" i="6"/>
  <c r="W18" i="6"/>
  <c r="V18" i="6"/>
  <c r="U18" i="6"/>
  <c r="AD17" i="6"/>
  <c r="AC17" i="6"/>
  <c r="AB17" i="6"/>
  <c r="AA17" i="6"/>
  <c r="AA17" i="7" s="1"/>
  <c r="Z17" i="6"/>
  <c r="Y17" i="6"/>
  <c r="X17" i="6"/>
  <c r="W17" i="6"/>
  <c r="V17" i="6"/>
  <c r="U17" i="6"/>
  <c r="AD16" i="6"/>
  <c r="AC16" i="6"/>
  <c r="AB16" i="6"/>
  <c r="AA16" i="6"/>
  <c r="AA16" i="7" s="1"/>
  <c r="Z16" i="6"/>
  <c r="Y16" i="6"/>
  <c r="X16" i="6"/>
  <c r="W16" i="6"/>
  <c r="V16" i="6"/>
  <c r="U16" i="6"/>
  <c r="AD15" i="6"/>
  <c r="AC15" i="6"/>
  <c r="AB15" i="6"/>
  <c r="AA15" i="6"/>
  <c r="Z15" i="6"/>
  <c r="Z15" i="7" s="1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AA8" i="7" s="1"/>
  <c r="Z8" i="6"/>
  <c r="Y8" i="6"/>
  <c r="X8" i="6"/>
  <c r="W8" i="6"/>
  <c r="V8" i="6"/>
  <c r="U8" i="6"/>
  <c r="AD7" i="6"/>
  <c r="AC7" i="6"/>
  <c r="AB7" i="6"/>
  <c r="AA7" i="6"/>
  <c r="Z7" i="6"/>
  <c r="Z7" i="7" s="1"/>
  <c r="Y7" i="6"/>
  <c r="X7" i="6"/>
  <c r="W7" i="6"/>
  <c r="V7" i="6"/>
  <c r="U7" i="6"/>
  <c r="AD6" i="6"/>
  <c r="AC6" i="6"/>
  <c r="AB6" i="6"/>
  <c r="AA6" i="6"/>
  <c r="Z6" i="6"/>
  <c r="Y6" i="6"/>
  <c r="Y6" i="7" s="1"/>
  <c r="X6" i="6"/>
  <c r="X6" i="7" s="1"/>
  <c r="W6" i="6"/>
  <c r="W6" i="7" s="1"/>
  <c r="V6" i="6"/>
  <c r="U6" i="6"/>
  <c r="AD5" i="6"/>
  <c r="AC5" i="6"/>
  <c r="AB5" i="6"/>
  <c r="AA5" i="6"/>
  <c r="AA5" i="7" s="1"/>
  <c r="Z5" i="6"/>
  <c r="Y5" i="6"/>
  <c r="Y5" i="7" s="1"/>
  <c r="X5" i="6"/>
  <c r="W5" i="6"/>
  <c r="V5" i="6"/>
  <c r="V5" i="7" s="1"/>
  <c r="U5" i="6"/>
  <c r="AP67" i="14"/>
  <c r="AC67" i="14"/>
  <c r="AC67" i="6" s="1"/>
  <c r="W67" i="14"/>
  <c r="W67" i="6" s="1"/>
  <c r="V67" i="14"/>
  <c r="V67" i="6" s="1"/>
  <c r="U67" i="14"/>
  <c r="U67" i="6" s="1"/>
  <c r="AP66" i="14"/>
  <c r="AC66" i="14"/>
  <c r="AC66" i="6" s="1"/>
  <c r="W66" i="14"/>
  <c r="W66" i="6" s="1"/>
  <c r="V66" i="14"/>
  <c r="V66" i="6" s="1"/>
  <c r="U66" i="14"/>
  <c r="U66" i="6" s="1"/>
  <c r="AP65" i="14"/>
  <c r="AC65" i="14"/>
  <c r="AC65" i="6" s="1"/>
  <c r="W65" i="14"/>
  <c r="W65" i="6" s="1"/>
  <c r="V65" i="14"/>
  <c r="V65" i="6" s="1"/>
  <c r="U65" i="14"/>
  <c r="U65" i="6" s="1"/>
  <c r="AP64" i="14"/>
  <c r="AC64" i="14"/>
  <c r="AC64" i="6" s="1"/>
  <c r="W64" i="14"/>
  <c r="W64" i="6" s="1"/>
  <c r="V64" i="14"/>
  <c r="V64" i="6" s="1"/>
  <c r="U64" i="14"/>
  <c r="U64" i="6" s="1"/>
  <c r="AP63" i="14"/>
  <c r="AC63" i="14"/>
  <c r="AC63" i="6" s="1"/>
  <c r="W63" i="14"/>
  <c r="W63" i="6" s="1"/>
  <c r="V63" i="14"/>
  <c r="V63" i="6" s="1"/>
  <c r="U63" i="14"/>
  <c r="U63" i="6" s="1"/>
  <c r="AP62" i="14"/>
  <c r="AC62" i="14"/>
  <c r="AC62" i="6" s="1"/>
  <c r="W62" i="14"/>
  <c r="W62" i="6" s="1"/>
  <c r="V62" i="14"/>
  <c r="V62" i="6" s="1"/>
  <c r="U62" i="14"/>
  <c r="U62" i="6" s="1"/>
  <c r="AP61" i="14"/>
  <c r="AC61" i="14"/>
  <c r="AC61" i="6" s="1"/>
  <c r="W61" i="14"/>
  <c r="W61" i="6" s="1"/>
  <c r="V61" i="14"/>
  <c r="V61" i="6" s="1"/>
  <c r="U61" i="14"/>
  <c r="U61" i="6" s="1"/>
  <c r="AP60" i="14"/>
  <c r="AC60" i="14"/>
  <c r="AC60" i="6" s="1"/>
  <c r="W60" i="14"/>
  <c r="W60" i="6" s="1"/>
  <c r="V60" i="14"/>
  <c r="V60" i="6" s="1"/>
  <c r="U60" i="14"/>
  <c r="U60" i="6" s="1"/>
  <c r="AP59" i="14"/>
  <c r="AC59" i="14"/>
  <c r="AC59" i="6" s="1"/>
  <c r="W59" i="14"/>
  <c r="W59" i="6" s="1"/>
  <c r="V59" i="14"/>
  <c r="V59" i="6" s="1"/>
  <c r="U59" i="14"/>
  <c r="U59" i="6" s="1"/>
  <c r="AP58" i="14"/>
  <c r="AC58" i="14"/>
  <c r="AC58" i="6" s="1"/>
  <c r="W58" i="14"/>
  <c r="W58" i="6" s="1"/>
  <c r="V58" i="14"/>
  <c r="V58" i="6" s="1"/>
  <c r="U58" i="14"/>
  <c r="U58" i="6" s="1"/>
  <c r="AP57" i="14"/>
  <c r="AC57" i="14"/>
  <c r="AC57" i="6" s="1"/>
  <c r="W57" i="14"/>
  <c r="W57" i="6" s="1"/>
  <c r="V57" i="14"/>
  <c r="V57" i="6" s="1"/>
  <c r="U57" i="14"/>
  <c r="U57" i="6" s="1"/>
  <c r="AP56" i="14"/>
  <c r="AC56" i="14"/>
  <c r="AC56" i="6" s="1"/>
  <c r="W56" i="14"/>
  <c r="W56" i="6" s="1"/>
  <c r="V56" i="14"/>
  <c r="V56" i="6" s="1"/>
  <c r="U56" i="14"/>
  <c r="U56" i="6" s="1"/>
  <c r="AP55" i="14"/>
  <c r="AC55" i="14"/>
  <c r="AC55" i="6" s="1"/>
  <c r="W55" i="14"/>
  <c r="W55" i="6" s="1"/>
  <c r="V55" i="14"/>
  <c r="V55" i="6" s="1"/>
  <c r="U55" i="14"/>
  <c r="U55" i="6" s="1"/>
  <c r="AP54" i="14"/>
  <c r="AC54" i="14"/>
  <c r="AC54" i="6" s="1"/>
  <c r="W54" i="14"/>
  <c r="W54" i="6" s="1"/>
  <c r="V54" i="14"/>
  <c r="V54" i="6" s="1"/>
  <c r="U54" i="14"/>
  <c r="U54" i="6" s="1"/>
  <c r="AP53" i="14"/>
  <c r="AC53" i="14"/>
  <c r="AC53" i="6" s="1"/>
  <c r="W53" i="14"/>
  <c r="W53" i="6" s="1"/>
  <c r="V53" i="14"/>
  <c r="V53" i="6" s="1"/>
  <c r="U53" i="14"/>
  <c r="U53" i="6" s="1"/>
  <c r="AP52" i="14"/>
  <c r="AC52" i="14"/>
  <c r="AC52" i="6" s="1"/>
  <c r="W52" i="14"/>
  <c r="W52" i="6" s="1"/>
  <c r="V52" i="14"/>
  <c r="V52" i="6" s="1"/>
  <c r="U52" i="14"/>
  <c r="U52" i="6" s="1"/>
  <c r="AP51" i="14"/>
  <c r="AC51" i="14"/>
  <c r="AC51" i="6" s="1"/>
  <c r="W51" i="14"/>
  <c r="W51" i="6" s="1"/>
  <c r="V51" i="14"/>
  <c r="V51" i="6" s="1"/>
  <c r="U51" i="14"/>
  <c r="U51" i="6" s="1"/>
  <c r="AP50" i="14"/>
  <c r="AC50" i="14"/>
  <c r="AC50" i="6" s="1"/>
  <c r="W50" i="14"/>
  <c r="W50" i="6" s="1"/>
  <c r="V50" i="14"/>
  <c r="V50" i="6" s="1"/>
  <c r="U50" i="14"/>
  <c r="U50" i="6" s="1"/>
  <c r="AP49" i="14"/>
  <c r="AC49" i="14"/>
  <c r="AC49" i="6" s="1"/>
  <c r="W49" i="14"/>
  <c r="W49" i="6" s="1"/>
  <c r="V49" i="14"/>
  <c r="V49" i="6" s="1"/>
  <c r="U49" i="14"/>
  <c r="U49" i="6" s="1"/>
  <c r="AP48" i="14"/>
  <c r="AC48" i="14"/>
  <c r="AC48" i="6" s="1"/>
  <c r="W48" i="14"/>
  <c r="W48" i="6" s="1"/>
  <c r="V48" i="14"/>
  <c r="V48" i="6" s="1"/>
  <c r="U48" i="14"/>
  <c r="U48" i="6" s="1"/>
  <c r="AP47" i="14"/>
  <c r="AC47" i="14"/>
  <c r="AC47" i="6" s="1"/>
  <c r="W47" i="14"/>
  <c r="W47" i="6" s="1"/>
  <c r="V47" i="14"/>
  <c r="V47" i="6" s="1"/>
  <c r="U47" i="14"/>
  <c r="U47" i="6" s="1"/>
  <c r="AP46" i="14"/>
  <c r="AC46" i="14"/>
  <c r="AC46" i="6" s="1"/>
  <c r="W46" i="14"/>
  <c r="W46" i="6" s="1"/>
  <c r="V46" i="14"/>
  <c r="V46" i="6" s="1"/>
  <c r="U46" i="14"/>
  <c r="U46" i="6" s="1"/>
  <c r="AP45" i="14"/>
  <c r="AC45" i="14"/>
  <c r="AC45" i="6" s="1"/>
  <c r="W45" i="14"/>
  <c r="W45" i="6" s="1"/>
  <c r="V45" i="14"/>
  <c r="V45" i="6" s="1"/>
  <c r="U45" i="14"/>
  <c r="U45" i="6" s="1"/>
  <c r="AP44" i="14"/>
  <c r="AC44" i="14"/>
  <c r="AC44" i="6" s="1"/>
  <c r="W44" i="14"/>
  <c r="W44" i="6" s="1"/>
  <c r="V44" i="14"/>
  <c r="V44" i="6" s="1"/>
  <c r="U44" i="14"/>
  <c r="U44" i="6" s="1"/>
  <c r="AP43" i="14"/>
  <c r="AC43" i="14"/>
  <c r="AC43" i="6" s="1"/>
  <c r="W43" i="14"/>
  <c r="W43" i="6" s="1"/>
  <c r="V43" i="14"/>
  <c r="V43" i="6" s="1"/>
  <c r="U43" i="14"/>
  <c r="U43" i="6" s="1"/>
  <c r="AP42" i="14"/>
  <c r="AC42" i="14"/>
  <c r="AC42" i="6" s="1"/>
  <c r="W42" i="14"/>
  <c r="W42" i="6" s="1"/>
  <c r="V42" i="14"/>
  <c r="V42" i="6" s="1"/>
  <c r="U42" i="14"/>
  <c r="U42" i="6" s="1"/>
  <c r="AP40" i="14"/>
  <c r="AC40" i="14"/>
  <c r="AC40" i="6" s="1"/>
  <c r="W40" i="14"/>
  <c r="W40" i="6" s="1"/>
  <c r="V40" i="14"/>
  <c r="V40" i="6" s="1"/>
  <c r="U40" i="14"/>
  <c r="U40" i="6" s="1"/>
  <c r="AP39" i="14"/>
  <c r="AC39" i="14"/>
  <c r="AC39" i="6" s="1"/>
  <c r="W39" i="14"/>
  <c r="V39" i="14"/>
  <c r="V39" i="6" s="1"/>
  <c r="U39" i="14"/>
  <c r="U39" i="6" s="1"/>
  <c r="AP38" i="14"/>
  <c r="AC38" i="14"/>
  <c r="AC38" i="6" s="1"/>
  <c r="W38" i="14"/>
  <c r="W38" i="6" s="1"/>
  <c r="V38" i="14"/>
  <c r="V38" i="6" s="1"/>
  <c r="U38" i="14"/>
  <c r="U38" i="6" s="1"/>
  <c r="AP37" i="14"/>
  <c r="AC37" i="14"/>
  <c r="AC37" i="6" s="1"/>
  <c r="W37" i="14"/>
  <c r="W37" i="6" s="1"/>
  <c r="V37" i="14"/>
  <c r="V37" i="6" s="1"/>
  <c r="U37" i="14"/>
  <c r="U37" i="6" s="1"/>
  <c r="X52" i="13"/>
  <c r="V52" i="13"/>
  <c r="T52" i="13"/>
  <c r="P52" i="13"/>
  <c r="O52" i="13"/>
  <c r="N52" i="13"/>
  <c r="M52" i="13"/>
  <c r="V51" i="13"/>
  <c r="U51" i="13"/>
  <c r="T51" i="13"/>
  <c r="P51" i="13"/>
  <c r="O51" i="13"/>
  <c r="N51" i="13"/>
  <c r="M51" i="13"/>
  <c r="X50" i="13"/>
  <c r="V50" i="13"/>
  <c r="U50" i="13"/>
  <c r="T50" i="13"/>
  <c r="P50" i="13"/>
  <c r="O50" i="13"/>
  <c r="N50" i="13"/>
  <c r="M50" i="13"/>
  <c r="X52" i="12"/>
  <c r="V52" i="12"/>
  <c r="T52" i="12"/>
  <c r="P52" i="12"/>
  <c r="O52" i="12"/>
  <c r="N52" i="12"/>
  <c r="M52" i="12"/>
  <c r="V51" i="12"/>
  <c r="U51" i="12"/>
  <c r="T51" i="12"/>
  <c r="P51" i="12"/>
  <c r="O51" i="12"/>
  <c r="N51" i="12"/>
  <c r="M51" i="12"/>
  <c r="X50" i="12"/>
  <c r="V50" i="12"/>
  <c r="V54" i="12" s="1"/>
  <c r="U50" i="12"/>
  <c r="U54" i="12" s="1"/>
  <c r="T50" i="12"/>
  <c r="T54" i="12" s="1"/>
  <c r="P50" i="12"/>
  <c r="O50" i="12"/>
  <c r="N50" i="12"/>
  <c r="N54" i="12" s="1"/>
  <c r="M50" i="12"/>
  <c r="M54" i="12" s="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52" i="11"/>
  <c r="V52" i="11"/>
  <c r="T52" i="11"/>
  <c r="P52" i="11"/>
  <c r="O52" i="11"/>
  <c r="N52" i="11"/>
  <c r="M52" i="11"/>
  <c r="V51" i="11"/>
  <c r="U51" i="11"/>
  <c r="T51" i="11"/>
  <c r="P51" i="11"/>
  <c r="O51" i="11"/>
  <c r="N51" i="11"/>
  <c r="M51" i="11"/>
  <c r="X50" i="11"/>
  <c r="V50" i="11"/>
  <c r="V54" i="11" s="1"/>
  <c r="U50" i="11"/>
  <c r="U54" i="11" s="1"/>
  <c r="T50" i="11"/>
  <c r="T54" i="11" s="1"/>
  <c r="P50" i="11"/>
  <c r="P54" i="11" s="1"/>
  <c r="O50" i="11"/>
  <c r="N50" i="11"/>
  <c r="N54" i="11" s="1"/>
  <c r="M50" i="11"/>
  <c r="M54" i="11" s="1"/>
  <c r="X52" i="10"/>
  <c r="X50" i="10"/>
  <c r="V52" i="10"/>
  <c r="V51" i="10"/>
  <c r="V50" i="10"/>
  <c r="U51" i="10"/>
  <c r="U50" i="10"/>
  <c r="T52" i="10"/>
  <c r="T51" i="10"/>
  <c r="T50" i="10"/>
  <c r="R53" i="10"/>
  <c r="P52" i="10"/>
  <c r="P51" i="10"/>
  <c r="P50" i="10"/>
  <c r="O52" i="10"/>
  <c r="O51" i="10"/>
  <c r="O50" i="10"/>
  <c r="N52" i="10"/>
  <c r="N51" i="10"/>
  <c r="N50" i="10"/>
  <c r="M52" i="10"/>
  <c r="M51" i="10"/>
  <c r="M50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0" i="10"/>
  <c r="Z19" i="10"/>
  <c r="Z18" i="10"/>
  <c r="Z17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0" i="10"/>
  <c r="V19" i="10"/>
  <c r="V18" i="10"/>
  <c r="V17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0" i="10"/>
  <c r="U19" i="10"/>
  <c r="U18" i="10"/>
  <c r="U17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0" i="10"/>
  <c r="T19" i="10"/>
  <c r="T18" i="10"/>
  <c r="T17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0" i="10"/>
  <c r="R19" i="10"/>
  <c r="R18" i="10"/>
  <c r="R17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0" i="10"/>
  <c r="P19" i="10"/>
  <c r="P18" i="10"/>
  <c r="P17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0" i="10"/>
  <c r="O19" i="10"/>
  <c r="O18" i="10"/>
  <c r="O17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0" i="10"/>
  <c r="N19" i="10"/>
  <c r="N18" i="10"/>
  <c r="N17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0" i="10"/>
  <c r="M19" i="10"/>
  <c r="M18" i="10"/>
  <c r="M17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0" i="10"/>
  <c r="L19" i="10"/>
  <c r="L18" i="10"/>
  <c r="L17" i="10"/>
  <c r="AK72" i="9"/>
  <c r="AF72" i="9"/>
  <c r="AP70" i="9" s="1"/>
  <c r="AE72" i="9"/>
  <c r="AO70" i="9" s="1"/>
  <c r="AC72" i="9"/>
  <c r="Y72" i="9"/>
  <c r="X72" i="9"/>
  <c r="W72" i="9"/>
  <c r="S72" i="9"/>
  <c r="R72" i="9"/>
  <c r="Q72" i="9"/>
  <c r="P72" i="9"/>
  <c r="O72" i="9"/>
  <c r="M72" i="9"/>
  <c r="L72" i="9"/>
  <c r="AK71" i="9"/>
  <c r="AF71" i="9"/>
  <c r="AC71" i="9"/>
  <c r="AA71" i="9"/>
  <c r="Z71" i="9"/>
  <c r="Y71" i="9"/>
  <c r="X71" i="9"/>
  <c r="W71" i="9"/>
  <c r="V71" i="9"/>
  <c r="U71" i="9"/>
  <c r="S71" i="9"/>
  <c r="R71" i="9"/>
  <c r="Q71" i="9"/>
  <c r="P71" i="9"/>
  <c r="O71" i="9"/>
  <c r="M71" i="9"/>
  <c r="L71" i="9"/>
  <c r="AL73" i="8"/>
  <c r="AG73" i="8"/>
  <c r="AD73" i="8"/>
  <c r="AB73" i="8"/>
  <c r="T73" i="8"/>
  <c r="AK72" i="8"/>
  <c r="AF72" i="8"/>
  <c r="AE72" i="8"/>
  <c r="AC72" i="8"/>
  <c r="Y72" i="8"/>
  <c r="X72" i="8"/>
  <c r="W72" i="8"/>
  <c r="S72" i="8"/>
  <c r="R72" i="8"/>
  <c r="Q72" i="8"/>
  <c r="P72" i="8"/>
  <c r="O72" i="8"/>
  <c r="M72" i="8"/>
  <c r="L72" i="8"/>
  <c r="AK71" i="8"/>
  <c r="AF71" i="8"/>
  <c r="AP70" i="8" s="1"/>
  <c r="AC71" i="8"/>
  <c r="AA71" i="8"/>
  <c r="Z71" i="8"/>
  <c r="Y71" i="8"/>
  <c r="X71" i="8"/>
  <c r="W71" i="8"/>
  <c r="V71" i="8"/>
  <c r="U71" i="8"/>
  <c r="S71" i="8"/>
  <c r="R71" i="8"/>
  <c r="Q71" i="8"/>
  <c r="P71" i="8"/>
  <c r="O71" i="8"/>
  <c r="M71" i="8"/>
  <c r="L71" i="8"/>
  <c r="AL73" i="7"/>
  <c r="AG73" i="7"/>
  <c r="AD73" i="7"/>
  <c r="AB73" i="7"/>
  <c r="T73" i="7"/>
  <c r="AG67" i="7"/>
  <c r="Z67" i="7"/>
  <c r="AG66" i="7"/>
  <c r="AG65" i="7"/>
  <c r="Z65" i="7"/>
  <c r="AG64" i="7"/>
  <c r="AG63" i="7"/>
  <c r="AG62" i="7"/>
  <c r="Z62" i="7"/>
  <c r="AG61" i="7"/>
  <c r="Z61" i="7"/>
  <c r="AG60" i="7"/>
  <c r="AG59" i="7"/>
  <c r="AA59" i="7"/>
  <c r="AG58" i="7"/>
  <c r="AA58" i="7"/>
  <c r="Z58" i="7"/>
  <c r="AG57" i="7"/>
  <c r="AG56" i="7"/>
  <c r="Z56" i="7"/>
  <c r="AG55" i="7"/>
  <c r="AA55" i="7"/>
  <c r="AG54" i="7"/>
  <c r="Z54" i="7"/>
  <c r="AG53" i="7"/>
  <c r="AG52" i="7"/>
  <c r="AA52" i="7"/>
  <c r="Z52" i="7"/>
  <c r="AG51" i="7"/>
  <c r="AG50" i="7"/>
  <c r="AA50" i="7"/>
  <c r="Z50" i="7"/>
  <c r="AG49" i="7"/>
  <c r="AG48" i="7"/>
  <c r="AG47" i="7"/>
  <c r="Z47" i="7"/>
  <c r="AG46" i="7"/>
  <c r="AA46" i="7"/>
  <c r="AG45" i="7"/>
  <c r="Z45" i="7"/>
  <c r="AG44" i="7"/>
  <c r="AA44" i="7"/>
  <c r="AG43" i="7"/>
  <c r="Z43" i="7"/>
  <c r="AG42" i="7"/>
  <c r="AA42" i="7"/>
  <c r="Z42" i="7"/>
  <c r="AG41" i="7"/>
  <c r="AG40" i="7"/>
  <c r="AG39" i="7"/>
  <c r="AA39" i="7"/>
  <c r="Z39" i="7"/>
  <c r="AG38" i="7"/>
  <c r="AG37" i="7"/>
  <c r="Z37" i="7"/>
  <c r="AG36" i="7"/>
  <c r="Z36" i="7"/>
  <c r="AG35" i="7"/>
  <c r="AA35" i="7"/>
  <c r="AG34" i="7"/>
  <c r="Z34" i="7"/>
  <c r="AG33" i="7"/>
  <c r="AG32" i="7"/>
  <c r="Z32" i="7"/>
  <c r="AG31" i="7"/>
  <c r="AA31" i="7"/>
  <c r="AG30" i="7"/>
  <c r="AA30" i="7"/>
  <c r="AG29" i="7"/>
  <c r="Z29" i="7"/>
  <c r="AG28" i="7"/>
  <c r="Z28" i="7"/>
  <c r="AG27" i="7"/>
  <c r="AA27" i="7"/>
  <c r="AG26" i="7"/>
  <c r="AG25" i="7"/>
  <c r="Z25" i="7"/>
  <c r="AG24" i="7"/>
  <c r="Z24" i="7"/>
  <c r="AG23" i="7"/>
  <c r="AA23" i="7"/>
  <c r="Z23" i="7"/>
  <c r="AG22" i="7"/>
  <c r="AG21" i="7"/>
  <c r="AG20" i="7"/>
  <c r="Z20" i="7"/>
  <c r="AG19" i="7"/>
  <c r="AA19" i="7"/>
  <c r="AG18" i="7"/>
  <c r="Z18" i="7"/>
  <c r="AG17" i="7"/>
  <c r="Z17" i="7"/>
  <c r="AG16" i="7"/>
  <c r="Z16" i="7"/>
  <c r="AG15" i="7"/>
  <c r="AA15" i="7"/>
  <c r="AG14" i="7"/>
  <c r="AA14" i="7"/>
  <c r="Z14" i="7"/>
  <c r="AG13" i="7"/>
  <c r="Z13" i="7"/>
  <c r="AG12" i="7"/>
  <c r="Z12" i="7"/>
  <c r="AG11" i="7"/>
  <c r="AA11" i="7"/>
  <c r="AG10" i="7"/>
  <c r="AA10" i="7"/>
  <c r="Z10" i="7"/>
  <c r="AG9" i="7"/>
  <c r="Z9" i="7"/>
  <c r="AG8" i="7"/>
  <c r="Z8" i="7"/>
  <c r="AG7" i="7"/>
  <c r="AA7" i="7"/>
  <c r="AJ6" i="7"/>
  <c r="AI6" i="7"/>
  <c r="AH6" i="7"/>
  <c r="AG6" i="7"/>
  <c r="AC6" i="7"/>
  <c r="AA6" i="7"/>
  <c r="Z6" i="7"/>
  <c r="V6" i="7"/>
  <c r="U6" i="7"/>
  <c r="S6" i="7"/>
  <c r="R6" i="7"/>
  <c r="Q6" i="7"/>
  <c r="P6" i="7"/>
  <c r="O6" i="7"/>
  <c r="N6" i="7"/>
  <c r="M6" i="7"/>
  <c r="L6" i="7"/>
  <c r="AK5" i="7"/>
  <c r="AJ5" i="7"/>
  <c r="AI5" i="7"/>
  <c r="AH5" i="7"/>
  <c r="AG5" i="7"/>
  <c r="AC5" i="7"/>
  <c r="Z5" i="7"/>
  <c r="X5" i="7"/>
  <c r="W5" i="7"/>
  <c r="U5" i="7"/>
  <c r="S5" i="7"/>
  <c r="R5" i="7"/>
  <c r="Q5" i="7"/>
  <c r="P5" i="7"/>
  <c r="O5" i="7"/>
  <c r="N5" i="7"/>
  <c r="M5" i="7"/>
  <c r="L5" i="7"/>
  <c r="AK72" i="7"/>
  <c r="AF72" i="7"/>
  <c r="AE72" i="7"/>
  <c r="AC72" i="7"/>
  <c r="Y72" i="7"/>
  <c r="X72" i="7"/>
  <c r="W72" i="7"/>
  <c r="U72" i="7"/>
  <c r="S72" i="7"/>
  <c r="R72" i="7"/>
  <c r="Q72" i="7"/>
  <c r="P72" i="7"/>
  <c r="O72" i="7"/>
  <c r="M72" i="7"/>
  <c r="L72" i="7"/>
  <c r="AK71" i="7"/>
  <c r="AF71" i="7"/>
  <c r="AC71" i="7"/>
  <c r="AA71" i="7"/>
  <c r="Z71" i="7"/>
  <c r="Y71" i="7"/>
  <c r="X71" i="7"/>
  <c r="W71" i="7"/>
  <c r="V71" i="7"/>
  <c r="U71" i="7"/>
  <c r="S71" i="7"/>
  <c r="R71" i="7"/>
  <c r="Q71" i="7"/>
  <c r="P71" i="7"/>
  <c r="O71" i="7"/>
  <c r="M71" i="7"/>
  <c r="L71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0" i="7"/>
  <c r="AP39" i="7"/>
  <c r="AP38" i="7"/>
  <c r="AP37" i="7"/>
  <c r="AK74" i="6"/>
  <c r="AK73" i="6"/>
  <c r="AK72" i="6"/>
  <c r="AF74" i="6"/>
  <c r="AF73" i="6"/>
  <c r="AF72" i="6"/>
  <c r="AE74" i="6"/>
  <c r="AE72" i="6"/>
  <c r="AC74" i="6"/>
  <c r="AC73" i="6"/>
  <c r="AC72" i="6"/>
  <c r="AA73" i="6"/>
  <c r="Z73" i="6"/>
  <c r="Y74" i="6"/>
  <c r="Y73" i="6"/>
  <c r="X74" i="6"/>
  <c r="X73" i="6"/>
  <c r="X72" i="6"/>
  <c r="W74" i="6"/>
  <c r="W73" i="6"/>
  <c r="V73" i="6"/>
  <c r="U73" i="6"/>
  <c r="U72" i="6"/>
  <c r="S74" i="6"/>
  <c r="S73" i="6"/>
  <c r="S72" i="6"/>
  <c r="R74" i="6"/>
  <c r="R73" i="6"/>
  <c r="R72" i="6"/>
  <c r="Q74" i="6"/>
  <c r="Q73" i="6"/>
  <c r="Q72" i="6"/>
  <c r="P74" i="6"/>
  <c r="P73" i="6"/>
  <c r="P72" i="6"/>
  <c r="O74" i="6"/>
  <c r="O73" i="6"/>
  <c r="O72" i="6"/>
  <c r="M74" i="6"/>
  <c r="M73" i="6"/>
  <c r="M72" i="6"/>
  <c r="L74" i="6"/>
  <c r="L73" i="6"/>
  <c r="L72" i="6"/>
  <c r="AK32" i="6"/>
  <c r="AK31" i="6"/>
  <c r="AK26" i="6"/>
  <c r="AK25" i="6"/>
  <c r="AK22" i="6"/>
  <c r="AK21" i="6"/>
  <c r="AK16" i="6"/>
  <c r="AK15" i="6"/>
  <c r="AK12" i="6"/>
  <c r="AK11" i="6"/>
  <c r="AK8" i="6"/>
  <c r="AK7" i="6"/>
  <c r="AK6" i="6"/>
  <c r="AK6" i="7" s="1"/>
  <c r="AK5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0" i="6"/>
  <c r="AI39" i="6"/>
  <c r="AI38" i="6"/>
  <c r="AI37" i="6"/>
  <c r="AH67" i="6"/>
  <c r="AH66" i="6"/>
  <c r="AH65" i="6"/>
  <c r="AH64" i="6"/>
  <c r="AH63" i="6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0" i="6"/>
  <c r="AH39" i="6"/>
  <c r="AH38" i="6"/>
  <c r="AH37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0" i="6"/>
  <c r="S39" i="6"/>
  <c r="S38" i="6"/>
  <c r="S37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1" i="6"/>
  <c r="Q36" i="6"/>
  <c r="Q35" i="6"/>
  <c r="Q34" i="6"/>
  <c r="Q33" i="6"/>
  <c r="Q28" i="6"/>
  <c r="Q27" i="6"/>
  <c r="Q23" i="6"/>
  <c r="Q18" i="6"/>
  <c r="Q17" i="6"/>
  <c r="Q13" i="6"/>
  <c r="Q9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0" i="6"/>
  <c r="O39" i="6"/>
  <c r="O38" i="6"/>
  <c r="O37" i="6"/>
  <c r="N32" i="6"/>
  <c r="N31" i="6"/>
  <c r="N25" i="6"/>
  <c r="N15" i="6"/>
  <c r="N6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0" i="6"/>
  <c r="AP39" i="6"/>
  <c r="AP38" i="6"/>
  <c r="AP37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1" i="6"/>
  <c r="L36" i="6"/>
  <c r="L35" i="6"/>
  <c r="L34" i="6"/>
  <c r="L33" i="6"/>
  <c r="L28" i="6"/>
  <c r="L27" i="6"/>
  <c r="L23" i="6"/>
  <c r="L18" i="6"/>
  <c r="L17" i="6"/>
  <c r="L13" i="6"/>
  <c r="L9" i="6"/>
  <c r="F45" i="5"/>
  <c r="D45" i="5"/>
  <c r="AJ72" i="7"/>
  <c r="AJ71" i="7"/>
  <c r="AI72" i="7"/>
  <c r="AI72" i="6"/>
  <c r="AH73" i="6"/>
  <c r="AH72" i="6"/>
  <c r="D18" i="5"/>
  <c r="AB72" i="6" s="1"/>
  <c r="F41" i="5"/>
  <c r="AA72" i="7"/>
  <c r="E45" i="5"/>
  <c r="F43" i="5"/>
  <c r="D43" i="5"/>
  <c r="E41" i="5"/>
  <c r="D41" i="5"/>
  <c r="F28" i="5"/>
  <c r="AL72" i="7" s="1"/>
  <c r="F23" i="5"/>
  <c r="D23" i="5"/>
  <c r="AG72" i="6" s="1"/>
  <c r="F20" i="5"/>
  <c r="E20" i="5"/>
  <c r="AD73" i="6" s="1"/>
  <c r="D20" i="5"/>
  <c r="AD72" i="6" s="1"/>
  <c r="E18" i="5"/>
  <c r="AB73" i="6" s="1"/>
  <c r="T44" i="4"/>
  <c r="S44" i="4"/>
  <c r="R44" i="4"/>
  <c r="Q44" i="4"/>
  <c r="P44" i="4"/>
  <c r="O44" i="4"/>
  <c r="N44" i="4"/>
  <c r="M44" i="4"/>
  <c r="L44" i="4"/>
  <c r="K44" i="4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T42" i="4"/>
  <c r="S42" i="4"/>
  <c r="R42" i="4"/>
  <c r="Q42" i="4"/>
  <c r="P42" i="4"/>
  <c r="O42" i="4"/>
  <c r="N42" i="4"/>
  <c r="M42" i="4"/>
  <c r="L42" i="4"/>
  <c r="K42" i="4"/>
  <c r="J42" i="4"/>
  <c r="I42" i="4"/>
  <c r="U42" i="4" s="1"/>
  <c r="I45" i="36" s="1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I43" i="36" s="1"/>
  <c r="AD91" i="36" s="1"/>
  <c r="T39" i="4"/>
  <c r="S39" i="4"/>
  <c r="R39" i="4"/>
  <c r="Q39" i="4"/>
  <c r="P39" i="4"/>
  <c r="O39" i="4"/>
  <c r="N39" i="4"/>
  <c r="M39" i="4"/>
  <c r="U39" i="4" s="1"/>
  <c r="I42" i="36" s="1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I41" i="36" s="1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I35" i="36" s="1"/>
  <c r="AC83" i="36" s="1"/>
  <c r="T31" i="4"/>
  <c r="S31" i="4"/>
  <c r="R31" i="4"/>
  <c r="Q31" i="4"/>
  <c r="P31" i="4"/>
  <c r="O31" i="4"/>
  <c r="N31" i="4"/>
  <c r="M31" i="4"/>
  <c r="U31" i="4" s="1"/>
  <c r="I34" i="36" s="1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I33" i="36" s="1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I27" i="36" s="1"/>
  <c r="AA75" i="36" s="1"/>
  <c r="T23" i="4"/>
  <c r="S23" i="4"/>
  <c r="R23" i="4"/>
  <c r="Q23" i="4"/>
  <c r="P23" i="4"/>
  <c r="O23" i="4"/>
  <c r="N23" i="4"/>
  <c r="M23" i="4"/>
  <c r="U23" i="4" s="1"/>
  <c r="I26" i="36" s="1"/>
  <c r="X74" i="36" s="1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I25" i="36" s="1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I19" i="36" s="1"/>
  <c r="Z67" i="36" s="1"/>
  <c r="T15" i="4"/>
  <c r="S15" i="4"/>
  <c r="R15" i="4"/>
  <c r="Q15" i="4"/>
  <c r="P15" i="4"/>
  <c r="O15" i="4"/>
  <c r="N15" i="4"/>
  <c r="M15" i="4"/>
  <c r="U15" i="4" s="1"/>
  <c r="I18" i="36" s="1"/>
  <c r="AD66" i="36" s="1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I17" i="36" s="1"/>
  <c r="AB65" i="36" s="1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U8" i="4" s="1"/>
  <c r="I11" i="36" s="1"/>
  <c r="AF59" i="36" s="1"/>
  <c r="T7" i="4"/>
  <c r="S7" i="4"/>
  <c r="R7" i="4"/>
  <c r="Q7" i="4"/>
  <c r="P7" i="4"/>
  <c r="O7" i="4"/>
  <c r="N7" i="4"/>
  <c r="M7" i="4"/>
  <c r="U7" i="4" s="1"/>
  <c r="I10" i="36" s="1"/>
  <c r="AA58" i="36" s="1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U6" i="4" s="1"/>
  <c r="I9" i="36" s="1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64" i="3"/>
  <c r="S64" i="3"/>
  <c r="R64" i="3"/>
  <c r="Q64" i="3"/>
  <c r="P64" i="3"/>
  <c r="O64" i="3"/>
  <c r="N64" i="3"/>
  <c r="M64" i="3"/>
  <c r="L64" i="3"/>
  <c r="K64" i="3"/>
  <c r="J64" i="3"/>
  <c r="I64" i="3"/>
  <c r="U64" i="3" s="1"/>
  <c r="I67" i="35" s="1"/>
  <c r="T63" i="3"/>
  <c r="S63" i="3"/>
  <c r="R63" i="3"/>
  <c r="Q63" i="3"/>
  <c r="P63" i="3"/>
  <c r="O63" i="3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U62" i="3" s="1"/>
  <c r="I65" i="35" s="1"/>
  <c r="T61" i="3"/>
  <c r="S61" i="3"/>
  <c r="R61" i="3"/>
  <c r="Q61" i="3"/>
  <c r="P61" i="3"/>
  <c r="O61" i="3"/>
  <c r="N61" i="3"/>
  <c r="M61" i="3"/>
  <c r="L61" i="3"/>
  <c r="K61" i="3"/>
  <c r="J61" i="3"/>
  <c r="I61" i="3"/>
  <c r="T60" i="3"/>
  <c r="S60" i="3"/>
  <c r="R60" i="3"/>
  <c r="Q60" i="3"/>
  <c r="P60" i="3"/>
  <c r="O60" i="3"/>
  <c r="N60" i="3"/>
  <c r="M60" i="3"/>
  <c r="L60" i="3"/>
  <c r="K60" i="3"/>
  <c r="J60" i="3"/>
  <c r="I60" i="3"/>
  <c r="T59" i="3"/>
  <c r="S59" i="3"/>
  <c r="R59" i="3"/>
  <c r="Q59" i="3"/>
  <c r="P59" i="3"/>
  <c r="O59" i="3"/>
  <c r="N59" i="3"/>
  <c r="M59" i="3"/>
  <c r="U59" i="3" s="1"/>
  <c r="I62" i="35" s="1"/>
  <c r="L59" i="3"/>
  <c r="K59" i="3"/>
  <c r="J59" i="3"/>
  <c r="I59" i="3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I59" i="35" s="1"/>
  <c r="T55" i="3"/>
  <c r="S55" i="3"/>
  <c r="R55" i="3"/>
  <c r="Q55" i="3"/>
  <c r="P55" i="3"/>
  <c r="O55" i="3"/>
  <c r="N55" i="3"/>
  <c r="M55" i="3"/>
  <c r="U55" i="3" s="1"/>
  <c r="I58" i="35" s="1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I57" i="35" s="1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I51" i="35" s="1"/>
  <c r="T47" i="3"/>
  <c r="S47" i="3"/>
  <c r="R47" i="3"/>
  <c r="Q47" i="3"/>
  <c r="P47" i="3"/>
  <c r="O47" i="3"/>
  <c r="N47" i="3"/>
  <c r="M47" i="3"/>
  <c r="U47" i="3" s="1"/>
  <c r="I50" i="35" s="1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I49" i="35" s="1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I43" i="35" s="1"/>
  <c r="BC111" i="35" s="1"/>
  <c r="T39" i="3"/>
  <c r="S39" i="3"/>
  <c r="R39" i="3"/>
  <c r="Q39" i="3"/>
  <c r="P39" i="3"/>
  <c r="O39" i="3"/>
  <c r="N39" i="3"/>
  <c r="M39" i="3"/>
  <c r="U39" i="3" s="1"/>
  <c r="I42" i="35" s="1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I41" i="35" s="1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I35" i="35" s="1"/>
  <c r="AP103" i="35" s="1"/>
  <c r="T31" i="3"/>
  <c r="S31" i="3"/>
  <c r="R31" i="3"/>
  <c r="Q31" i="3"/>
  <c r="P31" i="3"/>
  <c r="O31" i="3"/>
  <c r="N31" i="3"/>
  <c r="M31" i="3"/>
  <c r="U31" i="3" s="1"/>
  <c r="I34" i="35" s="1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I33" i="35" s="1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I27" i="35" s="1"/>
  <c r="T23" i="3"/>
  <c r="S23" i="3"/>
  <c r="R23" i="3"/>
  <c r="Q23" i="3"/>
  <c r="P23" i="3"/>
  <c r="O23" i="3"/>
  <c r="N23" i="3"/>
  <c r="M23" i="3"/>
  <c r="U23" i="3" s="1"/>
  <c r="I26" i="35" s="1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I25" i="35" s="1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I19" i="35" s="1"/>
  <c r="AT87" i="35" s="1"/>
  <c r="T15" i="3"/>
  <c r="S15" i="3"/>
  <c r="R15" i="3"/>
  <c r="Q15" i="3"/>
  <c r="P15" i="3"/>
  <c r="O15" i="3"/>
  <c r="N15" i="3"/>
  <c r="M15" i="3"/>
  <c r="U15" i="3" s="1"/>
  <c r="I18" i="35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I17" i="35" s="1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U8" i="3" s="1"/>
  <c r="I11" i="35" s="1"/>
  <c r="T7" i="3"/>
  <c r="S7" i="3"/>
  <c r="R7" i="3"/>
  <c r="Q7" i="3"/>
  <c r="P7" i="3"/>
  <c r="O7" i="3"/>
  <c r="N7" i="3"/>
  <c r="M7" i="3"/>
  <c r="U7" i="3" s="1"/>
  <c r="I10" i="35" s="1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I9" i="35" l="1"/>
  <c r="X91" i="36"/>
  <c r="Z91" i="36"/>
  <c r="AD83" i="36"/>
  <c r="X75" i="36"/>
  <c r="AF67" i="36"/>
  <c r="AC59" i="36"/>
  <c r="AA90" i="36"/>
  <c r="X82" i="36"/>
  <c r="AE82" i="36"/>
  <c r="U2" i="3"/>
  <c r="U5" i="3"/>
  <c r="I8" i="35" s="1"/>
  <c r="U11" i="3"/>
  <c r="I14" i="35" s="1"/>
  <c r="U13" i="3"/>
  <c r="I16" i="35" s="1"/>
  <c r="U18" i="3"/>
  <c r="I21" i="35" s="1"/>
  <c r="U19" i="3"/>
  <c r="I22" i="35" s="1"/>
  <c r="U21" i="3"/>
  <c r="I24" i="35" s="1"/>
  <c r="U26" i="3"/>
  <c r="I29" i="35" s="1"/>
  <c r="U27" i="3"/>
  <c r="I30" i="35" s="1"/>
  <c r="U29" i="3"/>
  <c r="I32" i="35" s="1"/>
  <c r="U35" i="3"/>
  <c r="I38" i="35" s="1"/>
  <c r="U37" i="3"/>
  <c r="I40" i="35" s="1"/>
  <c r="U43" i="3"/>
  <c r="I46" i="35" s="1"/>
  <c r="U45" i="3"/>
  <c r="I48" i="35" s="1"/>
  <c r="U51" i="3"/>
  <c r="I54" i="35" s="1"/>
  <c r="U53" i="3"/>
  <c r="I56" i="35" s="1"/>
  <c r="U61" i="3"/>
  <c r="I64" i="35" s="1"/>
  <c r="U63" i="3"/>
  <c r="I66" i="35" s="1"/>
  <c r="AD57" i="36"/>
  <c r="AF57" i="36"/>
  <c r="X57" i="36"/>
  <c r="AE57" i="36"/>
  <c r="AC57" i="36"/>
  <c r="AH57" i="36"/>
  <c r="AG57" i="36"/>
  <c r="AC58" i="36"/>
  <c r="Y58" i="36"/>
  <c r="AG58" i="36"/>
  <c r="AB58" i="36"/>
  <c r="X58" i="36"/>
  <c r="AH59" i="36"/>
  <c r="AA59" i="36"/>
  <c r="AD59" i="36"/>
  <c r="X59" i="36"/>
  <c r="Z59" i="36"/>
  <c r="AE59" i="36"/>
  <c r="AH65" i="36"/>
  <c r="AG65" i="36"/>
  <c r="AA65" i="36"/>
  <c r="Y65" i="36"/>
  <c r="AC65" i="36"/>
  <c r="AF65" i="36"/>
  <c r="AD65" i="36"/>
  <c r="X65" i="36"/>
  <c r="AE65" i="36"/>
  <c r="AF66" i="36"/>
  <c r="AB66" i="36"/>
  <c r="X66" i="36"/>
  <c r="AC66" i="36"/>
  <c r="AA67" i="36"/>
  <c r="AH67" i="36"/>
  <c r="AE67" i="36"/>
  <c r="AE73" i="36"/>
  <c r="AA73" i="36"/>
  <c r="AC73" i="36"/>
  <c r="AG73" i="36"/>
  <c r="Y73" i="36"/>
  <c r="AB73" i="36"/>
  <c r="AF73" i="36"/>
  <c r="X73" i="36"/>
  <c r="AH73" i="36"/>
  <c r="Y74" i="36"/>
  <c r="AE75" i="36"/>
  <c r="Y81" i="36"/>
  <c r="AD81" i="36"/>
  <c r="X81" i="36"/>
  <c r="AC81" i="36"/>
  <c r="AB81" i="36"/>
  <c r="AH81" i="36"/>
  <c r="AA81" i="36"/>
  <c r="AF81" i="36"/>
  <c r="AE81" i="36"/>
  <c r="AA89" i="36"/>
  <c r="AG93" i="36"/>
  <c r="AC93" i="36"/>
  <c r="Y93" i="36"/>
  <c r="AA93" i="36"/>
  <c r="AE93" i="36"/>
  <c r="AF93" i="36"/>
  <c r="AB93" i="36"/>
  <c r="AH93" i="36"/>
  <c r="X93" i="36"/>
  <c r="Z93" i="36"/>
  <c r="AD93" i="36"/>
  <c r="AC103" i="17"/>
  <c r="AC124" i="17"/>
  <c r="AC132" i="17"/>
  <c r="AC140" i="17"/>
  <c r="AC16" i="17"/>
  <c r="AC23" i="17"/>
  <c r="AC111" i="17"/>
  <c r="AC253" i="17"/>
  <c r="AC261" i="17"/>
  <c r="AB91" i="36"/>
  <c r="AH91" i="36"/>
  <c r="Z83" i="36"/>
  <c r="AB75" i="36"/>
  <c r="AF75" i="36"/>
  <c r="AG66" i="36"/>
  <c r="AC82" i="36"/>
  <c r="AH82" i="36"/>
  <c r="AB74" i="36"/>
  <c r="AF74" i="36"/>
  <c r="Z89" i="36"/>
  <c r="Y57" i="36"/>
  <c r="U9" i="3"/>
  <c r="I12" i="35" s="1"/>
  <c r="U17" i="3"/>
  <c r="I20" i="35" s="1"/>
  <c r="U25" i="3"/>
  <c r="I28" i="35" s="1"/>
  <c r="U33" i="3"/>
  <c r="I36" i="35" s="1"/>
  <c r="U41" i="3"/>
  <c r="I44" i="35" s="1"/>
  <c r="U49" i="3"/>
  <c r="I52" i="35" s="1"/>
  <c r="U57" i="3"/>
  <c r="I60" i="35" s="1"/>
  <c r="AB4" i="21"/>
  <c r="AC76" i="17"/>
  <c r="AC89" i="17"/>
  <c r="AF13" i="21"/>
  <c r="AG74" i="36"/>
  <c r="Z65" i="36"/>
  <c r="AF91" i="36"/>
  <c r="AA91" i="36"/>
  <c r="AE91" i="36"/>
  <c r="AE83" i="36"/>
  <c r="AB67" i="36"/>
  <c r="Y67" i="36"/>
  <c r="Y59" i="36"/>
  <c r="Y90" i="36"/>
  <c r="AB90" i="36"/>
  <c r="AA82" i="36"/>
  <c r="X89" i="36"/>
  <c r="AC89" i="36"/>
  <c r="AH89" i="36"/>
  <c r="U4" i="4"/>
  <c r="I7" i="36" s="1"/>
  <c r="U12" i="4"/>
  <c r="I15" i="36" s="1"/>
  <c r="U20" i="4"/>
  <c r="I23" i="36" s="1"/>
  <c r="U28" i="4"/>
  <c r="I31" i="36" s="1"/>
  <c r="U36" i="4"/>
  <c r="I39" i="36" s="1"/>
  <c r="U44" i="4"/>
  <c r="I47" i="36" s="1"/>
  <c r="AF58" i="36"/>
  <c r="AF83" i="36"/>
  <c r="Y83" i="36"/>
  <c r="Y75" i="36"/>
  <c r="AG67" i="36"/>
  <c r="AG59" i="36"/>
  <c r="AD58" i="36"/>
  <c r="Z90" i="36"/>
  <c r="AE90" i="36"/>
  <c r="AD82" i="36"/>
  <c r="Y82" i="36"/>
  <c r="AD74" i="36"/>
  <c r="Z66" i="36"/>
  <c r="AE66" i="36"/>
  <c r="AE58" i="36"/>
  <c r="Z57" i="36"/>
  <c r="AB89" i="36"/>
  <c r="U3" i="3"/>
  <c r="I6" i="35" s="1"/>
  <c r="O54" i="12"/>
  <c r="AC5" i="17"/>
  <c r="AC13" i="17"/>
  <c r="AC47" i="17"/>
  <c r="AC55" i="17"/>
  <c r="AC63" i="17"/>
  <c r="AC71" i="17"/>
  <c r="AC26" i="17"/>
  <c r="AC87" i="17"/>
  <c r="AC112" i="17"/>
  <c r="AA83" i="36"/>
  <c r="AG83" i="36"/>
  <c r="AC75" i="36"/>
  <c r="AG75" i="36"/>
  <c r="AC74" i="36"/>
  <c r="AD90" i="36"/>
  <c r="Z74" i="36"/>
  <c r="AH66" i="36"/>
  <c r="AE89" i="36"/>
  <c r="AD89" i="36"/>
  <c r="Z81" i="36"/>
  <c r="Y66" i="36"/>
  <c r="AZ85" i="35"/>
  <c r="AJ85" i="35"/>
  <c r="AT85" i="35"/>
  <c r="AO85" i="35"/>
  <c r="AM85" i="35"/>
  <c r="AN85" i="35"/>
  <c r="AY85" i="35"/>
  <c r="AQ85" i="35"/>
  <c r="AW85" i="35"/>
  <c r="BD85" i="35"/>
  <c r="AI85" i="35"/>
  <c r="BA85" i="35"/>
  <c r="AL85" i="35"/>
  <c r="AS85" i="35"/>
  <c r="AP85" i="35"/>
  <c r="BC85" i="35"/>
  <c r="AV85" i="35"/>
  <c r="BB85" i="35"/>
  <c r="AU85" i="35"/>
  <c r="AX85" i="35"/>
  <c r="AK85" i="35"/>
  <c r="AR85" i="35"/>
  <c r="BD86" i="35"/>
  <c r="AS86" i="35"/>
  <c r="AN86" i="35"/>
  <c r="AU86" i="35"/>
  <c r="AV86" i="35"/>
  <c r="BB86" i="35"/>
  <c r="AM86" i="35"/>
  <c r="AZ86" i="35"/>
  <c r="AK86" i="35"/>
  <c r="AR86" i="35"/>
  <c r="AO86" i="35"/>
  <c r="BA86" i="35"/>
  <c r="AY86" i="35"/>
  <c r="AW86" i="35"/>
  <c r="AT86" i="35"/>
  <c r="AP86" i="35"/>
  <c r="AX86" i="35"/>
  <c r="AQ86" i="35"/>
  <c r="AL86" i="35"/>
  <c r="AJ86" i="35"/>
  <c r="AI86" i="35"/>
  <c r="BC86" i="35"/>
  <c r="AR87" i="35"/>
  <c r="AL87" i="35"/>
  <c r="BB87" i="35"/>
  <c r="AW87" i="35"/>
  <c r="AI87" i="35"/>
  <c r="AX87" i="35"/>
  <c r="AJ87" i="35"/>
  <c r="AP87" i="35"/>
  <c r="AN87" i="35"/>
  <c r="BC87" i="35"/>
  <c r="AV87" i="35"/>
  <c r="BD87" i="35"/>
  <c r="AZ87" i="35"/>
  <c r="AU87" i="35"/>
  <c r="AK87" i="35"/>
  <c r="AS87" i="35"/>
  <c r="AO87" i="35"/>
  <c r="AM87" i="35"/>
  <c r="AY87" i="35"/>
  <c r="BA87" i="35"/>
  <c r="AQ87" i="35"/>
  <c r="AM93" i="35"/>
  <c r="AO93" i="35"/>
  <c r="AY93" i="35"/>
  <c r="AV93" i="35"/>
  <c r="BD93" i="35"/>
  <c r="AQ93" i="35"/>
  <c r="AX93" i="35"/>
  <c r="AK93" i="35"/>
  <c r="AS93" i="35"/>
  <c r="AI93" i="35"/>
  <c r="BA93" i="35"/>
  <c r="AN93" i="35"/>
  <c r="AP93" i="35"/>
  <c r="AW93" i="35"/>
  <c r="AT93" i="35"/>
  <c r="BB93" i="35"/>
  <c r="BC93" i="35"/>
  <c r="AL93" i="35"/>
  <c r="AJ93" i="35"/>
  <c r="AR93" i="35"/>
  <c r="AZ93" i="35"/>
  <c r="AU93" i="35"/>
  <c r="BC94" i="35"/>
  <c r="AW94" i="35"/>
  <c r="AT94" i="35"/>
  <c r="BB94" i="35"/>
  <c r="AU94" i="35"/>
  <c r="AL94" i="35"/>
  <c r="AJ94" i="35"/>
  <c r="AR94" i="35"/>
  <c r="AM94" i="35"/>
  <c r="AZ94" i="35"/>
  <c r="AO94" i="35"/>
  <c r="BA94" i="35"/>
  <c r="AV94" i="35"/>
  <c r="BD94" i="35"/>
  <c r="AP94" i="35"/>
  <c r="AY94" i="35"/>
  <c r="AX94" i="35"/>
  <c r="AK94" i="35"/>
  <c r="AS94" i="35"/>
  <c r="AQ94" i="35"/>
  <c r="AN94" i="35"/>
  <c r="AI94" i="35"/>
  <c r="AI95" i="35"/>
  <c r="AX95" i="35"/>
  <c r="AK95" i="35"/>
  <c r="AS95" i="35"/>
  <c r="AN95" i="35"/>
  <c r="AZ95" i="35"/>
  <c r="BC95" i="35"/>
  <c r="AW95" i="35"/>
  <c r="AT95" i="35"/>
  <c r="BB95" i="35"/>
  <c r="AO95" i="35"/>
  <c r="AU95" i="35"/>
  <c r="AL95" i="35"/>
  <c r="AJ95" i="35"/>
  <c r="AR95" i="35"/>
  <c r="AM95" i="35"/>
  <c r="AY95" i="35"/>
  <c r="BA95" i="35"/>
  <c r="AQ95" i="35"/>
  <c r="AV95" i="35"/>
  <c r="BD95" i="35"/>
  <c r="AP95" i="35"/>
  <c r="BA101" i="35"/>
  <c r="AY101" i="35"/>
  <c r="BC101" i="35"/>
  <c r="AQ101" i="35"/>
  <c r="BD101" i="35"/>
  <c r="AS101" i="35"/>
  <c r="AK101" i="35"/>
  <c r="AT101" i="35"/>
  <c r="AI101" i="35"/>
  <c r="AU101" i="35"/>
  <c r="AL101" i="35"/>
  <c r="AM101" i="35"/>
  <c r="AR101" i="35"/>
  <c r="AJ101" i="35"/>
  <c r="AX101" i="35"/>
  <c r="AO101" i="35"/>
  <c r="AW101" i="35"/>
  <c r="BB101" i="35"/>
  <c r="AP101" i="35"/>
  <c r="AV101" i="35"/>
  <c r="AZ101" i="35"/>
  <c r="AN101" i="35"/>
  <c r="AO102" i="35"/>
  <c r="BB102" i="35"/>
  <c r="AY102" i="35"/>
  <c r="AL102" i="35"/>
  <c r="AI102" i="35"/>
  <c r="AQ102" i="35"/>
  <c r="AN102" i="35"/>
  <c r="BA102" i="35"/>
  <c r="AX102" i="35"/>
  <c r="AU102" i="35"/>
  <c r="BC102" i="35"/>
  <c r="AS102" i="35"/>
  <c r="AZ102" i="35"/>
  <c r="AM102" i="35"/>
  <c r="AJ102" i="35"/>
  <c r="AR102" i="35"/>
  <c r="AK102" i="35"/>
  <c r="AP102" i="35"/>
  <c r="BD102" i="35"/>
  <c r="AV102" i="35"/>
  <c r="AT102" i="35"/>
  <c r="BD103" i="35"/>
  <c r="BB103" i="35"/>
  <c r="AV103" i="35"/>
  <c r="AT103" i="35"/>
  <c r="AQ103" i="35"/>
  <c r="AW103" i="35"/>
  <c r="AY103" i="35"/>
  <c r="AL103" i="35"/>
  <c r="AI103" i="35"/>
  <c r="AO103" i="35"/>
  <c r="AN103" i="35"/>
  <c r="BA103" i="35"/>
  <c r="AX103" i="35"/>
  <c r="AU103" i="35"/>
  <c r="BC103" i="35"/>
  <c r="AS103" i="35"/>
  <c r="AZ103" i="35"/>
  <c r="AM103" i="35"/>
  <c r="AJ103" i="35"/>
  <c r="AR103" i="35"/>
  <c r="AK103" i="35"/>
  <c r="AS109" i="35"/>
  <c r="BC109" i="35"/>
  <c r="AP109" i="35"/>
  <c r="AK109" i="35"/>
  <c r="AR109" i="35"/>
  <c r="BD109" i="35"/>
  <c r="AV109" i="35"/>
  <c r="AT109" i="35"/>
  <c r="BB109" i="35"/>
  <c r="AY109" i="35"/>
  <c r="AL109" i="35"/>
  <c r="AI109" i="35"/>
  <c r="AW109" i="35"/>
  <c r="AQ109" i="35"/>
  <c r="AN109" i="35"/>
  <c r="AO109" i="35"/>
  <c r="AX109" i="35"/>
  <c r="AU109" i="35"/>
  <c r="BA109" i="35"/>
  <c r="AZ109" i="35"/>
  <c r="AM109" i="35"/>
  <c r="AJ109" i="35"/>
  <c r="AQ110" i="35"/>
  <c r="AN110" i="35"/>
  <c r="P110" i="35"/>
  <c r="R110" i="35"/>
  <c r="BA110" i="35"/>
  <c r="AX110" i="35"/>
  <c r="AU110" i="35"/>
  <c r="BC110" i="35"/>
  <c r="AS110" i="35"/>
  <c r="AZ110" i="35"/>
  <c r="AM110" i="35"/>
  <c r="AJ110" i="35"/>
  <c r="AR110" i="35"/>
  <c r="AK110" i="35"/>
  <c r="AP110" i="35"/>
  <c r="BD110" i="35"/>
  <c r="AW110" i="35"/>
  <c r="AV110" i="35"/>
  <c r="AT110" i="35"/>
  <c r="AI110" i="35"/>
  <c r="AO110" i="35"/>
  <c r="BB110" i="35"/>
  <c r="AY110" i="35"/>
  <c r="AP111" i="35"/>
  <c r="AQ111" i="35"/>
  <c r="AT111" i="35"/>
  <c r="AZ111" i="35"/>
  <c r="AV111" i="35"/>
  <c r="AI111" i="35"/>
  <c r="AW111" i="35"/>
  <c r="AY111" i="35"/>
  <c r="AL111" i="35"/>
  <c r="BD111" i="35"/>
  <c r="AO111" i="35"/>
  <c r="AN111" i="35"/>
  <c r="BA111" i="35"/>
  <c r="R111" i="35"/>
  <c r="AR111" i="35"/>
  <c r="AS111" i="35"/>
  <c r="P111" i="35"/>
  <c r="AX111" i="35"/>
  <c r="AU111" i="35"/>
  <c r="AK111" i="35"/>
  <c r="BB111" i="35"/>
  <c r="AM111" i="35"/>
  <c r="AJ111" i="35"/>
  <c r="AM117" i="35"/>
  <c r="AZ117" i="35"/>
  <c r="AV117" i="35"/>
  <c r="BB117" i="35"/>
  <c r="AR117" i="35"/>
  <c r="AX117" i="35"/>
  <c r="AJ117" i="35"/>
  <c r="AW117" i="35"/>
  <c r="AT117" i="35"/>
  <c r="AP117" i="35"/>
  <c r="BA117" i="35"/>
  <c r="AO117" i="35"/>
  <c r="AN117" i="35"/>
  <c r="AS117" i="35"/>
  <c r="AL117" i="35"/>
  <c r="AK117" i="35"/>
  <c r="AY117" i="35"/>
  <c r="BC117" i="35"/>
  <c r="AQ117" i="35"/>
  <c r="BD117" i="35"/>
  <c r="AU117" i="35"/>
  <c r="AN118" i="35"/>
  <c r="AZ118" i="35"/>
  <c r="BA118" i="35"/>
  <c r="AR118" i="35"/>
  <c r="AX118" i="35"/>
  <c r="AW118" i="35"/>
  <c r="AS118" i="35"/>
  <c r="AP118" i="35"/>
  <c r="AO118" i="35"/>
  <c r="AK118" i="35"/>
  <c r="AJ118" i="35"/>
  <c r="AL118" i="35"/>
  <c r="BC118" i="35"/>
  <c r="AY118" i="35"/>
  <c r="AU118" i="35"/>
  <c r="AQ118" i="35"/>
  <c r="BD118" i="35"/>
  <c r="AM118" i="35"/>
  <c r="BB118" i="35"/>
  <c r="AI118" i="35"/>
  <c r="AV118" i="35"/>
  <c r="AT118" i="35"/>
  <c r="BA119" i="35"/>
  <c r="AO119" i="35"/>
  <c r="AS119" i="35"/>
  <c r="AP119" i="35"/>
  <c r="AX119" i="35"/>
  <c r="AK119" i="35"/>
  <c r="AY119" i="35"/>
  <c r="BC119" i="35"/>
  <c r="AQ119" i="35"/>
  <c r="BB119" i="35"/>
  <c r="AL119" i="35"/>
  <c r="AU119" i="35"/>
  <c r="AI119" i="35"/>
  <c r="AM119" i="35"/>
  <c r="AZ119" i="35"/>
  <c r="AV119" i="35"/>
  <c r="BD119" i="35"/>
  <c r="AR119" i="35"/>
  <c r="AJ119" i="35"/>
  <c r="AW119" i="35"/>
  <c r="AT119" i="35"/>
  <c r="AN119" i="35"/>
  <c r="AS125" i="35"/>
  <c r="AN125" i="35"/>
  <c r="AK125" i="35"/>
  <c r="AY125" i="35"/>
  <c r="BB125" i="35"/>
  <c r="AQ125" i="35"/>
  <c r="AW125" i="35"/>
  <c r="AT125" i="35"/>
  <c r="AI125" i="35"/>
  <c r="AO125" i="35"/>
  <c r="AL125" i="35"/>
  <c r="AZ125" i="35"/>
  <c r="BC125" i="35"/>
  <c r="AR125" i="35"/>
  <c r="AU125" i="35"/>
  <c r="AJ125" i="35"/>
  <c r="AX125" i="35"/>
  <c r="BD125" i="35"/>
  <c r="AM125" i="35"/>
  <c r="BA125" i="35"/>
  <c r="AP125" i="35"/>
  <c r="AV125" i="35"/>
  <c r="AU126" i="35"/>
  <c r="AJ126" i="35"/>
  <c r="AX126" i="35"/>
  <c r="BD126" i="35"/>
  <c r="AM126" i="35"/>
  <c r="BA126" i="35"/>
  <c r="AP126" i="35"/>
  <c r="AV126" i="35"/>
  <c r="AS126" i="35"/>
  <c r="AN126" i="35"/>
  <c r="AK126" i="35"/>
  <c r="AY126" i="35"/>
  <c r="BB126" i="35"/>
  <c r="AQ126" i="35"/>
  <c r="AW126" i="35"/>
  <c r="AT126" i="35"/>
  <c r="AI126" i="35"/>
  <c r="AO126" i="35"/>
  <c r="AL126" i="35"/>
  <c r="AZ126" i="35"/>
  <c r="BC126" i="35"/>
  <c r="AR126" i="35"/>
  <c r="AL127" i="35"/>
  <c r="AY127" i="35"/>
  <c r="AO127" i="35"/>
  <c r="BA127" i="35"/>
  <c r="AQ127" i="35"/>
  <c r="AV127" i="35"/>
  <c r="BC127" i="35"/>
  <c r="AS127" i="35"/>
  <c r="AI127" i="35"/>
  <c r="AU127" i="35"/>
  <c r="AK127" i="35"/>
  <c r="AN127" i="35"/>
  <c r="AM127" i="35"/>
  <c r="AZ127" i="35"/>
  <c r="AX127" i="35"/>
  <c r="AR127" i="35"/>
  <c r="AP127" i="35"/>
  <c r="BB127" i="35"/>
  <c r="AJ127" i="35"/>
  <c r="BD127" i="35"/>
  <c r="AT127" i="35"/>
  <c r="AN130" i="35"/>
  <c r="AK130" i="35"/>
  <c r="AY130" i="35"/>
  <c r="BB130" i="35"/>
  <c r="AQ130" i="35"/>
  <c r="AW130" i="35"/>
  <c r="AT130" i="35"/>
  <c r="AI130" i="35"/>
  <c r="AO130" i="35"/>
  <c r="AL130" i="35"/>
  <c r="AZ130" i="35"/>
  <c r="BC130" i="35"/>
  <c r="AR130" i="35"/>
  <c r="AU130" i="35"/>
  <c r="AJ130" i="35"/>
  <c r="AX130" i="35"/>
  <c r="BD130" i="35"/>
  <c r="AM130" i="35"/>
  <c r="BA130" i="35"/>
  <c r="AS130" i="35"/>
  <c r="AP130" i="35"/>
  <c r="AV130" i="35"/>
  <c r="AK133" i="35"/>
  <c r="AY133" i="35"/>
  <c r="BB133" i="35"/>
  <c r="AQ133" i="35"/>
  <c r="AW133" i="35"/>
  <c r="AT133" i="35"/>
  <c r="AI133" i="35"/>
  <c r="AO133" i="35"/>
  <c r="AL133" i="35"/>
  <c r="AZ133" i="35"/>
  <c r="BC133" i="35"/>
  <c r="AR133" i="35"/>
  <c r="AU133" i="35"/>
  <c r="AJ133" i="35"/>
  <c r="AX133" i="35"/>
  <c r="BD133" i="35"/>
  <c r="AM133" i="35"/>
  <c r="BA133" i="35"/>
  <c r="AP133" i="35"/>
  <c r="AV133" i="35"/>
  <c r="AS133" i="35"/>
  <c r="AN133" i="35"/>
  <c r="AL135" i="35"/>
  <c r="AZ135" i="35"/>
  <c r="BC135" i="35"/>
  <c r="AR135" i="35"/>
  <c r="AU135" i="35"/>
  <c r="AJ135" i="35"/>
  <c r="AX135" i="35"/>
  <c r="AV135" i="35"/>
  <c r="AM135" i="35"/>
  <c r="BA135" i="35"/>
  <c r="AP135" i="35"/>
  <c r="AN135" i="35"/>
  <c r="AS135" i="35"/>
  <c r="AK135" i="35"/>
  <c r="AY135" i="35"/>
  <c r="BB135" i="35"/>
  <c r="AQ135" i="35"/>
  <c r="AW135" i="35"/>
  <c r="AT135" i="35"/>
  <c r="AI135" i="35"/>
  <c r="AO135" i="35"/>
  <c r="BD135" i="35"/>
  <c r="U2" i="4"/>
  <c r="U3" i="4"/>
  <c r="I6" i="36" s="1"/>
  <c r="U9" i="4"/>
  <c r="I12" i="36" s="1"/>
  <c r="U10" i="4"/>
  <c r="I13" i="36" s="1"/>
  <c r="U11" i="4"/>
  <c r="I14" i="36" s="1"/>
  <c r="U17" i="4"/>
  <c r="I20" i="36" s="1"/>
  <c r="U18" i="4"/>
  <c r="I21" i="36" s="1"/>
  <c r="U19" i="4"/>
  <c r="I22" i="36" s="1"/>
  <c r="U25" i="4"/>
  <c r="I28" i="36" s="1"/>
  <c r="U26" i="4"/>
  <c r="I29" i="36" s="1"/>
  <c r="U27" i="4"/>
  <c r="I30" i="36" s="1"/>
  <c r="U33" i="4"/>
  <c r="I36" i="36" s="1"/>
  <c r="U34" i="4"/>
  <c r="I37" i="36" s="1"/>
  <c r="U35" i="4"/>
  <c r="I38" i="36" s="1"/>
  <c r="U41" i="4"/>
  <c r="I44" i="36" s="1"/>
  <c r="R9" i="21"/>
  <c r="X8" i="21"/>
  <c r="D30" i="5"/>
  <c r="AB57" i="36"/>
  <c r="Y91" i="36"/>
  <c r="AC91" i="36"/>
  <c r="AH83" i="36"/>
  <c r="AC67" i="36"/>
  <c r="AB59" i="36"/>
  <c r="AA57" i="36"/>
  <c r="AG90" i="36"/>
  <c r="X90" i="36"/>
  <c r="AC90" i="36"/>
  <c r="AF82" i="36"/>
  <c r="Z82" i="36"/>
  <c r="AH74" i="36"/>
  <c r="Z58" i="36"/>
  <c r="AF89" i="36"/>
  <c r="AG81" i="36"/>
  <c r="AL110" i="35"/>
  <c r="BD78" i="35"/>
  <c r="AU78" i="35"/>
  <c r="AV78" i="35"/>
  <c r="AJ78" i="35"/>
  <c r="AZ78" i="35"/>
  <c r="AI78" i="35"/>
  <c r="AY78" i="35"/>
  <c r="AP78" i="35"/>
  <c r="AN78" i="35"/>
  <c r="BA78" i="35"/>
  <c r="AM78" i="35"/>
  <c r="AS78" i="35"/>
  <c r="AW78" i="35"/>
  <c r="BC78" i="35"/>
  <c r="AK78" i="35"/>
  <c r="AO78" i="35"/>
  <c r="BB78" i="35"/>
  <c r="AT78" i="35"/>
  <c r="AX78" i="35"/>
  <c r="AQ78" i="35"/>
  <c r="AR78" i="35"/>
  <c r="AL78" i="35"/>
  <c r="U10" i="3"/>
  <c r="U34" i="3"/>
  <c r="I37" i="35" s="1"/>
  <c r="U42" i="3"/>
  <c r="I45" i="35" s="1"/>
  <c r="U50" i="3"/>
  <c r="I53" i="35" s="1"/>
  <c r="U58" i="3"/>
  <c r="I61" i="35" s="1"/>
  <c r="U5" i="4"/>
  <c r="I8" i="36" s="1"/>
  <c r="U13" i="4"/>
  <c r="I16" i="36" s="1"/>
  <c r="U21" i="4"/>
  <c r="I24" i="36" s="1"/>
  <c r="U29" i="4"/>
  <c r="I32" i="36" s="1"/>
  <c r="U37" i="4"/>
  <c r="I40" i="36" s="1"/>
  <c r="U43" i="4"/>
  <c r="I46" i="36" s="1"/>
  <c r="AM73" i="7"/>
  <c r="AC45" i="17"/>
  <c r="AC53" i="17"/>
  <c r="AC61" i="17"/>
  <c r="AC69" i="17"/>
  <c r="AC27" i="17"/>
  <c r="AC85" i="17"/>
  <c r="AC90" i="17"/>
  <c r="AC110" i="17"/>
  <c r="AC118" i="17"/>
  <c r="AG91" i="36"/>
  <c r="AB83" i="36"/>
  <c r="AD75" i="36"/>
  <c r="Z75" i="36"/>
  <c r="AF90" i="36"/>
  <c r="AG82" i="36"/>
  <c r="AE74" i="36"/>
  <c r="AA66" i="36"/>
  <c r="AH58" i="36"/>
  <c r="Y89" i="36"/>
  <c r="Z73" i="36"/>
  <c r="AW102" i="35"/>
  <c r="AU79" i="35"/>
  <c r="AJ79" i="35"/>
  <c r="BC79" i="35"/>
  <c r="AI79" i="35"/>
  <c r="AY79" i="35"/>
  <c r="AN79" i="35"/>
  <c r="AM79" i="35"/>
  <c r="AR79" i="35"/>
  <c r="AQ79" i="35"/>
  <c r="AO79" i="35"/>
  <c r="BA79" i="35"/>
  <c r="AZ79" i="35"/>
  <c r="AS79" i="35"/>
  <c r="AV79" i="35"/>
  <c r="AX79" i="35"/>
  <c r="BD79" i="35"/>
  <c r="AK79" i="35"/>
  <c r="AP79" i="35"/>
  <c r="BB79" i="35"/>
  <c r="AT79" i="35"/>
  <c r="AL79" i="35"/>
  <c r="AW79" i="35"/>
  <c r="U4" i="3"/>
  <c r="I7" i="35" s="1"/>
  <c r="U12" i="3"/>
  <c r="I15" i="35" s="1"/>
  <c r="U20" i="3"/>
  <c r="I23" i="35" s="1"/>
  <c r="U28" i="3"/>
  <c r="I31" i="35" s="1"/>
  <c r="U36" i="3"/>
  <c r="I39" i="35" s="1"/>
  <c r="U44" i="3"/>
  <c r="I47" i="35" s="1"/>
  <c r="U52" i="3"/>
  <c r="I55" i="35" s="1"/>
  <c r="U60" i="3"/>
  <c r="I63" i="35" s="1"/>
  <c r="AC6" i="17"/>
  <c r="AC40" i="17"/>
  <c r="AC48" i="17"/>
  <c r="AC56" i="17"/>
  <c r="AC64" i="17"/>
  <c r="AC72" i="17"/>
  <c r="AC94" i="17"/>
  <c r="AC98" i="17"/>
  <c r="AC102" i="17"/>
  <c r="AC126" i="17"/>
  <c r="AC134" i="17"/>
  <c r="AC142" i="17"/>
  <c r="AC150" i="17"/>
  <c r="AC158" i="17"/>
  <c r="AC166" i="17"/>
  <c r="AC174" i="17"/>
  <c r="AC182" i="17"/>
  <c r="AC20" i="17"/>
  <c r="AC30" i="17"/>
  <c r="AC39" i="17"/>
  <c r="AC255" i="17"/>
  <c r="AC263" i="17"/>
  <c r="R11" i="21"/>
  <c r="Y3" i="21"/>
  <c r="AD67" i="36"/>
  <c r="X83" i="36"/>
  <c r="AH75" i="36"/>
  <c r="X67" i="36"/>
  <c r="AH90" i="36"/>
  <c r="AB82" i="36"/>
  <c r="AA74" i="36"/>
  <c r="AG89" i="36"/>
  <c r="AD73" i="36"/>
  <c r="AW127" i="35"/>
  <c r="AI117" i="35"/>
  <c r="E30" i="5"/>
  <c r="D4" i="5"/>
  <c r="F30" i="5" s="1"/>
  <c r="I37" i="14"/>
  <c r="I37" i="8"/>
  <c r="I37" i="7"/>
  <c r="I37" i="6"/>
  <c r="I37" i="9"/>
  <c r="I53" i="8"/>
  <c r="I53" i="7"/>
  <c r="I53" i="6"/>
  <c r="I53" i="9"/>
  <c r="I53" i="14"/>
  <c r="I8" i="13"/>
  <c r="I8" i="10"/>
  <c r="I8" i="11"/>
  <c r="I8" i="12"/>
  <c r="I5" i="14"/>
  <c r="I5" i="8"/>
  <c r="I5" i="7"/>
  <c r="I5" i="6"/>
  <c r="I5" i="9"/>
  <c r="I22" i="8"/>
  <c r="I22" i="9"/>
  <c r="I22" i="7"/>
  <c r="I22" i="6"/>
  <c r="I22" i="14"/>
  <c r="I29" i="14"/>
  <c r="I29" i="9"/>
  <c r="I29" i="7"/>
  <c r="I29" i="6"/>
  <c r="I29" i="8"/>
  <c r="I61" i="14"/>
  <c r="I61" i="9"/>
  <c r="I61" i="7"/>
  <c r="I61" i="6"/>
  <c r="I61" i="8"/>
  <c r="I40" i="13"/>
  <c r="I40" i="10"/>
  <c r="I40" i="11"/>
  <c r="I40" i="12"/>
  <c r="I9" i="14"/>
  <c r="I9" i="9"/>
  <c r="I9" i="8"/>
  <c r="I9" i="7"/>
  <c r="I9" i="6"/>
  <c r="I10" i="8"/>
  <c r="I10" i="14"/>
  <c r="I10" i="9"/>
  <c r="I10" i="7"/>
  <c r="I10" i="6"/>
  <c r="I11" i="9"/>
  <c r="I11" i="7"/>
  <c r="I11" i="6"/>
  <c r="I11" i="8"/>
  <c r="I11" i="14"/>
  <c r="I17" i="14"/>
  <c r="I17" i="9"/>
  <c r="I17" i="8"/>
  <c r="I17" i="7"/>
  <c r="I17" i="6"/>
  <c r="I18" i="8"/>
  <c r="I18" i="14"/>
  <c r="I18" i="7"/>
  <c r="I18" i="6"/>
  <c r="I18" i="9"/>
  <c r="I19" i="9"/>
  <c r="I19" i="8"/>
  <c r="I19" i="14"/>
  <c r="I19" i="7"/>
  <c r="I19" i="6"/>
  <c r="I25" i="14"/>
  <c r="I25" i="9"/>
  <c r="I25" i="8"/>
  <c r="I25" i="7"/>
  <c r="I25" i="6"/>
  <c r="I26" i="8"/>
  <c r="I26" i="14"/>
  <c r="I26" i="9"/>
  <c r="I26" i="7"/>
  <c r="I26" i="6"/>
  <c r="I27" i="9"/>
  <c r="I27" i="7"/>
  <c r="I27" i="6"/>
  <c r="I27" i="8"/>
  <c r="I27" i="14"/>
  <c r="I33" i="14"/>
  <c r="I33" i="9"/>
  <c r="I33" i="8"/>
  <c r="I33" i="6"/>
  <c r="I33" i="7"/>
  <c r="I34" i="8"/>
  <c r="I34" i="14"/>
  <c r="I34" i="7"/>
  <c r="I34" i="9"/>
  <c r="I34" i="6"/>
  <c r="I35" i="9"/>
  <c r="I35" i="8"/>
  <c r="I35" i="14"/>
  <c r="I35" i="7"/>
  <c r="I35" i="6"/>
  <c r="I41" i="9"/>
  <c r="I41" i="14"/>
  <c r="I41" i="8"/>
  <c r="I41" i="6"/>
  <c r="I41" i="7"/>
  <c r="I42" i="8"/>
  <c r="I42" i="7"/>
  <c r="I42" i="9"/>
  <c r="I42" i="14"/>
  <c r="I42" i="6"/>
  <c r="I43" i="9"/>
  <c r="I43" i="14"/>
  <c r="I43" i="8"/>
  <c r="I43" i="7"/>
  <c r="I43" i="6"/>
  <c r="I49" i="9"/>
  <c r="I49" i="8"/>
  <c r="I49" i="6"/>
  <c r="I49" i="7"/>
  <c r="I49" i="14"/>
  <c r="I50" i="8"/>
  <c r="I50" i="7"/>
  <c r="I50" i="14"/>
  <c r="I50" i="9"/>
  <c r="I50" i="6"/>
  <c r="I51" i="9"/>
  <c r="I51" i="14"/>
  <c r="I51" i="8"/>
  <c r="I51" i="7"/>
  <c r="I51" i="6"/>
  <c r="I57" i="9"/>
  <c r="I57" i="8"/>
  <c r="I57" i="6"/>
  <c r="I57" i="7"/>
  <c r="I57" i="14"/>
  <c r="I58" i="8"/>
  <c r="I58" i="7"/>
  <c r="I58" i="14"/>
  <c r="I58" i="9"/>
  <c r="I58" i="6"/>
  <c r="I59" i="9"/>
  <c r="I59" i="14"/>
  <c r="I59" i="8"/>
  <c r="I59" i="7"/>
  <c r="I59" i="6"/>
  <c r="I62" i="8"/>
  <c r="I62" i="9"/>
  <c r="I62" i="7"/>
  <c r="I62" i="14"/>
  <c r="I62" i="6"/>
  <c r="I65" i="9"/>
  <c r="I65" i="8"/>
  <c r="I65" i="6"/>
  <c r="I65" i="14"/>
  <c r="I65" i="7"/>
  <c r="I67" i="9"/>
  <c r="I67" i="14"/>
  <c r="I67" i="8"/>
  <c r="I67" i="7"/>
  <c r="I67" i="6"/>
  <c r="I5" i="10"/>
  <c r="I5" i="11"/>
  <c r="I5" i="13"/>
  <c r="I5" i="12"/>
  <c r="I6" i="13"/>
  <c r="I6" i="12"/>
  <c r="I6" i="11"/>
  <c r="I6" i="10"/>
  <c r="I12" i="13"/>
  <c r="I12" i="11"/>
  <c r="I12" i="10"/>
  <c r="I12" i="12"/>
  <c r="I13" i="10"/>
  <c r="I13" i="11"/>
  <c r="I13" i="13"/>
  <c r="I13" i="12"/>
  <c r="I14" i="13"/>
  <c r="I14" i="12"/>
  <c r="I14" i="11"/>
  <c r="I14" i="10"/>
  <c r="I20" i="10"/>
  <c r="I20" i="12"/>
  <c r="I20" i="13"/>
  <c r="I20" i="11"/>
  <c r="I21" i="10"/>
  <c r="I21" i="11"/>
  <c r="I21" i="13"/>
  <c r="I21" i="12"/>
  <c r="I22" i="13"/>
  <c r="I22" i="12"/>
  <c r="I22" i="11"/>
  <c r="I22" i="10"/>
  <c r="I28" i="13"/>
  <c r="I28" i="11"/>
  <c r="I28" i="10"/>
  <c r="I28" i="12"/>
  <c r="I29" i="10"/>
  <c r="I29" i="11"/>
  <c r="I29" i="13"/>
  <c r="I29" i="12"/>
  <c r="I30" i="13"/>
  <c r="I30" i="12"/>
  <c r="I30" i="11"/>
  <c r="I30" i="10"/>
  <c r="I36" i="10"/>
  <c r="I36" i="12"/>
  <c r="I36" i="13"/>
  <c r="I36" i="11"/>
  <c r="I37" i="10"/>
  <c r="I37" i="11"/>
  <c r="I37" i="13"/>
  <c r="I37" i="12"/>
  <c r="I38" i="13"/>
  <c r="I38" i="12"/>
  <c r="I38" i="11"/>
  <c r="I38" i="10"/>
  <c r="I44" i="13"/>
  <c r="I44" i="11"/>
  <c r="I44" i="10"/>
  <c r="I44" i="12"/>
  <c r="I13" i="14"/>
  <c r="I13" i="9"/>
  <c r="I13" i="7"/>
  <c r="I13" i="6"/>
  <c r="I13" i="8"/>
  <c r="I24" i="13"/>
  <c r="I24" i="10"/>
  <c r="I24" i="11"/>
  <c r="I24" i="12"/>
  <c r="I31" i="14"/>
  <c r="I31" i="9"/>
  <c r="I31" i="6"/>
  <c r="I31" i="8"/>
  <c r="I31" i="7"/>
  <c r="I39" i="14"/>
  <c r="I39" i="9"/>
  <c r="I39" i="8"/>
  <c r="I39" i="6"/>
  <c r="I39" i="7"/>
  <c r="I47" i="9"/>
  <c r="I47" i="14"/>
  <c r="I47" i="6"/>
  <c r="I47" i="8"/>
  <c r="I47" i="7"/>
  <c r="I55" i="9"/>
  <c r="I55" i="14"/>
  <c r="I55" i="8"/>
  <c r="I55" i="6"/>
  <c r="I55" i="7"/>
  <c r="I63" i="9"/>
  <c r="I63" i="14"/>
  <c r="I63" i="6"/>
  <c r="I63" i="8"/>
  <c r="I63" i="7"/>
  <c r="I16" i="13"/>
  <c r="I16" i="10"/>
  <c r="I16" i="11"/>
  <c r="I16" i="12"/>
  <c r="I46" i="13"/>
  <c r="I46" i="12"/>
  <c r="I46" i="11"/>
  <c r="I46" i="10"/>
  <c r="I7" i="14"/>
  <c r="I7" i="9"/>
  <c r="I7" i="8"/>
  <c r="I7" i="6"/>
  <c r="I7" i="7"/>
  <c r="I23" i="14"/>
  <c r="I23" i="9"/>
  <c r="I23" i="8"/>
  <c r="I23" i="6"/>
  <c r="I23" i="7"/>
  <c r="I45" i="9"/>
  <c r="I45" i="7"/>
  <c r="I45" i="14"/>
  <c r="I45" i="6"/>
  <c r="I45" i="8"/>
  <c r="I32" i="9"/>
  <c r="I32" i="6"/>
  <c r="I32" i="8"/>
  <c r="I32" i="14"/>
  <c r="I32" i="7"/>
  <c r="I38" i="8"/>
  <c r="I38" i="9"/>
  <c r="I38" i="6"/>
  <c r="I38" i="14"/>
  <c r="I38" i="7"/>
  <c r="I48" i="9"/>
  <c r="I48" i="6"/>
  <c r="I48" i="14"/>
  <c r="I48" i="8"/>
  <c r="I48" i="7"/>
  <c r="I54" i="8"/>
  <c r="I54" i="9"/>
  <c r="I54" i="14"/>
  <c r="I54" i="7"/>
  <c r="I54" i="6"/>
  <c r="I56" i="6"/>
  <c r="I56" i="9"/>
  <c r="I56" i="7"/>
  <c r="I56" i="14"/>
  <c r="I56" i="8"/>
  <c r="I64" i="9"/>
  <c r="I64" i="6"/>
  <c r="I64" i="8"/>
  <c r="I64" i="7"/>
  <c r="I64" i="14"/>
  <c r="I66" i="8"/>
  <c r="I66" i="7"/>
  <c r="I66" i="14"/>
  <c r="I66" i="9"/>
  <c r="I66" i="6"/>
  <c r="I9" i="12"/>
  <c r="I9" i="10"/>
  <c r="I9" i="13"/>
  <c r="I9" i="11"/>
  <c r="I10" i="13"/>
  <c r="I10" i="11"/>
  <c r="I10" i="10"/>
  <c r="I10" i="12"/>
  <c r="I11" i="12"/>
  <c r="I11" i="10"/>
  <c r="I11" i="11"/>
  <c r="I11" i="13"/>
  <c r="I17" i="12"/>
  <c r="I17" i="10"/>
  <c r="I17" i="13"/>
  <c r="I17" i="11"/>
  <c r="I18" i="13"/>
  <c r="I18" i="11"/>
  <c r="I18" i="10"/>
  <c r="I18" i="12"/>
  <c r="I19" i="12"/>
  <c r="I19" i="10"/>
  <c r="I19" i="11"/>
  <c r="I19" i="13"/>
  <c r="I25" i="12"/>
  <c r="I25" i="10"/>
  <c r="I25" i="13"/>
  <c r="I25" i="11"/>
  <c r="I26" i="13"/>
  <c r="I26" i="11"/>
  <c r="I26" i="10"/>
  <c r="I26" i="12"/>
  <c r="I27" i="12"/>
  <c r="I27" i="10"/>
  <c r="I27" i="11"/>
  <c r="I27" i="13"/>
  <c r="I33" i="12"/>
  <c r="I33" i="10"/>
  <c r="I33" i="13"/>
  <c r="I33" i="11"/>
  <c r="I34" i="13"/>
  <c r="I34" i="11"/>
  <c r="I34" i="10"/>
  <c r="I34" i="12"/>
  <c r="I35" i="12"/>
  <c r="I35" i="10"/>
  <c r="I35" i="11"/>
  <c r="I35" i="13"/>
  <c r="I41" i="12"/>
  <c r="I41" i="10"/>
  <c r="I41" i="13"/>
  <c r="I41" i="11"/>
  <c r="I42" i="13"/>
  <c r="I42" i="11"/>
  <c r="I42" i="10"/>
  <c r="I42" i="12"/>
  <c r="I43" i="12"/>
  <c r="I43" i="10"/>
  <c r="I43" i="11"/>
  <c r="I43" i="13"/>
  <c r="I45" i="10"/>
  <c r="I45" i="11"/>
  <c r="I45" i="13"/>
  <c r="I45" i="12"/>
  <c r="I32" i="13"/>
  <c r="I32" i="10"/>
  <c r="I32" i="11"/>
  <c r="I32" i="12"/>
  <c r="I6" i="8"/>
  <c r="I6" i="9"/>
  <c r="I6" i="7"/>
  <c r="I6" i="6"/>
  <c r="I6" i="14"/>
  <c r="I16" i="9"/>
  <c r="I16" i="8"/>
  <c r="I16" i="14"/>
  <c r="I16" i="7"/>
  <c r="I16" i="6"/>
  <c r="I24" i="14"/>
  <c r="I24" i="9"/>
  <c r="I24" i="7"/>
  <c r="I24" i="8"/>
  <c r="I24" i="6"/>
  <c r="I40" i="14"/>
  <c r="I40" i="6"/>
  <c r="I40" i="7"/>
  <c r="I40" i="9"/>
  <c r="I40" i="8"/>
  <c r="I46" i="8"/>
  <c r="I46" i="9"/>
  <c r="I46" i="7"/>
  <c r="I46" i="6"/>
  <c r="I46" i="14"/>
  <c r="I12" i="8"/>
  <c r="I12" i="14"/>
  <c r="I12" i="9"/>
  <c r="I12" i="7"/>
  <c r="I12" i="6"/>
  <c r="I20" i="8"/>
  <c r="I20" i="14"/>
  <c r="I20" i="7"/>
  <c r="I20" i="6"/>
  <c r="I20" i="9"/>
  <c r="I28" i="8"/>
  <c r="I28" i="14"/>
  <c r="I28" i="9"/>
  <c r="I28" i="7"/>
  <c r="I28" i="6"/>
  <c r="I36" i="8"/>
  <c r="I36" i="14"/>
  <c r="I36" i="7"/>
  <c r="I36" i="6"/>
  <c r="I36" i="9"/>
  <c r="I44" i="8"/>
  <c r="I44" i="14"/>
  <c r="I44" i="9"/>
  <c r="I44" i="7"/>
  <c r="I44" i="6"/>
  <c r="I52" i="8"/>
  <c r="I52" i="14"/>
  <c r="I52" i="7"/>
  <c r="I52" i="6"/>
  <c r="I52" i="9"/>
  <c r="I60" i="8"/>
  <c r="I60" i="9"/>
  <c r="I60" i="7"/>
  <c r="I60" i="6"/>
  <c r="I60" i="14"/>
  <c r="I8" i="14"/>
  <c r="I8" i="9"/>
  <c r="I8" i="7"/>
  <c r="I8" i="8"/>
  <c r="I8" i="6"/>
  <c r="I14" i="8"/>
  <c r="I14" i="9"/>
  <c r="I14" i="7"/>
  <c r="I14" i="6"/>
  <c r="I14" i="14"/>
  <c r="I21" i="14"/>
  <c r="I21" i="8"/>
  <c r="I21" i="7"/>
  <c r="I21" i="6"/>
  <c r="I21" i="9"/>
  <c r="I30" i="8"/>
  <c r="I30" i="9"/>
  <c r="I30" i="7"/>
  <c r="I30" i="6"/>
  <c r="I30" i="14"/>
  <c r="I7" i="11"/>
  <c r="I7" i="12"/>
  <c r="I7" i="13"/>
  <c r="I7" i="10"/>
  <c r="I15" i="11"/>
  <c r="I15" i="12"/>
  <c r="I15" i="13"/>
  <c r="I15" i="10"/>
  <c r="I23" i="11"/>
  <c r="I23" i="12"/>
  <c r="I23" i="13"/>
  <c r="I23" i="10"/>
  <c r="I31" i="11"/>
  <c r="I31" i="12"/>
  <c r="I31" i="13"/>
  <c r="I31" i="10"/>
  <c r="I39" i="11"/>
  <c r="I39" i="12"/>
  <c r="I39" i="13"/>
  <c r="I39" i="10"/>
  <c r="I47" i="11"/>
  <c r="I47" i="12"/>
  <c r="I47" i="13"/>
  <c r="I47" i="10"/>
  <c r="AJ2" i="16"/>
  <c r="AT2" i="16"/>
  <c r="AD5" i="7"/>
  <c r="E28" i="5"/>
  <c r="AO2" i="16"/>
  <c r="AJ4" i="16"/>
  <c r="AT4" i="16"/>
  <c r="T5" i="7"/>
  <c r="AT3" i="16"/>
  <c r="AJ3" i="16"/>
  <c r="AO4" i="16"/>
  <c r="AO3" i="16"/>
  <c r="AO10" i="16" s="1"/>
  <c r="AT6" i="16"/>
  <c r="AJ6" i="16"/>
  <c r="W72" i="6"/>
  <c r="AL6" i="7"/>
  <c r="AC4" i="21"/>
  <c r="AP2" i="16"/>
  <c r="AD6" i="7"/>
  <c r="AO9" i="16"/>
  <c r="AO6" i="16"/>
  <c r="AT7" i="16"/>
  <c r="AJ7" i="16"/>
  <c r="AJ5" i="16"/>
  <c r="AO7" i="16"/>
  <c r="AT8" i="16"/>
  <c r="AT11" i="16" s="1"/>
  <c r="AJ9" i="16"/>
  <c r="AT9" i="16"/>
  <c r="AO5" i="16"/>
  <c r="AA9" i="21"/>
  <c r="AA10" i="21"/>
  <c r="AA11" i="21"/>
  <c r="AC8" i="17"/>
  <c r="AI3" i="17" s="1"/>
  <c r="AC42" i="17"/>
  <c r="AC50" i="17"/>
  <c r="AC58" i="17"/>
  <c r="AC66" i="17"/>
  <c r="AC74" i="17"/>
  <c r="AC93" i="17"/>
  <c r="AC97" i="17"/>
  <c r="AC101" i="17"/>
  <c r="AC120" i="17"/>
  <c r="AC128" i="17"/>
  <c r="AC136" i="17"/>
  <c r="AC144" i="17"/>
  <c r="AC2" i="17"/>
  <c r="AC10" i="17"/>
  <c r="AC152" i="17"/>
  <c r="AC160" i="17"/>
  <c r="AC168" i="17"/>
  <c r="AC176" i="17"/>
  <c r="AC184" i="17"/>
  <c r="AO8" i="16"/>
  <c r="AC44" i="17"/>
  <c r="AC52" i="17"/>
  <c r="AC60" i="17"/>
  <c r="AC68" i="17"/>
  <c r="AC92" i="17"/>
  <c r="AC96" i="17"/>
  <c r="AC100" i="17"/>
  <c r="AC104" i="17"/>
  <c r="AC122" i="17"/>
  <c r="AE4" i="21"/>
  <c r="AD9" i="21"/>
  <c r="AD10" i="21"/>
  <c r="AA12" i="21"/>
  <c r="AC15" i="17"/>
  <c r="AC24" i="17"/>
  <c r="AC79" i="17"/>
  <c r="AC81" i="17"/>
  <c r="AC113" i="17"/>
  <c r="AC115" i="17"/>
  <c r="AC117" i="17"/>
  <c r="AC119" i="17"/>
  <c r="AC83" i="17"/>
  <c r="AC148" i="17"/>
  <c r="AC156" i="17"/>
  <c r="AC164" i="17"/>
  <c r="AC172" i="17"/>
  <c r="AC180" i="17"/>
  <c r="AC18" i="17"/>
  <c r="AC34" i="17"/>
  <c r="AC7" i="17"/>
  <c r="AC41" i="17"/>
  <c r="AC49" i="17"/>
  <c r="AC57" i="17"/>
  <c r="AC65" i="17"/>
  <c r="AC73" i="17"/>
  <c r="AC32" i="17"/>
  <c r="AC78" i="17"/>
  <c r="S4" i="21"/>
  <c r="AC130" i="17"/>
  <c r="AC138" i="17"/>
  <c r="AC146" i="17"/>
  <c r="AC154" i="17"/>
  <c r="AC162" i="17"/>
  <c r="AC170" i="17"/>
  <c r="AC178" i="17"/>
  <c r="AC202" i="17"/>
  <c r="AC28" i="17"/>
  <c r="AC84" i="17"/>
  <c r="AD11" i="21"/>
  <c r="T4" i="21"/>
  <c r="AC17" i="17"/>
  <c r="AC33" i="17"/>
  <c r="AC86" i="17"/>
  <c r="AC256" i="17"/>
  <c r="AC258" i="17"/>
  <c r="AG3" i="21"/>
  <c r="AI13" i="21"/>
  <c r="AF8" i="21"/>
  <c r="Y8" i="21"/>
  <c r="AG8" i="21" s="1"/>
  <c r="AJ3" i="21"/>
  <c r="AJ8" i="21"/>
  <c r="Z3" i="21"/>
  <c r="AH3" i="21" s="1"/>
  <c r="AJ13" i="21"/>
  <c r="Z8" i="21"/>
  <c r="AH8" i="21" s="1"/>
  <c r="Z13" i="21"/>
  <c r="AH13" i="21" s="1"/>
  <c r="V4" i="21"/>
  <c r="Y4" i="21" s="1"/>
  <c r="AG4" i="21" s="1"/>
  <c r="W4" i="21"/>
  <c r="M40" i="21"/>
  <c r="M596" i="21"/>
  <c r="U9" i="21" s="1"/>
  <c r="AI9" i="21" s="1"/>
  <c r="R10" i="21"/>
  <c r="M784" i="21"/>
  <c r="U10" i="21" s="1"/>
  <c r="M820" i="21"/>
  <c r="U11" i="21" s="1"/>
  <c r="AI11" i="21" s="1"/>
  <c r="R12" i="21"/>
  <c r="M1025" i="21"/>
  <c r="U12" i="21" s="1"/>
  <c r="AI12" i="21" s="1"/>
  <c r="AJ8" i="16"/>
  <c r="AT5" i="16"/>
  <c r="AT10" i="16" s="1"/>
  <c r="AC266" i="17"/>
  <c r="AC260" i="17"/>
  <c r="AC268" i="17"/>
  <c r="AC254" i="17"/>
  <c r="AC262" i="17"/>
  <c r="AC259" i="17"/>
  <c r="AC267" i="17"/>
  <c r="AC264" i="17"/>
  <c r="AC210" i="17"/>
  <c r="AC217" i="17"/>
  <c r="AC222" i="17"/>
  <c r="AC229" i="17"/>
  <c r="AC236" i="17"/>
  <c r="AC121" i="17"/>
  <c r="AC129" i="17"/>
  <c r="AC137" i="17"/>
  <c r="AC145" i="17"/>
  <c r="AC153" i="17"/>
  <c r="AC161" i="17"/>
  <c r="AC169" i="17"/>
  <c r="AC177" i="17"/>
  <c r="AC185" i="17"/>
  <c r="AC190" i="17"/>
  <c r="AC195" i="17"/>
  <c r="AC207" i="17"/>
  <c r="AC212" i="17"/>
  <c r="AC231" i="17"/>
  <c r="AC243" i="17"/>
  <c r="AC250" i="17"/>
  <c r="AC219" i="17"/>
  <c r="AC226" i="17"/>
  <c r="AC233" i="17"/>
  <c r="AC238" i="17"/>
  <c r="AC245" i="17"/>
  <c r="AC252" i="17"/>
  <c r="AC123" i="17"/>
  <c r="AC131" i="17"/>
  <c r="AC139" i="17"/>
  <c r="AC147" i="17"/>
  <c r="AC155" i="17"/>
  <c r="AC163" i="17"/>
  <c r="AC171" i="17"/>
  <c r="AC179" i="17"/>
  <c r="AC187" i="17"/>
  <c r="AC199" i="17"/>
  <c r="AC204" i="17"/>
  <c r="AC209" i="17"/>
  <c r="AC214" i="17"/>
  <c r="AC221" i="17"/>
  <c r="AC228" i="17"/>
  <c r="AC247" i="17"/>
  <c r="AC189" i="17"/>
  <c r="AC194" i="17"/>
  <c r="AC223" i="17"/>
  <c r="AC235" i="17"/>
  <c r="AC242" i="17"/>
  <c r="AC249" i="17"/>
  <c r="AC125" i="17"/>
  <c r="AC133" i="17"/>
  <c r="AC141" i="17"/>
  <c r="AC149" i="17"/>
  <c r="AC157" i="17"/>
  <c r="AC165" i="17"/>
  <c r="AC173" i="17"/>
  <c r="AC181" i="17"/>
  <c r="AC191" i="17"/>
  <c r="AC196" i="17"/>
  <c r="AC201" i="17"/>
  <c r="AC206" i="17"/>
  <c r="AC211" i="17"/>
  <c r="AC218" i="17"/>
  <c r="AC225" i="17"/>
  <c r="AC230" i="17"/>
  <c r="AC237" i="17"/>
  <c r="AC244" i="17"/>
  <c r="AJ10" i="16"/>
  <c r="AC186" i="17"/>
  <c r="AC220" i="17"/>
  <c r="AC239" i="17"/>
  <c r="AC251" i="17"/>
  <c r="AC127" i="17"/>
  <c r="AC135" i="17"/>
  <c r="AC143" i="17"/>
  <c r="AC151" i="17"/>
  <c r="AC159" i="17"/>
  <c r="AC167" i="17"/>
  <c r="AC175" i="17"/>
  <c r="AC183" i="17"/>
  <c r="AC188" i="17"/>
  <c r="AC193" i="17"/>
  <c r="AC198" i="17"/>
  <c r="AC203" i="17"/>
  <c r="AC215" i="17"/>
  <c r="AC227" i="17"/>
  <c r="AC234" i="17"/>
  <c r="AC241" i="17"/>
  <c r="AC246" i="17"/>
  <c r="AQ2" i="16"/>
  <c r="AO11" i="16"/>
  <c r="AC192" i="17"/>
  <c r="AC200" i="17"/>
  <c r="AC208" i="17"/>
  <c r="AC216" i="17"/>
  <c r="AC224" i="17"/>
  <c r="AC232" i="17"/>
  <c r="AC240" i="17"/>
  <c r="AC248" i="17"/>
  <c r="AC197" i="17"/>
  <c r="AC205" i="17"/>
  <c r="AC213" i="17"/>
  <c r="AB6" i="7"/>
  <c r="AG70" i="8"/>
  <c r="AG70" i="9"/>
  <c r="AG70" i="7"/>
  <c r="W52" i="13"/>
  <c r="W52" i="12"/>
  <c r="W52" i="11"/>
  <c r="W52" i="10"/>
  <c r="AG72" i="9"/>
  <c r="AG72" i="8"/>
  <c r="AG72" i="7"/>
  <c r="AG74" i="6"/>
  <c r="AB70" i="9"/>
  <c r="AB70" i="8"/>
  <c r="AB70" i="7"/>
  <c r="AH70" i="8"/>
  <c r="AH70" i="9"/>
  <c r="AH70" i="7"/>
  <c r="Y52" i="13"/>
  <c r="Y52" i="12"/>
  <c r="Y52" i="10"/>
  <c r="Y52" i="11"/>
  <c r="AD70" i="8"/>
  <c r="AD70" i="9"/>
  <c r="AD70" i="7"/>
  <c r="AI70" i="8"/>
  <c r="AI70" i="9"/>
  <c r="AI70" i="7"/>
  <c r="AA52" i="13"/>
  <c r="AA52" i="12"/>
  <c r="AA52" i="11"/>
  <c r="AA52" i="10"/>
  <c r="Z72" i="9"/>
  <c r="Z72" i="8"/>
  <c r="Z72" i="7"/>
  <c r="F18" i="5"/>
  <c r="Z74" i="6"/>
  <c r="AF70" i="9"/>
  <c r="AF70" i="8"/>
  <c r="AF70" i="7"/>
  <c r="AI71" i="9"/>
  <c r="AI71" i="8"/>
  <c r="P70" i="9"/>
  <c r="P70" i="8"/>
  <c r="P74" i="8" s="1"/>
  <c r="P6" i="9" s="1"/>
  <c r="P70" i="7"/>
  <c r="AE70" i="8"/>
  <c r="AE70" i="9"/>
  <c r="AE70" i="7"/>
  <c r="AA72" i="9"/>
  <c r="AA72" i="8"/>
  <c r="AD72" i="9"/>
  <c r="AD72" i="8"/>
  <c r="U72" i="9"/>
  <c r="U72" i="8"/>
  <c r="AH71" i="9"/>
  <c r="AH71" i="8"/>
  <c r="Z50" i="13"/>
  <c r="Z50" i="12"/>
  <c r="Z50" i="10"/>
  <c r="Z50" i="11"/>
  <c r="Y50" i="13"/>
  <c r="Y50" i="12"/>
  <c r="Y50" i="10"/>
  <c r="Y50" i="11"/>
  <c r="V72" i="9"/>
  <c r="V72" i="8"/>
  <c r="AH72" i="9"/>
  <c r="AH72" i="8"/>
  <c r="Z51" i="13"/>
  <c r="Z51" i="12"/>
  <c r="Z51" i="11"/>
  <c r="Z51" i="10"/>
  <c r="M70" i="8"/>
  <c r="M74" i="8" s="1"/>
  <c r="M70" i="9"/>
  <c r="M70" i="7"/>
  <c r="V74" i="6"/>
  <c r="AH74" i="6"/>
  <c r="AK70" i="8"/>
  <c r="AK74" i="8" s="1"/>
  <c r="AK5" i="9" s="1"/>
  <c r="AK70" i="9"/>
  <c r="AK70" i="7"/>
  <c r="AC70" i="8"/>
  <c r="AC74" i="8" s="1"/>
  <c r="AC70" i="9"/>
  <c r="AC70" i="7"/>
  <c r="Q70" i="8"/>
  <c r="Q74" i="8" s="1"/>
  <c r="Q70" i="9"/>
  <c r="Q70" i="7"/>
  <c r="AI73" i="6"/>
  <c r="AH71" i="7"/>
  <c r="V72" i="7"/>
  <c r="AD72" i="7"/>
  <c r="S70" i="8"/>
  <c r="S70" i="9"/>
  <c r="S70" i="7"/>
  <c r="AA50" i="13"/>
  <c r="AA50" i="12"/>
  <c r="AA50" i="11"/>
  <c r="AA50" i="10"/>
  <c r="AB71" i="9"/>
  <c r="AB71" i="8"/>
  <c r="AA51" i="13"/>
  <c r="AA51" i="12"/>
  <c r="AA51" i="11"/>
  <c r="AA51" i="10"/>
  <c r="U52" i="13"/>
  <c r="U52" i="12"/>
  <c r="U52" i="11"/>
  <c r="U52" i="10"/>
  <c r="AI72" i="9"/>
  <c r="AI72" i="8"/>
  <c r="AI74" i="6"/>
  <c r="AI71" i="7"/>
  <c r="W70" i="8"/>
  <c r="W74" i="8" s="1"/>
  <c r="W5" i="9" s="1"/>
  <c r="W70" i="9"/>
  <c r="W70" i="7"/>
  <c r="AL71" i="9"/>
  <c r="AL71" i="8"/>
  <c r="AL72" i="9"/>
  <c r="AL72" i="8"/>
  <c r="D28" i="5"/>
  <c r="AL72" i="6" s="1"/>
  <c r="O70" i="8"/>
  <c r="O74" i="8" s="1"/>
  <c r="O5" i="9" s="1"/>
  <c r="O70" i="9"/>
  <c r="O70" i="7"/>
  <c r="U70" i="8"/>
  <c r="U70" i="9"/>
  <c r="U70" i="7"/>
  <c r="AJ72" i="6"/>
  <c r="AL73" i="6"/>
  <c r="AB71" i="7"/>
  <c r="Z52" i="13"/>
  <c r="Z52" i="12"/>
  <c r="Z52" i="11"/>
  <c r="Z52" i="10"/>
  <c r="W50" i="13"/>
  <c r="W50" i="12"/>
  <c r="W50" i="11"/>
  <c r="W50" i="10"/>
  <c r="R50" i="13"/>
  <c r="R50" i="12"/>
  <c r="R50" i="10"/>
  <c r="R50" i="11"/>
  <c r="AJ71" i="9"/>
  <c r="AJ71" i="8"/>
  <c r="L70" i="9"/>
  <c r="L70" i="8"/>
  <c r="L74" i="8" s="1"/>
  <c r="L6" i="9" s="1"/>
  <c r="L70" i="7"/>
  <c r="X70" i="9"/>
  <c r="X70" i="8"/>
  <c r="X74" i="8" s="1"/>
  <c r="X5" i="9" s="1"/>
  <c r="X70" i="7"/>
  <c r="AA74" i="6"/>
  <c r="AJ73" i="6"/>
  <c r="AL74" i="6"/>
  <c r="AD71" i="9"/>
  <c r="AD71" i="8"/>
  <c r="W51" i="13"/>
  <c r="W51" i="12"/>
  <c r="W51" i="10"/>
  <c r="W51" i="11"/>
  <c r="AJ72" i="9"/>
  <c r="AJ72" i="8"/>
  <c r="R70" i="8"/>
  <c r="R74" i="8" s="1"/>
  <c r="R5" i="9" s="1"/>
  <c r="R70" i="9"/>
  <c r="R70" i="7"/>
  <c r="U74" i="6"/>
  <c r="AD74" i="6"/>
  <c r="AJ74" i="6"/>
  <c r="AD71" i="7"/>
  <c r="AL71" i="7"/>
  <c r="AH72" i="7"/>
  <c r="O54" i="11"/>
  <c r="P54" i="12"/>
  <c r="Y49" i="11"/>
  <c r="L49" i="10"/>
  <c r="Y49" i="10"/>
  <c r="P53" i="10"/>
  <c r="R49" i="10"/>
  <c r="O53" i="10"/>
  <c r="O53" i="12" s="1"/>
  <c r="U53" i="10"/>
  <c r="T49" i="10"/>
  <c r="Z53" i="10"/>
  <c r="M49" i="10"/>
  <c r="M6" i="9"/>
  <c r="M5" i="9"/>
  <c r="R6" i="9"/>
  <c r="Q5" i="9"/>
  <c r="Q6" i="9"/>
  <c r="O6" i="9"/>
  <c r="P5" i="9"/>
  <c r="AC6" i="9"/>
  <c r="AD6" i="9" s="1"/>
  <c r="AC5" i="9"/>
  <c r="AD5" i="9" s="1"/>
  <c r="AB5" i="7"/>
  <c r="AL5" i="7"/>
  <c r="AM5" i="7" s="1"/>
  <c r="T6" i="7"/>
  <c r="AM6" i="7" s="1"/>
  <c r="M80" i="6"/>
  <c r="M87" i="6"/>
  <c r="M86" i="6"/>
  <c r="M88" i="6"/>
  <c r="P82" i="6"/>
  <c r="M70" i="6"/>
  <c r="Q70" i="6"/>
  <c r="W70" i="6"/>
  <c r="AJ70" i="6"/>
  <c r="Z70" i="6"/>
  <c r="Z72" i="6" s="1"/>
  <c r="L70" i="6"/>
  <c r="P70" i="6"/>
  <c r="AI70" i="6"/>
  <c r="V70" i="6"/>
  <c r="AF70" i="6"/>
  <c r="O70" i="6"/>
  <c r="S70" i="6"/>
  <c r="Y70" i="6"/>
  <c r="AC70" i="6"/>
  <c r="AH70" i="6"/>
  <c r="U70" i="6"/>
  <c r="AA70" i="6"/>
  <c r="AA72" i="6" s="1"/>
  <c r="D37" i="5"/>
  <c r="W6" i="9" l="1"/>
  <c r="AI10" i="21"/>
  <c r="AI2" i="17"/>
  <c r="V53" i="10"/>
  <c r="V53" i="11" s="1"/>
  <c r="AR83" i="35"/>
  <c r="AL83" i="35"/>
  <c r="AM83" i="35"/>
  <c r="AP83" i="35"/>
  <c r="AY83" i="35"/>
  <c r="AV83" i="35"/>
  <c r="AW83" i="35"/>
  <c r="AQ83" i="35"/>
  <c r="AK83" i="35"/>
  <c r="AI83" i="35"/>
  <c r="BD83" i="35"/>
  <c r="AZ83" i="35"/>
  <c r="AS83" i="35"/>
  <c r="AO83" i="35"/>
  <c r="AT83" i="35"/>
  <c r="BC83" i="35"/>
  <c r="AX83" i="35"/>
  <c r="AJ83" i="35"/>
  <c r="AU83" i="35"/>
  <c r="BA83" i="35"/>
  <c r="AN83" i="35"/>
  <c r="BB83" i="35"/>
  <c r="R54" i="10"/>
  <c r="R32" i="11" s="1"/>
  <c r="BC75" i="35"/>
  <c r="AI75" i="35"/>
  <c r="AY75" i="35"/>
  <c r="AJ75" i="35"/>
  <c r="AZ75" i="35"/>
  <c r="AP75" i="35"/>
  <c r="AT75" i="35"/>
  <c r="AL75" i="35"/>
  <c r="AN75" i="35"/>
  <c r="AW75" i="35"/>
  <c r="BD75" i="35"/>
  <c r="AO75" i="35"/>
  <c r="BA75" i="35"/>
  <c r="AS75" i="35"/>
  <c r="AM75" i="35"/>
  <c r="AK75" i="35"/>
  <c r="AR75" i="35"/>
  <c r="AX75" i="35"/>
  <c r="AQ75" i="35"/>
  <c r="BB75" i="35"/>
  <c r="AU75" i="35"/>
  <c r="AV75" i="35"/>
  <c r="AG80" i="36"/>
  <c r="AB80" i="36"/>
  <c r="Y80" i="36"/>
  <c r="AD80" i="36"/>
  <c r="AA80" i="36"/>
  <c r="AF80" i="36"/>
  <c r="X80" i="36"/>
  <c r="AH80" i="36"/>
  <c r="AC80" i="36"/>
  <c r="Z80" i="36"/>
  <c r="AE80" i="36"/>
  <c r="I13" i="35"/>
  <c r="P13" i="5"/>
  <c r="P16" i="5" s="1"/>
  <c r="AR116" i="35"/>
  <c r="AL116" i="35"/>
  <c r="BB116" i="35"/>
  <c r="AW116" i="35"/>
  <c r="AO116" i="35"/>
  <c r="AT116" i="35"/>
  <c r="AX116" i="35"/>
  <c r="BA116" i="35"/>
  <c r="AZ116" i="35"/>
  <c r="AS116" i="35"/>
  <c r="AM116" i="35"/>
  <c r="AP116" i="35"/>
  <c r="AU116" i="35"/>
  <c r="BD116" i="35"/>
  <c r="AK116" i="35"/>
  <c r="AJ116" i="35"/>
  <c r="AV116" i="35"/>
  <c r="AI116" i="35"/>
  <c r="AQ116" i="35"/>
  <c r="AY116" i="35"/>
  <c r="BC116" i="35"/>
  <c r="AN116" i="35"/>
  <c r="AI90" i="35"/>
  <c r="AS90" i="35"/>
  <c r="AW90" i="35"/>
  <c r="BC90" i="35"/>
  <c r="AL90" i="35"/>
  <c r="AU90" i="35"/>
  <c r="AZ90" i="35"/>
  <c r="AM90" i="35"/>
  <c r="AT90" i="35"/>
  <c r="BB90" i="35"/>
  <c r="AO90" i="35"/>
  <c r="AJ90" i="35"/>
  <c r="AR90" i="35"/>
  <c r="AV90" i="35"/>
  <c r="AX90" i="35"/>
  <c r="AK90" i="35"/>
  <c r="AY90" i="35"/>
  <c r="BA90" i="35"/>
  <c r="AN90" i="35"/>
  <c r="AQ90" i="35"/>
  <c r="BD90" i="35"/>
  <c r="AP90" i="35"/>
  <c r="AK131" i="35"/>
  <c r="AY131" i="35"/>
  <c r="BD131" i="35"/>
  <c r="BB131" i="35"/>
  <c r="AQ131" i="35"/>
  <c r="AW131" i="35"/>
  <c r="AV131" i="35"/>
  <c r="AT131" i="35"/>
  <c r="AI131" i="35"/>
  <c r="AO131" i="35"/>
  <c r="AN131" i="35"/>
  <c r="AL131" i="35"/>
  <c r="AZ131" i="35"/>
  <c r="BC131" i="35"/>
  <c r="AR131" i="35"/>
  <c r="AU131" i="35"/>
  <c r="AJ131" i="35"/>
  <c r="AX131" i="35"/>
  <c r="AM131" i="35"/>
  <c r="BA131" i="35"/>
  <c r="AP131" i="35"/>
  <c r="AS131" i="35"/>
  <c r="AC72" i="36"/>
  <c r="AB72" i="36"/>
  <c r="X72" i="36"/>
  <c r="Y72" i="36"/>
  <c r="AA72" i="36"/>
  <c r="AE72" i="36"/>
  <c r="AG72" i="36"/>
  <c r="AH72" i="36"/>
  <c r="Z72" i="36"/>
  <c r="AD72" i="36"/>
  <c r="AF72" i="36"/>
  <c r="AI5" i="17"/>
  <c r="I15" i="7"/>
  <c r="AS123" i="35"/>
  <c r="AN123" i="35"/>
  <c r="AK123" i="35"/>
  <c r="AY123" i="35"/>
  <c r="BB123" i="35"/>
  <c r="AQ123" i="35"/>
  <c r="AW123" i="35"/>
  <c r="AT123" i="35"/>
  <c r="AI123" i="35"/>
  <c r="AO123" i="35"/>
  <c r="AL123" i="35"/>
  <c r="AZ123" i="35"/>
  <c r="BC123" i="35"/>
  <c r="AR123" i="35"/>
  <c r="AU123" i="35"/>
  <c r="AJ123" i="35"/>
  <c r="AX123" i="35"/>
  <c r="BD123" i="35"/>
  <c r="BA123" i="35"/>
  <c r="AP123" i="35"/>
  <c r="AV123" i="35"/>
  <c r="AM123" i="35"/>
  <c r="I15" i="8"/>
  <c r="AC56" i="36"/>
  <c r="Z56" i="36"/>
  <c r="AE56" i="36"/>
  <c r="X56" i="36"/>
  <c r="AH56" i="36"/>
  <c r="AF56" i="36"/>
  <c r="Y56" i="36"/>
  <c r="AG56" i="36"/>
  <c r="AB56" i="36"/>
  <c r="AA56" i="36"/>
  <c r="AD56" i="36"/>
  <c r="I15" i="6"/>
  <c r="AS107" i="35"/>
  <c r="AU107" i="35"/>
  <c r="BC107" i="35"/>
  <c r="AP107" i="35"/>
  <c r="AK107" i="35"/>
  <c r="AJ107" i="35"/>
  <c r="AR107" i="35"/>
  <c r="AV107" i="35"/>
  <c r="BD107" i="35"/>
  <c r="BB107" i="35"/>
  <c r="AY107" i="35"/>
  <c r="AL107" i="35"/>
  <c r="AW107" i="35"/>
  <c r="AT107" i="35"/>
  <c r="AQ107" i="35"/>
  <c r="AN107" i="35"/>
  <c r="AO107" i="35"/>
  <c r="AI107" i="35"/>
  <c r="R107" i="35"/>
  <c r="AX107" i="35"/>
  <c r="AZ107" i="35"/>
  <c r="AM107" i="35"/>
  <c r="BA107" i="35"/>
  <c r="P107" i="35"/>
  <c r="AO120" i="35"/>
  <c r="AK120" i="35"/>
  <c r="AR120" i="35"/>
  <c r="BB120" i="35"/>
  <c r="BC120" i="35"/>
  <c r="AY120" i="35"/>
  <c r="AU120" i="35"/>
  <c r="AP120" i="35"/>
  <c r="AQ120" i="35"/>
  <c r="BD120" i="35"/>
  <c r="AM120" i="35"/>
  <c r="AZ120" i="35"/>
  <c r="AI120" i="35"/>
  <c r="AV120" i="35"/>
  <c r="AX120" i="35"/>
  <c r="AL120" i="35"/>
  <c r="AN120" i="35"/>
  <c r="BA120" i="35"/>
  <c r="AT120" i="35"/>
  <c r="AJ120" i="35"/>
  <c r="AS120" i="35"/>
  <c r="AW120" i="35"/>
  <c r="AK6" i="9"/>
  <c r="I15" i="9"/>
  <c r="BB99" i="35"/>
  <c r="AM99" i="35"/>
  <c r="AT99" i="35"/>
  <c r="AZ99" i="35"/>
  <c r="AS99" i="35"/>
  <c r="AL99" i="35"/>
  <c r="AX99" i="35"/>
  <c r="AJ99" i="35"/>
  <c r="AP99" i="35"/>
  <c r="BD99" i="35"/>
  <c r="AR99" i="35"/>
  <c r="AN99" i="35"/>
  <c r="AW99" i="35"/>
  <c r="AY99" i="35"/>
  <c r="AO99" i="35"/>
  <c r="AQ99" i="35"/>
  <c r="BC99" i="35"/>
  <c r="BA99" i="35"/>
  <c r="AV99" i="35"/>
  <c r="AI99" i="35"/>
  <c r="AU99" i="35"/>
  <c r="AK99" i="35"/>
  <c r="AS121" i="35"/>
  <c r="BB121" i="35"/>
  <c r="AL121" i="35"/>
  <c r="AK121" i="35"/>
  <c r="AY121" i="35"/>
  <c r="BC121" i="35"/>
  <c r="AQ121" i="35"/>
  <c r="BD121" i="35"/>
  <c r="AX121" i="35"/>
  <c r="AU121" i="35"/>
  <c r="AI121" i="35"/>
  <c r="AV121" i="35"/>
  <c r="AM121" i="35"/>
  <c r="AZ121" i="35"/>
  <c r="AN121" i="35"/>
  <c r="AT121" i="35"/>
  <c r="AR121" i="35"/>
  <c r="AJ121" i="35"/>
  <c r="AW121" i="35"/>
  <c r="AP121" i="35"/>
  <c r="BA121" i="35"/>
  <c r="AO121" i="35"/>
  <c r="AA84" i="36"/>
  <c r="AF84" i="36"/>
  <c r="Y84" i="36"/>
  <c r="AD84" i="36"/>
  <c r="AE84" i="36"/>
  <c r="X84" i="36"/>
  <c r="AC84" i="36"/>
  <c r="AH84" i="36"/>
  <c r="AG84" i="36"/>
  <c r="Z84" i="36"/>
  <c r="AB84" i="36"/>
  <c r="AE61" i="36"/>
  <c r="AF61" i="36"/>
  <c r="AH61" i="36"/>
  <c r="X61" i="36"/>
  <c r="AC61" i="36"/>
  <c r="AG61" i="36"/>
  <c r="Y61" i="36"/>
  <c r="AA61" i="36"/>
  <c r="Z61" i="36"/>
  <c r="AB61" i="36"/>
  <c r="AD61" i="36"/>
  <c r="AH95" i="36"/>
  <c r="AF95" i="36"/>
  <c r="AD95" i="36"/>
  <c r="Z95" i="36"/>
  <c r="AB95" i="36"/>
  <c r="X95" i="36"/>
  <c r="AC95" i="36"/>
  <c r="AG95" i="36"/>
  <c r="Y95" i="36"/>
  <c r="AE95" i="36"/>
  <c r="AA95" i="36"/>
  <c r="I15" i="14"/>
  <c r="AM91" i="35"/>
  <c r="AR91" i="35"/>
  <c r="AV91" i="35"/>
  <c r="AY91" i="35"/>
  <c r="AX91" i="35"/>
  <c r="AK91" i="35"/>
  <c r="AQ91" i="35"/>
  <c r="BA91" i="35"/>
  <c r="AN91" i="35"/>
  <c r="AI91" i="35"/>
  <c r="BD91" i="35"/>
  <c r="AP91" i="35"/>
  <c r="AS91" i="35"/>
  <c r="AW91" i="35"/>
  <c r="AT91" i="35"/>
  <c r="AL91" i="35"/>
  <c r="AJ91" i="35"/>
  <c r="BC91" i="35"/>
  <c r="AZ91" i="35"/>
  <c r="AU91" i="35"/>
  <c r="BB91" i="35"/>
  <c r="AO91" i="35"/>
  <c r="AE78" i="36"/>
  <c r="AB78" i="36"/>
  <c r="AG78" i="36"/>
  <c r="AA78" i="36"/>
  <c r="Y78" i="36"/>
  <c r="AD78" i="36"/>
  <c r="AH78" i="36"/>
  <c r="AF78" i="36"/>
  <c r="AC78" i="36"/>
  <c r="Z78" i="36"/>
  <c r="X78" i="36"/>
  <c r="Z60" i="36"/>
  <c r="AF60" i="36"/>
  <c r="AA60" i="36"/>
  <c r="Y60" i="36"/>
  <c r="AC60" i="36"/>
  <c r="AE60" i="36"/>
  <c r="X60" i="36"/>
  <c r="AH60" i="36"/>
  <c r="AB60" i="36"/>
  <c r="AD60" i="36"/>
  <c r="AG60" i="36"/>
  <c r="X88" i="36"/>
  <c r="AE88" i="36"/>
  <c r="AH88" i="36"/>
  <c r="AG88" i="36"/>
  <c r="Y88" i="36"/>
  <c r="AB88" i="36"/>
  <c r="AD88" i="36"/>
  <c r="AC88" i="36"/>
  <c r="AF88" i="36"/>
  <c r="AA88" i="36"/>
  <c r="Z88" i="36"/>
  <c r="BD105" i="35"/>
  <c r="BB105" i="35"/>
  <c r="AY105" i="35"/>
  <c r="AW105" i="35"/>
  <c r="AV105" i="35"/>
  <c r="AT105" i="35"/>
  <c r="AQ105" i="35"/>
  <c r="AN105" i="35"/>
  <c r="AO105" i="35"/>
  <c r="AL105" i="35"/>
  <c r="AI105" i="35"/>
  <c r="R105" i="35"/>
  <c r="BA105" i="35"/>
  <c r="P105" i="35"/>
  <c r="AZ105" i="35"/>
  <c r="AS105" i="35"/>
  <c r="AX105" i="35"/>
  <c r="AU105" i="35"/>
  <c r="BC105" i="35"/>
  <c r="AP105" i="35"/>
  <c r="AK105" i="35"/>
  <c r="AM105" i="35"/>
  <c r="AJ105" i="35"/>
  <c r="AR105" i="35"/>
  <c r="AG85" i="36"/>
  <c r="AF85" i="36"/>
  <c r="Y85" i="36"/>
  <c r="AE85" i="36"/>
  <c r="AD85" i="36"/>
  <c r="AB85" i="36"/>
  <c r="AH85" i="36"/>
  <c r="AC85" i="36"/>
  <c r="AA85" i="36"/>
  <c r="Z85" i="36"/>
  <c r="X85" i="36"/>
  <c r="X62" i="36"/>
  <c r="AH62" i="36"/>
  <c r="AC62" i="36"/>
  <c r="Z62" i="36"/>
  <c r="Y62" i="36"/>
  <c r="AE62" i="36"/>
  <c r="AB62" i="36"/>
  <c r="AF62" i="36"/>
  <c r="AG62" i="36"/>
  <c r="AD62" i="36"/>
  <c r="AA62" i="36"/>
  <c r="AY124" i="35"/>
  <c r="BB124" i="35"/>
  <c r="AQ124" i="35"/>
  <c r="AW124" i="35"/>
  <c r="AT124" i="35"/>
  <c r="AI124" i="35"/>
  <c r="AO124" i="35"/>
  <c r="AL124" i="35"/>
  <c r="AZ124" i="35"/>
  <c r="BC124" i="35"/>
  <c r="AR124" i="35"/>
  <c r="AU124" i="35"/>
  <c r="AJ124" i="35"/>
  <c r="AX124" i="35"/>
  <c r="BD124" i="35"/>
  <c r="AM124" i="35"/>
  <c r="BA124" i="35"/>
  <c r="AP124" i="35"/>
  <c r="AV124" i="35"/>
  <c r="AS124" i="35"/>
  <c r="AN124" i="35"/>
  <c r="AK124" i="35"/>
  <c r="AJ97" i="35"/>
  <c r="AY97" i="35"/>
  <c r="BD97" i="35"/>
  <c r="AQ97" i="35"/>
  <c r="BC97" i="35"/>
  <c r="AS97" i="35"/>
  <c r="AN97" i="35"/>
  <c r="AW97" i="35"/>
  <c r="AI97" i="35"/>
  <c r="AU97" i="35"/>
  <c r="AM97" i="35"/>
  <c r="AR97" i="35"/>
  <c r="BA97" i="35"/>
  <c r="BB97" i="35"/>
  <c r="AK97" i="35"/>
  <c r="AT97" i="35"/>
  <c r="AX97" i="35"/>
  <c r="AV97" i="35"/>
  <c r="AO97" i="35"/>
  <c r="AZ97" i="35"/>
  <c r="AL97" i="35"/>
  <c r="AP97" i="35"/>
  <c r="AN128" i="35"/>
  <c r="AK128" i="35"/>
  <c r="AY128" i="35"/>
  <c r="BB128" i="35"/>
  <c r="AQ128" i="35"/>
  <c r="AW128" i="35"/>
  <c r="AT128" i="35"/>
  <c r="AI128" i="35"/>
  <c r="AO128" i="35"/>
  <c r="AL128" i="35"/>
  <c r="AJ128" i="35"/>
  <c r="BC128" i="35"/>
  <c r="AU128" i="35"/>
  <c r="AX128" i="35"/>
  <c r="BD128" i="35"/>
  <c r="AM128" i="35"/>
  <c r="BA128" i="35"/>
  <c r="AZ128" i="35"/>
  <c r="AR128" i="35"/>
  <c r="AP128" i="35"/>
  <c r="AV128" i="35"/>
  <c r="AS128" i="35"/>
  <c r="AP122" i="35"/>
  <c r="BB122" i="35"/>
  <c r="AZ122" i="35"/>
  <c r="AW122" i="35"/>
  <c r="AT122" i="35"/>
  <c r="AR122" i="35"/>
  <c r="AY122" i="35"/>
  <c r="AO122" i="35"/>
  <c r="AL122" i="35"/>
  <c r="AJ122" i="35"/>
  <c r="AQ122" i="35"/>
  <c r="BC122" i="35"/>
  <c r="BA122" i="35"/>
  <c r="AI122" i="35"/>
  <c r="AU122" i="35"/>
  <c r="AS122" i="35"/>
  <c r="BD122" i="35"/>
  <c r="AM122" i="35"/>
  <c r="AK122" i="35"/>
  <c r="AV122" i="35"/>
  <c r="AX122" i="35"/>
  <c r="AN122" i="35"/>
  <c r="AM92" i="35"/>
  <c r="BB92" i="35"/>
  <c r="AR92" i="35"/>
  <c r="AY92" i="35"/>
  <c r="BA92" i="35"/>
  <c r="AQ92" i="35"/>
  <c r="AP92" i="35"/>
  <c r="AI92" i="35"/>
  <c r="BC92" i="35"/>
  <c r="AX92" i="35"/>
  <c r="AK92" i="35"/>
  <c r="AS92" i="35"/>
  <c r="AN92" i="35"/>
  <c r="AU92" i="35"/>
  <c r="AW92" i="35"/>
  <c r="AT92" i="35"/>
  <c r="AL92" i="35"/>
  <c r="AJ92" i="35"/>
  <c r="AZ92" i="35"/>
  <c r="AO92" i="35"/>
  <c r="AV92" i="35"/>
  <c r="BD92" i="35"/>
  <c r="AY77" i="35"/>
  <c r="AQ77" i="35"/>
  <c r="AR77" i="35"/>
  <c r="AU77" i="35"/>
  <c r="AP77" i="35"/>
  <c r="AT77" i="35"/>
  <c r="AZ77" i="35"/>
  <c r="AI77" i="35"/>
  <c r="AL77" i="35"/>
  <c r="AV77" i="35"/>
  <c r="AW77" i="35"/>
  <c r="AO77" i="35"/>
  <c r="BA77" i="35"/>
  <c r="AS77" i="35"/>
  <c r="AK77" i="35"/>
  <c r="AX77" i="35"/>
  <c r="BB77" i="35"/>
  <c r="AN77" i="35"/>
  <c r="AJ77" i="35"/>
  <c r="AM77" i="35"/>
  <c r="BD77" i="35"/>
  <c r="BC77" i="35"/>
  <c r="X64" i="36"/>
  <c r="AH64" i="36"/>
  <c r="AG64" i="36"/>
  <c r="Z64" i="36"/>
  <c r="AE64" i="36"/>
  <c r="Y64" i="36"/>
  <c r="AA64" i="36"/>
  <c r="AD64" i="36"/>
  <c r="AC64" i="36"/>
  <c r="AF64" i="36"/>
  <c r="AB64" i="36"/>
  <c r="AG77" i="36"/>
  <c r="AE77" i="36"/>
  <c r="AB77" i="36"/>
  <c r="Y77" i="36"/>
  <c r="AA77" i="36"/>
  <c r="AF77" i="36"/>
  <c r="AD77" i="36"/>
  <c r="X77" i="36"/>
  <c r="AH77" i="36"/>
  <c r="AC77" i="36"/>
  <c r="Z77" i="36"/>
  <c r="AG54" i="36"/>
  <c r="AC54" i="36"/>
  <c r="Z54" i="36"/>
  <c r="AH54" i="36"/>
  <c r="AA54" i="36"/>
  <c r="AD54" i="36"/>
  <c r="AB54" i="36"/>
  <c r="X54" i="36"/>
  <c r="AF54" i="36"/>
  <c r="AE54" i="36"/>
  <c r="Y54" i="36"/>
  <c r="AH87" i="36"/>
  <c r="Z87" i="36"/>
  <c r="AF87" i="36"/>
  <c r="AE87" i="36"/>
  <c r="AD87" i="36"/>
  <c r="AG87" i="36"/>
  <c r="AB87" i="36"/>
  <c r="Y87" i="36"/>
  <c r="AA87" i="36"/>
  <c r="AC87" i="36"/>
  <c r="X87" i="36"/>
  <c r="AJ112" i="35"/>
  <c r="AN112" i="35"/>
  <c r="AI112" i="35"/>
  <c r="AQ112" i="35"/>
  <c r="AP112" i="35"/>
  <c r="R112" i="35"/>
  <c r="AY112" i="35"/>
  <c r="AW112" i="35"/>
  <c r="AX112" i="35"/>
  <c r="AM112" i="35"/>
  <c r="BD112" i="35"/>
  <c r="AO112" i="35"/>
  <c r="BC112" i="35"/>
  <c r="AU112" i="35"/>
  <c r="BA112" i="35"/>
  <c r="AS112" i="35"/>
  <c r="AL112" i="35"/>
  <c r="BB112" i="35"/>
  <c r="P112" i="35"/>
  <c r="AK112" i="35"/>
  <c r="AT112" i="35"/>
  <c r="AR112" i="35"/>
  <c r="AV112" i="35"/>
  <c r="AZ112" i="35"/>
  <c r="AV114" i="35"/>
  <c r="AX114" i="35"/>
  <c r="AU114" i="35"/>
  <c r="BB114" i="35"/>
  <c r="AN114" i="35"/>
  <c r="AJ114" i="35"/>
  <c r="BC114" i="35"/>
  <c r="AT114" i="35"/>
  <c r="AW114" i="35"/>
  <c r="AQ114" i="35"/>
  <c r="AR114" i="35"/>
  <c r="AO114" i="35"/>
  <c r="AP114" i="35"/>
  <c r="BA114" i="35"/>
  <c r="AY114" i="35"/>
  <c r="AM114" i="35"/>
  <c r="AS114" i="35"/>
  <c r="AL114" i="35"/>
  <c r="AZ114" i="35"/>
  <c r="AI114" i="35"/>
  <c r="BD114" i="35"/>
  <c r="AK114" i="35"/>
  <c r="AI89" i="35"/>
  <c r="AV89" i="35"/>
  <c r="BD89" i="35"/>
  <c r="AP89" i="35"/>
  <c r="AK89" i="35"/>
  <c r="AS89" i="35"/>
  <c r="AW89" i="35"/>
  <c r="AL89" i="35"/>
  <c r="BC89" i="35"/>
  <c r="AZ89" i="35"/>
  <c r="AU89" i="35"/>
  <c r="AT89" i="35"/>
  <c r="BB89" i="35"/>
  <c r="AO89" i="35"/>
  <c r="AM89" i="35"/>
  <c r="AJ89" i="35"/>
  <c r="AR89" i="35"/>
  <c r="AY89" i="35"/>
  <c r="AX89" i="35"/>
  <c r="AQ89" i="35"/>
  <c r="BA89" i="35"/>
  <c r="AN89" i="35"/>
  <c r="AG76" i="36"/>
  <c r="AD76" i="36"/>
  <c r="AB76" i="36"/>
  <c r="Y76" i="36"/>
  <c r="AF76" i="36"/>
  <c r="AA76" i="36"/>
  <c r="X76" i="36"/>
  <c r="AH76" i="36"/>
  <c r="AE76" i="36"/>
  <c r="AC76" i="36"/>
  <c r="Z76" i="36"/>
  <c r="I5" i="36"/>
  <c r="P14" i="5"/>
  <c r="P17" i="5" s="1"/>
  <c r="Z79" i="36"/>
  <c r="AE79" i="36"/>
  <c r="AB79" i="36"/>
  <c r="AG79" i="36"/>
  <c r="Y79" i="36"/>
  <c r="AD79" i="36"/>
  <c r="AA79" i="36"/>
  <c r="AF79" i="36"/>
  <c r="AC79" i="36"/>
  <c r="X79" i="36"/>
  <c r="AH79" i="36"/>
  <c r="BA104" i="35"/>
  <c r="AX104" i="35"/>
  <c r="AU104" i="35"/>
  <c r="BC104" i="35"/>
  <c r="AP104" i="35"/>
  <c r="AS104" i="35"/>
  <c r="AM104" i="35"/>
  <c r="AJ104" i="35"/>
  <c r="AR104" i="35"/>
  <c r="AK104" i="35"/>
  <c r="BD104" i="35"/>
  <c r="BB104" i="35"/>
  <c r="AW104" i="35"/>
  <c r="AV104" i="35"/>
  <c r="AT104" i="35"/>
  <c r="AQ104" i="35"/>
  <c r="AO104" i="35"/>
  <c r="AY104" i="35"/>
  <c r="AL104" i="35"/>
  <c r="AI104" i="35"/>
  <c r="AN104" i="35"/>
  <c r="AZ104" i="35"/>
  <c r="AK108" i="35"/>
  <c r="BC108" i="35"/>
  <c r="AP108" i="35"/>
  <c r="AR108" i="35"/>
  <c r="AW108" i="35"/>
  <c r="AV108" i="35"/>
  <c r="AO108" i="35"/>
  <c r="BD108" i="35"/>
  <c r="BB108" i="35"/>
  <c r="AY108" i="35"/>
  <c r="AL108" i="35"/>
  <c r="AT108" i="35"/>
  <c r="AQ108" i="35"/>
  <c r="AN108" i="35"/>
  <c r="P108" i="35"/>
  <c r="AI108" i="35"/>
  <c r="R108" i="35"/>
  <c r="BA108" i="35"/>
  <c r="AX108" i="35"/>
  <c r="AU108" i="35"/>
  <c r="AS108" i="35"/>
  <c r="AZ108" i="35"/>
  <c r="AM108" i="35"/>
  <c r="AJ108" i="35"/>
  <c r="AV84" i="35"/>
  <c r="AK84" i="35"/>
  <c r="AU84" i="35"/>
  <c r="AN84" i="35"/>
  <c r="AM84" i="35"/>
  <c r="BB84" i="35"/>
  <c r="AR84" i="35"/>
  <c r="AW84" i="35"/>
  <c r="BD84" i="35"/>
  <c r="AP84" i="35"/>
  <c r="AL84" i="35"/>
  <c r="AS84" i="35"/>
  <c r="AY84" i="35"/>
  <c r="AZ84" i="35"/>
  <c r="AQ84" i="35"/>
  <c r="AO84" i="35"/>
  <c r="AI84" i="35"/>
  <c r="AT84" i="35"/>
  <c r="AX84" i="35"/>
  <c r="AJ84" i="35"/>
  <c r="BA84" i="35"/>
  <c r="BC84" i="35"/>
  <c r="AK115" i="35"/>
  <c r="AW115" i="35"/>
  <c r="AO115" i="35"/>
  <c r="AP115" i="35"/>
  <c r="BD115" i="35"/>
  <c r="BC115" i="35"/>
  <c r="AZ115" i="35"/>
  <c r="AQ115" i="35"/>
  <c r="BB115" i="35"/>
  <c r="AN115" i="35"/>
  <c r="AR115" i="35"/>
  <c r="AX115" i="35"/>
  <c r="AI115" i="35"/>
  <c r="AJ115" i="35"/>
  <c r="AL115" i="35"/>
  <c r="AV115" i="35"/>
  <c r="BA115" i="35"/>
  <c r="AY115" i="35"/>
  <c r="AS115" i="35"/>
  <c r="AT115" i="35"/>
  <c r="AM115" i="35"/>
  <c r="AU115" i="35"/>
  <c r="AL129" i="35"/>
  <c r="AZ129" i="35"/>
  <c r="BC129" i="35"/>
  <c r="AR129" i="35"/>
  <c r="AU129" i="35"/>
  <c r="AJ129" i="35"/>
  <c r="AX129" i="35"/>
  <c r="BD129" i="35"/>
  <c r="AM129" i="35"/>
  <c r="BA129" i="35"/>
  <c r="AP129" i="35"/>
  <c r="AV129" i="35"/>
  <c r="AS129" i="35"/>
  <c r="AN129" i="35"/>
  <c r="AK129" i="35"/>
  <c r="AY129" i="35"/>
  <c r="BB129" i="35"/>
  <c r="AQ129" i="35"/>
  <c r="AW129" i="35"/>
  <c r="AT129" i="35"/>
  <c r="AI129" i="35"/>
  <c r="AO129" i="35"/>
  <c r="AG70" i="36"/>
  <c r="AH70" i="36"/>
  <c r="Z70" i="36"/>
  <c r="AD70" i="36"/>
  <c r="AF70" i="36"/>
  <c r="AB70" i="36"/>
  <c r="X70" i="36"/>
  <c r="AC70" i="36"/>
  <c r="AA70" i="36"/>
  <c r="Y70" i="36"/>
  <c r="AE70" i="36"/>
  <c r="AG71" i="36"/>
  <c r="AC71" i="36"/>
  <c r="Y71" i="36"/>
  <c r="AF71" i="36"/>
  <c r="AB71" i="36"/>
  <c r="X71" i="36"/>
  <c r="AH71" i="36"/>
  <c r="Z71" i="36"/>
  <c r="AD71" i="36"/>
  <c r="AE71" i="36"/>
  <c r="AA71" i="36"/>
  <c r="AL96" i="35"/>
  <c r="AJ96" i="35"/>
  <c r="AR96" i="35"/>
  <c r="AX96" i="35"/>
  <c r="AY96" i="35"/>
  <c r="BA96" i="35"/>
  <c r="AN96" i="35"/>
  <c r="AQ96" i="35"/>
  <c r="AV96" i="35"/>
  <c r="BD96" i="35"/>
  <c r="AP96" i="35"/>
  <c r="AI96" i="35"/>
  <c r="AK96" i="35"/>
  <c r="AS96" i="35"/>
  <c r="BC96" i="35"/>
  <c r="AU96" i="35"/>
  <c r="AZ96" i="35"/>
  <c r="AM96" i="35"/>
  <c r="AW96" i="35"/>
  <c r="AT96" i="35"/>
  <c r="BB96" i="35"/>
  <c r="AO96" i="35"/>
  <c r="BA106" i="35"/>
  <c r="AZ106" i="35"/>
  <c r="AM106" i="35"/>
  <c r="AS106" i="35"/>
  <c r="AU106" i="35"/>
  <c r="BC106" i="35"/>
  <c r="AP106" i="35"/>
  <c r="AK106" i="35"/>
  <c r="AJ106" i="35"/>
  <c r="AR106" i="35"/>
  <c r="AW106" i="35"/>
  <c r="BD106" i="35"/>
  <c r="BB106" i="35"/>
  <c r="AY106" i="35"/>
  <c r="AO106" i="35"/>
  <c r="AV106" i="35"/>
  <c r="AT106" i="35"/>
  <c r="AQ106" i="35"/>
  <c r="AN106" i="35"/>
  <c r="AL106" i="35"/>
  <c r="AI106" i="35"/>
  <c r="R106" i="35"/>
  <c r="AX106" i="35"/>
  <c r="P106" i="35"/>
  <c r="AN82" i="35"/>
  <c r="AI82" i="35"/>
  <c r="AR82" i="35"/>
  <c r="BC82" i="35"/>
  <c r="AW82" i="35"/>
  <c r="AU82" i="35"/>
  <c r="BA82" i="35"/>
  <c r="AL82" i="35"/>
  <c r="AM82" i="35"/>
  <c r="AT82" i="35"/>
  <c r="AP82" i="35"/>
  <c r="AJ82" i="35"/>
  <c r="AV82" i="35"/>
  <c r="AY82" i="35"/>
  <c r="AZ82" i="35"/>
  <c r="AK82" i="35"/>
  <c r="AX82" i="35"/>
  <c r="AS82" i="35"/>
  <c r="AQ82" i="35"/>
  <c r="BB82" i="35"/>
  <c r="AO82" i="35"/>
  <c r="BD82" i="35"/>
  <c r="AG92" i="36"/>
  <c r="Y92" i="36"/>
  <c r="AC92" i="36"/>
  <c r="AH92" i="36"/>
  <c r="AF92" i="36"/>
  <c r="AD92" i="36"/>
  <c r="X92" i="36"/>
  <c r="AB92" i="36"/>
  <c r="Z92" i="36"/>
  <c r="AE92" i="36"/>
  <c r="AA92" i="36"/>
  <c r="AH69" i="36"/>
  <c r="AA69" i="36"/>
  <c r="Z69" i="36"/>
  <c r="AD69" i="36"/>
  <c r="AG69" i="36"/>
  <c r="AE69" i="36"/>
  <c r="AC69" i="36"/>
  <c r="Y69" i="36"/>
  <c r="AF69" i="36"/>
  <c r="AB69" i="36"/>
  <c r="X69" i="36"/>
  <c r="AV74" i="35"/>
  <c r="AT74" i="35"/>
  <c r="AL74" i="35"/>
  <c r="AX74" i="35"/>
  <c r="AU74" i="35"/>
  <c r="AP74" i="35"/>
  <c r="BA74" i="35"/>
  <c r="AS74" i="35"/>
  <c r="AW74" i="35"/>
  <c r="AK74" i="35"/>
  <c r="AO74" i="35"/>
  <c r="AZ74" i="35"/>
  <c r="BB74" i="35"/>
  <c r="AI74" i="35"/>
  <c r="AY74" i="35"/>
  <c r="BD74" i="35"/>
  <c r="AJ74" i="35"/>
  <c r="AM74" i="35"/>
  <c r="BC74" i="35"/>
  <c r="AN74" i="35"/>
  <c r="AR74" i="35"/>
  <c r="AQ74" i="35"/>
  <c r="AD63" i="36"/>
  <c r="AC63" i="36"/>
  <c r="AA63" i="36"/>
  <c r="AB63" i="36"/>
  <c r="AF63" i="36"/>
  <c r="AG63" i="36"/>
  <c r="Y63" i="36"/>
  <c r="AE63" i="36"/>
  <c r="X63" i="36"/>
  <c r="AH63" i="36"/>
  <c r="Z63" i="36"/>
  <c r="AI88" i="35"/>
  <c r="AK88" i="35"/>
  <c r="AO88" i="35"/>
  <c r="BC88" i="35"/>
  <c r="AU88" i="35"/>
  <c r="AT88" i="35"/>
  <c r="BB88" i="35"/>
  <c r="AX88" i="35"/>
  <c r="AM88" i="35"/>
  <c r="AW88" i="35"/>
  <c r="AJ88" i="35"/>
  <c r="AR88" i="35"/>
  <c r="AN88" i="35"/>
  <c r="AL88" i="35"/>
  <c r="BA88" i="35"/>
  <c r="AY88" i="35"/>
  <c r="BD88" i="35"/>
  <c r="AP88" i="35"/>
  <c r="AQ88" i="35"/>
  <c r="AV88" i="35"/>
  <c r="AS88" i="35"/>
  <c r="AZ88" i="35"/>
  <c r="AX134" i="35"/>
  <c r="BD134" i="35"/>
  <c r="AM134" i="35"/>
  <c r="BA134" i="35"/>
  <c r="AR134" i="35"/>
  <c r="AP134" i="35"/>
  <c r="AV134" i="35"/>
  <c r="AS134" i="35"/>
  <c r="AJ134" i="35"/>
  <c r="AN134" i="35"/>
  <c r="AK134" i="35"/>
  <c r="AY134" i="35"/>
  <c r="BB134" i="35"/>
  <c r="AQ134" i="35"/>
  <c r="AW134" i="35"/>
  <c r="AT134" i="35"/>
  <c r="AI134" i="35"/>
  <c r="AO134" i="35"/>
  <c r="AL134" i="35"/>
  <c r="BC134" i="35"/>
  <c r="AU134" i="35"/>
  <c r="AZ134" i="35"/>
  <c r="AU100" i="35"/>
  <c r="AO100" i="35"/>
  <c r="AZ100" i="35"/>
  <c r="AS100" i="35"/>
  <c r="AM100" i="35"/>
  <c r="AY100" i="35"/>
  <c r="AJ100" i="35"/>
  <c r="AQ100" i="35"/>
  <c r="BD100" i="35"/>
  <c r="AX100" i="35"/>
  <c r="AI100" i="35"/>
  <c r="AN100" i="35"/>
  <c r="AW100" i="35"/>
  <c r="AP100" i="35"/>
  <c r="BB100" i="35"/>
  <c r="AT100" i="35"/>
  <c r="BA100" i="35"/>
  <c r="AV100" i="35"/>
  <c r="AL100" i="35"/>
  <c r="AR100" i="35"/>
  <c r="AK100" i="35"/>
  <c r="BC100" i="35"/>
  <c r="AR76" i="35"/>
  <c r="BC76" i="35"/>
  <c r="AN76" i="35"/>
  <c r="BD76" i="35"/>
  <c r="AQ76" i="35"/>
  <c r="AP76" i="35"/>
  <c r="AM76" i="35"/>
  <c r="BA76" i="35"/>
  <c r="AS76" i="35"/>
  <c r="AW76" i="35"/>
  <c r="AK76" i="35"/>
  <c r="AO76" i="35"/>
  <c r="BB76" i="35"/>
  <c r="AT76" i="35"/>
  <c r="AL76" i="35"/>
  <c r="AX76" i="35"/>
  <c r="AV76" i="35"/>
  <c r="AJ76" i="35"/>
  <c r="AI76" i="35"/>
  <c r="AZ76" i="35"/>
  <c r="AY76" i="35"/>
  <c r="AU76" i="35"/>
  <c r="AB94" i="36"/>
  <c r="X94" i="36"/>
  <c r="AA94" i="36"/>
  <c r="AE94" i="36"/>
  <c r="AG94" i="36"/>
  <c r="AC94" i="36"/>
  <c r="Y94" i="36"/>
  <c r="AH94" i="36"/>
  <c r="AD94" i="36"/>
  <c r="Z94" i="36"/>
  <c r="AF94" i="36"/>
  <c r="AZ113" i="35"/>
  <c r="P113" i="35"/>
  <c r="BC113" i="35"/>
  <c r="AN113" i="35"/>
  <c r="AU113" i="35"/>
  <c r="AR113" i="35"/>
  <c r="AV113" i="35"/>
  <c r="AP113" i="35"/>
  <c r="AM113" i="35"/>
  <c r="AJ113" i="35"/>
  <c r="AI113" i="35"/>
  <c r="BA113" i="35"/>
  <c r="AX113" i="35"/>
  <c r="AS113" i="35"/>
  <c r="BD113" i="35"/>
  <c r="AL113" i="35"/>
  <c r="BB113" i="35"/>
  <c r="AK113" i="35"/>
  <c r="AW113" i="35"/>
  <c r="AQ113" i="35"/>
  <c r="AO113" i="35"/>
  <c r="AT113" i="35"/>
  <c r="AY113" i="35"/>
  <c r="R113" i="35"/>
  <c r="AB86" i="36"/>
  <c r="AD86" i="36"/>
  <c r="AA86" i="36"/>
  <c r="Z86" i="36"/>
  <c r="Y86" i="36"/>
  <c r="AC86" i="36"/>
  <c r="AF86" i="36"/>
  <c r="X86" i="36"/>
  <c r="AH86" i="36"/>
  <c r="AE86" i="36"/>
  <c r="AG86" i="36"/>
  <c r="AH68" i="36"/>
  <c r="AF68" i="36"/>
  <c r="AD68" i="36"/>
  <c r="AC68" i="36"/>
  <c r="AA68" i="36"/>
  <c r="X68" i="36"/>
  <c r="Z68" i="36"/>
  <c r="AB68" i="36"/>
  <c r="Y68" i="36"/>
  <c r="AE68" i="36"/>
  <c r="AG68" i="36"/>
  <c r="AA55" i="36"/>
  <c r="AD55" i="36"/>
  <c r="AE55" i="36"/>
  <c r="AB55" i="36"/>
  <c r="X55" i="36"/>
  <c r="AG55" i="36"/>
  <c r="AC55" i="36"/>
  <c r="AF55" i="36"/>
  <c r="Z55" i="36"/>
  <c r="AH55" i="36"/>
  <c r="Y55" i="36"/>
  <c r="AS80" i="35"/>
  <c r="AM80" i="35"/>
  <c r="AK80" i="35"/>
  <c r="AZ80" i="35"/>
  <c r="AP80" i="35"/>
  <c r="AQ80" i="35"/>
  <c r="BC80" i="35"/>
  <c r="AT80" i="35"/>
  <c r="AU80" i="35"/>
  <c r="AL80" i="35"/>
  <c r="BB80" i="35"/>
  <c r="AY80" i="35"/>
  <c r="AR80" i="35"/>
  <c r="AX80" i="35"/>
  <c r="AW80" i="35"/>
  <c r="AJ80" i="35"/>
  <c r="AO80" i="35"/>
  <c r="AN80" i="35"/>
  <c r="AV80" i="35"/>
  <c r="BD80" i="35"/>
  <c r="BA80" i="35"/>
  <c r="AI80" i="35"/>
  <c r="AQ132" i="35"/>
  <c r="AW132" i="35"/>
  <c r="AT132" i="35"/>
  <c r="AI132" i="35"/>
  <c r="AO132" i="35"/>
  <c r="AL132" i="35"/>
  <c r="AZ132" i="35"/>
  <c r="BC132" i="35"/>
  <c r="AR132" i="35"/>
  <c r="AU132" i="35"/>
  <c r="AJ132" i="35"/>
  <c r="AX132" i="35"/>
  <c r="BD132" i="35"/>
  <c r="AM132" i="35"/>
  <c r="BA132" i="35"/>
  <c r="AP132" i="35"/>
  <c r="AV132" i="35"/>
  <c r="AS132" i="35"/>
  <c r="AN132" i="35"/>
  <c r="AK132" i="35"/>
  <c r="AY132" i="35"/>
  <c r="BB132" i="35"/>
  <c r="AL98" i="35"/>
  <c r="AZ98" i="35"/>
  <c r="AS98" i="35"/>
  <c r="BC98" i="35"/>
  <c r="AJ98" i="35"/>
  <c r="BA98" i="35"/>
  <c r="AU98" i="35"/>
  <c r="AR98" i="35"/>
  <c r="AK98" i="35"/>
  <c r="AM98" i="35"/>
  <c r="AY98" i="35"/>
  <c r="AW98" i="35"/>
  <c r="AQ98" i="35"/>
  <c r="AO98" i="35"/>
  <c r="AX98" i="35"/>
  <c r="AI98" i="35"/>
  <c r="AV98" i="35"/>
  <c r="AP98" i="35"/>
  <c r="BB98" i="35"/>
  <c r="BD98" i="35"/>
  <c r="AT98" i="35"/>
  <c r="AN98" i="35"/>
  <c r="I5" i="35"/>
  <c r="P12" i="5"/>
  <c r="P15" i="5" s="1"/>
  <c r="F4" i="5"/>
  <c r="E4" i="5"/>
  <c r="Z4" i="21"/>
  <c r="AH4" i="21" s="1"/>
  <c r="X6" i="9"/>
  <c r="T53" i="10"/>
  <c r="AA49" i="10"/>
  <c r="V49" i="10"/>
  <c r="AJ11" i="16"/>
  <c r="AJ12" i="16" s="1"/>
  <c r="AE70" i="6"/>
  <c r="R70" i="6"/>
  <c r="N70" i="6"/>
  <c r="X70" i="6"/>
  <c r="AK70" i="6"/>
  <c r="N53" i="10"/>
  <c r="N53" i="11" s="1"/>
  <c r="X49" i="10"/>
  <c r="X54" i="10" s="1"/>
  <c r="S49" i="10"/>
  <c r="U74" i="8"/>
  <c r="AI8" i="17"/>
  <c r="Z49" i="10"/>
  <c r="U49" i="10"/>
  <c r="P49" i="10"/>
  <c r="L5" i="9"/>
  <c r="W49" i="10"/>
  <c r="N49" i="10"/>
  <c r="O49" i="10"/>
  <c r="O54" i="10" s="1"/>
  <c r="M53" i="10"/>
  <c r="Q49" i="10"/>
  <c r="X53" i="10"/>
  <c r="AI6" i="17"/>
  <c r="X49" i="11"/>
  <c r="P81" i="6"/>
  <c r="M85" i="6"/>
  <c r="M83" i="6" s="1"/>
  <c r="AB49" i="10"/>
  <c r="X9" i="21"/>
  <c r="AF9" i="21" s="1"/>
  <c r="X12" i="21"/>
  <c r="AF12" i="21" s="1"/>
  <c r="X11" i="21"/>
  <c r="AF11" i="21" s="1"/>
  <c r="X10" i="21"/>
  <c r="AF10" i="21" s="1"/>
  <c r="AJ4" i="21"/>
  <c r="AT12" i="16"/>
  <c r="AO12" i="16"/>
  <c r="AP5" i="8"/>
  <c r="AP5" i="9"/>
  <c r="AO5" i="8"/>
  <c r="AO5" i="9"/>
  <c r="AO6" i="9"/>
  <c r="AP6" i="9"/>
  <c r="AO6" i="8"/>
  <c r="AP6" i="8"/>
  <c r="AA70" i="8"/>
  <c r="AA74" i="8" s="1"/>
  <c r="AA70" i="9"/>
  <c r="AA70" i="7"/>
  <c r="V53" i="12"/>
  <c r="F37" i="5"/>
  <c r="R52" i="13"/>
  <c r="R52" i="12"/>
  <c r="R54" i="12" s="1"/>
  <c r="R53" i="12" s="1"/>
  <c r="R52" i="11"/>
  <c r="R52" i="10"/>
  <c r="S32" i="11"/>
  <c r="S50" i="13"/>
  <c r="S50" i="12"/>
  <c r="S50" i="11"/>
  <c r="S50" i="10"/>
  <c r="M53" i="11"/>
  <c r="M53" i="12"/>
  <c r="Z70" i="8"/>
  <c r="Z74" i="8" s="1"/>
  <c r="Z70" i="9"/>
  <c r="Z70" i="7"/>
  <c r="T53" i="11"/>
  <c r="T53" i="12"/>
  <c r="R12" i="11"/>
  <c r="R15" i="11"/>
  <c r="R7" i="11"/>
  <c r="R10" i="11"/>
  <c r="R21" i="11"/>
  <c r="R13" i="11"/>
  <c r="R5" i="11"/>
  <c r="R16" i="11"/>
  <c r="R8" i="11"/>
  <c r="R11" i="11"/>
  <c r="R14" i="11"/>
  <c r="R6" i="11"/>
  <c r="R33" i="11"/>
  <c r="R17" i="11"/>
  <c r="R25" i="11"/>
  <c r="R9" i="11"/>
  <c r="R22" i="11"/>
  <c r="R23" i="11"/>
  <c r="R40" i="11"/>
  <c r="R19" i="11"/>
  <c r="R30" i="11"/>
  <c r="R31" i="11"/>
  <c r="R18" i="11"/>
  <c r="R28" i="11"/>
  <c r="R46" i="11"/>
  <c r="R38" i="11"/>
  <c r="R39" i="11"/>
  <c r="R27" i="11"/>
  <c r="R36" i="11"/>
  <c r="R41" i="11"/>
  <c r="R35" i="11"/>
  <c r="R44" i="11"/>
  <c r="R45" i="11"/>
  <c r="R20" i="11"/>
  <c r="R26" i="11"/>
  <c r="R29" i="11"/>
  <c r="R34" i="11"/>
  <c r="R47" i="11"/>
  <c r="R37" i="11"/>
  <c r="R24" i="11"/>
  <c r="R42" i="11"/>
  <c r="R43" i="11"/>
  <c r="N53" i="12"/>
  <c r="M54" i="10"/>
  <c r="U53" i="11"/>
  <c r="U53" i="12"/>
  <c r="P53" i="12"/>
  <c r="P53" i="11"/>
  <c r="R51" i="13"/>
  <c r="R51" i="12"/>
  <c r="R51" i="10"/>
  <c r="R51" i="11"/>
  <c r="R54" i="11" s="1"/>
  <c r="E37" i="5"/>
  <c r="Z54" i="12"/>
  <c r="Z53" i="12" s="1"/>
  <c r="AB72" i="9"/>
  <c r="AB72" i="8"/>
  <c r="AB72" i="7"/>
  <c r="AB74" i="6"/>
  <c r="AH74" i="8"/>
  <c r="O53" i="11"/>
  <c r="AJ70" i="9"/>
  <c r="AJ70" i="8"/>
  <c r="AJ74" i="8" s="1"/>
  <c r="AJ70" i="7"/>
  <c r="AL70" i="8"/>
  <c r="AL70" i="9"/>
  <c r="AL70" i="7"/>
  <c r="Z54" i="11"/>
  <c r="Z53" i="11" s="1"/>
  <c r="AI74" i="8"/>
  <c r="V54" i="10"/>
  <c r="Z54" i="10"/>
  <c r="U54" i="10"/>
  <c r="T54" i="10"/>
  <c r="P54" i="10"/>
  <c r="N54" i="10"/>
  <c r="M81" i="6"/>
  <c r="M82" i="6"/>
  <c r="D35" i="5"/>
  <c r="N72" i="6"/>
  <c r="AQ73" i="35" l="1"/>
  <c r="AW73" i="35"/>
  <c r="AO73" i="35"/>
  <c r="BA73" i="35"/>
  <c r="AR73" i="35"/>
  <c r="AS73" i="35"/>
  <c r="AK73" i="35"/>
  <c r="AX73" i="35"/>
  <c r="BB73" i="35"/>
  <c r="AP73" i="35"/>
  <c r="AT73" i="35"/>
  <c r="AL73" i="35"/>
  <c r="AU73" i="35"/>
  <c r="AV73" i="35"/>
  <c r="AY73" i="35"/>
  <c r="AJ73" i="35"/>
  <c r="AZ73" i="35"/>
  <c r="AN73" i="35"/>
  <c r="BD73" i="35"/>
  <c r="AM73" i="35"/>
  <c r="BC73" i="35"/>
  <c r="AI73" i="35"/>
  <c r="Z69" i="7"/>
  <c r="Z74" i="7" s="1"/>
  <c r="AG69" i="7"/>
  <c r="AF69" i="7"/>
  <c r="AA69" i="7"/>
  <c r="AA74" i="7" s="1"/>
  <c r="AE69" i="7"/>
  <c r="AE53" i="36"/>
  <c r="AF53" i="36"/>
  <c r="Y53" i="36"/>
  <c r="AG53" i="36"/>
  <c r="AB53" i="36"/>
  <c r="Z53" i="36"/>
  <c r="AH53" i="36"/>
  <c r="AA53" i="36"/>
  <c r="AD53" i="36"/>
  <c r="AC53" i="36"/>
  <c r="X53" i="36"/>
  <c r="M18" i="6"/>
  <c r="M20" i="6"/>
  <c r="M60" i="6"/>
  <c r="M59" i="6"/>
  <c r="O71" i="6"/>
  <c r="O76" i="6" s="1"/>
  <c r="M67" i="6"/>
  <c r="V71" i="6"/>
  <c r="U71" i="6"/>
  <c r="U76" i="6" s="1"/>
  <c r="M27" i="6"/>
  <c r="M23" i="6"/>
  <c r="AE71" i="6"/>
  <c r="AE76" i="6" s="1"/>
  <c r="M64" i="6"/>
  <c r="M53" i="6"/>
  <c r="M46" i="6"/>
  <c r="M44" i="6"/>
  <c r="M28" i="6"/>
  <c r="M29" i="6"/>
  <c r="M24" i="6"/>
  <c r="R71" i="6"/>
  <c r="R76" i="6" s="1"/>
  <c r="M57" i="6"/>
  <c r="AI71" i="6"/>
  <c r="AI76" i="6" s="1"/>
  <c r="M50" i="6"/>
  <c r="M14" i="6"/>
  <c r="Y71" i="6"/>
  <c r="Y76" i="6" s="1"/>
  <c r="M33" i="6"/>
  <c r="AH71" i="6"/>
  <c r="AH76" i="6" s="1"/>
  <c r="M34" i="6"/>
  <c r="X71" i="6"/>
  <c r="X76" i="6" s="1"/>
  <c r="M61" i="6"/>
  <c r="Z71" i="6"/>
  <c r="M17" i="6"/>
  <c r="M58" i="6"/>
  <c r="S71" i="6"/>
  <c r="S76" i="6" s="1"/>
  <c r="AA71" i="6"/>
  <c r="M9" i="6"/>
  <c r="M65" i="6"/>
  <c r="M47" i="6"/>
  <c r="M37" i="6"/>
  <c r="M66" i="6"/>
  <c r="M52" i="6"/>
  <c r="M35" i="6"/>
  <c r="M36" i="6"/>
  <c r="W71" i="6"/>
  <c r="W76" i="6" s="1"/>
  <c r="L71" i="6"/>
  <c r="L76" i="6" s="1"/>
  <c r="M54" i="6"/>
  <c r="M51" i="6"/>
  <c r="M40" i="6"/>
  <c r="M45" i="6"/>
  <c r="AF71" i="6"/>
  <c r="AF76" i="6" s="1"/>
  <c r="M55" i="6"/>
  <c r="M39" i="6"/>
  <c r="M41" i="6"/>
  <c r="M38" i="6"/>
  <c r="M13" i="6"/>
  <c r="M43" i="6"/>
  <c r="M48" i="6"/>
  <c r="M10" i="6"/>
  <c r="M56" i="6"/>
  <c r="P71" i="6"/>
  <c r="P76" i="6" s="1"/>
  <c r="M62" i="6"/>
  <c r="AC71" i="6"/>
  <c r="AC76" i="6" s="1"/>
  <c r="M49" i="6"/>
  <c r="M19" i="6"/>
  <c r="M63" i="6"/>
  <c r="M30" i="6"/>
  <c r="Q71" i="6"/>
  <c r="Q76" i="6" s="1"/>
  <c r="M42" i="6"/>
  <c r="I10" i="38"/>
  <c r="AJ81" i="35"/>
  <c r="AI81" i="35"/>
  <c r="AV81" i="35"/>
  <c r="BB81" i="35"/>
  <c r="AN81" i="35"/>
  <c r="AK81" i="35"/>
  <c r="AR81" i="35"/>
  <c r="AW81" i="35"/>
  <c r="BC81" i="35"/>
  <c r="BA81" i="35"/>
  <c r="AL81" i="35"/>
  <c r="AO81" i="35"/>
  <c r="AU81" i="35"/>
  <c r="BD81" i="35"/>
  <c r="AP81" i="35"/>
  <c r="AM81" i="35"/>
  <c r="AS81" i="35"/>
  <c r="AY81" i="35"/>
  <c r="AX81" i="35"/>
  <c r="AT81" i="35"/>
  <c r="AQ81" i="35"/>
  <c r="J6" i="37" s="1"/>
  <c r="AZ81" i="35"/>
  <c r="U6" i="9"/>
  <c r="U5" i="9"/>
  <c r="M89" i="6"/>
  <c r="R53" i="11"/>
  <c r="R32" i="12"/>
  <c r="S46" i="11"/>
  <c r="R46" i="12"/>
  <c r="S46" i="12" s="1"/>
  <c r="R46" i="13"/>
  <c r="S46" i="13" s="1"/>
  <c r="N70" i="8"/>
  <c r="N70" i="9"/>
  <c r="N70" i="7"/>
  <c r="O11" i="11"/>
  <c r="O14" i="11"/>
  <c r="O6" i="11"/>
  <c r="O9" i="11"/>
  <c r="O12" i="11"/>
  <c r="O15" i="11"/>
  <c r="O7" i="11"/>
  <c r="O10" i="11"/>
  <c r="O5" i="11"/>
  <c r="O21" i="11"/>
  <c r="O13" i="11"/>
  <c r="O8" i="11"/>
  <c r="O16" i="11"/>
  <c r="O38" i="11"/>
  <c r="O33" i="11"/>
  <c r="O28" i="11"/>
  <c r="O30" i="11"/>
  <c r="O41" i="11"/>
  <c r="O17" i="11"/>
  <c r="O18" i="11"/>
  <c r="O36" i="11"/>
  <c r="O24" i="11"/>
  <c r="O26" i="11"/>
  <c r="O27" i="11"/>
  <c r="O44" i="11"/>
  <c r="O32" i="11"/>
  <c r="O34" i="11"/>
  <c r="O35" i="11"/>
  <c r="O23" i="11"/>
  <c r="O40" i="11"/>
  <c r="O42" i="11"/>
  <c r="O43" i="11"/>
  <c r="O31" i="11"/>
  <c r="O20" i="11"/>
  <c r="O39" i="11"/>
  <c r="O47" i="11"/>
  <c r="O29" i="11"/>
  <c r="O37" i="11"/>
  <c r="O45" i="11"/>
  <c r="O25" i="11"/>
  <c r="O46" i="11"/>
  <c r="O19" i="11"/>
  <c r="O22" i="11"/>
  <c r="AI6" i="9"/>
  <c r="AI5" i="9"/>
  <c r="AJ5" i="9"/>
  <c r="AJ6" i="9"/>
  <c r="R24" i="12"/>
  <c r="S24" i="12" s="1"/>
  <c r="S24" i="11"/>
  <c r="R24" i="13"/>
  <c r="S24" i="13" s="1"/>
  <c r="S44" i="11"/>
  <c r="R44" i="12"/>
  <c r="Q44" i="36" s="1"/>
  <c r="Q92" i="36" s="1"/>
  <c r="R44" i="13"/>
  <c r="S44" i="13" s="1"/>
  <c r="R28" i="12"/>
  <c r="S28" i="12" s="1"/>
  <c r="S28" i="11"/>
  <c r="R28" i="13"/>
  <c r="S28" i="13" s="1"/>
  <c r="R9" i="12"/>
  <c r="S9" i="12" s="1"/>
  <c r="S9" i="11"/>
  <c r="R9" i="13"/>
  <c r="S9" i="13" s="1"/>
  <c r="R16" i="12"/>
  <c r="Q16" i="36" s="1"/>
  <c r="Q64" i="36" s="1"/>
  <c r="S16" i="11"/>
  <c r="R16" i="13"/>
  <c r="S16" i="13" s="1"/>
  <c r="R32" i="13"/>
  <c r="S32" i="13" s="1"/>
  <c r="L50" i="13"/>
  <c r="L50" i="12"/>
  <c r="L50" i="11"/>
  <c r="L50" i="10"/>
  <c r="R12" i="12"/>
  <c r="S12" i="12" s="1"/>
  <c r="S12" i="11"/>
  <c r="R12" i="13"/>
  <c r="S12" i="13" s="1"/>
  <c r="Z60" i="9"/>
  <c r="Z50" i="9"/>
  <c r="Z42" i="9"/>
  <c r="Z65" i="9"/>
  <c r="Z19" i="9"/>
  <c r="Z25" i="9"/>
  <c r="Z10" i="9"/>
  <c r="Z67" i="9"/>
  <c r="Z56" i="9"/>
  <c r="Z46" i="9"/>
  <c r="Z38" i="9"/>
  <c r="Z57" i="9"/>
  <c r="Z15" i="9"/>
  <c r="Z21" i="9"/>
  <c r="Z6" i="9"/>
  <c r="Z59" i="9"/>
  <c r="Z48" i="9"/>
  <c r="Z41" i="9"/>
  <c r="Z61" i="9"/>
  <c r="Z40" i="9"/>
  <c r="Z24" i="9"/>
  <c r="Z26" i="9"/>
  <c r="Z11" i="9"/>
  <c r="Z55" i="9"/>
  <c r="Z66" i="9"/>
  <c r="Z37" i="9"/>
  <c r="Z43" i="9"/>
  <c r="Z36" i="9"/>
  <c r="Z20" i="9"/>
  <c r="Z9" i="9"/>
  <c r="Z7" i="9"/>
  <c r="Z47" i="9"/>
  <c r="Z58" i="9"/>
  <c r="Z53" i="9"/>
  <c r="Z35" i="9"/>
  <c r="Z27" i="9"/>
  <c r="Z12" i="9"/>
  <c r="Z30" i="9"/>
  <c r="Z14" i="9"/>
  <c r="Z64" i="9"/>
  <c r="Z54" i="9"/>
  <c r="Z49" i="9"/>
  <c r="Z31" i="9"/>
  <c r="Z23" i="9"/>
  <c r="Z29" i="9"/>
  <c r="Z13" i="9"/>
  <c r="Z8" i="9"/>
  <c r="Z33" i="9"/>
  <c r="Z5" i="9"/>
  <c r="Z34" i="9"/>
  <c r="Z18" i="9"/>
  <c r="Z39" i="9"/>
  <c r="Z22" i="9"/>
  <c r="Z52" i="9"/>
  <c r="Z63" i="9"/>
  <c r="Z44" i="9"/>
  <c r="Z51" i="9"/>
  <c r="Z32" i="9"/>
  <c r="Z28" i="9"/>
  <c r="Z62" i="9"/>
  <c r="Z16" i="9"/>
  <c r="Z45" i="9"/>
  <c r="Z17" i="9"/>
  <c r="N16" i="11"/>
  <c r="N8" i="11"/>
  <c r="N11" i="11"/>
  <c r="N14" i="11"/>
  <c r="N6" i="11"/>
  <c r="N9" i="11"/>
  <c r="N12" i="11"/>
  <c r="N15" i="11"/>
  <c r="N7" i="11"/>
  <c r="N10" i="11"/>
  <c r="N5" i="11"/>
  <c r="N21" i="11"/>
  <c r="N29" i="11"/>
  <c r="N13" i="11"/>
  <c r="N40" i="11"/>
  <c r="N41" i="11"/>
  <c r="N30" i="11"/>
  <c r="N20" i="11"/>
  <c r="N38" i="11"/>
  <c r="N18" i="11"/>
  <c r="N37" i="11"/>
  <c r="N46" i="11"/>
  <c r="N47" i="11"/>
  <c r="N17" i="11"/>
  <c r="N27" i="11"/>
  <c r="N23" i="11"/>
  <c r="N26" i="11"/>
  <c r="N35" i="11"/>
  <c r="N19" i="11"/>
  <c r="N45" i="11"/>
  <c r="N31" i="11"/>
  <c r="N34" i="11"/>
  <c r="N28" i="11"/>
  <c r="N39" i="11"/>
  <c r="N24" i="11"/>
  <c r="N25" i="11"/>
  <c r="N42" i="11"/>
  <c r="N36" i="11"/>
  <c r="N43" i="11"/>
  <c r="N44" i="11"/>
  <c r="N33" i="11"/>
  <c r="N22" i="11"/>
  <c r="N32" i="11"/>
  <c r="R5" i="12"/>
  <c r="Q5" i="36" s="1"/>
  <c r="Q53" i="36" s="1"/>
  <c r="S5" i="11"/>
  <c r="R5" i="13"/>
  <c r="R49" i="11"/>
  <c r="P14" i="11"/>
  <c r="P6" i="11"/>
  <c r="P9" i="11"/>
  <c r="P12" i="11"/>
  <c r="P15" i="11"/>
  <c r="P7" i="11"/>
  <c r="P10" i="11"/>
  <c r="P5" i="11"/>
  <c r="P21" i="11"/>
  <c r="P13" i="11"/>
  <c r="P16" i="11"/>
  <c r="P8" i="11"/>
  <c r="P27" i="11"/>
  <c r="P11" i="11"/>
  <c r="P35" i="11"/>
  <c r="P19" i="11"/>
  <c r="P23" i="11"/>
  <c r="P41" i="11"/>
  <c r="P47" i="11"/>
  <c r="P31" i="11"/>
  <c r="P24" i="11"/>
  <c r="P18" i="11"/>
  <c r="P22" i="11"/>
  <c r="P39" i="11"/>
  <c r="P32" i="11"/>
  <c r="P43" i="11"/>
  <c r="P30" i="11"/>
  <c r="P40" i="11"/>
  <c r="P38" i="11"/>
  <c r="P17" i="11"/>
  <c r="P45" i="11"/>
  <c r="P28" i="11"/>
  <c r="P20" i="11"/>
  <c r="P46" i="11"/>
  <c r="P26" i="11"/>
  <c r="P36" i="11"/>
  <c r="P29" i="11"/>
  <c r="P25" i="11"/>
  <c r="P34" i="11"/>
  <c r="P33" i="11"/>
  <c r="P37" i="11"/>
  <c r="P44" i="11"/>
  <c r="P42" i="11"/>
  <c r="R47" i="12"/>
  <c r="S47" i="12" s="1"/>
  <c r="S47" i="11"/>
  <c r="R47" i="13"/>
  <c r="S47" i="13" s="1"/>
  <c r="R41" i="12"/>
  <c r="S41" i="12" s="1"/>
  <c r="S41" i="11"/>
  <c r="R41" i="13"/>
  <c r="S41" i="13" s="1"/>
  <c r="R31" i="12"/>
  <c r="S31" i="12" s="1"/>
  <c r="S31" i="11"/>
  <c r="R31" i="13"/>
  <c r="S31" i="13" s="1"/>
  <c r="R17" i="12"/>
  <c r="S17" i="12" s="1"/>
  <c r="S17" i="11"/>
  <c r="R17" i="13"/>
  <c r="S17" i="13" s="1"/>
  <c r="R13" i="12"/>
  <c r="S13" i="12" s="1"/>
  <c r="S13" i="11"/>
  <c r="R13" i="13"/>
  <c r="S13" i="13" s="1"/>
  <c r="AA61" i="9"/>
  <c r="AA49" i="9"/>
  <c r="AA35" i="9"/>
  <c r="AA23" i="9"/>
  <c r="AA24" i="9"/>
  <c r="AA9" i="9"/>
  <c r="AA18" i="9"/>
  <c r="AA16" i="9"/>
  <c r="AA57" i="9"/>
  <c r="AA42" i="9"/>
  <c r="AA51" i="9"/>
  <c r="AA19" i="9"/>
  <c r="AA20" i="9"/>
  <c r="AA5" i="9"/>
  <c r="AA11" i="9"/>
  <c r="AA63" i="9"/>
  <c r="AA66" i="9"/>
  <c r="AA54" i="9"/>
  <c r="AA44" i="9"/>
  <c r="AA31" i="9"/>
  <c r="AA29" i="9"/>
  <c r="AA30" i="9"/>
  <c r="AA22" i="9"/>
  <c r="AA59" i="9"/>
  <c r="AA62" i="9"/>
  <c r="AA46" i="9"/>
  <c r="AA40" i="9"/>
  <c r="AA47" i="9"/>
  <c r="AA25" i="9"/>
  <c r="AA13" i="9"/>
  <c r="AA14" i="9"/>
  <c r="AA60" i="9"/>
  <c r="AA56" i="9"/>
  <c r="AA43" i="9"/>
  <c r="AA33" i="9"/>
  <c r="AA34" i="9"/>
  <c r="AA17" i="9"/>
  <c r="AA10" i="9"/>
  <c r="AA41" i="9"/>
  <c r="AA65" i="9"/>
  <c r="AA52" i="9"/>
  <c r="AA39" i="9"/>
  <c r="AA27" i="9"/>
  <c r="AA28" i="9"/>
  <c r="AA26" i="9"/>
  <c r="AA6" i="9"/>
  <c r="AA32" i="9"/>
  <c r="AA64" i="9"/>
  <c r="AA36" i="9"/>
  <c r="AA53" i="9"/>
  <c r="AA50" i="9"/>
  <c r="AA58" i="9"/>
  <c r="AA21" i="9"/>
  <c r="AA7" i="9"/>
  <c r="AA38" i="9"/>
  <c r="AA37" i="9"/>
  <c r="AA55" i="9"/>
  <c r="AA12" i="9"/>
  <c r="AA48" i="9"/>
  <c r="AA45" i="9"/>
  <c r="AA8" i="9"/>
  <c r="AA67" i="9"/>
  <c r="AA15" i="9"/>
  <c r="R45" i="12"/>
  <c r="S45" i="12" s="1"/>
  <c r="S45" i="11"/>
  <c r="R45" i="13"/>
  <c r="S45" i="13" s="1"/>
  <c r="R35" i="12"/>
  <c r="S35" i="12" s="1"/>
  <c r="S35" i="11"/>
  <c r="R35" i="13"/>
  <c r="S35" i="13" s="1"/>
  <c r="R25" i="12"/>
  <c r="S25" i="12" s="1"/>
  <c r="S25" i="11"/>
  <c r="R25" i="13"/>
  <c r="S25" i="13" s="1"/>
  <c r="T10" i="11"/>
  <c r="T21" i="11"/>
  <c r="T13" i="11"/>
  <c r="T5" i="11"/>
  <c r="T16" i="11"/>
  <c r="T8" i="11"/>
  <c r="T11" i="11"/>
  <c r="T14" i="11"/>
  <c r="T6" i="11"/>
  <c r="T9" i="11"/>
  <c r="T12" i="11"/>
  <c r="T23" i="11"/>
  <c r="T7" i="11"/>
  <c r="T31" i="11"/>
  <c r="T15" i="11"/>
  <c r="T28" i="11"/>
  <c r="T44" i="11"/>
  <c r="T17" i="11"/>
  <c r="T36" i="11"/>
  <c r="T43" i="11"/>
  <c r="T26" i="11"/>
  <c r="T24" i="11"/>
  <c r="T25" i="11"/>
  <c r="T34" i="11"/>
  <c r="T32" i="11"/>
  <c r="T33" i="11"/>
  <c r="T42" i="11"/>
  <c r="T18" i="11"/>
  <c r="T20" i="11"/>
  <c r="T22" i="11"/>
  <c r="T47" i="11"/>
  <c r="T40" i="11"/>
  <c r="T41" i="11"/>
  <c r="T27" i="11"/>
  <c r="T29" i="11"/>
  <c r="T30" i="11"/>
  <c r="T35" i="11"/>
  <c r="T37" i="11"/>
  <c r="T38" i="11"/>
  <c r="T39" i="11"/>
  <c r="T45" i="11"/>
  <c r="T19" i="11"/>
  <c r="T46" i="11"/>
  <c r="M21" i="11"/>
  <c r="M13" i="11"/>
  <c r="M16" i="11"/>
  <c r="M8" i="11"/>
  <c r="M11" i="11"/>
  <c r="M14" i="11"/>
  <c r="M6" i="11"/>
  <c r="M9" i="11"/>
  <c r="M12" i="11"/>
  <c r="M15" i="11"/>
  <c r="M7" i="11"/>
  <c r="M43" i="11"/>
  <c r="M37" i="11"/>
  <c r="M34" i="11"/>
  <c r="M18" i="11"/>
  <c r="M5" i="11"/>
  <c r="M26" i="11"/>
  <c r="M10" i="11"/>
  <c r="M41" i="11"/>
  <c r="M24" i="11"/>
  <c r="M25" i="11"/>
  <c r="M35" i="11"/>
  <c r="M46" i="11"/>
  <c r="M20" i="11"/>
  <c r="M32" i="11"/>
  <c r="M33" i="11"/>
  <c r="M29" i="11"/>
  <c r="M40" i="11"/>
  <c r="M17" i="11"/>
  <c r="M45" i="11"/>
  <c r="M22" i="11"/>
  <c r="M23" i="11"/>
  <c r="M42" i="11"/>
  <c r="M19" i="11"/>
  <c r="M47" i="11"/>
  <c r="M30" i="11"/>
  <c r="M31" i="11"/>
  <c r="M28" i="11"/>
  <c r="M38" i="11"/>
  <c r="M39" i="11"/>
  <c r="M36" i="11"/>
  <c r="M44" i="11"/>
  <c r="M27" i="11"/>
  <c r="R34" i="12"/>
  <c r="S34" i="12" s="1"/>
  <c r="S34" i="11"/>
  <c r="R34" i="13"/>
  <c r="S34" i="13" s="1"/>
  <c r="R36" i="12"/>
  <c r="S36" i="12" s="1"/>
  <c r="S36" i="11"/>
  <c r="R36" i="13"/>
  <c r="S36" i="13" s="1"/>
  <c r="R30" i="12"/>
  <c r="Q30" i="36" s="1"/>
  <c r="Q78" i="36" s="1"/>
  <c r="S30" i="11"/>
  <c r="R30" i="13"/>
  <c r="S30" i="13" s="1"/>
  <c r="R33" i="12"/>
  <c r="S33" i="12" s="1"/>
  <c r="S33" i="11"/>
  <c r="R33" i="13"/>
  <c r="S33" i="13" s="1"/>
  <c r="R21" i="12"/>
  <c r="Q21" i="36" s="1"/>
  <c r="Q69" i="36" s="1"/>
  <c r="S21" i="11"/>
  <c r="R21" i="13"/>
  <c r="S21" i="13" s="1"/>
  <c r="R22" i="12"/>
  <c r="S22" i="12" s="1"/>
  <c r="S22" i="11"/>
  <c r="R22" i="13"/>
  <c r="S22" i="13" s="1"/>
  <c r="S51" i="13"/>
  <c r="S51" i="12"/>
  <c r="S51" i="11"/>
  <c r="S51" i="10"/>
  <c r="R37" i="12"/>
  <c r="Q37" i="36" s="1"/>
  <c r="Q85" i="36" s="1"/>
  <c r="S37" i="11"/>
  <c r="R37" i="13"/>
  <c r="S37" i="13" s="1"/>
  <c r="R18" i="12"/>
  <c r="S18" i="12" s="1"/>
  <c r="S18" i="11"/>
  <c r="R18" i="13"/>
  <c r="S18" i="13" s="1"/>
  <c r="U21" i="11"/>
  <c r="U13" i="11"/>
  <c r="U5" i="11"/>
  <c r="U16" i="11"/>
  <c r="U8" i="11"/>
  <c r="U11" i="11"/>
  <c r="U14" i="11"/>
  <c r="U6" i="11"/>
  <c r="U9" i="11"/>
  <c r="U12" i="11"/>
  <c r="U15" i="11"/>
  <c r="U7" i="11"/>
  <c r="U26" i="11"/>
  <c r="U10" i="11"/>
  <c r="U41" i="11"/>
  <c r="U37" i="11"/>
  <c r="U34" i="11"/>
  <c r="U18" i="11"/>
  <c r="U25" i="11"/>
  <c r="U43" i="11"/>
  <c r="U29" i="11"/>
  <c r="U31" i="11"/>
  <c r="U24" i="11"/>
  <c r="U47" i="11"/>
  <c r="U33" i="11"/>
  <c r="U45" i="11"/>
  <c r="U39" i="11"/>
  <c r="U32" i="11"/>
  <c r="U46" i="11"/>
  <c r="U22" i="11"/>
  <c r="U40" i="11"/>
  <c r="U30" i="11"/>
  <c r="U44" i="11"/>
  <c r="U38" i="11"/>
  <c r="U19" i="11"/>
  <c r="U17" i="11"/>
  <c r="U27" i="11"/>
  <c r="U28" i="11"/>
  <c r="U42" i="11"/>
  <c r="U36" i="11"/>
  <c r="U23" i="11"/>
  <c r="U20" i="11"/>
  <c r="U35" i="11"/>
  <c r="R29" i="12"/>
  <c r="S29" i="12" s="1"/>
  <c r="S29" i="11"/>
  <c r="R29" i="13"/>
  <c r="S29" i="13" s="1"/>
  <c r="R27" i="12"/>
  <c r="S27" i="11"/>
  <c r="R27" i="13"/>
  <c r="S27" i="13" s="1"/>
  <c r="R19" i="12"/>
  <c r="S19" i="12" s="1"/>
  <c r="S19" i="11"/>
  <c r="R19" i="13"/>
  <c r="S19" i="13" s="1"/>
  <c r="R6" i="12"/>
  <c r="S6" i="12" s="1"/>
  <c r="S6" i="11"/>
  <c r="R6" i="13"/>
  <c r="S6" i="13" s="1"/>
  <c r="R10" i="12"/>
  <c r="Q10" i="36" s="1"/>
  <c r="Q58" i="36" s="1"/>
  <c r="S10" i="11"/>
  <c r="R10" i="13"/>
  <c r="S10" i="13" s="1"/>
  <c r="S42" i="11"/>
  <c r="R42" i="12"/>
  <c r="S42" i="12" s="1"/>
  <c r="R42" i="13"/>
  <c r="S42" i="13" s="1"/>
  <c r="AI34" i="7"/>
  <c r="AI27" i="7"/>
  <c r="AI30" i="7"/>
  <c r="AI23" i="7"/>
  <c r="AI19" i="7"/>
  <c r="AI15" i="7"/>
  <c r="AI11" i="7"/>
  <c r="AI36" i="7"/>
  <c r="AI33" i="7"/>
  <c r="AI26" i="7"/>
  <c r="AI29" i="7"/>
  <c r="AI22" i="7"/>
  <c r="AI18" i="7"/>
  <c r="AI14" i="7"/>
  <c r="AI41" i="7"/>
  <c r="AI32" i="7"/>
  <c r="AI25" i="7"/>
  <c r="AI24" i="7"/>
  <c r="AI31" i="7"/>
  <c r="AI20" i="7"/>
  <c r="AI16" i="7"/>
  <c r="AI12" i="7"/>
  <c r="AI35" i="7"/>
  <c r="AI21" i="7"/>
  <c r="AI10" i="7"/>
  <c r="AI9" i="7"/>
  <c r="AI17" i="7"/>
  <c r="AI28" i="7"/>
  <c r="AI13" i="7"/>
  <c r="AI7" i="7"/>
  <c r="AI8" i="7"/>
  <c r="AI60" i="7"/>
  <c r="AI46" i="7"/>
  <c r="AI64" i="7"/>
  <c r="AI54" i="7"/>
  <c r="AI49" i="7"/>
  <c r="AI58" i="7"/>
  <c r="AI51" i="7"/>
  <c r="AI55" i="7"/>
  <c r="AI57" i="7"/>
  <c r="AI66" i="7"/>
  <c r="AI59" i="7"/>
  <c r="AI63" i="7"/>
  <c r="AI65" i="7"/>
  <c r="AI67" i="7"/>
  <c r="AI38" i="7"/>
  <c r="AI37" i="7"/>
  <c r="AI47" i="7"/>
  <c r="AI45" i="7"/>
  <c r="AI62" i="7"/>
  <c r="AI39" i="7"/>
  <c r="AI44" i="7"/>
  <c r="AI53" i="7"/>
  <c r="AI48" i="7"/>
  <c r="AI42" i="7"/>
  <c r="AI50" i="7"/>
  <c r="AI56" i="7"/>
  <c r="AI40" i="7"/>
  <c r="AI61" i="7"/>
  <c r="AI52" i="7"/>
  <c r="AI43" i="7"/>
  <c r="AH5" i="9"/>
  <c r="AH6" i="9"/>
  <c r="AL6" i="9" s="1"/>
  <c r="R26" i="12"/>
  <c r="S26" i="12" s="1"/>
  <c r="S26" i="11"/>
  <c r="R26" i="13"/>
  <c r="S26" i="13" s="1"/>
  <c r="R39" i="12"/>
  <c r="S39" i="11"/>
  <c r="R39" i="13"/>
  <c r="S39" i="13" s="1"/>
  <c r="R40" i="12"/>
  <c r="S40" i="12" s="1"/>
  <c r="S40" i="11"/>
  <c r="R40" i="13"/>
  <c r="S40" i="13" s="1"/>
  <c r="R14" i="12"/>
  <c r="S14" i="12" s="1"/>
  <c r="S14" i="11"/>
  <c r="R14" i="13"/>
  <c r="S14" i="13" s="1"/>
  <c r="R7" i="12"/>
  <c r="S7" i="12" s="1"/>
  <c r="S7" i="11"/>
  <c r="R7" i="13"/>
  <c r="S7" i="13" s="1"/>
  <c r="R8" i="12"/>
  <c r="Q8" i="36" s="1"/>
  <c r="Q56" i="36" s="1"/>
  <c r="S8" i="11"/>
  <c r="R8" i="13"/>
  <c r="S8" i="13" s="1"/>
  <c r="D46" i="5"/>
  <c r="Q50" i="13"/>
  <c r="Q50" i="12"/>
  <c r="Q50" i="10"/>
  <c r="Q50" i="11"/>
  <c r="Z14" i="11"/>
  <c r="Z6" i="11"/>
  <c r="Z9" i="11"/>
  <c r="Z12" i="11"/>
  <c r="Z15" i="11"/>
  <c r="Z7" i="11"/>
  <c r="Z10" i="11"/>
  <c r="Z21" i="11"/>
  <c r="Z13" i="11"/>
  <c r="Z5" i="11"/>
  <c r="Z16" i="11"/>
  <c r="Z8" i="11"/>
  <c r="Z39" i="11"/>
  <c r="Z35" i="11"/>
  <c r="Z27" i="11"/>
  <c r="Z11" i="11"/>
  <c r="Z17" i="11"/>
  <c r="Z36" i="11"/>
  <c r="Z26" i="11"/>
  <c r="Z44" i="11"/>
  <c r="Z34" i="11"/>
  <c r="Z22" i="11"/>
  <c r="Z23" i="11"/>
  <c r="Z24" i="11"/>
  <c r="Z42" i="11"/>
  <c r="Z41" i="11"/>
  <c r="Z19" i="11"/>
  <c r="Z30" i="11"/>
  <c r="Z31" i="11"/>
  <c r="Z32" i="11"/>
  <c r="Z20" i="11"/>
  <c r="Z38" i="11"/>
  <c r="Z40" i="11"/>
  <c r="Z25" i="11"/>
  <c r="Z18" i="11"/>
  <c r="Z29" i="11"/>
  <c r="Z46" i="11"/>
  <c r="Z33" i="11"/>
  <c r="Z43" i="11"/>
  <c r="Z45" i="11"/>
  <c r="Z47" i="11"/>
  <c r="Z28" i="11"/>
  <c r="Z37" i="11"/>
  <c r="V16" i="11"/>
  <c r="V8" i="11"/>
  <c r="V11" i="11"/>
  <c r="V14" i="11"/>
  <c r="V6" i="11"/>
  <c r="V9" i="11"/>
  <c r="V12" i="11"/>
  <c r="V15" i="11"/>
  <c r="V7" i="11"/>
  <c r="V10" i="11"/>
  <c r="V29" i="11"/>
  <c r="V13" i="11"/>
  <c r="V46" i="11"/>
  <c r="V21" i="11"/>
  <c r="V5" i="11"/>
  <c r="V19" i="11"/>
  <c r="V22" i="11"/>
  <c r="V28" i="11"/>
  <c r="V20" i="11"/>
  <c r="V30" i="11"/>
  <c r="V18" i="11"/>
  <c r="V36" i="11"/>
  <c r="V37" i="11"/>
  <c r="V38" i="11"/>
  <c r="V23" i="11"/>
  <c r="V25" i="11"/>
  <c r="V44" i="11"/>
  <c r="V47" i="11"/>
  <c r="V27" i="11"/>
  <c r="V31" i="11"/>
  <c r="V33" i="11"/>
  <c r="V17" i="11"/>
  <c r="V35" i="11"/>
  <c r="V39" i="11"/>
  <c r="V41" i="11"/>
  <c r="V26" i="11"/>
  <c r="V24" i="11"/>
  <c r="V34" i="11"/>
  <c r="V43" i="11"/>
  <c r="V32" i="11"/>
  <c r="V42" i="11"/>
  <c r="V45" i="11"/>
  <c r="V40" i="11"/>
  <c r="S43" i="11"/>
  <c r="R43" i="12"/>
  <c r="R43" i="13"/>
  <c r="R20" i="12"/>
  <c r="S20" i="11"/>
  <c r="R20" i="13"/>
  <c r="S20" i="13" s="1"/>
  <c r="R38" i="12"/>
  <c r="Q38" i="36" s="1"/>
  <c r="Q86" i="36" s="1"/>
  <c r="S38" i="11"/>
  <c r="R38" i="13"/>
  <c r="S38" i="13" s="1"/>
  <c r="R23" i="12"/>
  <c r="S23" i="11"/>
  <c r="R23" i="13"/>
  <c r="S23" i="13" s="1"/>
  <c r="R11" i="12"/>
  <c r="S11" i="11"/>
  <c r="R11" i="13"/>
  <c r="S11" i="13" s="1"/>
  <c r="R15" i="12"/>
  <c r="S15" i="11"/>
  <c r="R15" i="13"/>
  <c r="S15" i="13" s="1"/>
  <c r="S52" i="13"/>
  <c r="S52" i="12"/>
  <c r="S52" i="11"/>
  <c r="S52" i="10"/>
  <c r="D10" i="5"/>
  <c r="T72" i="6" s="1"/>
  <c r="S15" i="12" l="1"/>
  <c r="Q15" i="36"/>
  <c r="Q63" i="36" s="1"/>
  <c r="Q39" i="36"/>
  <c r="Q87" i="36" s="1"/>
  <c r="S27" i="12"/>
  <c r="Q27" i="36"/>
  <c r="Q75" i="36" s="1"/>
  <c r="Q11" i="36"/>
  <c r="Q59" i="36" s="1"/>
  <c r="Q20" i="36"/>
  <c r="Q68" i="36" s="1"/>
  <c r="S23" i="12"/>
  <c r="Q23" i="36"/>
  <c r="Q71" i="36" s="1"/>
  <c r="S43" i="12"/>
  <c r="Q43" i="36"/>
  <c r="Q91" i="36" s="1"/>
  <c r="R38" i="7"/>
  <c r="R38" i="9" s="1"/>
  <c r="R16" i="7"/>
  <c r="R36" i="7"/>
  <c r="R23" i="7"/>
  <c r="R67" i="7"/>
  <c r="R49" i="7"/>
  <c r="R32" i="7"/>
  <c r="R40" i="7"/>
  <c r="R40" i="9" s="1"/>
  <c r="R29" i="7"/>
  <c r="R11" i="7"/>
  <c r="R46" i="7"/>
  <c r="R61" i="7"/>
  <c r="R21" i="7"/>
  <c r="R37" i="7"/>
  <c r="R37" i="9" s="1"/>
  <c r="R22" i="7"/>
  <c r="R19" i="7"/>
  <c r="R47" i="7"/>
  <c r="R66" i="7"/>
  <c r="R35" i="7"/>
  <c r="R34" i="7"/>
  <c r="R18" i="7"/>
  <c r="R51" i="7"/>
  <c r="R54" i="7"/>
  <c r="R28" i="7"/>
  <c r="R27" i="7"/>
  <c r="R14" i="7"/>
  <c r="R60" i="7"/>
  <c r="R55" i="7"/>
  <c r="R25" i="7"/>
  <c r="R31" i="7"/>
  <c r="R45" i="7"/>
  <c r="R45" i="9" s="1"/>
  <c r="R15" i="7"/>
  <c r="R48" i="7"/>
  <c r="R50" i="7"/>
  <c r="R44" i="7"/>
  <c r="R44" i="9" s="1"/>
  <c r="R24" i="7"/>
  <c r="R42" i="7"/>
  <c r="R42" i="9" s="1"/>
  <c r="R7" i="7"/>
  <c r="R65" i="7"/>
  <c r="R62" i="7"/>
  <c r="R41" i="7"/>
  <c r="R20" i="7"/>
  <c r="R39" i="7"/>
  <c r="R39" i="9" s="1"/>
  <c r="R10" i="7"/>
  <c r="R59" i="7"/>
  <c r="R53" i="7"/>
  <c r="R52" i="7"/>
  <c r="R13" i="7"/>
  <c r="R17" i="7"/>
  <c r="R43" i="7"/>
  <c r="R43" i="9" s="1"/>
  <c r="R12" i="7"/>
  <c r="R26" i="7"/>
  <c r="R33" i="7"/>
  <c r="R30" i="7"/>
  <c r="R8" i="7"/>
  <c r="R57" i="7"/>
  <c r="R9" i="7"/>
  <c r="R64" i="7"/>
  <c r="R56" i="7"/>
  <c r="R58" i="7"/>
  <c r="R63" i="7"/>
  <c r="P45" i="7"/>
  <c r="P45" i="9" s="1"/>
  <c r="P18" i="7"/>
  <c r="P17" i="7"/>
  <c r="P27" i="7"/>
  <c r="P7" i="7"/>
  <c r="P56" i="7"/>
  <c r="P67" i="7"/>
  <c r="P50" i="7"/>
  <c r="P42" i="7"/>
  <c r="P42" i="9" s="1"/>
  <c r="P14" i="7"/>
  <c r="P13" i="7"/>
  <c r="P30" i="7"/>
  <c r="P12" i="7"/>
  <c r="P48" i="7"/>
  <c r="P52" i="7"/>
  <c r="P62" i="7"/>
  <c r="P33" i="7"/>
  <c r="P25" i="7"/>
  <c r="P35" i="7"/>
  <c r="P23" i="7"/>
  <c r="P20" i="7"/>
  <c r="P66" i="7"/>
  <c r="P65" i="7"/>
  <c r="P60" i="7"/>
  <c r="P26" i="7"/>
  <c r="P44" i="7"/>
  <c r="P44" i="9" s="1"/>
  <c r="P28" i="7"/>
  <c r="P19" i="7"/>
  <c r="P8" i="7"/>
  <c r="P53" i="7"/>
  <c r="P64" i="7"/>
  <c r="P63" i="7"/>
  <c r="P39" i="7"/>
  <c r="P39" i="9" s="1"/>
  <c r="P41" i="7"/>
  <c r="P43" i="7"/>
  <c r="P43" i="9" s="1"/>
  <c r="P15" i="7"/>
  <c r="P31" i="7"/>
  <c r="P57" i="7"/>
  <c r="P46" i="7"/>
  <c r="P36" i="7"/>
  <c r="P38" i="7"/>
  <c r="P38" i="9" s="1"/>
  <c r="P40" i="7"/>
  <c r="P40" i="9" s="1"/>
  <c r="P24" i="7"/>
  <c r="P16" i="7"/>
  <c r="P51" i="7"/>
  <c r="P47" i="7"/>
  <c r="P29" i="7"/>
  <c r="P32" i="7"/>
  <c r="P37" i="7"/>
  <c r="P37" i="9" s="1"/>
  <c r="P11" i="7"/>
  <c r="P10" i="7"/>
  <c r="P61" i="7"/>
  <c r="P54" i="7"/>
  <c r="P58" i="7"/>
  <c r="P22" i="7"/>
  <c r="P21" i="7"/>
  <c r="P34" i="7"/>
  <c r="P9" i="7"/>
  <c r="P49" i="7"/>
  <c r="P59" i="7"/>
  <c r="P55" i="7"/>
  <c r="W30" i="7"/>
  <c r="W29" i="7"/>
  <c r="W24" i="7"/>
  <c r="W13" i="7"/>
  <c r="W44" i="7"/>
  <c r="W54" i="7"/>
  <c r="W66" i="7"/>
  <c r="W59" i="7"/>
  <c r="W23" i="7"/>
  <c r="W22" i="7"/>
  <c r="W20" i="7"/>
  <c r="W9" i="7"/>
  <c r="W37" i="7"/>
  <c r="W63" i="7"/>
  <c r="W43" i="7"/>
  <c r="W38" i="7"/>
  <c r="W19" i="7"/>
  <c r="W18" i="7"/>
  <c r="W16" i="7"/>
  <c r="W21" i="7"/>
  <c r="W47" i="7"/>
  <c r="W58" i="7"/>
  <c r="W60" i="7"/>
  <c r="W15" i="7"/>
  <c r="W14" i="7"/>
  <c r="W12" i="7"/>
  <c r="W8" i="7"/>
  <c r="W42" i="7"/>
  <c r="W39" i="7"/>
  <c r="W53" i="7"/>
  <c r="W33" i="7"/>
  <c r="W35" i="7"/>
  <c r="W17" i="7"/>
  <c r="W57" i="7"/>
  <c r="W56" i="7"/>
  <c r="W45" i="7"/>
  <c r="W51" i="7"/>
  <c r="W34" i="7"/>
  <c r="W26" i="7"/>
  <c r="W28" i="7"/>
  <c r="W10" i="7"/>
  <c r="W67" i="7"/>
  <c r="W55" i="7"/>
  <c r="W64" i="7"/>
  <c r="W48" i="7"/>
  <c r="W27" i="7"/>
  <c r="W36" i="7"/>
  <c r="W31" i="7"/>
  <c r="W41" i="7"/>
  <c r="W65" i="7"/>
  <c r="W50" i="7"/>
  <c r="W62" i="7"/>
  <c r="W61" i="7"/>
  <c r="W7" i="7"/>
  <c r="W46" i="7"/>
  <c r="W52" i="7"/>
  <c r="W40" i="7"/>
  <c r="W49" i="7"/>
  <c r="W11" i="7"/>
  <c r="W25" i="7"/>
  <c r="W32" i="7"/>
  <c r="F8" i="38"/>
  <c r="F6" i="38"/>
  <c r="F10" i="38"/>
  <c r="F8" i="37"/>
  <c r="F6" i="37"/>
  <c r="F10" i="37"/>
  <c r="Q8" i="37"/>
  <c r="Q10" i="37"/>
  <c r="Q6" i="37"/>
  <c r="Q42" i="36"/>
  <c r="Q90" i="36" s="1"/>
  <c r="Q26" i="36"/>
  <c r="Q74" i="36" s="1"/>
  <c r="Q39" i="7"/>
  <c r="Q21" i="7"/>
  <c r="Q15" i="7"/>
  <c r="Q10" i="7"/>
  <c r="Q36" i="7"/>
  <c r="Q48" i="7"/>
  <c r="Q64" i="7"/>
  <c r="Q55" i="7"/>
  <c r="Q29" i="7"/>
  <c r="Q31" i="7"/>
  <c r="Q45" i="7"/>
  <c r="Q37" i="7"/>
  <c r="Q62" i="7"/>
  <c r="Q35" i="7"/>
  <c r="Q33" i="7"/>
  <c r="Q57" i="7"/>
  <c r="Q22" i="7"/>
  <c r="Q24" i="7"/>
  <c r="Q42" i="7"/>
  <c r="Q11" i="7"/>
  <c r="Q41" i="7"/>
  <c r="Q63" i="7"/>
  <c r="Q50" i="7"/>
  <c r="Q66" i="7"/>
  <c r="Q14" i="7"/>
  <c r="Q20" i="7"/>
  <c r="Q26" i="7"/>
  <c r="Q9" i="7"/>
  <c r="Q28" i="7"/>
  <c r="Q60" i="7"/>
  <c r="Q59" i="7"/>
  <c r="Q65" i="7"/>
  <c r="Q44" i="7"/>
  <c r="Q12" i="7"/>
  <c r="Q43" i="7"/>
  <c r="Q17" i="7"/>
  <c r="Q23" i="7"/>
  <c r="Q56" i="7"/>
  <c r="Q49" i="7"/>
  <c r="Q38" i="7"/>
  <c r="Q30" i="7"/>
  <c r="Q8" i="7"/>
  <c r="Q18" i="7"/>
  <c r="Q52" i="7"/>
  <c r="Q51" i="7"/>
  <c r="Q58" i="7"/>
  <c r="Q32" i="7"/>
  <c r="Q53" i="7"/>
  <c r="Q16" i="7"/>
  <c r="Q61" i="7"/>
  <c r="Q19" i="7"/>
  <c r="Q54" i="7"/>
  <c r="Q40" i="7"/>
  <c r="Q47" i="7"/>
  <c r="Q7" i="7"/>
  <c r="Q67" i="7"/>
  <c r="Q13" i="7"/>
  <c r="Q46" i="7"/>
  <c r="Q34" i="7"/>
  <c r="Q25" i="7"/>
  <c r="Q27" i="7"/>
  <c r="AH27" i="7"/>
  <c r="AH29" i="7"/>
  <c r="AH17" i="7"/>
  <c r="AH41" i="7"/>
  <c r="AH46" i="7"/>
  <c r="AH58" i="7"/>
  <c r="AH60" i="7"/>
  <c r="AH30" i="7"/>
  <c r="AH22" i="7"/>
  <c r="AH13" i="7"/>
  <c r="AH11" i="7"/>
  <c r="AH39" i="7"/>
  <c r="AH67" i="7"/>
  <c r="AH64" i="7"/>
  <c r="AH23" i="7"/>
  <c r="AH18" i="7"/>
  <c r="AH24" i="7"/>
  <c r="AH61" i="7"/>
  <c r="AH50" i="7"/>
  <c r="AH62" i="7"/>
  <c r="AH57" i="7"/>
  <c r="AH31" i="7"/>
  <c r="AH19" i="7"/>
  <c r="AH14" i="7"/>
  <c r="AH7" i="7"/>
  <c r="AH43" i="7"/>
  <c r="AH59" i="7"/>
  <c r="AH47" i="7"/>
  <c r="AH52" i="7"/>
  <c r="AH20" i="7"/>
  <c r="AH15" i="7"/>
  <c r="AH10" i="7"/>
  <c r="AH32" i="7"/>
  <c r="AH37" i="7"/>
  <c r="AH54" i="7"/>
  <c r="AH56" i="7"/>
  <c r="AH45" i="7"/>
  <c r="AH16" i="7"/>
  <c r="AH36" i="7"/>
  <c r="AH35" i="7"/>
  <c r="AH9" i="7"/>
  <c r="AH44" i="7"/>
  <c r="AH38" i="7"/>
  <c r="AH49" i="7"/>
  <c r="AH63" i="7"/>
  <c r="AH12" i="7"/>
  <c r="AH33" i="7"/>
  <c r="AH28" i="7"/>
  <c r="AH25" i="7"/>
  <c r="AH42" i="7"/>
  <c r="AH48" i="7"/>
  <c r="AH66" i="7"/>
  <c r="AH65" i="7"/>
  <c r="AH34" i="7"/>
  <c r="AH26" i="7"/>
  <c r="AH21" i="7"/>
  <c r="AH8" i="7"/>
  <c r="AH51" i="7"/>
  <c r="AH40" i="7"/>
  <c r="AH55" i="7"/>
  <c r="AH53" i="7"/>
  <c r="H8" i="38"/>
  <c r="H10" i="38"/>
  <c r="H6" i="38"/>
  <c r="W8" i="37"/>
  <c r="W6" i="37"/>
  <c r="W10" i="37"/>
  <c r="R8" i="37"/>
  <c r="R6" i="37"/>
  <c r="R10" i="37"/>
  <c r="E8" i="37"/>
  <c r="E10" i="37"/>
  <c r="E6" i="37"/>
  <c r="D8" i="37"/>
  <c r="D10" i="37"/>
  <c r="D6" i="37"/>
  <c r="Q12" i="36"/>
  <c r="Q60" i="36" s="1"/>
  <c r="Q6" i="36"/>
  <c r="Q54" i="36" s="1"/>
  <c r="G9" i="38" s="1"/>
  <c r="Q36" i="36"/>
  <c r="Q84" i="36" s="1"/>
  <c r="Q25" i="36"/>
  <c r="Q73" i="36" s="1"/>
  <c r="S17" i="7"/>
  <c r="S34" i="7"/>
  <c r="S29" i="7"/>
  <c r="S12" i="7"/>
  <c r="S38" i="7"/>
  <c r="S43" i="7"/>
  <c r="S63" i="7"/>
  <c r="S39" i="7"/>
  <c r="S13" i="7"/>
  <c r="S27" i="7"/>
  <c r="S22" i="7"/>
  <c r="S10" i="7"/>
  <c r="S56" i="7"/>
  <c r="S60" i="7"/>
  <c r="S59" i="7"/>
  <c r="S40" i="7"/>
  <c r="S35" i="7"/>
  <c r="S30" i="7"/>
  <c r="S18" i="7"/>
  <c r="S9" i="7"/>
  <c r="S57" i="7"/>
  <c r="S46" i="7"/>
  <c r="S61" i="7"/>
  <c r="S28" i="7"/>
  <c r="S23" i="7"/>
  <c r="S14" i="7"/>
  <c r="S26" i="7"/>
  <c r="S52" i="7"/>
  <c r="S55" i="7"/>
  <c r="S62" i="7"/>
  <c r="S41" i="7"/>
  <c r="S24" i="7"/>
  <c r="S15" i="7"/>
  <c r="S8" i="7"/>
  <c r="S48" i="7"/>
  <c r="S47" i="7"/>
  <c r="S51" i="7"/>
  <c r="S66" i="7"/>
  <c r="S32" i="7"/>
  <c r="S20" i="7"/>
  <c r="S11" i="7"/>
  <c r="S7" i="7"/>
  <c r="S49" i="7"/>
  <c r="S64" i="7"/>
  <c r="S53" i="7"/>
  <c r="S50" i="7"/>
  <c r="S16" i="7"/>
  <c r="S65" i="7"/>
  <c r="S19" i="7"/>
  <c r="S45" i="7"/>
  <c r="S36" i="7"/>
  <c r="S54" i="7"/>
  <c r="S25" i="7"/>
  <c r="S67" i="7"/>
  <c r="S33" i="7"/>
  <c r="S58" i="7"/>
  <c r="S42" i="7"/>
  <c r="S21" i="7"/>
  <c r="S44" i="7"/>
  <c r="S31" i="7"/>
  <c r="S37" i="7"/>
  <c r="M71" i="6"/>
  <c r="M76" i="6" s="1"/>
  <c r="K8" i="38"/>
  <c r="K6" i="38"/>
  <c r="K10" i="38"/>
  <c r="AA67" i="8"/>
  <c r="Z67" i="35" s="1"/>
  <c r="Z135" i="35" s="1"/>
  <c r="AA63" i="8"/>
  <c r="Z63" i="35" s="1"/>
  <c r="Z131" i="35" s="1"/>
  <c r="AA61" i="8"/>
  <c r="Z61" i="35" s="1"/>
  <c r="Z129" i="35" s="1"/>
  <c r="AA42" i="8"/>
  <c r="Z42" i="35" s="1"/>
  <c r="Z110" i="35" s="1"/>
  <c r="AA64" i="8"/>
  <c r="Z64" i="35" s="1"/>
  <c r="Z132" i="35" s="1"/>
  <c r="AA23" i="8"/>
  <c r="Z23" i="35" s="1"/>
  <c r="Z91" i="35" s="1"/>
  <c r="AA13" i="8"/>
  <c r="Z13" i="35" s="1"/>
  <c r="Z81" i="35" s="1"/>
  <c r="AA8" i="8"/>
  <c r="Z8" i="35" s="1"/>
  <c r="Z76" i="35" s="1"/>
  <c r="AA59" i="8"/>
  <c r="Z59" i="35" s="1"/>
  <c r="Z127" i="35" s="1"/>
  <c r="AA55" i="8"/>
  <c r="Z55" i="35" s="1"/>
  <c r="Z123" i="35" s="1"/>
  <c r="AA56" i="8"/>
  <c r="Z56" i="35" s="1"/>
  <c r="Z124" i="35" s="1"/>
  <c r="AA34" i="8"/>
  <c r="Z34" i="35" s="1"/>
  <c r="Z102" i="35" s="1"/>
  <c r="AA48" i="8"/>
  <c r="Z48" i="35" s="1"/>
  <c r="Z116" i="35" s="1"/>
  <c r="AA17" i="8"/>
  <c r="Z17" i="35" s="1"/>
  <c r="Z85" i="35" s="1"/>
  <c r="AA37" i="8"/>
  <c r="Z37" i="35" s="1"/>
  <c r="Z105" i="35" s="1"/>
  <c r="AA15" i="8"/>
  <c r="Z15" i="35" s="1"/>
  <c r="Z83" i="35" s="1"/>
  <c r="AA51" i="8"/>
  <c r="Z51" i="35" s="1"/>
  <c r="Z119" i="35" s="1"/>
  <c r="AA62" i="8"/>
  <c r="Z62" i="35" s="1"/>
  <c r="Z130" i="35" s="1"/>
  <c r="AA49" i="8"/>
  <c r="Z49" i="35" s="1"/>
  <c r="Z117" i="35" s="1"/>
  <c r="AA26" i="8"/>
  <c r="Z26" i="35" s="1"/>
  <c r="Z94" i="35" s="1"/>
  <c r="AA40" i="8"/>
  <c r="Z40" i="35" s="1"/>
  <c r="Z108" i="35" s="1"/>
  <c r="AA46" i="8"/>
  <c r="Z46" i="35" s="1"/>
  <c r="Z114" i="35" s="1"/>
  <c r="AA12" i="8"/>
  <c r="Z12" i="35" s="1"/>
  <c r="Z80" i="35" s="1"/>
  <c r="AA7" i="8"/>
  <c r="Z7" i="35" s="1"/>
  <c r="Z75" i="35" s="1"/>
  <c r="AA66" i="8"/>
  <c r="Z66" i="35" s="1"/>
  <c r="Z134" i="35" s="1"/>
  <c r="AA54" i="8"/>
  <c r="Z54" i="35" s="1"/>
  <c r="Z122" i="35" s="1"/>
  <c r="AA43" i="8"/>
  <c r="Z43" i="35" s="1"/>
  <c r="Z111" i="35" s="1"/>
  <c r="AA19" i="8"/>
  <c r="Z19" i="35" s="1"/>
  <c r="Z87" i="35" s="1"/>
  <c r="AA32" i="8"/>
  <c r="Z32" i="35" s="1"/>
  <c r="Z100" i="35" s="1"/>
  <c r="AA38" i="8"/>
  <c r="Z38" i="35" s="1"/>
  <c r="Z106" i="35" s="1"/>
  <c r="AA6" i="8"/>
  <c r="Z6" i="35" s="1"/>
  <c r="Z74" i="35" s="1"/>
  <c r="AA5" i="8"/>
  <c r="AA58" i="8"/>
  <c r="Z58" i="35" s="1"/>
  <c r="Z126" i="35" s="1"/>
  <c r="AA44" i="8"/>
  <c r="Z44" i="35" s="1"/>
  <c r="Z112" i="35" s="1"/>
  <c r="AA35" i="8"/>
  <c r="Z35" i="35" s="1"/>
  <c r="Z103" i="35" s="1"/>
  <c r="AA52" i="8"/>
  <c r="Z52" i="35" s="1"/>
  <c r="Z120" i="35" s="1"/>
  <c r="AA24" i="8"/>
  <c r="Z24" i="35" s="1"/>
  <c r="Z92" i="35" s="1"/>
  <c r="AA30" i="8"/>
  <c r="Z30" i="35" s="1"/>
  <c r="Z98" i="35" s="1"/>
  <c r="AA29" i="8"/>
  <c r="Z29" i="35" s="1"/>
  <c r="Z97" i="35" s="1"/>
  <c r="AA18" i="8"/>
  <c r="Z18" i="35" s="1"/>
  <c r="Z86" i="35" s="1"/>
  <c r="AA50" i="8"/>
  <c r="Z50" i="35" s="1"/>
  <c r="Z118" i="35" s="1"/>
  <c r="AA36" i="8"/>
  <c r="Z36" i="35" s="1"/>
  <c r="Z104" i="35" s="1"/>
  <c r="AA27" i="8"/>
  <c r="Z27" i="35" s="1"/>
  <c r="Z95" i="35" s="1"/>
  <c r="AA41" i="8"/>
  <c r="Z41" i="35" s="1"/>
  <c r="Z109" i="35" s="1"/>
  <c r="AA47" i="8"/>
  <c r="Z47" i="35" s="1"/>
  <c r="Z115" i="35" s="1"/>
  <c r="AA16" i="8"/>
  <c r="Z16" i="35" s="1"/>
  <c r="Z84" i="35" s="1"/>
  <c r="AA22" i="8"/>
  <c r="Z22" i="35" s="1"/>
  <c r="Z90" i="35" s="1"/>
  <c r="AA9" i="8"/>
  <c r="Z9" i="35" s="1"/>
  <c r="Z77" i="35" s="1"/>
  <c r="AA65" i="8"/>
  <c r="Z65" i="35" s="1"/>
  <c r="Z133" i="35" s="1"/>
  <c r="AA28" i="8"/>
  <c r="Z28" i="35" s="1"/>
  <c r="Z96" i="35" s="1"/>
  <c r="AA20" i="8"/>
  <c r="Z20" i="35" s="1"/>
  <c r="Z88" i="35" s="1"/>
  <c r="AA33" i="8"/>
  <c r="Z33" i="35" s="1"/>
  <c r="Z101" i="35" s="1"/>
  <c r="AA39" i="8"/>
  <c r="Z39" i="35" s="1"/>
  <c r="Z107" i="35" s="1"/>
  <c r="AA14" i="8"/>
  <c r="Z14" i="35" s="1"/>
  <c r="Z82" i="35" s="1"/>
  <c r="AA11" i="8"/>
  <c r="Z11" i="35" s="1"/>
  <c r="Z79" i="35" s="1"/>
  <c r="AA60" i="8"/>
  <c r="Z60" i="35" s="1"/>
  <c r="Z128" i="35" s="1"/>
  <c r="AA57" i="8"/>
  <c r="Z57" i="35" s="1"/>
  <c r="Z125" i="35" s="1"/>
  <c r="AA21" i="8"/>
  <c r="Z21" i="35" s="1"/>
  <c r="Z89" i="35" s="1"/>
  <c r="AA53" i="8"/>
  <c r="Z53" i="35" s="1"/>
  <c r="Z121" i="35" s="1"/>
  <c r="AA25" i="8"/>
  <c r="Z25" i="35" s="1"/>
  <c r="Z93" i="35" s="1"/>
  <c r="AA31" i="8"/>
  <c r="Z31" i="35" s="1"/>
  <c r="Z99" i="35" s="1"/>
  <c r="AA45" i="8"/>
  <c r="Z45" i="35" s="1"/>
  <c r="Z113" i="35" s="1"/>
  <c r="AA10" i="8"/>
  <c r="Z10" i="35" s="1"/>
  <c r="Z78" i="35" s="1"/>
  <c r="O8" i="37"/>
  <c r="O6" i="37"/>
  <c r="O10" i="37"/>
  <c r="P8" i="37"/>
  <c r="P10" i="37"/>
  <c r="P6" i="37"/>
  <c r="Q34" i="36"/>
  <c r="Q82" i="36" s="1"/>
  <c r="Q18" i="36"/>
  <c r="Q66" i="36" s="1"/>
  <c r="Y67" i="7"/>
  <c r="Y54" i="7"/>
  <c r="Y36" i="7"/>
  <c r="Y44" i="7"/>
  <c r="Y57" i="7"/>
  <c r="Y37" i="7"/>
  <c r="Y20" i="7"/>
  <c r="Y61" i="7"/>
  <c r="Y65" i="7"/>
  <c r="Y29" i="7"/>
  <c r="Y41" i="7"/>
  <c r="Y49" i="7"/>
  <c r="Y34" i="7"/>
  <c r="Y12" i="7"/>
  <c r="Y58" i="7"/>
  <c r="Y51" i="7"/>
  <c r="Y22" i="7"/>
  <c r="Y38" i="7"/>
  <c r="Y47" i="7"/>
  <c r="Y27" i="7"/>
  <c r="Y11" i="7"/>
  <c r="Y62" i="7"/>
  <c r="Y64" i="7"/>
  <c r="Y45" i="7"/>
  <c r="Y18" i="7"/>
  <c r="Y32" i="7"/>
  <c r="Y35" i="7"/>
  <c r="Y30" i="7"/>
  <c r="Y8" i="7"/>
  <c r="Y56" i="7"/>
  <c r="Y55" i="7"/>
  <c r="Y33" i="7"/>
  <c r="Y10" i="7"/>
  <c r="Y17" i="7"/>
  <c r="Y46" i="7"/>
  <c r="Y19" i="7"/>
  <c r="Y7" i="7"/>
  <c r="Y53" i="7"/>
  <c r="Y52" i="7"/>
  <c r="Y26" i="7"/>
  <c r="Y25" i="7"/>
  <c r="Y13" i="7"/>
  <c r="Y43" i="7"/>
  <c r="Y15" i="7"/>
  <c r="Y24" i="7"/>
  <c r="Y50" i="7"/>
  <c r="Y63" i="7"/>
  <c r="Y39" i="7"/>
  <c r="Y48" i="7"/>
  <c r="Y60" i="7"/>
  <c r="Y40" i="7"/>
  <c r="Y14" i="7"/>
  <c r="Y21" i="7"/>
  <c r="Y28" i="7"/>
  <c r="Y23" i="7"/>
  <c r="Y9" i="7"/>
  <c r="Y59" i="7"/>
  <c r="Y16" i="7"/>
  <c r="Y66" i="7"/>
  <c r="Y31" i="7"/>
  <c r="Y42" i="7"/>
  <c r="U20" i="7"/>
  <c r="U15" i="7"/>
  <c r="U13" i="7"/>
  <c r="U29" i="7"/>
  <c r="U44" i="7"/>
  <c r="U40" i="7"/>
  <c r="U67" i="7"/>
  <c r="U16" i="7"/>
  <c r="U33" i="7"/>
  <c r="U22" i="7"/>
  <c r="U14" i="7"/>
  <c r="U42" i="7"/>
  <c r="U58" i="7"/>
  <c r="U45" i="7"/>
  <c r="U12" i="7"/>
  <c r="U26" i="7"/>
  <c r="U7" i="7"/>
  <c r="U11" i="7"/>
  <c r="U43" i="7"/>
  <c r="U59" i="7"/>
  <c r="U62" i="7"/>
  <c r="U65" i="7"/>
  <c r="U34" i="7"/>
  <c r="U25" i="7"/>
  <c r="U39" i="7"/>
  <c r="U8" i="7"/>
  <c r="U37" i="7"/>
  <c r="U54" i="7"/>
  <c r="U47" i="7"/>
  <c r="U35" i="7"/>
  <c r="U27" i="7"/>
  <c r="U41" i="7"/>
  <c r="U9" i="7"/>
  <c r="U53" i="7"/>
  <c r="U52" i="7"/>
  <c r="U38" i="7"/>
  <c r="U56" i="7"/>
  <c r="U28" i="7"/>
  <c r="U30" i="7"/>
  <c r="U32" i="7"/>
  <c r="U18" i="7"/>
  <c r="U63" i="7"/>
  <c r="U50" i="7"/>
  <c r="U48" i="7"/>
  <c r="U57" i="7"/>
  <c r="U31" i="7"/>
  <c r="U23" i="7"/>
  <c r="U21" i="7"/>
  <c r="U10" i="7"/>
  <c r="U61" i="7"/>
  <c r="U51" i="7"/>
  <c r="U49" i="7"/>
  <c r="U64" i="7"/>
  <c r="U24" i="7"/>
  <c r="U19" i="7"/>
  <c r="U17" i="7"/>
  <c r="U36" i="7"/>
  <c r="U60" i="7"/>
  <c r="U46" i="7"/>
  <c r="U66" i="7"/>
  <c r="U55" i="7"/>
  <c r="G8" i="37"/>
  <c r="G6" i="37"/>
  <c r="G10" i="37"/>
  <c r="L8" i="37"/>
  <c r="L10" i="37"/>
  <c r="L6" i="37"/>
  <c r="Q22" i="36"/>
  <c r="Q70" i="36" s="1"/>
  <c r="Q13" i="36"/>
  <c r="Q61" i="36" s="1"/>
  <c r="Q35" i="36"/>
  <c r="Q83" i="36" s="1"/>
  <c r="Y72" i="6"/>
  <c r="V72" i="6"/>
  <c r="B8" i="38"/>
  <c r="B6" i="38"/>
  <c r="B10" i="38"/>
  <c r="E8" i="38"/>
  <c r="E6" i="38"/>
  <c r="E10" i="38"/>
  <c r="C8" i="38"/>
  <c r="C6" i="38"/>
  <c r="C10" i="38"/>
  <c r="M8" i="37"/>
  <c r="M10" i="37"/>
  <c r="M6" i="37"/>
  <c r="J8" i="37"/>
  <c r="J10" i="37"/>
  <c r="Q46" i="36"/>
  <c r="Q94" i="36" s="1"/>
  <c r="Q7" i="36"/>
  <c r="Q55" i="36" s="1"/>
  <c r="Q19" i="36"/>
  <c r="Q67" i="36" s="1"/>
  <c r="Q17" i="36"/>
  <c r="Q65" i="36" s="1"/>
  <c r="Z51" i="8"/>
  <c r="Y51" i="35" s="1"/>
  <c r="Y119" i="35" s="1"/>
  <c r="Z45" i="8"/>
  <c r="Y45" i="35" s="1"/>
  <c r="Y113" i="35" s="1"/>
  <c r="Z57" i="8"/>
  <c r="Y57" i="35" s="1"/>
  <c r="Y125" i="35" s="1"/>
  <c r="Z42" i="8"/>
  <c r="Y42" i="35" s="1"/>
  <c r="Y110" i="35" s="1"/>
  <c r="Z48" i="8"/>
  <c r="Y48" i="35" s="1"/>
  <c r="Y116" i="35" s="1"/>
  <c r="Z23" i="8"/>
  <c r="Y23" i="35" s="1"/>
  <c r="Y91" i="35" s="1"/>
  <c r="Z16" i="8"/>
  <c r="Y16" i="35" s="1"/>
  <c r="Y84" i="35" s="1"/>
  <c r="Z8" i="8"/>
  <c r="Y8" i="35" s="1"/>
  <c r="Y76" i="35" s="1"/>
  <c r="Z66" i="8"/>
  <c r="Y66" i="35" s="1"/>
  <c r="Y134" i="35" s="1"/>
  <c r="Z37" i="8"/>
  <c r="Y37" i="35" s="1"/>
  <c r="Y105" i="35" s="1"/>
  <c r="Z54" i="8"/>
  <c r="Y54" i="35" s="1"/>
  <c r="Y122" i="35" s="1"/>
  <c r="Z34" i="8"/>
  <c r="Y34" i="35" s="1"/>
  <c r="Y102" i="35" s="1"/>
  <c r="Z40" i="8"/>
  <c r="Y40" i="35" s="1"/>
  <c r="Y108" i="35" s="1"/>
  <c r="Z17" i="8"/>
  <c r="Y17" i="35" s="1"/>
  <c r="Y85" i="35" s="1"/>
  <c r="Z13" i="8"/>
  <c r="Y13" i="35" s="1"/>
  <c r="Y81" i="35" s="1"/>
  <c r="Z10" i="8"/>
  <c r="Y10" i="35" s="1"/>
  <c r="Y78" i="35" s="1"/>
  <c r="Z58" i="8"/>
  <c r="Y58" i="35" s="1"/>
  <c r="Y126" i="35" s="1"/>
  <c r="Z29" i="8"/>
  <c r="Y29" i="35" s="1"/>
  <c r="Y97" i="35" s="1"/>
  <c r="Z49" i="8"/>
  <c r="Y49" i="35" s="1"/>
  <c r="Y117" i="35" s="1"/>
  <c r="Z26" i="8"/>
  <c r="Y26" i="35" s="1"/>
  <c r="Y94" i="35" s="1"/>
  <c r="Z32" i="8"/>
  <c r="Y32" i="35" s="1"/>
  <c r="Y100" i="35" s="1"/>
  <c r="Z50" i="8"/>
  <c r="Y50" i="35" s="1"/>
  <c r="Y118" i="35" s="1"/>
  <c r="Z12" i="8"/>
  <c r="Y12" i="35" s="1"/>
  <c r="Y80" i="35" s="1"/>
  <c r="Z61" i="8"/>
  <c r="Y61" i="35" s="1"/>
  <c r="Y129" i="35" s="1"/>
  <c r="Z64" i="8"/>
  <c r="Y64" i="35" s="1"/>
  <c r="Y132" i="35" s="1"/>
  <c r="Z22" i="8"/>
  <c r="Y22" i="35" s="1"/>
  <c r="Y90" i="35" s="1"/>
  <c r="Z43" i="8"/>
  <c r="Y43" i="35" s="1"/>
  <c r="Y111" i="35" s="1"/>
  <c r="Z19" i="8"/>
  <c r="Y19" i="35" s="1"/>
  <c r="Y87" i="35" s="1"/>
  <c r="Z24" i="8"/>
  <c r="Y24" i="35" s="1"/>
  <c r="Y92" i="35" s="1"/>
  <c r="Z38" i="8"/>
  <c r="Y38" i="35" s="1"/>
  <c r="Y106" i="35" s="1"/>
  <c r="Z6" i="8"/>
  <c r="Y6" i="35" s="1"/>
  <c r="Y74" i="35" s="1"/>
  <c r="Z60" i="8"/>
  <c r="Y60" i="35" s="1"/>
  <c r="Y128" i="35" s="1"/>
  <c r="Z56" i="8"/>
  <c r="Y56" i="35" s="1"/>
  <c r="Y124" i="35" s="1"/>
  <c r="Z44" i="8"/>
  <c r="Y44" i="35" s="1"/>
  <c r="Y112" i="35" s="1"/>
  <c r="Z35" i="8"/>
  <c r="Y35" i="35" s="1"/>
  <c r="Y103" i="35" s="1"/>
  <c r="Z41" i="8"/>
  <c r="Y41" i="35" s="1"/>
  <c r="Y109" i="35" s="1"/>
  <c r="Z18" i="8"/>
  <c r="Y18" i="35" s="1"/>
  <c r="Y86" i="35" s="1"/>
  <c r="Z15" i="8"/>
  <c r="Y15" i="35" s="1"/>
  <c r="Y83" i="35" s="1"/>
  <c r="Z11" i="8"/>
  <c r="Y11" i="35" s="1"/>
  <c r="Y79" i="35" s="1"/>
  <c r="Z52" i="8"/>
  <c r="Y52" i="35" s="1"/>
  <c r="Y120" i="35" s="1"/>
  <c r="Z63" i="8"/>
  <c r="Y63" i="35" s="1"/>
  <c r="Y131" i="35" s="1"/>
  <c r="Z36" i="8"/>
  <c r="Y36" i="35" s="1"/>
  <c r="Y104" i="35" s="1"/>
  <c r="Z27" i="8"/>
  <c r="Y27" i="35" s="1"/>
  <c r="Y95" i="35" s="1"/>
  <c r="Z33" i="8"/>
  <c r="Y33" i="35" s="1"/>
  <c r="Y101" i="35" s="1"/>
  <c r="Z47" i="8"/>
  <c r="Y47" i="35" s="1"/>
  <c r="Y115" i="35" s="1"/>
  <c r="Z7" i="8"/>
  <c r="Y7" i="35" s="1"/>
  <c r="Y75" i="35" s="1"/>
  <c r="Z9" i="8"/>
  <c r="Y9" i="35" s="1"/>
  <c r="Y77" i="35" s="1"/>
  <c r="Z67" i="8"/>
  <c r="Y67" i="35" s="1"/>
  <c r="Y135" i="35" s="1"/>
  <c r="Z55" i="8"/>
  <c r="Y55" i="35" s="1"/>
  <c r="Y123" i="35" s="1"/>
  <c r="Z28" i="8"/>
  <c r="Y28" i="35" s="1"/>
  <c r="Y96" i="35" s="1"/>
  <c r="Z20" i="8"/>
  <c r="Y20" i="35" s="1"/>
  <c r="Y88" i="35" s="1"/>
  <c r="Z25" i="8"/>
  <c r="Y25" i="35" s="1"/>
  <c r="Y93" i="35" s="1"/>
  <c r="Z39" i="8"/>
  <c r="Y39" i="35" s="1"/>
  <c r="Y107" i="35" s="1"/>
  <c r="Z30" i="8"/>
  <c r="Y30" i="35" s="1"/>
  <c r="Y98" i="35" s="1"/>
  <c r="Z5" i="8"/>
  <c r="Z59" i="8"/>
  <c r="Y59" i="35" s="1"/>
  <c r="Y127" i="35" s="1"/>
  <c r="Z65" i="8"/>
  <c r="Y65" i="35" s="1"/>
  <c r="Y133" i="35" s="1"/>
  <c r="Z21" i="8"/>
  <c r="Y21" i="35" s="1"/>
  <c r="Y89" i="35" s="1"/>
  <c r="Z53" i="8"/>
  <c r="Y53" i="35" s="1"/>
  <c r="Y121" i="35" s="1"/>
  <c r="Z62" i="8"/>
  <c r="Y62" i="35" s="1"/>
  <c r="Y130" i="35" s="1"/>
  <c r="Z31" i="8"/>
  <c r="Y31" i="35" s="1"/>
  <c r="Y99" i="35" s="1"/>
  <c r="Z14" i="8"/>
  <c r="Y14" i="35" s="1"/>
  <c r="Y82" i="35" s="1"/>
  <c r="Z46" i="8"/>
  <c r="Y46" i="35" s="1"/>
  <c r="Y114" i="35" s="1"/>
  <c r="I8" i="37"/>
  <c r="I10" i="37"/>
  <c r="I6" i="37"/>
  <c r="K8" i="37"/>
  <c r="K6" i="37"/>
  <c r="K10" i="37"/>
  <c r="Q45" i="36"/>
  <c r="Q93" i="36" s="1"/>
  <c r="Q14" i="36"/>
  <c r="Q62" i="36" s="1"/>
  <c r="Q29" i="36"/>
  <c r="Q77" i="36" s="1"/>
  <c r="Q31" i="36"/>
  <c r="Q79" i="36" s="1"/>
  <c r="Q9" i="36"/>
  <c r="Q57" i="36" s="1"/>
  <c r="AC28" i="7"/>
  <c r="AC23" i="7"/>
  <c r="AC14" i="7"/>
  <c r="AC9" i="7"/>
  <c r="AC64" i="7"/>
  <c r="AC45" i="7"/>
  <c r="AC37" i="7"/>
  <c r="AC31" i="7"/>
  <c r="AC19" i="7"/>
  <c r="AC41" i="7"/>
  <c r="AC12" i="7"/>
  <c r="AC53" i="7"/>
  <c r="AC66" i="7"/>
  <c r="AC52" i="7"/>
  <c r="AC24" i="7"/>
  <c r="AC15" i="7"/>
  <c r="AC25" i="7"/>
  <c r="AC56" i="7"/>
  <c r="AC62" i="7"/>
  <c r="AC59" i="7"/>
  <c r="AC57" i="7"/>
  <c r="AC32" i="7"/>
  <c r="AC20" i="7"/>
  <c r="AC11" i="7"/>
  <c r="AC33" i="7"/>
  <c r="AC65" i="7"/>
  <c r="AC55" i="7"/>
  <c r="AC40" i="7"/>
  <c r="AC48" i="7"/>
  <c r="AC21" i="7"/>
  <c r="AC16" i="7"/>
  <c r="AC36" i="7"/>
  <c r="AC8" i="7"/>
  <c r="AC60" i="7"/>
  <c r="AC43" i="7"/>
  <c r="AC67" i="7"/>
  <c r="AC50" i="7"/>
  <c r="AC17" i="7"/>
  <c r="AC34" i="7"/>
  <c r="AC29" i="7"/>
  <c r="AC10" i="7"/>
  <c r="AC54" i="7"/>
  <c r="AC61" i="7"/>
  <c r="AC39" i="7"/>
  <c r="AC58" i="7"/>
  <c r="AC13" i="7"/>
  <c r="AC27" i="7"/>
  <c r="AC22" i="7"/>
  <c r="AC26" i="7"/>
  <c r="AC47" i="7"/>
  <c r="AC63" i="7"/>
  <c r="AC49" i="7"/>
  <c r="AC38" i="7"/>
  <c r="AC35" i="7"/>
  <c r="AC30" i="7"/>
  <c r="AC18" i="7"/>
  <c r="AC7" i="7"/>
  <c r="AC42" i="7"/>
  <c r="AC51" i="7"/>
  <c r="AC44" i="7"/>
  <c r="AC46" i="7"/>
  <c r="O23" i="7"/>
  <c r="O36" i="7"/>
  <c r="O29" i="7"/>
  <c r="O17" i="7"/>
  <c r="O10" i="7"/>
  <c r="O65" i="7"/>
  <c r="O55" i="7"/>
  <c r="O60" i="7"/>
  <c r="O49" i="7"/>
  <c r="O22" i="7"/>
  <c r="O13" i="7"/>
  <c r="O11" i="7"/>
  <c r="O50" i="7"/>
  <c r="O39" i="7"/>
  <c r="O61" i="7"/>
  <c r="O59" i="7"/>
  <c r="O18" i="7"/>
  <c r="O31" i="7"/>
  <c r="O35" i="7"/>
  <c r="O46" i="7"/>
  <c r="O66" i="7"/>
  <c r="O56" i="7"/>
  <c r="O47" i="7"/>
  <c r="O57" i="7"/>
  <c r="O30" i="7"/>
  <c r="O14" i="7"/>
  <c r="O24" i="7"/>
  <c r="O9" i="7"/>
  <c r="O38" i="7"/>
  <c r="O52" i="7"/>
  <c r="O62" i="7"/>
  <c r="O67" i="7"/>
  <c r="O19" i="7"/>
  <c r="O25" i="7"/>
  <c r="O20" i="7"/>
  <c r="O28" i="7"/>
  <c r="O54" i="7"/>
  <c r="O53" i="7"/>
  <c r="O43" i="7"/>
  <c r="O42" i="7"/>
  <c r="O15" i="7"/>
  <c r="O41" i="7"/>
  <c r="O16" i="7"/>
  <c r="O8" i="7"/>
  <c r="O58" i="7"/>
  <c r="O63" i="7"/>
  <c r="O64" i="7"/>
  <c r="O33" i="7"/>
  <c r="O32" i="7"/>
  <c r="O34" i="7"/>
  <c r="O12" i="7"/>
  <c r="O44" i="7"/>
  <c r="O37" i="7"/>
  <c r="O40" i="7"/>
  <c r="O26" i="7"/>
  <c r="O21" i="7"/>
  <c r="O27" i="7"/>
  <c r="O7" i="7"/>
  <c r="O45" i="7"/>
  <c r="O48" i="7"/>
  <c r="O51" i="7"/>
  <c r="L8" i="38"/>
  <c r="L6" i="38"/>
  <c r="L10" i="38"/>
  <c r="J8" i="38"/>
  <c r="J6" i="38"/>
  <c r="J10" i="38"/>
  <c r="B8" i="37"/>
  <c r="B6" i="37"/>
  <c r="B10" i="37"/>
  <c r="S8" i="37"/>
  <c r="S6" i="37"/>
  <c r="S10" i="37"/>
  <c r="T8" i="37"/>
  <c r="T10" i="37"/>
  <c r="T6" i="37"/>
  <c r="Q40" i="36"/>
  <c r="Q88" i="36" s="1"/>
  <c r="Q41" i="36"/>
  <c r="Q89" i="36" s="1"/>
  <c r="Q28" i="36"/>
  <c r="Q76" i="36" s="1"/>
  <c r="Q32" i="36"/>
  <c r="Q80" i="36" s="1"/>
  <c r="L40" i="7"/>
  <c r="L39" i="7"/>
  <c r="L7" i="7"/>
  <c r="L67" i="7"/>
  <c r="L56" i="7"/>
  <c r="L47" i="7"/>
  <c r="L41" i="7"/>
  <c r="L37" i="7"/>
  <c r="L29" i="7"/>
  <c r="L11" i="7"/>
  <c r="L28" i="7"/>
  <c r="L13" i="7"/>
  <c r="L36" i="7"/>
  <c r="L63" i="7"/>
  <c r="L31" i="7"/>
  <c r="L30" i="7"/>
  <c r="L22" i="7"/>
  <c r="L10" i="7"/>
  <c r="L65" i="7"/>
  <c r="L54" i="7"/>
  <c r="L18" i="7"/>
  <c r="L60" i="7"/>
  <c r="L24" i="7"/>
  <c r="L19" i="7"/>
  <c r="L14" i="7"/>
  <c r="L25" i="7"/>
  <c r="L66" i="7"/>
  <c r="L27" i="7"/>
  <c r="L55" i="7"/>
  <c r="L35" i="7"/>
  <c r="L20" i="7"/>
  <c r="L15" i="7"/>
  <c r="L44" i="7"/>
  <c r="L8" i="7"/>
  <c r="L23" i="7"/>
  <c r="L59" i="7"/>
  <c r="L16" i="7"/>
  <c r="L45" i="7"/>
  <c r="L38" i="7"/>
  <c r="L57" i="7"/>
  <c r="L48" i="7"/>
  <c r="L64" i="7"/>
  <c r="L33" i="7"/>
  <c r="L49" i="7"/>
  <c r="L12" i="7"/>
  <c r="L42" i="7"/>
  <c r="L32" i="7"/>
  <c r="L58" i="7"/>
  <c r="L51" i="7"/>
  <c r="L17" i="7"/>
  <c r="L34" i="7"/>
  <c r="L43" i="7"/>
  <c r="L26" i="7"/>
  <c r="L21" i="7"/>
  <c r="L61" i="7"/>
  <c r="L46" i="7"/>
  <c r="L62" i="7"/>
  <c r="L52" i="7"/>
  <c r="L9" i="7"/>
  <c r="L53" i="7"/>
  <c r="L50" i="7"/>
  <c r="X50" i="7"/>
  <c r="X63" i="7"/>
  <c r="X42" i="7"/>
  <c r="X14" i="7"/>
  <c r="X17" i="7"/>
  <c r="X55" i="7"/>
  <c r="X35" i="7"/>
  <c r="X65" i="7"/>
  <c r="X61" i="7"/>
  <c r="X30" i="7"/>
  <c r="X26" i="7"/>
  <c r="X48" i="7"/>
  <c r="X51" i="7"/>
  <c r="X58" i="7"/>
  <c r="X23" i="7"/>
  <c r="X59" i="7"/>
  <c r="X60" i="7"/>
  <c r="X15" i="7"/>
  <c r="X29" i="7"/>
  <c r="X38" i="7"/>
  <c r="X20" i="7"/>
  <c r="X34" i="7"/>
  <c r="X8" i="7"/>
  <c r="X56" i="7"/>
  <c r="X57" i="7"/>
  <c r="X11" i="7"/>
  <c r="X22" i="7"/>
  <c r="X32" i="7"/>
  <c r="X16" i="7"/>
  <c r="X27" i="7"/>
  <c r="X7" i="7"/>
  <c r="X64" i="7"/>
  <c r="X18" i="7"/>
  <c r="X24" i="7"/>
  <c r="X28" i="7"/>
  <c r="X49" i="7"/>
  <c r="X25" i="7"/>
  <c r="X66" i="7"/>
  <c r="X12" i="7"/>
  <c r="X54" i="7"/>
  <c r="X44" i="7"/>
  <c r="X46" i="7"/>
  <c r="X47" i="7"/>
  <c r="X19" i="7"/>
  <c r="X41" i="7"/>
  <c r="X43" i="7"/>
  <c r="X45" i="7"/>
  <c r="X21" i="7"/>
  <c r="X40" i="7"/>
  <c r="X62" i="7"/>
  <c r="X33" i="7"/>
  <c r="X13" i="7"/>
  <c r="X37" i="7"/>
  <c r="X53" i="7"/>
  <c r="X39" i="7"/>
  <c r="X52" i="7"/>
  <c r="X10" i="7"/>
  <c r="X67" i="7"/>
  <c r="X36" i="7"/>
  <c r="X31" i="7"/>
  <c r="X9" i="7"/>
  <c r="G8" i="38"/>
  <c r="G6" i="38"/>
  <c r="G10" i="38"/>
  <c r="D8" i="38"/>
  <c r="D6" i="38"/>
  <c r="D10" i="38"/>
  <c r="I8" i="38"/>
  <c r="I6" i="38"/>
  <c r="V8" i="37"/>
  <c r="V10" i="37"/>
  <c r="V6" i="37"/>
  <c r="C8" i="37"/>
  <c r="C6" i="37"/>
  <c r="C10" i="37"/>
  <c r="N8" i="37"/>
  <c r="N6" i="37"/>
  <c r="N10" i="37"/>
  <c r="U8" i="37"/>
  <c r="U10" i="37"/>
  <c r="U6" i="37"/>
  <c r="H8" i="37"/>
  <c r="H6" i="37"/>
  <c r="H10" i="37"/>
  <c r="Q33" i="36"/>
  <c r="Q81" i="36" s="1"/>
  <c r="Q47" i="36"/>
  <c r="Q95" i="36" s="1"/>
  <c r="Q24" i="36"/>
  <c r="Q72" i="36" s="1"/>
  <c r="S43" i="13"/>
  <c r="S39" i="12"/>
  <c r="S20" i="12"/>
  <c r="S16" i="12"/>
  <c r="S44" i="12"/>
  <c r="S30" i="12"/>
  <c r="S38" i="12"/>
  <c r="S10" i="12"/>
  <c r="S37" i="12"/>
  <c r="S21" i="12"/>
  <c r="S11" i="12"/>
  <c r="S8" i="12"/>
  <c r="R52" i="9"/>
  <c r="R63" i="9"/>
  <c r="R69" i="7"/>
  <c r="R74" i="7" s="1"/>
  <c r="AL5" i="9"/>
  <c r="S32" i="12"/>
  <c r="AA69" i="9"/>
  <c r="V26" i="12"/>
  <c r="T26" i="36" s="1"/>
  <c r="T74" i="36" s="1"/>
  <c r="V26" i="13"/>
  <c r="V47" i="12"/>
  <c r="T47" i="36" s="1"/>
  <c r="T95" i="36" s="1"/>
  <c r="V47" i="13"/>
  <c r="V30" i="12"/>
  <c r="T30" i="36" s="1"/>
  <c r="T78" i="36" s="1"/>
  <c r="V30" i="13"/>
  <c r="V13" i="12"/>
  <c r="T13" i="36" s="1"/>
  <c r="T61" i="36" s="1"/>
  <c r="V13" i="13"/>
  <c r="V14" i="12"/>
  <c r="T14" i="36" s="1"/>
  <c r="T62" i="36" s="1"/>
  <c r="V14" i="13"/>
  <c r="AA43" i="11"/>
  <c r="Z43" i="12"/>
  <c r="AA43" i="12" s="1"/>
  <c r="Z43" i="13"/>
  <c r="AA43" i="13" s="1"/>
  <c r="AA20" i="11"/>
  <c r="Z20" i="12"/>
  <c r="AA20" i="12" s="1"/>
  <c r="Z20" i="13"/>
  <c r="AA20" i="13" s="1"/>
  <c r="AA23" i="11"/>
  <c r="Z23" i="12"/>
  <c r="AA23" i="12" s="1"/>
  <c r="Z23" i="13"/>
  <c r="AA23" i="13" s="1"/>
  <c r="AA27" i="11"/>
  <c r="Z27" i="12"/>
  <c r="AA27" i="12" s="1"/>
  <c r="Z27" i="13"/>
  <c r="AA27" i="13" s="1"/>
  <c r="AA10" i="11"/>
  <c r="Z10" i="12"/>
  <c r="AA10" i="12" s="1"/>
  <c r="Z10" i="13"/>
  <c r="AA10" i="13" s="1"/>
  <c r="AI56" i="9"/>
  <c r="AI45" i="9"/>
  <c r="AI66" i="9"/>
  <c r="AI46" i="9"/>
  <c r="AI10" i="9"/>
  <c r="AI25" i="9"/>
  <c r="AI33" i="9"/>
  <c r="AI34" i="9"/>
  <c r="U28" i="12"/>
  <c r="S28" i="36" s="1"/>
  <c r="S76" i="36" s="1"/>
  <c r="U28" i="13"/>
  <c r="U22" i="12"/>
  <c r="S22" i="36" s="1"/>
  <c r="S70" i="36" s="1"/>
  <c r="U22" i="13"/>
  <c r="U31" i="12"/>
  <c r="S31" i="36" s="1"/>
  <c r="S79" i="36" s="1"/>
  <c r="U31" i="13"/>
  <c r="U10" i="12"/>
  <c r="S10" i="36" s="1"/>
  <c r="S58" i="36" s="1"/>
  <c r="U10" i="13"/>
  <c r="U11" i="12"/>
  <c r="S11" i="36" s="1"/>
  <c r="S59" i="36" s="1"/>
  <c r="U11" i="13"/>
  <c r="M27" i="12"/>
  <c r="M27" i="36" s="1"/>
  <c r="M75" i="36" s="1"/>
  <c r="M27" i="13"/>
  <c r="M47" i="12"/>
  <c r="M47" i="36" s="1"/>
  <c r="M95" i="36" s="1"/>
  <c r="M47" i="13"/>
  <c r="M29" i="12"/>
  <c r="M29" i="36" s="1"/>
  <c r="M77" i="36" s="1"/>
  <c r="M29" i="13"/>
  <c r="M41" i="12"/>
  <c r="M41" i="36" s="1"/>
  <c r="M89" i="36" s="1"/>
  <c r="M41" i="13"/>
  <c r="M7" i="12"/>
  <c r="M7" i="36" s="1"/>
  <c r="M55" i="36" s="1"/>
  <c r="M7" i="13"/>
  <c r="M16" i="12"/>
  <c r="M16" i="36" s="1"/>
  <c r="M64" i="36" s="1"/>
  <c r="M16" i="13"/>
  <c r="T38" i="12"/>
  <c r="R38" i="36" s="1"/>
  <c r="R86" i="36" s="1"/>
  <c r="W38" i="11"/>
  <c r="T38" i="13"/>
  <c r="W47" i="11"/>
  <c r="T47" i="12"/>
  <c r="R47" i="36" s="1"/>
  <c r="R95" i="36" s="1"/>
  <c r="T47" i="13"/>
  <c r="W25" i="11"/>
  <c r="T25" i="12"/>
  <c r="R25" i="36" s="1"/>
  <c r="R73" i="36" s="1"/>
  <c r="T25" i="13"/>
  <c r="W15" i="11"/>
  <c r="T15" i="12"/>
  <c r="R15" i="36" s="1"/>
  <c r="R63" i="36" s="1"/>
  <c r="T15" i="13"/>
  <c r="W11" i="11"/>
  <c r="T11" i="12"/>
  <c r="R11" i="36" s="1"/>
  <c r="R59" i="36" s="1"/>
  <c r="T11" i="13"/>
  <c r="P34" i="12"/>
  <c r="P34" i="36" s="1"/>
  <c r="P82" i="36" s="1"/>
  <c r="P34" i="13"/>
  <c r="P45" i="12"/>
  <c r="P45" i="36" s="1"/>
  <c r="P93" i="36" s="1"/>
  <c r="P45" i="13"/>
  <c r="P22" i="12"/>
  <c r="P22" i="36" s="1"/>
  <c r="P70" i="36" s="1"/>
  <c r="P22" i="13"/>
  <c r="P35" i="12"/>
  <c r="P35" i="36" s="1"/>
  <c r="P83" i="36" s="1"/>
  <c r="P35" i="13"/>
  <c r="P10" i="12"/>
  <c r="P10" i="36" s="1"/>
  <c r="P58" i="36" s="1"/>
  <c r="P10" i="13"/>
  <c r="S5" i="12"/>
  <c r="R49" i="12"/>
  <c r="N25" i="12"/>
  <c r="N25" i="36" s="1"/>
  <c r="N73" i="36" s="1"/>
  <c r="N25" i="13"/>
  <c r="N35" i="12"/>
  <c r="N35" i="36" s="1"/>
  <c r="N83" i="36" s="1"/>
  <c r="N35" i="13"/>
  <c r="N18" i="12"/>
  <c r="N18" i="36" s="1"/>
  <c r="N66" i="36" s="1"/>
  <c r="N18" i="13"/>
  <c r="N21" i="12"/>
  <c r="N21" i="36" s="1"/>
  <c r="N69" i="36" s="1"/>
  <c r="N21" i="13"/>
  <c r="N14" i="12"/>
  <c r="N14" i="36" s="1"/>
  <c r="N62" i="36" s="1"/>
  <c r="N14" i="13"/>
  <c r="O37" i="12"/>
  <c r="O37" i="36" s="1"/>
  <c r="O85" i="36" s="1"/>
  <c r="O37" i="13"/>
  <c r="O40" i="12"/>
  <c r="O40" i="36" s="1"/>
  <c r="O88" i="36" s="1"/>
  <c r="O40" i="13"/>
  <c r="O24" i="12"/>
  <c r="O24" i="36" s="1"/>
  <c r="O72" i="36" s="1"/>
  <c r="O24" i="13"/>
  <c r="O38" i="12"/>
  <c r="O38" i="36" s="1"/>
  <c r="O86" i="36" s="1"/>
  <c r="O38" i="13"/>
  <c r="O15" i="12"/>
  <c r="O15" i="36" s="1"/>
  <c r="O63" i="36" s="1"/>
  <c r="O15" i="13"/>
  <c r="V39" i="12"/>
  <c r="T39" i="36" s="1"/>
  <c r="T87" i="36" s="1"/>
  <c r="V39" i="13"/>
  <c r="V10" i="12"/>
  <c r="T10" i="36" s="1"/>
  <c r="T58" i="36" s="1"/>
  <c r="V10" i="13"/>
  <c r="AA39" i="11"/>
  <c r="Z39" i="12"/>
  <c r="AA39" i="12" s="1"/>
  <c r="Z39" i="13"/>
  <c r="AA39" i="13" s="1"/>
  <c r="AI42" i="9"/>
  <c r="AI35" i="9"/>
  <c r="V34" i="12"/>
  <c r="T34" i="36" s="1"/>
  <c r="T82" i="36" s="1"/>
  <c r="V34" i="13"/>
  <c r="V21" i="12"/>
  <c r="T21" i="36" s="1"/>
  <c r="T69" i="36" s="1"/>
  <c r="V21" i="13"/>
  <c r="AA40" i="11"/>
  <c r="Z40" i="12"/>
  <c r="AA40" i="12" s="1"/>
  <c r="Z40" i="13"/>
  <c r="AA40" i="13" s="1"/>
  <c r="AA17" i="11"/>
  <c r="Z17" i="12"/>
  <c r="AA17" i="12" s="1"/>
  <c r="Z17" i="13"/>
  <c r="AA17" i="13" s="1"/>
  <c r="AI39" i="9"/>
  <c r="AI54" i="9"/>
  <c r="AI29" i="9"/>
  <c r="U36" i="12"/>
  <c r="S36" i="36" s="1"/>
  <c r="S84" i="36" s="1"/>
  <c r="U36" i="13"/>
  <c r="V40" i="12"/>
  <c r="T40" i="36" s="1"/>
  <c r="T88" i="36" s="1"/>
  <c r="V40" i="13"/>
  <c r="V41" i="12"/>
  <c r="T41" i="36" s="1"/>
  <c r="T89" i="36" s="1"/>
  <c r="V41" i="13"/>
  <c r="V44" i="12"/>
  <c r="T44" i="36" s="1"/>
  <c r="T92" i="36" s="1"/>
  <c r="V44" i="13"/>
  <c r="V20" i="12"/>
  <c r="T20" i="36" s="1"/>
  <c r="T68" i="36" s="1"/>
  <c r="V20" i="13"/>
  <c r="V29" i="12"/>
  <c r="T29" i="36" s="1"/>
  <c r="T77" i="36" s="1"/>
  <c r="V29" i="13"/>
  <c r="V11" i="12"/>
  <c r="T11" i="36" s="1"/>
  <c r="T59" i="36" s="1"/>
  <c r="V11" i="13"/>
  <c r="AA33" i="11"/>
  <c r="Z33" i="12"/>
  <c r="AA33" i="12" s="1"/>
  <c r="Z33" i="13"/>
  <c r="AA33" i="13" s="1"/>
  <c r="AA32" i="11"/>
  <c r="Z32" i="12"/>
  <c r="AA32" i="12" s="1"/>
  <c r="Z32" i="13"/>
  <c r="AA32" i="13" s="1"/>
  <c r="AA22" i="11"/>
  <c r="Z22" i="12"/>
  <c r="AA22" i="12" s="1"/>
  <c r="Z22" i="13"/>
  <c r="AA22" i="13" s="1"/>
  <c r="AA35" i="11"/>
  <c r="Z35" i="12"/>
  <c r="AA35" i="12" s="1"/>
  <c r="Z35" i="13"/>
  <c r="AA35" i="13" s="1"/>
  <c r="AA7" i="11"/>
  <c r="Z7" i="12"/>
  <c r="AA7" i="12" s="1"/>
  <c r="Z7" i="13"/>
  <c r="AA7" i="13" s="1"/>
  <c r="AI50" i="9"/>
  <c r="AI47" i="9"/>
  <c r="AI57" i="9"/>
  <c r="AI60" i="9"/>
  <c r="AI21" i="9"/>
  <c r="AI32" i="9"/>
  <c r="AI36" i="9"/>
  <c r="U27" i="12"/>
  <c r="S27" i="36" s="1"/>
  <c r="S75" i="36" s="1"/>
  <c r="U27" i="13"/>
  <c r="U46" i="12"/>
  <c r="S46" i="36" s="1"/>
  <c r="S94" i="36" s="1"/>
  <c r="U46" i="13"/>
  <c r="U29" i="12"/>
  <c r="S29" i="36" s="1"/>
  <c r="S77" i="36" s="1"/>
  <c r="U29" i="13"/>
  <c r="U26" i="12"/>
  <c r="S26" i="36" s="1"/>
  <c r="S74" i="36" s="1"/>
  <c r="U26" i="13"/>
  <c r="U8" i="12"/>
  <c r="S8" i="36" s="1"/>
  <c r="S56" i="36" s="1"/>
  <c r="U8" i="13"/>
  <c r="M44" i="12"/>
  <c r="M44" i="36" s="1"/>
  <c r="M92" i="36" s="1"/>
  <c r="M44" i="13"/>
  <c r="M19" i="12"/>
  <c r="M19" i="36" s="1"/>
  <c r="M67" i="36" s="1"/>
  <c r="M19" i="13"/>
  <c r="M33" i="12"/>
  <c r="M33" i="36" s="1"/>
  <c r="M81" i="36" s="1"/>
  <c r="M33" i="13"/>
  <c r="M10" i="12"/>
  <c r="M10" i="36" s="1"/>
  <c r="M58" i="36" s="1"/>
  <c r="M10" i="13"/>
  <c r="M15" i="12"/>
  <c r="M15" i="36" s="1"/>
  <c r="M63" i="36" s="1"/>
  <c r="M15" i="13"/>
  <c r="M13" i="12"/>
  <c r="M13" i="36" s="1"/>
  <c r="M61" i="36" s="1"/>
  <c r="M13" i="13"/>
  <c r="T37" i="12"/>
  <c r="R37" i="36" s="1"/>
  <c r="R85" i="36" s="1"/>
  <c r="W37" i="11"/>
  <c r="T37" i="13"/>
  <c r="W22" i="11"/>
  <c r="T22" i="12"/>
  <c r="R22" i="36" s="1"/>
  <c r="R70" i="36" s="1"/>
  <c r="T22" i="13"/>
  <c r="W24" i="11"/>
  <c r="T24" i="12"/>
  <c r="R24" i="36" s="1"/>
  <c r="R72" i="36" s="1"/>
  <c r="T24" i="13"/>
  <c r="W31" i="11"/>
  <c r="T31" i="12"/>
  <c r="R31" i="36" s="1"/>
  <c r="R79" i="36" s="1"/>
  <c r="T31" i="13"/>
  <c r="W8" i="11"/>
  <c r="T8" i="12"/>
  <c r="R8" i="36" s="1"/>
  <c r="R56" i="36" s="1"/>
  <c r="T8" i="13"/>
  <c r="P25" i="12"/>
  <c r="P25" i="36" s="1"/>
  <c r="P73" i="36" s="1"/>
  <c r="P25" i="13"/>
  <c r="P17" i="12"/>
  <c r="P17" i="36" s="1"/>
  <c r="P65" i="36" s="1"/>
  <c r="P17" i="13"/>
  <c r="P18" i="12"/>
  <c r="P18" i="36" s="1"/>
  <c r="P66" i="36" s="1"/>
  <c r="P18" i="13"/>
  <c r="P11" i="12"/>
  <c r="P11" i="36" s="1"/>
  <c r="P59" i="36" s="1"/>
  <c r="P11" i="13"/>
  <c r="P7" i="12"/>
  <c r="P7" i="36" s="1"/>
  <c r="P55" i="36" s="1"/>
  <c r="P7" i="13"/>
  <c r="N32" i="12"/>
  <c r="N32" i="36" s="1"/>
  <c r="N80" i="36" s="1"/>
  <c r="N32" i="13"/>
  <c r="N24" i="12"/>
  <c r="N24" i="36" s="1"/>
  <c r="N72" i="36" s="1"/>
  <c r="N24" i="13"/>
  <c r="N26" i="12"/>
  <c r="N26" i="36" s="1"/>
  <c r="N74" i="36" s="1"/>
  <c r="N26" i="13"/>
  <c r="N38" i="12"/>
  <c r="N38" i="36" s="1"/>
  <c r="N86" i="36" s="1"/>
  <c r="N38" i="13"/>
  <c r="N5" i="12"/>
  <c r="N5" i="36" s="1"/>
  <c r="N53" i="36" s="1"/>
  <c r="N49" i="11"/>
  <c r="N5" i="13"/>
  <c r="N11" i="12"/>
  <c r="N11" i="36" s="1"/>
  <c r="N59" i="36" s="1"/>
  <c r="N11" i="13"/>
  <c r="O29" i="12"/>
  <c r="O29" i="36" s="1"/>
  <c r="O77" i="36" s="1"/>
  <c r="O29" i="13"/>
  <c r="O23" i="12"/>
  <c r="O23" i="36" s="1"/>
  <c r="O71" i="36" s="1"/>
  <c r="O23" i="13"/>
  <c r="O36" i="12"/>
  <c r="O36" i="36" s="1"/>
  <c r="O84" i="36" s="1"/>
  <c r="O36" i="13"/>
  <c r="O16" i="12"/>
  <c r="O16" i="36" s="1"/>
  <c r="O64" i="36" s="1"/>
  <c r="O16" i="13"/>
  <c r="O12" i="12"/>
  <c r="O12" i="36" s="1"/>
  <c r="O60" i="36" s="1"/>
  <c r="O12" i="13"/>
  <c r="V45" i="12"/>
  <c r="T45" i="36" s="1"/>
  <c r="T93" i="36" s="1"/>
  <c r="V45" i="13"/>
  <c r="V25" i="12"/>
  <c r="T25" i="36" s="1"/>
  <c r="T73" i="36" s="1"/>
  <c r="V25" i="13"/>
  <c r="V8" i="12"/>
  <c r="T8" i="36" s="1"/>
  <c r="T56" i="36" s="1"/>
  <c r="V8" i="13"/>
  <c r="AA31" i="11"/>
  <c r="Z31" i="12"/>
  <c r="AA31" i="12" s="1"/>
  <c r="Z31" i="13"/>
  <c r="AA31" i="13" s="1"/>
  <c r="AI55" i="9"/>
  <c r="AI11" i="9"/>
  <c r="U17" i="12"/>
  <c r="S17" i="36" s="1"/>
  <c r="S65" i="36" s="1"/>
  <c r="U17" i="13"/>
  <c r="U7" i="12"/>
  <c r="S7" i="36" s="1"/>
  <c r="S55" i="36" s="1"/>
  <c r="U7" i="13"/>
  <c r="M36" i="12"/>
  <c r="M36" i="36" s="1"/>
  <c r="M84" i="36" s="1"/>
  <c r="M36" i="13"/>
  <c r="M32" i="12"/>
  <c r="M32" i="36" s="1"/>
  <c r="M80" i="36" s="1"/>
  <c r="M32" i="13"/>
  <c r="M12" i="12"/>
  <c r="M12" i="36" s="1"/>
  <c r="M60" i="36" s="1"/>
  <c r="M12" i="13"/>
  <c r="W35" i="11"/>
  <c r="T35" i="12"/>
  <c r="R35" i="36" s="1"/>
  <c r="R83" i="36" s="1"/>
  <c r="T35" i="13"/>
  <c r="W20" i="11"/>
  <c r="T20" i="12"/>
  <c r="R20" i="36" s="1"/>
  <c r="R68" i="36" s="1"/>
  <c r="T20" i="13"/>
  <c r="W7" i="11"/>
  <c r="T7" i="12"/>
  <c r="R7" i="36" s="1"/>
  <c r="R55" i="36" s="1"/>
  <c r="T7" i="13"/>
  <c r="W16" i="11"/>
  <c r="T16" i="12"/>
  <c r="R16" i="36" s="1"/>
  <c r="R64" i="36" s="1"/>
  <c r="T16" i="13"/>
  <c r="L53" i="10"/>
  <c r="L54" i="10" s="1"/>
  <c r="O47" i="12"/>
  <c r="O47" i="36" s="1"/>
  <c r="O95" i="36" s="1"/>
  <c r="O47" i="13"/>
  <c r="O35" i="12"/>
  <c r="O35" i="36" s="1"/>
  <c r="O83" i="36" s="1"/>
  <c r="O35" i="13"/>
  <c r="O18" i="12"/>
  <c r="O18" i="36" s="1"/>
  <c r="O66" i="36" s="1"/>
  <c r="O18" i="13"/>
  <c r="O8" i="12"/>
  <c r="O8" i="36" s="1"/>
  <c r="O56" i="36" s="1"/>
  <c r="O8" i="13"/>
  <c r="O9" i="12"/>
  <c r="O9" i="36" s="1"/>
  <c r="O57" i="36" s="1"/>
  <c r="O9" i="13"/>
  <c r="E35" i="5"/>
  <c r="L51" i="13"/>
  <c r="L51" i="12"/>
  <c r="L51" i="11"/>
  <c r="L54" i="11" s="1"/>
  <c r="L51" i="10"/>
  <c r="V42" i="12"/>
  <c r="T42" i="36" s="1"/>
  <c r="T90" i="36" s="1"/>
  <c r="V42" i="13"/>
  <c r="V35" i="12"/>
  <c r="T35" i="36" s="1"/>
  <c r="T83" i="36" s="1"/>
  <c r="V35" i="13"/>
  <c r="V23" i="12"/>
  <c r="T23" i="36" s="1"/>
  <c r="T71" i="36" s="1"/>
  <c r="V23" i="13"/>
  <c r="V22" i="12"/>
  <c r="T22" i="36" s="1"/>
  <c r="T70" i="36" s="1"/>
  <c r="V22" i="13"/>
  <c r="V7" i="12"/>
  <c r="T7" i="36" s="1"/>
  <c r="T55" i="36" s="1"/>
  <c r="V7" i="13"/>
  <c r="V16" i="12"/>
  <c r="T16" i="36" s="1"/>
  <c r="T64" i="36" s="1"/>
  <c r="V16" i="13"/>
  <c r="AA29" i="11"/>
  <c r="Z29" i="12"/>
  <c r="AA29" i="12" s="1"/>
  <c r="Z29" i="13"/>
  <c r="AA29" i="13" s="1"/>
  <c r="AA30" i="11"/>
  <c r="Z30" i="12"/>
  <c r="AA30" i="12" s="1"/>
  <c r="Z30" i="13"/>
  <c r="AA30" i="13" s="1"/>
  <c r="AA44" i="11"/>
  <c r="Z44" i="12"/>
  <c r="AA44" i="12" s="1"/>
  <c r="Z44" i="13"/>
  <c r="AA44" i="13" s="1"/>
  <c r="AA8" i="11"/>
  <c r="Z8" i="12"/>
  <c r="AA8" i="12" s="1"/>
  <c r="Z8" i="13"/>
  <c r="AA8" i="13" s="1"/>
  <c r="AA12" i="11"/>
  <c r="Z12" i="12"/>
  <c r="AA12" i="12" s="1"/>
  <c r="Z12" i="13"/>
  <c r="AA12" i="13" s="1"/>
  <c r="AB50" i="13"/>
  <c r="AB50" i="12"/>
  <c r="X54" i="12" s="1"/>
  <c r="AB50" i="10"/>
  <c r="AB50" i="11"/>
  <c r="AI48" i="9"/>
  <c r="AI38" i="9"/>
  <c r="AI51" i="8"/>
  <c r="AE51" i="35" s="1"/>
  <c r="AE119" i="35" s="1"/>
  <c r="AI51" i="9"/>
  <c r="AI7" i="9"/>
  <c r="AI69" i="7"/>
  <c r="AI74" i="7" s="1"/>
  <c r="AI56" i="8" s="1"/>
  <c r="AE56" i="35" s="1"/>
  <c r="AE124" i="35" s="1"/>
  <c r="AI12" i="9"/>
  <c r="AI14" i="9"/>
  <c r="AI15" i="9"/>
  <c r="U35" i="12"/>
  <c r="S35" i="36" s="1"/>
  <c r="S83" i="36" s="1"/>
  <c r="U35" i="13"/>
  <c r="U19" i="12"/>
  <c r="S19" i="36" s="1"/>
  <c r="S67" i="36" s="1"/>
  <c r="U19" i="13"/>
  <c r="U39" i="12"/>
  <c r="S39" i="36" s="1"/>
  <c r="S87" i="36" s="1"/>
  <c r="U39" i="13"/>
  <c r="U25" i="12"/>
  <c r="S25" i="36" s="1"/>
  <c r="S73" i="36" s="1"/>
  <c r="U25" i="13"/>
  <c r="U15" i="12"/>
  <c r="S15" i="36" s="1"/>
  <c r="S63" i="36" s="1"/>
  <c r="U15" i="13"/>
  <c r="U5" i="12"/>
  <c r="S5" i="36" s="1"/>
  <c r="S53" i="36" s="1"/>
  <c r="U5" i="13"/>
  <c r="U49" i="11"/>
  <c r="M39" i="12"/>
  <c r="M39" i="36" s="1"/>
  <c r="M87" i="36" s="1"/>
  <c r="M39" i="13"/>
  <c r="M23" i="12"/>
  <c r="M23" i="36" s="1"/>
  <c r="M71" i="36" s="1"/>
  <c r="M23" i="13"/>
  <c r="M20" i="12"/>
  <c r="M20" i="36" s="1"/>
  <c r="M68" i="36" s="1"/>
  <c r="M20" i="13"/>
  <c r="M5" i="12"/>
  <c r="M5" i="36" s="1"/>
  <c r="M53" i="36" s="1"/>
  <c r="M5" i="13"/>
  <c r="M49" i="11"/>
  <c r="M9" i="12"/>
  <c r="M9" i="36" s="1"/>
  <c r="M57" i="36" s="1"/>
  <c r="M9" i="13"/>
  <c r="W30" i="11"/>
  <c r="T30" i="12"/>
  <c r="R30" i="36" s="1"/>
  <c r="R78" i="36" s="1"/>
  <c r="T30" i="13"/>
  <c r="W18" i="11"/>
  <c r="T18" i="12"/>
  <c r="R18" i="36" s="1"/>
  <c r="R66" i="36" s="1"/>
  <c r="T18" i="13"/>
  <c r="W43" i="11"/>
  <c r="T43" i="12"/>
  <c r="R43" i="36" s="1"/>
  <c r="R91" i="36" s="1"/>
  <c r="T43" i="13"/>
  <c r="W23" i="11"/>
  <c r="T23" i="12"/>
  <c r="R23" i="36" s="1"/>
  <c r="R71" i="36" s="1"/>
  <c r="T23" i="13"/>
  <c r="W5" i="11"/>
  <c r="T5" i="12"/>
  <c r="R5" i="36" s="1"/>
  <c r="R53" i="36" s="1"/>
  <c r="T5" i="13"/>
  <c r="T49" i="11"/>
  <c r="P36" i="12"/>
  <c r="P36" i="36" s="1"/>
  <c r="P84" i="36" s="1"/>
  <c r="P36" i="13"/>
  <c r="P40" i="12"/>
  <c r="P40" i="36" s="1"/>
  <c r="P88" i="36" s="1"/>
  <c r="P40" i="13"/>
  <c r="P31" i="12"/>
  <c r="P31" i="36" s="1"/>
  <c r="P79" i="36" s="1"/>
  <c r="P31" i="13"/>
  <c r="P8" i="12"/>
  <c r="P8" i="36" s="1"/>
  <c r="P56" i="36" s="1"/>
  <c r="P8" i="13"/>
  <c r="P12" i="12"/>
  <c r="P12" i="36" s="1"/>
  <c r="P60" i="36" s="1"/>
  <c r="P12" i="13"/>
  <c r="N33" i="12"/>
  <c r="N33" i="36" s="1"/>
  <c r="N81" i="36" s="1"/>
  <c r="N33" i="13"/>
  <c r="N28" i="12"/>
  <c r="N28" i="36" s="1"/>
  <c r="N76" i="36" s="1"/>
  <c r="N28" i="13"/>
  <c r="N27" i="12"/>
  <c r="N27" i="36" s="1"/>
  <c r="N75" i="36" s="1"/>
  <c r="N27" i="13"/>
  <c r="N30" i="12"/>
  <c r="N30" i="36" s="1"/>
  <c r="N78" i="36" s="1"/>
  <c r="N30" i="13"/>
  <c r="N7" i="12"/>
  <c r="N7" i="36" s="1"/>
  <c r="N55" i="36" s="1"/>
  <c r="N7" i="13"/>
  <c r="N16" i="12"/>
  <c r="N16" i="36" s="1"/>
  <c r="N64" i="36" s="1"/>
  <c r="N16" i="13"/>
  <c r="Z69" i="9"/>
  <c r="O22" i="12"/>
  <c r="O22" i="36" s="1"/>
  <c r="O70" i="36" s="1"/>
  <c r="O22" i="13"/>
  <c r="O39" i="12"/>
  <c r="O39" i="36" s="1"/>
  <c r="O87" i="36" s="1"/>
  <c r="O39" i="13"/>
  <c r="O34" i="12"/>
  <c r="O34" i="36" s="1"/>
  <c r="O82" i="36" s="1"/>
  <c r="O34" i="13"/>
  <c r="O17" i="12"/>
  <c r="O17" i="36" s="1"/>
  <c r="O65" i="36" s="1"/>
  <c r="O17" i="13"/>
  <c r="O13" i="12"/>
  <c r="O13" i="36" s="1"/>
  <c r="O61" i="36" s="1"/>
  <c r="O13" i="13"/>
  <c r="O6" i="12"/>
  <c r="O6" i="36" s="1"/>
  <c r="O54" i="36" s="1"/>
  <c r="O6" i="13"/>
  <c r="P29" i="12"/>
  <c r="P29" i="36" s="1"/>
  <c r="P77" i="36" s="1"/>
  <c r="P29" i="13"/>
  <c r="P24" i="12"/>
  <c r="P24" i="36" s="1"/>
  <c r="P72" i="36" s="1"/>
  <c r="P24" i="13"/>
  <c r="N22" i="12"/>
  <c r="N22" i="36" s="1"/>
  <c r="N70" i="36" s="1"/>
  <c r="N22" i="13"/>
  <c r="N23" i="12"/>
  <c r="N23" i="36" s="1"/>
  <c r="N71" i="36" s="1"/>
  <c r="N23" i="13"/>
  <c r="N10" i="12"/>
  <c r="N10" i="36" s="1"/>
  <c r="N58" i="36" s="1"/>
  <c r="N10" i="13"/>
  <c r="T70" i="9"/>
  <c r="T70" i="8"/>
  <c r="T70" i="7"/>
  <c r="V32" i="12"/>
  <c r="T32" i="36" s="1"/>
  <c r="T80" i="36" s="1"/>
  <c r="V32" i="13"/>
  <c r="V17" i="12"/>
  <c r="T17" i="36" s="1"/>
  <c r="T65" i="36" s="1"/>
  <c r="V17" i="13"/>
  <c r="V38" i="12"/>
  <c r="T38" i="36" s="1"/>
  <c r="T86" i="36" s="1"/>
  <c r="V38" i="13"/>
  <c r="V19" i="12"/>
  <c r="T19" i="36" s="1"/>
  <c r="T67" i="36" s="1"/>
  <c r="V19" i="13"/>
  <c r="V15" i="12"/>
  <c r="T15" i="36" s="1"/>
  <c r="T63" i="36" s="1"/>
  <c r="V15" i="13"/>
  <c r="AA37" i="11"/>
  <c r="Z37" i="12"/>
  <c r="AA37" i="12" s="1"/>
  <c r="Z37" i="13"/>
  <c r="AA37" i="13" s="1"/>
  <c r="AA18" i="11"/>
  <c r="Z18" i="12"/>
  <c r="AA18" i="12" s="1"/>
  <c r="Z18" i="13"/>
  <c r="AA18" i="13" s="1"/>
  <c r="AA19" i="11"/>
  <c r="Z19" i="12"/>
  <c r="AA19" i="12" s="1"/>
  <c r="Z19" i="13"/>
  <c r="AA19" i="13" s="1"/>
  <c r="AA26" i="11"/>
  <c r="Z26" i="12"/>
  <c r="AA26" i="12" s="1"/>
  <c r="Z26" i="13"/>
  <c r="AA26" i="13" s="1"/>
  <c r="AA16" i="11"/>
  <c r="Z16" i="12"/>
  <c r="AA16" i="12" s="1"/>
  <c r="Z16" i="13"/>
  <c r="AA16" i="13" s="1"/>
  <c r="AA9" i="11"/>
  <c r="Z9" i="12"/>
  <c r="AA9" i="12" s="1"/>
  <c r="Z9" i="13"/>
  <c r="AA9" i="13" s="1"/>
  <c r="AI43" i="8"/>
  <c r="AE43" i="35" s="1"/>
  <c r="AE111" i="35" s="1"/>
  <c r="AI43" i="9"/>
  <c r="AI53" i="8"/>
  <c r="AE53" i="35" s="1"/>
  <c r="AE121" i="35" s="1"/>
  <c r="AI53" i="9"/>
  <c r="AI67" i="8"/>
  <c r="AE67" i="35" s="1"/>
  <c r="AE135" i="35" s="1"/>
  <c r="AI67" i="9"/>
  <c r="AI58" i="9"/>
  <c r="AI13" i="8"/>
  <c r="AE13" i="35" s="1"/>
  <c r="AE81" i="35" s="1"/>
  <c r="AI13" i="9"/>
  <c r="AI16" i="9"/>
  <c r="AI18" i="8"/>
  <c r="AE18" i="35" s="1"/>
  <c r="AE86" i="35" s="1"/>
  <c r="AI18" i="9"/>
  <c r="AI19" i="9"/>
  <c r="U20" i="12"/>
  <c r="S20" i="36" s="1"/>
  <c r="S68" i="36" s="1"/>
  <c r="U20" i="13"/>
  <c r="U38" i="12"/>
  <c r="S38" i="36" s="1"/>
  <c r="S86" i="36" s="1"/>
  <c r="U38" i="13"/>
  <c r="U45" i="12"/>
  <c r="S45" i="36" s="1"/>
  <c r="S93" i="36" s="1"/>
  <c r="U45" i="13"/>
  <c r="U18" i="12"/>
  <c r="S18" i="36" s="1"/>
  <c r="S66" i="36" s="1"/>
  <c r="U18" i="13"/>
  <c r="U12" i="12"/>
  <c r="S12" i="36" s="1"/>
  <c r="S60" i="36" s="1"/>
  <c r="U12" i="13"/>
  <c r="U13" i="12"/>
  <c r="S13" i="36" s="1"/>
  <c r="S61" i="36" s="1"/>
  <c r="U13" i="13"/>
  <c r="M38" i="12"/>
  <c r="M38" i="36" s="1"/>
  <c r="M86" i="36" s="1"/>
  <c r="M38" i="13"/>
  <c r="M22" i="12"/>
  <c r="M22" i="36" s="1"/>
  <c r="M70" i="36" s="1"/>
  <c r="M22" i="13"/>
  <c r="M46" i="12"/>
  <c r="M46" i="36" s="1"/>
  <c r="M94" i="36" s="1"/>
  <c r="M46" i="13"/>
  <c r="M18" i="12"/>
  <c r="M18" i="36" s="1"/>
  <c r="M66" i="36" s="1"/>
  <c r="M18" i="13"/>
  <c r="M6" i="12"/>
  <c r="M6" i="36" s="1"/>
  <c r="M54" i="36" s="1"/>
  <c r="M6" i="13"/>
  <c r="W46" i="11"/>
  <c r="T46" i="12"/>
  <c r="R46" i="36" s="1"/>
  <c r="R94" i="36" s="1"/>
  <c r="T46" i="13"/>
  <c r="W29" i="11"/>
  <c r="T29" i="12"/>
  <c r="W29" i="12" s="1"/>
  <c r="T29" i="13"/>
  <c r="W42" i="11"/>
  <c r="T42" i="12"/>
  <c r="R42" i="36" s="1"/>
  <c r="R90" i="36" s="1"/>
  <c r="T42" i="13"/>
  <c r="T36" i="12"/>
  <c r="R36" i="36" s="1"/>
  <c r="R84" i="36" s="1"/>
  <c r="W36" i="11"/>
  <c r="T36" i="13"/>
  <c r="W12" i="11"/>
  <c r="T12" i="12"/>
  <c r="R12" i="36" s="1"/>
  <c r="R60" i="36" s="1"/>
  <c r="T12" i="13"/>
  <c r="W13" i="11"/>
  <c r="T13" i="12"/>
  <c r="W13" i="12" s="1"/>
  <c r="T13" i="13"/>
  <c r="P42" i="12"/>
  <c r="P42" i="36" s="1"/>
  <c r="P90" i="36" s="1"/>
  <c r="P42" i="13"/>
  <c r="P26" i="12"/>
  <c r="P26" i="36" s="1"/>
  <c r="P74" i="36" s="1"/>
  <c r="P26" i="13"/>
  <c r="P30" i="12"/>
  <c r="P30" i="36" s="1"/>
  <c r="P78" i="36" s="1"/>
  <c r="P30" i="13"/>
  <c r="P47" i="12"/>
  <c r="P47" i="36" s="1"/>
  <c r="P95" i="36" s="1"/>
  <c r="P47" i="13"/>
  <c r="P16" i="12"/>
  <c r="P16" i="36" s="1"/>
  <c r="P64" i="36" s="1"/>
  <c r="P16" i="13"/>
  <c r="P9" i="12"/>
  <c r="P9" i="36" s="1"/>
  <c r="P57" i="36" s="1"/>
  <c r="P9" i="13"/>
  <c r="N44" i="12"/>
  <c r="N44" i="36" s="1"/>
  <c r="N92" i="36" s="1"/>
  <c r="N44" i="13"/>
  <c r="N34" i="12"/>
  <c r="N34" i="36" s="1"/>
  <c r="N82" i="36" s="1"/>
  <c r="N34" i="13"/>
  <c r="N17" i="12"/>
  <c r="N17" i="36" s="1"/>
  <c r="N65" i="36" s="1"/>
  <c r="N17" i="13"/>
  <c r="N41" i="12"/>
  <c r="N41" i="36" s="1"/>
  <c r="N89" i="36" s="1"/>
  <c r="N41" i="13"/>
  <c r="N15" i="12"/>
  <c r="N15" i="36" s="1"/>
  <c r="N63" i="36" s="1"/>
  <c r="N15" i="13"/>
  <c r="S74" i="7"/>
  <c r="O19" i="12"/>
  <c r="O19" i="36" s="1"/>
  <c r="O67" i="36" s="1"/>
  <c r="O19" i="13"/>
  <c r="O20" i="12"/>
  <c r="O20" i="36" s="1"/>
  <c r="O68" i="36" s="1"/>
  <c r="O20" i="13"/>
  <c r="O32" i="12"/>
  <c r="O32" i="36" s="1"/>
  <c r="O80" i="36" s="1"/>
  <c r="O32" i="13"/>
  <c r="O41" i="12"/>
  <c r="O41" i="36" s="1"/>
  <c r="O89" i="36" s="1"/>
  <c r="O41" i="13"/>
  <c r="O21" i="12"/>
  <c r="O21" i="36" s="1"/>
  <c r="O69" i="36" s="1"/>
  <c r="O21" i="13"/>
  <c r="O14" i="12"/>
  <c r="O14" i="36" s="1"/>
  <c r="O62" i="36" s="1"/>
  <c r="O14" i="13"/>
  <c r="F35" i="5"/>
  <c r="L52" i="13"/>
  <c r="L52" i="12"/>
  <c r="L54" i="12" s="1"/>
  <c r="L52" i="11"/>
  <c r="L52" i="10"/>
  <c r="AA34" i="11"/>
  <c r="Z34" i="12"/>
  <c r="AA34" i="12" s="1"/>
  <c r="Z34" i="13"/>
  <c r="AA34" i="13" s="1"/>
  <c r="AI37" i="8"/>
  <c r="AE37" i="35" s="1"/>
  <c r="AE105" i="35" s="1"/>
  <c r="AI37" i="9"/>
  <c r="AI41" i="8"/>
  <c r="AE41" i="35" s="1"/>
  <c r="AE109" i="35" s="1"/>
  <c r="AI41" i="9"/>
  <c r="U32" i="12"/>
  <c r="S32" i="36" s="1"/>
  <c r="S80" i="36" s="1"/>
  <c r="U32" i="13"/>
  <c r="U16" i="12"/>
  <c r="S16" i="36" s="1"/>
  <c r="S64" i="36" s="1"/>
  <c r="U16" i="13"/>
  <c r="M42" i="12"/>
  <c r="M42" i="36" s="1"/>
  <c r="M90" i="36" s="1"/>
  <c r="M42" i="13"/>
  <c r="M26" i="12"/>
  <c r="M26" i="36" s="1"/>
  <c r="M74" i="36" s="1"/>
  <c r="M26" i="13"/>
  <c r="M21" i="12"/>
  <c r="M21" i="36" s="1"/>
  <c r="M69" i="36" s="1"/>
  <c r="M21" i="13"/>
  <c r="W26" i="11"/>
  <c r="T26" i="12"/>
  <c r="W26" i="12" s="1"/>
  <c r="T26" i="13"/>
  <c r="W26" i="13" s="1"/>
  <c r="P38" i="12"/>
  <c r="P38" i="36" s="1"/>
  <c r="P86" i="36" s="1"/>
  <c r="P38" i="13"/>
  <c r="P27" i="12"/>
  <c r="P27" i="36" s="1"/>
  <c r="P75" i="36" s="1"/>
  <c r="P27" i="13"/>
  <c r="P15" i="12"/>
  <c r="P15" i="36" s="1"/>
  <c r="P63" i="36" s="1"/>
  <c r="P15" i="13"/>
  <c r="N39" i="12"/>
  <c r="N39" i="36" s="1"/>
  <c r="N87" i="36" s="1"/>
  <c r="N39" i="13"/>
  <c r="N20" i="12"/>
  <c r="N20" i="36" s="1"/>
  <c r="N68" i="36" s="1"/>
  <c r="N20" i="13"/>
  <c r="N8" i="12"/>
  <c r="N8" i="36" s="1"/>
  <c r="N56" i="36" s="1"/>
  <c r="N8" i="13"/>
  <c r="N71" i="9"/>
  <c r="N71" i="8"/>
  <c r="N71" i="7"/>
  <c r="V43" i="12"/>
  <c r="T43" i="36" s="1"/>
  <c r="T91" i="36" s="1"/>
  <c r="V43" i="13"/>
  <c r="V33" i="12"/>
  <c r="T33" i="36" s="1"/>
  <c r="T81" i="36" s="1"/>
  <c r="V33" i="13"/>
  <c r="V37" i="12"/>
  <c r="T37" i="36" s="1"/>
  <c r="T85" i="36" s="1"/>
  <c r="V37" i="13"/>
  <c r="V5" i="12"/>
  <c r="T5" i="36" s="1"/>
  <c r="T53" i="36" s="1"/>
  <c r="V49" i="11"/>
  <c r="V5" i="13"/>
  <c r="V12" i="12"/>
  <c r="T12" i="36" s="1"/>
  <c r="T60" i="36" s="1"/>
  <c r="V12" i="13"/>
  <c r="AA28" i="11"/>
  <c r="Z28" i="12"/>
  <c r="AA28" i="12" s="1"/>
  <c r="Z28" i="13"/>
  <c r="AA28" i="13" s="1"/>
  <c r="AA25" i="11"/>
  <c r="Z25" i="12"/>
  <c r="AA25" i="12" s="1"/>
  <c r="Z25" i="13"/>
  <c r="AA25" i="13" s="1"/>
  <c r="AA41" i="11"/>
  <c r="Z41" i="12"/>
  <c r="AA41" i="12" s="1"/>
  <c r="Z41" i="13"/>
  <c r="AA41" i="13" s="1"/>
  <c r="AA36" i="11"/>
  <c r="Z36" i="12"/>
  <c r="Z36" i="13"/>
  <c r="AA36" i="13" s="1"/>
  <c r="AA5" i="11"/>
  <c r="Z5" i="12"/>
  <c r="V5" i="36" s="1"/>
  <c r="V53" i="36" s="1"/>
  <c r="Z5" i="13"/>
  <c r="Z49" i="11"/>
  <c r="AA6" i="11"/>
  <c r="Z6" i="12"/>
  <c r="AA6" i="12" s="1"/>
  <c r="Z6" i="13"/>
  <c r="AA6" i="13" s="1"/>
  <c r="AI52" i="9"/>
  <c r="AI44" i="8"/>
  <c r="AE44" i="35" s="1"/>
  <c r="AE112" i="35" s="1"/>
  <c r="AI44" i="9"/>
  <c r="AI65" i="9"/>
  <c r="AI49" i="8"/>
  <c r="AE49" i="35" s="1"/>
  <c r="AE117" i="35" s="1"/>
  <c r="AI49" i="9"/>
  <c r="AI28" i="9"/>
  <c r="AI20" i="8"/>
  <c r="AE20" i="35" s="1"/>
  <c r="AE88" i="35" s="1"/>
  <c r="AI20" i="9"/>
  <c r="AI22" i="9"/>
  <c r="AI23" i="8"/>
  <c r="AI23" i="9"/>
  <c r="U23" i="12"/>
  <c r="S23" i="36" s="1"/>
  <c r="S71" i="36" s="1"/>
  <c r="U23" i="13"/>
  <c r="U44" i="12"/>
  <c r="U44" i="13"/>
  <c r="U33" i="12"/>
  <c r="S33" i="36" s="1"/>
  <c r="S81" i="36" s="1"/>
  <c r="U33" i="13"/>
  <c r="U34" i="12"/>
  <c r="S34" i="36" s="1"/>
  <c r="S82" i="36" s="1"/>
  <c r="U34" i="13"/>
  <c r="U9" i="12"/>
  <c r="S9" i="36" s="1"/>
  <c r="S57" i="36" s="1"/>
  <c r="U9" i="13"/>
  <c r="U21" i="12"/>
  <c r="U21" i="13"/>
  <c r="M28" i="12"/>
  <c r="M28" i="13"/>
  <c r="M45" i="12"/>
  <c r="M45" i="36" s="1"/>
  <c r="M93" i="36" s="1"/>
  <c r="M45" i="13"/>
  <c r="M35" i="12"/>
  <c r="M35" i="13"/>
  <c r="M34" i="12"/>
  <c r="M34" i="36" s="1"/>
  <c r="M82" i="36" s="1"/>
  <c r="M34" i="13"/>
  <c r="M14" i="12"/>
  <c r="M14" i="13"/>
  <c r="W19" i="11"/>
  <c r="T19" i="12"/>
  <c r="R19" i="36" s="1"/>
  <c r="R67" i="36" s="1"/>
  <c r="T19" i="13"/>
  <c r="W27" i="11"/>
  <c r="T27" i="12"/>
  <c r="R27" i="36" s="1"/>
  <c r="R75" i="36" s="1"/>
  <c r="T27" i="13"/>
  <c r="W33" i="11"/>
  <c r="T33" i="12"/>
  <c r="R33" i="36" s="1"/>
  <c r="R81" i="36" s="1"/>
  <c r="T33" i="13"/>
  <c r="W17" i="11"/>
  <c r="T17" i="12"/>
  <c r="T17" i="13"/>
  <c r="W17" i="13" s="1"/>
  <c r="W9" i="11"/>
  <c r="T9" i="12"/>
  <c r="R9" i="36" s="1"/>
  <c r="R57" i="36" s="1"/>
  <c r="T9" i="13"/>
  <c r="W21" i="11"/>
  <c r="T21" i="12"/>
  <c r="R21" i="36" s="1"/>
  <c r="R69" i="36" s="1"/>
  <c r="T21" i="13"/>
  <c r="P44" i="12"/>
  <c r="P44" i="36" s="1"/>
  <c r="P92" i="36" s="1"/>
  <c r="P44" i="13"/>
  <c r="P46" i="12"/>
  <c r="P46" i="36" s="1"/>
  <c r="P94" i="36" s="1"/>
  <c r="P46" i="13"/>
  <c r="P43" i="12"/>
  <c r="P43" i="36" s="1"/>
  <c r="P91" i="36" s="1"/>
  <c r="P43" i="13"/>
  <c r="P41" i="12"/>
  <c r="P41" i="36" s="1"/>
  <c r="P89" i="36" s="1"/>
  <c r="P41" i="13"/>
  <c r="P13" i="12"/>
  <c r="P13" i="36" s="1"/>
  <c r="P61" i="36" s="1"/>
  <c r="P13" i="13"/>
  <c r="P6" i="12"/>
  <c r="P6" i="36" s="1"/>
  <c r="P54" i="36" s="1"/>
  <c r="P6" i="13"/>
  <c r="N43" i="12"/>
  <c r="N43" i="13"/>
  <c r="N31" i="12"/>
  <c r="N31" i="36" s="1"/>
  <c r="N79" i="36" s="1"/>
  <c r="N31" i="13"/>
  <c r="N47" i="12"/>
  <c r="N47" i="13"/>
  <c r="N40" i="12"/>
  <c r="N40" i="36" s="1"/>
  <c r="N88" i="36" s="1"/>
  <c r="N40" i="13"/>
  <c r="N12" i="12"/>
  <c r="N12" i="13"/>
  <c r="O46" i="12"/>
  <c r="O46" i="13"/>
  <c r="O31" i="12"/>
  <c r="O31" i="36" s="1"/>
  <c r="O79" i="36" s="1"/>
  <c r="O31" i="13"/>
  <c r="O44" i="12"/>
  <c r="O44" i="13"/>
  <c r="O30" i="12"/>
  <c r="O30" i="36" s="1"/>
  <c r="O78" i="36" s="1"/>
  <c r="O30" i="13"/>
  <c r="O5" i="12"/>
  <c r="O5" i="36" s="1"/>
  <c r="O53" i="36" s="1"/>
  <c r="O49" i="11"/>
  <c r="O5" i="13"/>
  <c r="O11" i="12"/>
  <c r="O11" i="36" s="1"/>
  <c r="O59" i="36" s="1"/>
  <c r="O11" i="13"/>
  <c r="V36" i="12"/>
  <c r="T36" i="36" s="1"/>
  <c r="T84" i="36" s="1"/>
  <c r="V36" i="13"/>
  <c r="AA47" i="11"/>
  <c r="Z47" i="12"/>
  <c r="Z47" i="13"/>
  <c r="AA47" i="13" s="1"/>
  <c r="AA13" i="11"/>
  <c r="Z13" i="12"/>
  <c r="AA13" i="12" s="1"/>
  <c r="Z13" i="13"/>
  <c r="AA13" i="13" s="1"/>
  <c r="M31" i="12"/>
  <c r="M31" i="36" s="1"/>
  <c r="M79" i="36" s="1"/>
  <c r="M31" i="13"/>
  <c r="M17" i="12"/>
  <c r="M17" i="36" s="1"/>
  <c r="M65" i="36" s="1"/>
  <c r="M17" i="13"/>
  <c r="M25" i="12"/>
  <c r="M25" i="36" s="1"/>
  <c r="M73" i="36" s="1"/>
  <c r="M25" i="13"/>
  <c r="M37" i="12"/>
  <c r="M37" i="36" s="1"/>
  <c r="M85" i="36" s="1"/>
  <c r="M37" i="13"/>
  <c r="M11" i="12"/>
  <c r="M11" i="36" s="1"/>
  <c r="M59" i="36" s="1"/>
  <c r="M11" i="13"/>
  <c r="W45" i="11"/>
  <c r="T45" i="12"/>
  <c r="R45" i="36" s="1"/>
  <c r="R93" i="36" s="1"/>
  <c r="T45" i="13"/>
  <c r="W45" i="13" s="1"/>
  <c r="W41" i="11"/>
  <c r="T41" i="12"/>
  <c r="R41" i="36" s="1"/>
  <c r="R89" i="36" s="1"/>
  <c r="T41" i="13"/>
  <c r="W32" i="11"/>
  <c r="T32" i="12"/>
  <c r="R32" i="36" s="1"/>
  <c r="R80" i="36" s="1"/>
  <c r="T32" i="13"/>
  <c r="W44" i="11"/>
  <c r="T44" i="12"/>
  <c r="T44" i="13"/>
  <c r="W6" i="11"/>
  <c r="T6" i="12"/>
  <c r="T6" i="13"/>
  <c r="W10" i="11"/>
  <c r="T10" i="12"/>
  <c r="R10" i="36" s="1"/>
  <c r="R58" i="36" s="1"/>
  <c r="T10" i="13"/>
  <c r="W10" i="13" s="1"/>
  <c r="P37" i="12"/>
  <c r="P37" i="36" s="1"/>
  <c r="P85" i="36" s="1"/>
  <c r="P37" i="13"/>
  <c r="P20" i="12"/>
  <c r="P20" i="13"/>
  <c r="P32" i="12"/>
  <c r="P32" i="36" s="1"/>
  <c r="P80" i="36" s="1"/>
  <c r="P32" i="13"/>
  <c r="P23" i="12"/>
  <c r="P23" i="13"/>
  <c r="P21" i="12"/>
  <c r="P21" i="36" s="1"/>
  <c r="P69" i="36" s="1"/>
  <c r="P21" i="13"/>
  <c r="P14" i="12"/>
  <c r="P14" i="13"/>
  <c r="S5" i="13"/>
  <c r="S49" i="13" s="1"/>
  <c r="R49" i="13"/>
  <c r="N36" i="12"/>
  <c r="N36" i="36" s="1"/>
  <c r="N84" i="36" s="1"/>
  <c r="N36" i="13"/>
  <c r="N45" i="12"/>
  <c r="N45" i="36" s="1"/>
  <c r="N93" i="36" s="1"/>
  <c r="N45" i="13"/>
  <c r="N46" i="12"/>
  <c r="N46" i="36" s="1"/>
  <c r="N94" i="36" s="1"/>
  <c r="N46" i="13"/>
  <c r="N13" i="12"/>
  <c r="N13" i="36" s="1"/>
  <c r="N61" i="36" s="1"/>
  <c r="N13" i="13"/>
  <c r="N9" i="12"/>
  <c r="N9" i="36" s="1"/>
  <c r="N57" i="36" s="1"/>
  <c r="N9" i="13"/>
  <c r="O25" i="12"/>
  <c r="O25" i="36" s="1"/>
  <c r="O73" i="36" s="1"/>
  <c r="O25" i="13"/>
  <c r="O43" i="12"/>
  <c r="O43" i="36" s="1"/>
  <c r="O91" i="36" s="1"/>
  <c r="O43" i="13"/>
  <c r="O27" i="12"/>
  <c r="O27" i="36" s="1"/>
  <c r="O75" i="36" s="1"/>
  <c r="O27" i="13"/>
  <c r="O28" i="12"/>
  <c r="O28" i="36" s="1"/>
  <c r="O76" i="36" s="1"/>
  <c r="O28" i="13"/>
  <c r="O10" i="12"/>
  <c r="O10" i="36" s="1"/>
  <c r="O58" i="36" s="1"/>
  <c r="O10" i="13"/>
  <c r="V28" i="12"/>
  <c r="T28" i="36" s="1"/>
  <c r="T76" i="36" s="1"/>
  <c r="V28" i="13"/>
  <c r="AA46" i="11"/>
  <c r="Z46" i="12"/>
  <c r="AA46" i="12" s="1"/>
  <c r="Z46" i="13"/>
  <c r="AA46" i="13" s="1"/>
  <c r="AA15" i="11"/>
  <c r="Z15" i="12"/>
  <c r="Z15" i="13"/>
  <c r="AA15" i="13" s="1"/>
  <c r="AI8" i="9"/>
  <c r="U43" i="12"/>
  <c r="U43" i="13"/>
  <c r="N72" i="9"/>
  <c r="N72" i="8"/>
  <c r="N74" i="8" s="1"/>
  <c r="N72" i="7"/>
  <c r="V31" i="12"/>
  <c r="T31" i="36" s="1"/>
  <c r="T79" i="36" s="1"/>
  <c r="V31" i="13"/>
  <c r="V9" i="12"/>
  <c r="T9" i="36" s="1"/>
  <c r="T57" i="36" s="1"/>
  <c r="V9" i="13"/>
  <c r="AA42" i="11"/>
  <c r="Z42" i="12"/>
  <c r="AA42" i="12" s="1"/>
  <c r="Z42" i="13"/>
  <c r="AA42" i="13" s="1"/>
  <c r="AA14" i="11"/>
  <c r="Z14" i="12"/>
  <c r="Z14" i="13"/>
  <c r="AA14" i="13" s="1"/>
  <c r="AI61" i="8"/>
  <c r="AE61" i="35" s="1"/>
  <c r="AE129" i="35" s="1"/>
  <c r="AI61" i="9"/>
  <c r="AI63" i="8"/>
  <c r="AE63" i="35" s="1"/>
  <c r="AE131" i="35" s="1"/>
  <c r="AI63" i="9"/>
  <c r="AI17" i="8"/>
  <c r="AE17" i="35" s="1"/>
  <c r="AE85" i="35" s="1"/>
  <c r="AI17" i="9"/>
  <c r="AI31" i="8"/>
  <c r="AE31" i="35" s="1"/>
  <c r="AE99" i="35" s="1"/>
  <c r="AI31" i="9"/>
  <c r="AI30" i="8"/>
  <c r="AE30" i="35" s="1"/>
  <c r="AE98" i="35" s="1"/>
  <c r="AI30" i="9"/>
  <c r="U30" i="12"/>
  <c r="S30" i="36" s="1"/>
  <c r="S78" i="36" s="1"/>
  <c r="U30" i="13"/>
  <c r="U47" i="12"/>
  <c r="S47" i="36" s="1"/>
  <c r="S95" i="36" s="1"/>
  <c r="U47" i="13"/>
  <c r="U37" i="12"/>
  <c r="S37" i="36" s="1"/>
  <c r="S85" i="36" s="1"/>
  <c r="U37" i="13"/>
  <c r="U6" i="12"/>
  <c r="S6" i="36" s="1"/>
  <c r="S54" i="36" s="1"/>
  <c r="U6" i="13"/>
  <c r="V24" i="12"/>
  <c r="T24" i="36" s="1"/>
  <c r="T72" i="36" s="1"/>
  <c r="V24" i="13"/>
  <c r="V27" i="12"/>
  <c r="T27" i="36" s="1"/>
  <c r="T75" i="36" s="1"/>
  <c r="V27" i="13"/>
  <c r="V18" i="12"/>
  <c r="T18" i="36" s="1"/>
  <c r="T66" i="36" s="1"/>
  <c r="V18" i="13"/>
  <c r="V46" i="12"/>
  <c r="T46" i="36" s="1"/>
  <c r="T94" i="36" s="1"/>
  <c r="V46" i="13"/>
  <c r="V6" i="12"/>
  <c r="T6" i="36" s="1"/>
  <c r="T54" i="36" s="1"/>
  <c r="V6" i="13"/>
  <c r="AA45" i="11"/>
  <c r="Z45" i="12"/>
  <c r="AA45" i="12" s="1"/>
  <c r="Z45" i="13"/>
  <c r="AA45" i="13" s="1"/>
  <c r="AA38" i="11"/>
  <c r="Z38" i="12"/>
  <c r="AA38" i="12" s="1"/>
  <c r="Z38" i="13"/>
  <c r="AA38" i="13" s="1"/>
  <c r="AA24" i="11"/>
  <c r="Z24" i="12"/>
  <c r="Z24" i="13"/>
  <c r="AA24" i="13" s="1"/>
  <c r="AA11" i="11"/>
  <c r="Z11" i="12"/>
  <c r="AA11" i="12" s="1"/>
  <c r="Z11" i="13"/>
  <c r="AA11" i="13" s="1"/>
  <c r="AA21" i="11"/>
  <c r="Z21" i="12"/>
  <c r="Z21" i="13"/>
  <c r="AA21" i="13" s="1"/>
  <c r="AI40" i="8"/>
  <c r="AE40" i="35" s="1"/>
  <c r="AE108" i="35" s="1"/>
  <c r="AI40" i="9"/>
  <c r="AI62" i="8"/>
  <c r="AE62" i="35" s="1"/>
  <c r="AE130" i="35" s="1"/>
  <c r="AI62" i="9"/>
  <c r="AI59" i="8"/>
  <c r="AE59" i="35" s="1"/>
  <c r="AE127" i="35" s="1"/>
  <c r="AI59" i="9"/>
  <c r="AI64" i="8"/>
  <c r="AE64" i="35" s="1"/>
  <c r="AE132" i="35" s="1"/>
  <c r="AI64" i="9"/>
  <c r="AI9" i="8"/>
  <c r="AE9" i="35" s="1"/>
  <c r="AE77" i="35" s="1"/>
  <c r="AI9" i="9"/>
  <c r="AI24" i="8"/>
  <c r="AE24" i="35" s="1"/>
  <c r="AE92" i="35" s="1"/>
  <c r="AI24" i="9"/>
  <c r="AI26" i="8"/>
  <c r="AE26" i="35" s="1"/>
  <c r="AE94" i="35" s="1"/>
  <c r="AI26" i="9"/>
  <c r="AI27" i="8"/>
  <c r="AE27" i="35" s="1"/>
  <c r="AE95" i="35" s="1"/>
  <c r="AI27" i="9"/>
  <c r="U42" i="12"/>
  <c r="S42" i="36" s="1"/>
  <c r="S90" i="36" s="1"/>
  <c r="U42" i="13"/>
  <c r="U40" i="12"/>
  <c r="S40" i="36" s="1"/>
  <c r="S88" i="36" s="1"/>
  <c r="U40" i="13"/>
  <c r="U24" i="12"/>
  <c r="S24" i="36" s="1"/>
  <c r="S72" i="36" s="1"/>
  <c r="U24" i="13"/>
  <c r="U41" i="12"/>
  <c r="S41" i="36" s="1"/>
  <c r="S89" i="36" s="1"/>
  <c r="U41" i="13"/>
  <c r="U14" i="12"/>
  <c r="S14" i="36" s="1"/>
  <c r="S62" i="36" s="1"/>
  <c r="U14" i="13"/>
  <c r="M30" i="12"/>
  <c r="M30" i="13"/>
  <c r="M40" i="12"/>
  <c r="M40" i="13"/>
  <c r="M24" i="12"/>
  <c r="M24" i="13"/>
  <c r="M43" i="12"/>
  <c r="M43" i="36" s="1"/>
  <c r="M91" i="36" s="1"/>
  <c r="M43" i="13"/>
  <c r="M8" i="12"/>
  <c r="M8" i="13"/>
  <c r="T39" i="12"/>
  <c r="R39" i="36" s="1"/>
  <c r="R87" i="36" s="1"/>
  <c r="W39" i="11"/>
  <c r="T39" i="13"/>
  <c r="T40" i="12"/>
  <c r="R40" i="36" s="1"/>
  <c r="R88" i="36" s="1"/>
  <c r="W40" i="11"/>
  <c r="T40" i="13"/>
  <c r="W34" i="11"/>
  <c r="T34" i="12"/>
  <c r="R34" i="36" s="1"/>
  <c r="R82" i="36" s="1"/>
  <c r="T34" i="13"/>
  <c r="W28" i="11"/>
  <c r="T28" i="12"/>
  <c r="T28" i="13"/>
  <c r="W14" i="11"/>
  <c r="T14" i="12"/>
  <c r="W14" i="12" s="1"/>
  <c r="T14" i="13"/>
  <c r="W14" i="13" s="1"/>
  <c r="P33" i="12"/>
  <c r="P33" i="36" s="1"/>
  <c r="P81" i="36" s="1"/>
  <c r="P33" i="13"/>
  <c r="P28" i="12"/>
  <c r="P28" i="36" s="1"/>
  <c r="P76" i="36" s="1"/>
  <c r="P28" i="13"/>
  <c r="P39" i="12"/>
  <c r="P39" i="36" s="1"/>
  <c r="P87" i="36" s="1"/>
  <c r="P39" i="13"/>
  <c r="P19" i="12"/>
  <c r="P19" i="36" s="1"/>
  <c r="P67" i="36" s="1"/>
  <c r="P19" i="13"/>
  <c r="P5" i="12"/>
  <c r="P5" i="36" s="1"/>
  <c r="P53" i="36" s="1"/>
  <c r="P5" i="13"/>
  <c r="P49" i="11"/>
  <c r="S49" i="11"/>
  <c r="N42" i="12"/>
  <c r="N42" i="36" s="1"/>
  <c r="N90" i="36" s="1"/>
  <c r="N42" i="13"/>
  <c r="N19" i="12"/>
  <c r="N19" i="13"/>
  <c r="N37" i="12"/>
  <c r="N37" i="36" s="1"/>
  <c r="N85" i="36" s="1"/>
  <c r="N37" i="13"/>
  <c r="N29" i="12"/>
  <c r="N29" i="36" s="1"/>
  <c r="N77" i="36" s="1"/>
  <c r="N29" i="13"/>
  <c r="N6" i="12"/>
  <c r="N6" i="36" s="1"/>
  <c r="N54" i="36" s="1"/>
  <c r="N6" i="13"/>
  <c r="O45" i="12"/>
  <c r="O45" i="13"/>
  <c r="O42" i="12"/>
  <c r="O42" i="36" s="1"/>
  <c r="O90" i="36" s="1"/>
  <c r="O42" i="13"/>
  <c r="O26" i="12"/>
  <c r="O26" i="36" s="1"/>
  <c r="O74" i="36" s="1"/>
  <c r="O26" i="13"/>
  <c r="O33" i="12"/>
  <c r="O33" i="36" s="1"/>
  <c r="O81" i="36" s="1"/>
  <c r="O33" i="13"/>
  <c r="O7" i="12"/>
  <c r="O7" i="13"/>
  <c r="E10" i="5"/>
  <c r="N73" i="6"/>
  <c r="F10" i="5"/>
  <c r="F29" i="5" s="1"/>
  <c r="N74" i="6"/>
  <c r="D47" i="5"/>
  <c r="D29" i="5"/>
  <c r="R28" i="36" l="1"/>
  <c r="R76" i="36" s="1"/>
  <c r="M24" i="36"/>
  <c r="M72" i="36" s="1"/>
  <c r="AA21" i="12"/>
  <c r="V21" i="36"/>
  <c r="V69" i="36" s="1"/>
  <c r="I9" i="38"/>
  <c r="I11" i="38"/>
  <c r="M40" i="36"/>
  <c r="M88" i="36" s="1"/>
  <c r="S43" i="36"/>
  <c r="S91" i="36" s="1"/>
  <c r="P14" i="36"/>
  <c r="P62" i="36" s="1"/>
  <c r="P20" i="36"/>
  <c r="P68" i="36" s="1"/>
  <c r="E9" i="38"/>
  <c r="E11" i="38"/>
  <c r="O46" i="36"/>
  <c r="O94" i="36" s="1"/>
  <c r="N47" i="36"/>
  <c r="N95" i="36" s="1"/>
  <c r="AE23" i="35"/>
  <c r="AE91" i="35" s="1"/>
  <c r="D9" i="38"/>
  <c r="D11" i="38"/>
  <c r="F9" i="38"/>
  <c r="F11" i="38"/>
  <c r="R6" i="36"/>
  <c r="R54" i="36" s="1"/>
  <c r="M14" i="36"/>
  <c r="M62" i="36" s="1"/>
  <c r="M28" i="36"/>
  <c r="M76" i="36" s="1"/>
  <c r="C7" i="38" s="1"/>
  <c r="N19" i="36"/>
  <c r="N67" i="36" s="1"/>
  <c r="M8" i="36"/>
  <c r="M56" i="36" s="1"/>
  <c r="M30" i="36"/>
  <c r="M78" i="36" s="1"/>
  <c r="J9" i="38"/>
  <c r="J11" i="38"/>
  <c r="J7" i="38"/>
  <c r="AA14" i="12"/>
  <c r="V14" i="36"/>
  <c r="V62" i="36" s="1"/>
  <c r="AA15" i="12"/>
  <c r="V15" i="36"/>
  <c r="V63" i="36" s="1"/>
  <c r="AA36" i="12"/>
  <c r="V36" i="36"/>
  <c r="V84" i="36" s="1"/>
  <c r="H9" i="38"/>
  <c r="H11" i="38"/>
  <c r="O7" i="36"/>
  <c r="O55" i="36" s="1"/>
  <c r="E7" i="38" s="1"/>
  <c r="O45" i="36"/>
  <c r="O93" i="36" s="1"/>
  <c r="AA24" i="12"/>
  <c r="V24" i="36"/>
  <c r="V72" i="36" s="1"/>
  <c r="P23" i="36"/>
  <c r="P71" i="36" s="1"/>
  <c r="F7" i="38" s="1"/>
  <c r="W44" i="12"/>
  <c r="R44" i="36"/>
  <c r="R92" i="36" s="1"/>
  <c r="O44" i="36"/>
  <c r="O92" i="36" s="1"/>
  <c r="N12" i="36"/>
  <c r="N60" i="36" s="1"/>
  <c r="D7" i="38" s="1"/>
  <c r="N43" i="36"/>
  <c r="N91" i="36" s="1"/>
  <c r="S21" i="36"/>
  <c r="S69" i="36" s="1"/>
  <c r="I7" i="38" s="1"/>
  <c r="S44" i="36"/>
  <c r="S92" i="36" s="1"/>
  <c r="AA47" i="12"/>
  <c r="V47" i="36"/>
  <c r="V95" i="36" s="1"/>
  <c r="R17" i="36"/>
  <c r="R65" i="36" s="1"/>
  <c r="M35" i="36"/>
  <c r="M83" i="36" s="1"/>
  <c r="C9" i="38"/>
  <c r="C11" i="38"/>
  <c r="X36" i="9"/>
  <c r="X33" i="9"/>
  <c r="X47" i="9"/>
  <c r="X28" i="9"/>
  <c r="X22" i="9"/>
  <c r="X29" i="9"/>
  <c r="X26" i="9"/>
  <c r="X42" i="9"/>
  <c r="L46" i="9"/>
  <c r="L58" i="9"/>
  <c r="L57" i="9"/>
  <c r="L15" i="9"/>
  <c r="L19" i="9"/>
  <c r="L30" i="9"/>
  <c r="L37" i="9"/>
  <c r="O27" i="9"/>
  <c r="O32" i="9"/>
  <c r="O15" i="9"/>
  <c r="O19" i="9"/>
  <c r="O30" i="9"/>
  <c r="O18" i="9"/>
  <c r="O49" i="9"/>
  <c r="O23" i="9"/>
  <c r="AD35" i="7"/>
  <c r="AC35" i="9"/>
  <c r="AD35" i="9" s="1"/>
  <c r="AD13" i="7"/>
  <c r="AC13" i="9"/>
  <c r="AD13" i="9" s="1"/>
  <c r="AD17" i="7"/>
  <c r="AC17" i="9"/>
  <c r="AD17" i="9" s="1"/>
  <c r="AD21" i="7"/>
  <c r="AC21" i="9"/>
  <c r="AD21" i="9" s="1"/>
  <c r="AD32" i="7"/>
  <c r="AC32" i="9"/>
  <c r="AD32" i="9" s="1"/>
  <c r="AD52" i="7"/>
  <c r="AC52" i="9"/>
  <c r="AD52" i="9" s="1"/>
  <c r="AD45" i="7"/>
  <c r="AC45" i="9"/>
  <c r="AD45" i="9" s="1"/>
  <c r="M8" i="38"/>
  <c r="U36" i="9"/>
  <c r="U10" i="9"/>
  <c r="U18" i="9"/>
  <c r="U9" i="9"/>
  <c r="U39" i="9"/>
  <c r="U69" i="7"/>
  <c r="U74" i="7" s="1"/>
  <c r="U7" i="8" s="1"/>
  <c r="T7" i="35" s="1"/>
  <c r="T75" i="35" s="1"/>
  <c r="U7" i="9"/>
  <c r="U33" i="8"/>
  <c r="T33" i="35" s="1"/>
  <c r="T101" i="35" s="1"/>
  <c r="U33" i="9"/>
  <c r="U20" i="9"/>
  <c r="AH53" i="9"/>
  <c r="AH65" i="9"/>
  <c r="AH63" i="9"/>
  <c r="AH45" i="9"/>
  <c r="AH52" i="9"/>
  <c r="AH57" i="9"/>
  <c r="AH67" i="9"/>
  <c r="AH46" i="9"/>
  <c r="Q46" i="9"/>
  <c r="Q61" i="9"/>
  <c r="Q8" i="9"/>
  <c r="Q12" i="9"/>
  <c r="Q20" i="9"/>
  <c r="Q24" i="9"/>
  <c r="Q31" i="9"/>
  <c r="Q21" i="9"/>
  <c r="W32" i="9"/>
  <c r="W61" i="9"/>
  <c r="W48" i="9"/>
  <c r="W51" i="9"/>
  <c r="W39" i="9"/>
  <c r="W47" i="9"/>
  <c r="W37" i="9"/>
  <c r="W44" i="9"/>
  <c r="P9" i="9"/>
  <c r="P11" i="9"/>
  <c r="P41" i="9"/>
  <c r="P25" i="9"/>
  <c r="P14" i="9"/>
  <c r="P18" i="9"/>
  <c r="R9" i="9"/>
  <c r="R17" i="9"/>
  <c r="R41" i="9"/>
  <c r="R48" i="9"/>
  <c r="R27" i="9"/>
  <c r="R47" i="9"/>
  <c r="R29" i="9"/>
  <c r="V6" i="36"/>
  <c r="V54" i="36" s="1"/>
  <c r="L9" i="38" s="1"/>
  <c r="V8" i="36"/>
  <c r="V56" i="36" s="1"/>
  <c r="V10" i="36"/>
  <c r="V58" i="36" s="1"/>
  <c r="X67" i="9"/>
  <c r="X62" i="9"/>
  <c r="X46" i="9"/>
  <c r="X24" i="9"/>
  <c r="X11" i="9"/>
  <c r="X15" i="9"/>
  <c r="X30" i="9"/>
  <c r="X63" i="9"/>
  <c r="L61" i="9"/>
  <c r="L32" i="9"/>
  <c r="L38" i="9"/>
  <c r="L20" i="9"/>
  <c r="L24" i="9"/>
  <c r="L31" i="9"/>
  <c r="L41" i="9"/>
  <c r="O21" i="9"/>
  <c r="O33" i="9"/>
  <c r="O42" i="9"/>
  <c r="O67" i="9"/>
  <c r="O57" i="9"/>
  <c r="O59" i="9"/>
  <c r="O60" i="9"/>
  <c r="AD46" i="7"/>
  <c r="AC46" i="9"/>
  <c r="AD46" i="9" s="1"/>
  <c r="AC38" i="9"/>
  <c r="AD38" i="9" s="1"/>
  <c r="AD38" i="7"/>
  <c r="AC58" i="9"/>
  <c r="AD58" i="9" s="1"/>
  <c r="AD58" i="7"/>
  <c r="AD50" i="7"/>
  <c r="AC50" i="9"/>
  <c r="AD50" i="9" s="1"/>
  <c r="AD48" i="7"/>
  <c r="AC48" i="9"/>
  <c r="AD48" i="9" s="1"/>
  <c r="AD57" i="7"/>
  <c r="AC57" i="9"/>
  <c r="AD57" i="9" s="1"/>
  <c r="AD66" i="7"/>
  <c r="AC66" i="9"/>
  <c r="AD66" i="9" s="1"/>
  <c r="AD64" i="7"/>
  <c r="AC64" i="9"/>
  <c r="AD64" i="9" s="1"/>
  <c r="V76" i="6"/>
  <c r="V70" i="8"/>
  <c r="V74" i="8" s="1"/>
  <c r="V70" i="9"/>
  <c r="V70" i="7"/>
  <c r="U17" i="9"/>
  <c r="U21" i="9"/>
  <c r="U32" i="9"/>
  <c r="U41" i="9"/>
  <c r="U25" i="9"/>
  <c r="U26" i="9"/>
  <c r="U16" i="9"/>
  <c r="U16" i="8"/>
  <c r="T16" i="35" s="1"/>
  <c r="T84" i="35" s="1"/>
  <c r="Y69" i="7"/>
  <c r="Y74" i="7" s="1"/>
  <c r="M51" i="7"/>
  <c r="M65" i="7"/>
  <c r="M50" i="7"/>
  <c r="M37" i="7"/>
  <c r="M25" i="7"/>
  <c r="M14" i="7"/>
  <c r="M43" i="7"/>
  <c r="M17" i="7"/>
  <c r="M31" i="7"/>
  <c r="M20" i="7"/>
  <c r="M29" i="7"/>
  <c r="M16" i="7"/>
  <c r="M41" i="7"/>
  <c r="M67" i="7"/>
  <c r="M53" i="7"/>
  <c r="M44" i="7"/>
  <c r="M61" i="7"/>
  <c r="M59" i="7"/>
  <c r="M12" i="7"/>
  <c r="M9" i="7"/>
  <c r="M57" i="7"/>
  <c r="M27" i="7"/>
  <c r="M28" i="7"/>
  <c r="M66" i="7"/>
  <c r="M45" i="7"/>
  <c r="M62" i="7"/>
  <c r="M63" i="7"/>
  <c r="M13" i="7"/>
  <c r="M54" i="7"/>
  <c r="M15" i="7"/>
  <c r="M8" i="7"/>
  <c r="M18" i="7"/>
  <c r="M42" i="7"/>
  <c r="M40" i="7"/>
  <c r="M47" i="7"/>
  <c r="M35" i="7"/>
  <c r="M11" i="7"/>
  <c r="M32" i="7"/>
  <c r="M56" i="7"/>
  <c r="M64" i="7"/>
  <c r="M24" i="7"/>
  <c r="M34" i="7"/>
  <c r="M58" i="7"/>
  <c r="M26" i="7"/>
  <c r="M21" i="7"/>
  <c r="M19" i="7"/>
  <c r="M52" i="7"/>
  <c r="M10" i="7"/>
  <c r="M49" i="7"/>
  <c r="M60" i="7"/>
  <c r="M48" i="7"/>
  <c r="M22" i="7"/>
  <c r="M7" i="7"/>
  <c r="M30" i="7"/>
  <c r="M39" i="7"/>
  <c r="M36" i="7"/>
  <c r="M55" i="7"/>
  <c r="M38" i="7"/>
  <c r="M46" i="7"/>
  <c r="M23" i="7"/>
  <c r="M33" i="7"/>
  <c r="AH55" i="9"/>
  <c r="AH66" i="9"/>
  <c r="AH49" i="9"/>
  <c r="AH56" i="9"/>
  <c r="AH47" i="9"/>
  <c r="AH62" i="9"/>
  <c r="AH39" i="9"/>
  <c r="AH41" i="9"/>
  <c r="Q13" i="9"/>
  <c r="Q16" i="9"/>
  <c r="Q30" i="9"/>
  <c r="Q44" i="9"/>
  <c r="Q14" i="9"/>
  <c r="Q22" i="9"/>
  <c r="Q29" i="9"/>
  <c r="Q39" i="9"/>
  <c r="W25" i="9"/>
  <c r="W62" i="9"/>
  <c r="W64" i="9"/>
  <c r="W45" i="9"/>
  <c r="W42" i="9"/>
  <c r="W21" i="9"/>
  <c r="W9" i="9"/>
  <c r="W13" i="9"/>
  <c r="P34" i="9"/>
  <c r="P26" i="9"/>
  <c r="P33" i="9"/>
  <c r="R57" i="9"/>
  <c r="R13" i="9"/>
  <c r="R62" i="9"/>
  <c r="R15" i="9"/>
  <c r="R28" i="9"/>
  <c r="R19" i="9"/>
  <c r="V44" i="36"/>
  <c r="V92" i="36" s="1"/>
  <c r="V27" i="36"/>
  <c r="V75" i="36" s="1"/>
  <c r="X10" i="9"/>
  <c r="X40" i="9"/>
  <c r="X44" i="9"/>
  <c r="X18" i="9"/>
  <c r="X57" i="9"/>
  <c r="X60" i="9"/>
  <c r="X61" i="9"/>
  <c r="X50" i="9"/>
  <c r="L21" i="9"/>
  <c r="L42" i="9"/>
  <c r="L45" i="9"/>
  <c r="L35" i="9"/>
  <c r="L60" i="9"/>
  <c r="L63" i="9"/>
  <c r="L47" i="9"/>
  <c r="R13" i="36"/>
  <c r="R61" i="36" s="1"/>
  <c r="O26" i="9"/>
  <c r="O64" i="9"/>
  <c r="O43" i="9"/>
  <c r="O62" i="9"/>
  <c r="O47" i="9"/>
  <c r="O61" i="9"/>
  <c r="O55" i="9"/>
  <c r="AD44" i="7"/>
  <c r="AC44" i="9"/>
  <c r="AD44" i="9" s="1"/>
  <c r="AD49" i="7"/>
  <c r="AC49" i="9"/>
  <c r="AD49" i="9" s="1"/>
  <c r="AD39" i="7"/>
  <c r="AC39" i="9"/>
  <c r="AD39" i="9" s="1"/>
  <c r="AD67" i="7"/>
  <c r="AC67" i="9"/>
  <c r="AD67" i="9" s="1"/>
  <c r="AD40" i="7"/>
  <c r="AC40" i="9"/>
  <c r="AD40" i="9" s="1"/>
  <c r="AD59" i="7"/>
  <c r="AC59" i="9"/>
  <c r="AD59" i="9" s="1"/>
  <c r="AD53" i="7"/>
  <c r="AC53" i="9"/>
  <c r="AD53" i="9" s="1"/>
  <c r="AD9" i="7"/>
  <c r="AC9" i="9"/>
  <c r="AD9" i="9" s="1"/>
  <c r="Y5" i="35"/>
  <c r="Y73" i="35" s="1"/>
  <c r="Z69" i="8"/>
  <c r="Y70" i="8"/>
  <c r="Y74" i="8" s="1"/>
  <c r="Y53" i="9" s="1"/>
  <c r="Y70" i="9"/>
  <c r="Y70" i="7"/>
  <c r="U19" i="9"/>
  <c r="U23" i="9"/>
  <c r="U30" i="9"/>
  <c r="U27" i="9"/>
  <c r="U34" i="9"/>
  <c r="U12" i="9"/>
  <c r="U67" i="9"/>
  <c r="Y31" i="9"/>
  <c r="Y15" i="9"/>
  <c r="Y19" i="9"/>
  <c r="AH40" i="8"/>
  <c r="AD40" i="35" s="1"/>
  <c r="AD108" i="35" s="1"/>
  <c r="AH40" i="9"/>
  <c r="AH48" i="9"/>
  <c r="AH38" i="9"/>
  <c r="AH54" i="9"/>
  <c r="AH59" i="9"/>
  <c r="AH50" i="9"/>
  <c r="AH11" i="9"/>
  <c r="AH17" i="9"/>
  <c r="Q67" i="9"/>
  <c r="Q53" i="9"/>
  <c r="Q38" i="9"/>
  <c r="Q65" i="9"/>
  <c r="Q66" i="9"/>
  <c r="Q57" i="9"/>
  <c r="Q55" i="9"/>
  <c r="V39" i="36"/>
  <c r="V87" i="36" s="1"/>
  <c r="W11" i="9"/>
  <c r="W50" i="9"/>
  <c r="W55" i="9"/>
  <c r="W56" i="9"/>
  <c r="W8" i="9"/>
  <c r="W16" i="9"/>
  <c r="W20" i="9"/>
  <c r="W24" i="9"/>
  <c r="P21" i="9"/>
  <c r="P32" i="9"/>
  <c r="P36" i="9"/>
  <c r="P63" i="9"/>
  <c r="P60" i="9"/>
  <c r="P62" i="9"/>
  <c r="P50" i="9"/>
  <c r="R8" i="9"/>
  <c r="R65" i="35"/>
  <c r="R133" i="35" s="1"/>
  <c r="R65" i="9"/>
  <c r="R54" i="9"/>
  <c r="R22" i="9"/>
  <c r="R32" i="9"/>
  <c r="V30" i="36"/>
  <c r="V78" i="36" s="1"/>
  <c r="V23" i="36"/>
  <c r="V71" i="36" s="1"/>
  <c r="X52" i="9"/>
  <c r="X21" i="9"/>
  <c r="X54" i="9"/>
  <c r="X64" i="9"/>
  <c r="X56" i="9"/>
  <c r="X59" i="9"/>
  <c r="X65" i="9"/>
  <c r="L50" i="9"/>
  <c r="L26" i="9"/>
  <c r="L12" i="9"/>
  <c r="L16" i="9"/>
  <c r="L55" i="9"/>
  <c r="L18" i="9"/>
  <c r="L36" i="9"/>
  <c r="L56" i="9"/>
  <c r="X10" i="37"/>
  <c r="O40" i="9"/>
  <c r="O63" i="9"/>
  <c r="O53" i="9"/>
  <c r="O52" i="9"/>
  <c r="O56" i="9"/>
  <c r="O39" i="9"/>
  <c r="O65" i="9"/>
  <c r="AD51" i="7"/>
  <c r="AC51" i="9"/>
  <c r="AD51" i="9" s="1"/>
  <c r="AD63" i="7"/>
  <c r="AC63" i="9"/>
  <c r="AD63" i="9" s="1"/>
  <c r="AD61" i="7"/>
  <c r="AC61" i="9"/>
  <c r="AD61" i="9" s="1"/>
  <c r="AD43" i="7"/>
  <c r="AC43" i="9"/>
  <c r="AD43" i="9" s="1"/>
  <c r="AD55" i="7"/>
  <c r="AC55" i="9"/>
  <c r="AD55" i="9" s="1"/>
  <c r="AD62" i="7"/>
  <c r="AC62" i="9"/>
  <c r="AD62" i="9" s="1"/>
  <c r="AD12" i="7"/>
  <c r="AC12" i="9"/>
  <c r="AD12" i="9" s="1"/>
  <c r="AD14" i="7"/>
  <c r="AC14" i="9"/>
  <c r="AD14" i="9" s="1"/>
  <c r="V13" i="36"/>
  <c r="V61" i="36" s="1"/>
  <c r="U24" i="9"/>
  <c r="U31" i="9"/>
  <c r="U28" i="9"/>
  <c r="U35" i="9"/>
  <c r="U65" i="9"/>
  <c r="U45" i="9"/>
  <c r="U40" i="9"/>
  <c r="Y40" i="9"/>
  <c r="Y43" i="9"/>
  <c r="Y46" i="9"/>
  <c r="AH51" i="9"/>
  <c r="AH42" i="9"/>
  <c r="AH44" i="9"/>
  <c r="AH37" i="9"/>
  <c r="AH43" i="9"/>
  <c r="AH61" i="9"/>
  <c r="AH13" i="9"/>
  <c r="AH29" i="9"/>
  <c r="Q7" i="9"/>
  <c r="Q69" i="7"/>
  <c r="Q74" i="7" s="1"/>
  <c r="Q16" i="8" s="1"/>
  <c r="Q16" i="35" s="1"/>
  <c r="Q84" i="35" s="1"/>
  <c r="Q32" i="9"/>
  <c r="Q49" i="9"/>
  <c r="Q59" i="9"/>
  <c r="Q50" i="9"/>
  <c r="Q33" i="9"/>
  <c r="Q64" i="9"/>
  <c r="V34" i="36"/>
  <c r="V82" i="36" s="1"/>
  <c r="W49" i="9"/>
  <c r="W65" i="9"/>
  <c r="W67" i="9"/>
  <c r="W57" i="9"/>
  <c r="W12" i="9"/>
  <c r="W18" i="9"/>
  <c r="W22" i="9"/>
  <c r="W29" i="9"/>
  <c r="P22" i="9"/>
  <c r="P29" i="9"/>
  <c r="P46" i="9"/>
  <c r="P64" i="9"/>
  <c r="P65" i="9"/>
  <c r="P52" i="9"/>
  <c r="P67" i="9"/>
  <c r="R30" i="9"/>
  <c r="R53" i="9"/>
  <c r="R7" i="9"/>
  <c r="R31" i="9"/>
  <c r="R51" i="9"/>
  <c r="R49" i="9"/>
  <c r="V41" i="36"/>
  <c r="V89" i="36" s="1"/>
  <c r="V26" i="36"/>
  <c r="V74" i="36" s="1"/>
  <c r="V29" i="36"/>
  <c r="V77" i="36" s="1"/>
  <c r="V46" i="36"/>
  <c r="V94" i="36" s="1"/>
  <c r="V7" i="36"/>
  <c r="V55" i="36" s="1"/>
  <c r="V20" i="36"/>
  <c r="V68" i="36" s="1"/>
  <c r="X39" i="9"/>
  <c r="X45" i="9"/>
  <c r="X12" i="9"/>
  <c r="X69" i="7"/>
  <c r="X74" i="7" s="1"/>
  <c r="X21" i="8" s="1"/>
  <c r="W21" i="35" s="1"/>
  <c r="W89" i="35" s="1"/>
  <c r="X7" i="9"/>
  <c r="X8" i="8"/>
  <c r="W8" i="35" s="1"/>
  <c r="W76" i="35" s="1"/>
  <c r="X8" i="9"/>
  <c r="X23" i="9"/>
  <c r="X35" i="9"/>
  <c r="L53" i="9"/>
  <c r="L43" i="9"/>
  <c r="L49" i="9"/>
  <c r="L59" i="9"/>
  <c r="L27" i="9"/>
  <c r="L54" i="9"/>
  <c r="L13" i="9"/>
  <c r="L67" i="9"/>
  <c r="X6" i="37"/>
  <c r="O51" i="9"/>
  <c r="O37" i="8"/>
  <c r="O37" i="35" s="1"/>
  <c r="O105" i="35" s="1"/>
  <c r="O37" i="9"/>
  <c r="O58" i="9"/>
  <c r="O54" i="9"/>
  <c r="O38" i="9"/>
  <c r="O66" i="9"/>
  <c r="O50" i="9"/>
  <c r="O50" i="8"/>
  <c r="O50" i="35" s="1"/>
  <c r="O118" i="35" s="1"/>
  <c r="O10" i="9"/>
  <c r="AC42" i="9"/>
  <c r="AD42" i="9" s="1"/>
  <c r="AD42" i="7"/>
  <c r="AD47" i="7"/>
  <c r="AC47" i="9"/>
  <c r="AD47" i="9" s="1"/>
  <c r="AD54" i="7"/>
  <c r="AC54" i="9"/>
  <c r="AD54" i="9" s="1"/>
  <c r="AD60" i="7"/>
  <c r="AC60" i="9"/>
  <c r="AD60" i="9" s="1"/>
  <c r="AD65" i="7"/>
  <c r="AC65" i="9"/>
  <c r="AD65" i="9" s="1"/>
  <c r="AD56" i="7"/>
  <c r="AC56" i="9"/>
  <c r="AD56" i="9" s="1"/>
  <c r="AD41" i="7"/>
  <c r="AC41" i="9"/>
  <c r="AD41" i="9" s="1"/>
  <c r="AD23" i="7"/>
  <c r="AC23" i="9"/>
  <c r="AD23" i="9" s="1"/>
  <c r="V17" i="36"/>
  <c r="V65" i="36" s="1"/>
  <c r="U55" i="9"/>
  <c r="U64" i="9"/>
  <c r="U57" i="9"/>
  <c r="U56" i="9"/>
  <c r="U47" i="9"/>
  <c r="U62" i="9"/>
  <c r="T58" i="35"/>
  <c r="T126" i="35" s="1"/>
  <c r="U58" i="8"/>
  <c r="U58" i="9"/>
  <c r="U44" i="9"/>
  <c r="Y60" i="9"/>
  <c r="Y13" i="9"/>
  <c r="Y17" i="9"/>
  <c r="AH8" i="9"/>
  <c r="AH25" i="9"/>
  <c r="AH9" i="9"/>
  <c r="AH32" i="9"/>
  <c r="AH7" i="9"/>
  <c r="AH69" i="7"/>
  <c r="AH74" i="7" s="1"/>
  <c r="AH44" i="8" s="1"/>
  <c r="AD44" i="35" s="1"/>
  <c r="AD112" i="35" s="1"/>
  <c r="AH24" i="8"/>
  <c r="AD24" i="35" s="1"/>
  <c r="AD92" i="35" s="1"/>
  <c r="AH24" i="9"/>
  <c r="AH22" i="9"/>
  <c r="AD27" i="35"/>
  <c r="AD95" i="35" s="1"/>
  <c r="AH27" i="8"/>
  <c r="AH27" i="9"/>
  <c r="Q47" i="9"/>
  <c r="Q58" i="8"/>
  <c r="Q58" i="9"/>
  <c r="Q58" i="35" s="1"/>
  <c r="Q126" i="35" s="1"/>
  <c r="Q56" i="9"/>
  <c r="Q60" i="9"/>
  <c r="Q63" i="35"/>
  <c r="Q131" i="35" s="1"/>
  <c r="Q63" i="9"/>
  <c r="Q63" i="8"/>
  <c r="Q35" i="9"/>
  <c r="Q48" i="9"/>
  <c r="V31" i="36"/>
  <c r="V79" i="36" s="1"/>
  <c r="W40" i="9"/>
  <c r="W41" i="9"/>
  <c r="W10" i="9"/>
  <c r="W17" i="9"/>
  <c r="W14" i="9"/>
  <c r="W19" i="9"/>
  <c r="W23" i="9"/>
  <c r="W30" i="9"/>
  <c r="P58" i="9"/>
  <c r="P47" i="9"/>
  <c r="P57" i="9"/>
  <c r="P53" i="9"/>
  <c r="P66" i="9"/>
  <c r="P48" i="9"/>
  <c r="P56" i="9"/>
  <c r="R63" i="35"/>
  <c r="R131" i="35" s="1"/>
  <c r="R33" i="9"/>
  <c r="R59" i="9"/>
  <c r="R25" i="9"/>
  <c r="R18" i="9"/>
  <c r="R21" i="9"/>
  <c r="R67" i="9"/>
  <c r="V25" i="36"/>
  <c r="V73" i="36" s="1"/>
  <c r="V19" i="36"/>
  <c r="V67" i="36" s="1"/>
  <c r="G11" i="38"/>
  <c r="V35" i="36"/>
  <c r="V83" i="36" s="1"/>
  <c r="V43" i="36"/>
  <c r="V91" i="36" s="1"/>
  <c r="V11" i="36"/>
  <c r="V59" i="36" s="1"/>
  <c r="X53" i="9"/>
  <c r="W43" i="35"/>
  <c r="W111" i="35" s="1"/>
  <c r="X43" i="9"/>
  <c r="X43" i="8"/>
  <c r="X66" i="9"/>
  <c r="X27" i="9"/>
  <c r="X34" i="8"/>
  <c r="W34" i="35" s="1"/>
  <c r="W102" i="35" s="1"/>
  <c r="X34" i="9"/>
  <c r="X58" i="9"/>
  <c r="W58" i="35" s="1"/>
  <c r="W126" i="35" s="1"/>
  <c r="X58" i="8"/>
  <c r="X55" i="9"/>
  <c r="L9" i="9"/>
  <c r="L34" i="9"/>
  <c r="L33" i="9"/>
  <c r="L23" i="9"/>
  <c r="L66" i="9"/>
  <c r="L65" i="9"/>
  <c r="L28" i="9"/>
  <c r="L7" i="9"/>
  <c r="L69" i="7"/>
  <c r="L74" i="7" s="1"/>
  <c r="X8" i="37"/>
  <c r="O48" i="9"/>
  <c r="O44" i="9"/>
  <c r="O8" i="8"/>
  <c r="O8" i="35" s="1"/>
  <c r="O76" i="35" s="1"/>
  <c r="O8" i="9"/>
  <c r="O28" i="9"/>
  <c r="O9" i="9"/>
  <c r="O46" i="9"/>
  <c r="O11" i="9"/>
  <c r="O17" i="9"/>
  <c r="AD7" i="7"/>
  <c r="AC7" i="9"/>
  <c r="AC69" i="7"/>
  <c r="AC74" i="7" s="1"/>
  <c r="AD26" i="7"/>
  <c r="AC26" i="9"/>
  <c r="AD26" i="9" s="1"/>
  <c r="AC10" i="9"/>
  <c r="AD10" i="9" s="1"/>
  <c r="AD10" i="7"/>
  <c r="AD8" i="7"/>
  <c r="AC8" i="9"/>
  <c r="AD8" i="9" s="1"/>
  <c r="AD33" i="7"/>
  <c r="AC33" i="9"/>
  <c r="AD33" i="9" s="1"/>
  <c r="AD25" i="7"/>
  <c r="AC25" i="9"/>
  <c r="AD25" i="9" s="1"/>
  <c r="AD19" i="7"/>
  <c r="AC19" i="9"/>
  <c r="AD19" i="9" s="1"/>
  <c r="AD28" i="7"/>
  <c r="AC28" i="9"/>
  <c r="AD28" i="9" s="1"/>
  <c r="R26" i="36"/>
  <c r="R74" i="36" s="1"/>
  <c r="V42" i="36"/>
  <c r="V90" i="36" s="1"/>
  <c r="U66" i="9"/>
  <c r="U49" i="9"/>
  <c r="U48" i="9"/>
  <c r="U38" i="9"/>
  <c r="U54" i="9"/>
  <c r="U59" i="9"/>
  <c r="T42" i="35"/>
  <c r="T110" i="35" s="1"/>
  <c r="U42" i="8"/>
  <c r="U42" i="9"/>
  <c r="U29" i="9"/>
  <c r="Y48" i="9"/>
  <c r="Y25" i="9"/>
  <c r="Y10" i="9"/>
  <c r="V9" i="36"/>
  <c r="V57" i="36" s="1"/>
  <c r="S69" i="7"/>
  <c r="AH21" i="9"/>
  <c r="AH21" i="8"/>
  <c r="AD21" i="35" s="1"/>
  <c r="AD89" i="35" s="1"/>
  <c r="AD28" i="35"/>
  <c r="AD96" i="35" s="1"/>
  <c r="AH28" i="8"/>
  <c r="AH28" i="9"/>
  <c r="AD35" i="35"/>
  <c r="AD103" i="35" s="1"/>
  <c r="AH35" i="8"/>
  <c r="AH35" i="9"/>
  <c r="AH10" i="8"/>
  <c r="AD10" i="35" s="1"/>
  <c r="AD78" i="35" s="1"/>
  <c r="AH10" i="9"/>
  <c r="AH14" i="8"/>
  <c r="AH14" i="9"/>
  <c r="AD14" i="35" s="1"/>
  <c r="AD82" i="35" s="1"/>
  <c r="AH18" i="9"/>
  <c r="AH30" i="8"/>
  <c r="AD30" i="35" s="1"/>
  <c r="AD98" i="35" s="1"/>
  <c r="AH30" i="9"/>
  <c r="Q27" i="8"/>
  <c r="Q27" i="9"/>
  <c r="Q27" i="35" s="1"/>
  <c r="Q95" i="35" s="1"/>
  <c r="Q40" i="9"/>
  <c r="Q51" i="9"/>
  <c r="Q23" i="9"/>
  <c r="Q28" i="9"/>
  <c r="Q28" i="8"/>
  <c r="Q28" i="35" s="1"/>
  <c r="Q96" i="35" s="1"/>
  <c r="Q41" i="9"/>
  <c r="Q41" i="8"/>
  <c r="Q41" i="35" s="1"/>
  <c r="Q109" i="35" s="1"/>
  <c r="Q62" i="9"/>
  <c r="Q36" i="9"/>
  <c r="W52" i="9"/>
  <c r="W31" i="9"/>
  <c r="W28" i="9"/>
  <c r="W35" i="9"/>
  <c r="W15" i="9"/>
  <c r="W38" i="9"/>
  <c r="W59" i="9"/>
  <c r="P55" i="9"/>
  <c r="P54" i="9"/>
  <c r="P51" i="9"/>
  <c r="P31" i="9"/>
  <c r="P8" i="9"/>
  <c r="P20" i="9"/>
  <c r="P12" i="9"/>
  <c r="P7" i="9"/>
  <c r="P69" i="7"/>
  <c r="P74" i="7" s="1"/>
  <c r="R58" i="35"/>
  <c r="R126" i="35" s="1"/>
  <c r="R58" i="9"/>
  <c r="R26" i="9"/>
  <c r="R10" i="9"/>
  <c r="R24" i="9"/>
  <c r="R55" i="35"/>
  <c r="R123" i="35" s="1"/>
  <c r="R55" i="9"/>
  <c r="R34" i="9"/>
  <c r="R61" i="9"/>
  <c r="R23" i="9"/>
  <c r="V28" i="36"/>
  <c r="V76" i="36" s="1"/>
  <c r="V18" i="36"/>
  <c r="V66" i="36" s="1"/>
  <c r="G7" i="38"/>
  <c r="V22" i="36"/>
  <c r="V70" i="36" s="1"/>
  <c r="W8" i="13"/>
  <c r="X9" i="9"/>
  <c r="W37" i="35"/>
  <c r="W105" i="35" s="1"/>
  <c r="X37" i="8"/>
  <c r="X37" i="9"/>
  <c r="X41" i="8"/>
  <c r="W41" i="35" s="1"/>
  <c r="W109" i="35" s="1"/>
  <c r="X41" i="9"/>
  <c r="X25" i="9"/>
  <c r="X16" i="9"/>
  <c r="X20" i="9"/>
  <c r="X20" i="8"/>
  <c r="W20" i="35" s="1"/>
  <c r="W88" i="35" s="1"/>
  <c r="X51" i="9"/>
  <c r="X51" i="8"/>
  <c r="W51" i="35" s="1"/>
  <c r="W119" i="35" s="1"/>
  <c r="X17" i="9"/>
  <c r="L52" i="9"/>
  <c r="L17" i="9"/>
  <c r="L64" i="9"/>
  <c r="L8" i="9"/>
  <c r="L25" i="8"/>
  <c r="L25" i="35" s="1"/>
  <c r="L93" i="35" s="1"/>
  <c r="L25" i="9"/>
  <c r="L10" i="9"/>
  <c r="L11" i="9"/>
  <c r="L39" i="9"/>
  <c r="R29" i="36"/>
  <c r="R77" i="36" s="1"/>
  <c r="O45" i="9"/>
  <c r="O12" i="9"/>
  <c r="O16" i="9"/>
  <c r="O20" i="9"/>
  <c r="O24" i="9"/>
  <c r="O35" i="8"/>
  <c r="O35" i="35" s="1"/>
  <c r="O103" i="35" s="1"/>
  <c r="O35" i="9"/>
  <c r="O13" i="9"/>
  <c r="O29" i="9"/>
  <c r="AD18" i="7"/>
  <c r="AC18" i="9"/>
  <c r="AD18" i="9" s="1"/>
  <c r="AD22" i="7"/>
  <c r="AC22" i="9"/>
  <c r="AD22" i="9" s="1"/>
  <c r="AD29" i="7"/>
  <c r="AC29" i="9"/>
  <c r="AD29" i="9" s="1"/>
  <c r="AD36" i="7"/>
  <c r="AC36" i="9"/>
  <c r="AD36" i="9" s="1"/>
  <c r="AD11" i="7"/>
  <c r="AC11" i="9"/>
  <c r="AD11" i="9" s="1"/>
  <c r="AD15" i="7"/>
  <c r="AC15" i="9"/>
  <c r="AD15" i="9" s="1"/>
  <c r="AD31" i="7"/>
  <c r="AC31" i="9"/>
  <c r="AD31" i="9" s="1"/>
  <c r="V40" i="36"/>
  <c r="V88" i="36" s="1"/>
  <c r="M10" i="38"/>
  <c r="U46" i="9"/>
  <c r="U51" i="9"/>
  <c r="U50" i="9"/>
  <c r="U52" i="9"/>
  <c r="U37" i="9"/>
  <c r="U43" i="9"/>
  <c r="U14" i="9"/>
  <c r="U13" i="9"/>
  <c r="Y9" i="9"/>
  <c r="Y39" i="9"/>
  <c r="Y26" i="9"/>
  <c r="Y33" i="9"/>
  <c r="V16" i="36"/>
  <c r="V64" i="36" s="1"/>
  <c r="Z5" i="35"/>
  <c r="Z73" i="35" s="1"/>
  <c r="AA69" i="8"/>
  <c r="R14" i="36"/>
  <c r="R62" i="36" s="1"/>
  <c r="AH26" i="8"/>
  <c r="AH26" i="9"/>
  <c r="AD26" i="35" s="1"/>
  <c r="AD94" i="35" s="1"/>
  <c r="AH33" i="8"/>
  <c r="AD33" i="35" s="1"/>
  <c r="AD101" i="35" s="1"/>
  <c r="AH33" i="9"/>
  <c r="AD36" i="35"/>
  <c r="AD104" i="35" s="1"/>
  <c r="AH36" i="8"/>
  <c r="AH36" i="9"/>
  <c r="AH15" i="9"/>
  <c r="AD15" i="35" s="1"/>
  <c r="AD83" i="35" s="1"/>
  <c r="AH15" i="8"/>
  <c r="AH19" i="9"/>
  <c r="AD23" i="35"/>
  <c r="AD91" i="35" s="1"/>
  <c r="AH23" i="8"/>
  <c r="AH23" i="9"/>
  <c r="AH60" i="9"/>
  <c r="AD60" i="35" s="1"/>
  <c r="AD128" i="35" s="1"/>
  <c r="AH60" i="8"/>
  <c r="Q25" i="8"/>
  <c r="Q25" i="9"/>
  <c r="Q25" i="35" s="1"/>
  <c r="Q93" i="35" s="1"/>
  <c r="Q54" i="9"/>
  <c r="Q52" i="9"/>
  <c r="Q17" i="9"/>
  <c r="Q17" i="35" s="1"/>
  <c r="Q85" i="35" s="1"/>
  <c r="Q17" i="8"/>
  <c r="Q9" i="35"/>
  <c r="Q77" i="35" s="1"/>
  <c r="Q9" i="9"/>
  <c r="Q9" i="8"/>
  <c r="Q11" i="9"/>
  <c r="Q37" i="9"/>
  <c r="Q10" i="9"/>
  <c r="W46" i="9"/>
  <c r="W36" i="9"/>
  <c r="W26" i="9"/>
  <c r="W33" i="9"/>
  <c r="W60" i="9"/>
  <c r="W43" i="9"/>
  <c r="W66" i="9"/>
  <c r="P59" i="9"/>
  <c r="P61" i="9"/>
  <c r="P16" i="9"/>
  <c r="P15" i="9"/>
  <c r="P19" i="9"/>
  <c r="P23" i="9"/>
  <c r="P30" i="9"/>
  <c r="P27" i="9"/>
  <c r="R56" i="9"/>
  <c r="R12" i="9"/>
  <c r="R60" i="9"/>
  <c r="R35" i="9"/>
  <c r="R46" i="9"/>
  <c r="R36" i="9"/>
  <c r="V37" i="36"/>
  <c r="V85" i="36" s="1"/>
  <c r="V32" i="36"/>
  <c r="V80" i="36" s="1"/>
  <c r="V38" i="36"/>
  <c r="V86" i="36" s="1"/>
  <c r="X31" i="9"/>
  <c r="X31" i="8"/>
  <c r="W31" i="35" s="1"/>
  <c r="W99" i="35" s="1"/>
  <c r="X13" i="9"/>
  <c r="X19" i="8"/>
  <c r="W19" i="35" s="1"/>
  <c r="W87" i="35" s="1"/>
  <c r="X19" i="9"/>
  <c r="X49" i="9"/>
  <c r="X32" i="9"/>
  <c r="X38" i="8"/>
  <c r="X38" i="9"/>
  <c r="W38" i="35" s="1"/>
  <c r="W106" i="35" s="1"/>
  <c r="X48" i="8"/>
  <c r="W48" i="35" s="1"/>
  <c r="W116" i="35" s="1"/>
  <c r="X48" i="9"/>
  <c r="X14" i="9"/>
  <c r="L62" i="9"/>
  <c r="L51" i="9"/>
  <c r="L48" i="9"/>
  <c r="L44" i="9"/>
  <c r="L14" i="9"/>
  <c r="L22" i="9"/>
  <c r="L29" i="9"/>
  <c r="L40" i="9"/>
  <c r="O7" i="9"/>
  <c r="O69" i="7"/>
  <c r="O74" i="7" s="1"/>
  <c r="O32" i="8" s="1"/>
  <c r="O32" i="35" s="1"/>
  <c r="O100" i="35" s="1"/>
  <c r="O34" i="9"/>
  <c r="O41" i="9"/>
  <c r="O25" i="9"/>
  <c r="O14" i="9"/>
  <c r="O31" i="9"/>
  <c r="O22" i="9"/>
  <c r="O36" i="9"/>
  <c r="AD30" i="7"/>
  <c r="AC30" i="9"/>
  <c r="AD30" i="9" s="1"/>
  <c r="AD27" i="7"/>
  <c r="AC27" i="9"/>
  <c r="AD27" i="9" s="1"/>
  <c r="AD34" i="7"/>
  <c r="AC34" i="9"/>
  <c r="AD34" i="9" s="1"/>
  <c r="AC16" i="9"/>
  <c r="AD16" i="9" s="1"/>
  <c r="AD16" i="7"/>
  <c r="AD20" i="7"/>
  <c r="AC20" i="9"/>
  <c r="AD20" i="9" s="1"/>
  <c r="AD24" i="7"/>
  <c r="AC24" i="9"/>
  <c r="AD24" i="9" s="1"/>
  <c r="AD37" i="7"/>
  <c r="AC37" i="9"/>
  <c r="AD37" i="9" s="1"/>
  <c r="M6" i="38"/>
  <c r="U60" i="9"/>
  <c r="U61" i="9"/>
  <c r="U63" i="9"/>
  <c r="U53" i="9"/>
  <c r="U8" i="9"/>
  <c r="U11" i="9"/>
  <c r="U22" i="9"/>
  <c r="U15" i="9"/>
  <c r="Y63" i="9"/>
  <c r="Y52" i="9"/>
  <c r="Y55" i="9"/>
  <c r="AD34" i="35"/>
  <c r="AD102" i="35" s="1"/>
  <c r="AH34" i="8"/>
  <c r="AH34" i="9"/>
  <c r="AH12" i="8"/>
  <c r="AD12" i="35" s="1"/>
  <c r="AD80" i="35" s="1"/>
  <c r="AH12" i="9"/>
  <c r="AH16" i="8"/>
  <c r="AH16" i="9"/>
  <c r="AD16" i="35" s="1"/>
  <c r="AD84" i="35" s="1"/>
  <c r="AH20" i="9"/>
  <c r="AD20" i="35" s="1"/>
  <c r="AD88" i="35" s="1"/>
  <c r="AH20" i="8"/>
  <c r="AD31" i="35"/>
  <c r="AD99" i="35" s="1"/>
  <c r="AH31" i="8"/>
  <c r="AH31" i="9"/>
  <c r="AH64" i="9"/>
  <c r="AH58" i="8"/>
  <c r="AD58" i="35" s="1"/>
  <c r="AD126" i="35" s="1"/>
  <c r="AH58" i="9"/>
  <c r="Q34" i="9"/>
  <c r="Q19" i="9"/>
  <c r="Q18" i="9"/>
  <c r="Q43" i="9"/>
  <c r="Q26" i="35"/>
  <c r="Q94" i="35" s="1"/>
  <c r="Q26" i="8"/>
  <c r="Q26" i="9"/>
  <c r="Q42" i="8"/>
  <c r="Q42" i="35" s="1"/>
  <c r="Q110" i="35" s="1"/>
  <c r="Q42" i="9"/>
  <c r="Q45" i="9"/>
  <c r="Q15" i="9"/>
  <c r="W7" i="9"/>
  <c r="W69" i="7"/>
  <c r="W74" i="7" s="1"/>
  <c r="W27" i="9"/>
  <c r="W34" i="9"/>
  <c r="W53" i="9"/>
  <c r="W58" i="9"/>
  <c r="W63" i="9"/>
  <c r="W54" i="9"/>
  <c r="P49" i="9"/>
  <c r="P10" i="9"/>
  <c r="P24" i="9"/>
  <c r="P28" i="9"/>
  <c r="P35" i="9"/>
  <c r="P13" i="9"/>
  <c r="P17" i="9"/>
  <c r="R64" i="9"/>
  <c r="R20" i="9"/>
  <c r="R50" i="9"/>
  <c r="R14" i="9"/>
  <c r="R66" i="9"/>
  <c r="R11" i="9"/>
  <c r="R16" i="9"/>
  <c r="V12" i="36"/>
  <c r="V60" i="36" s="1"/>
  <c r="V33" i="36"/>
  <c r="V81" i="36" s="1"/>
  <c r="V45" i="36"/>
  <c r="V93" i="36" s="1"/>
  <c r="L53" i="11"/>
  <c r="E42" i="5"/>
  <c r="E21" i="5"/>
  <c r="S49" i="12"/>
  <c r="W39" i="13"/>
  <c r="AI8" i="8"/>
  <c r="AE8" i="35" s="1"/>
  <c r="AE76" i="35" s="1"/>
  <c r="AI22" i="8"/>
  <c r="AE22" i="35" s="1"/>
  <c r="AE90" i="35" s="1"/>
  <c r="AI65" i="8"/>
  <c r="AE65" i="35" s="1"/>
  <c r="AE133" i="35" s="1"/>
  <c r="AI16" i="8"/>
  <c r="AE16" i="35" s="1"/>
  <c r="AE84" i="35" s="1"/>
  <c r="AI15" i="8"/>
  <c r="AE15" i="35" s="1"/>
  <c r="AE83" i="35" s="1"/>
  <c r="W16" i="13"/>
  <c r="W34" i="13"/>
  <c r="W39" i="12"/>
  <c r="F47" i="5"/>
  <c r="W10" i="12"/>
  <c r="AI28" i="8"/>
  <c r="AE28" i="35" s="1"/>
  <c r="AE96" i="35" s="1"/>
  <c r="AI52" i="8"/>
  <c r="AE52" i="35" s="1"/>
  <c r="AE120" i="35" s="1"/>
  <c r="W45" i="12"/>
  <c r="AI33" i="8"/>
  <c r="AE33" i="35" s="1"/>
  <c r="AE101" i="35" s="1"/>
  <c r="W12" i="13"/>
  <c r="AI69" i="9"/>
  <c r="W17" i="12"/>
  <c r="W23" i="13"/>
  <c r="W23" i="12"/>
  <c r="W21" i="13"/>
  <c r="W21" i="12"/>
  <c r="W33" i="13"/>
  <c r="W20" i="12"/>
  <c r="W25" i="13"/>
  <c r="W38" i="12"/>
  <c r="AI66" i="8"/>
  <c r="AE66" i="35" s="1"/>
  <c r="AE134" i="35" s="1"/>
  <c r="W44" i="13"/>
  <c r="W8" i="12"/>
  <c r="W22" i="13"/>
  <c r="AM74" i="6"/>
  <c r="AM72" i="9"/>
  <c r="AM72" i="8"/>
  <c r="AM72" i="7"/>
  <c r="L10" i="11"/>
  <c r="L5" i="11"/>
  <c r="L21" i="11"/>
  <c r="L13" i="11"/>
  <c r="L16" i="11"/>
  <c r="L8" i="11"/>
  <c r="L11" i="11"/>
  <c r="L14" i="11"/>
  <c r="L6" i="11"/>
  <c r="L9" i="11"/>
  <c r="L12" i="11"/>
  <c r="L23" i="11"/>
  <c r="L7" i="11"/>
  <c r="L31" i="11"/>
  <c r="L15" i="11"/>
  <c r="L43" i="11"/>
  <c r="L19" i="11"/>
  <c r="L29" i="11"/>
  <c r="L32" i="11"/>
  <c r="L26" i="11"/>
  <c r="L28" i="11"/>
  <c r="L37" i="11"/>
  <c r="L40" i="11"/>
  <c r="L34" i="11"/>
  <c r="L46" i="11"/>
  <c r="L36" i="11"/>
  <c r="L45" i="11"/>
  <c r="L42" i="11"/>
  <c r="L25" i="11"/>
  <c r="L18" i="11"/>
  <c r="L22" i="11"/>
  <c r="L33" i="11"/>
  <c r="L47" i="11"/>
  <c r="L27" i="11"/>
  <c r="L30" i="11"/>
  <c r="L41" i="11"/>
  <c r="L44" i="11"/>
  <c r="L20" i="11"/>
  <c r="L39" i="11"/>
  <c r="L35" i="11"/>
  <c r="L17" i="11"/>
  <c r="L24" i="11"/>
  <c r="L38" i="11"/>
  <c r="N6" i="9"/>
  <c r="N5" i="9"/>
  <c r="W40" i="13"/>
  <c r="T73" i="6"/>
  <c r="T71" i="9"/>
  <c r="T71" i="8"/>
  <c r="T71" i="7"/>
  <c r="O49" i="13"/>
  <c r="W19" i="13"/>
  <c r="AA5" i="13"/>
  <c r="AA49" i="13" s="1"/>
  <c r="Z49" i="13"/>
  <c r="F46" i="5"/>
  <c r="Q52" i="13"/>
  <c r="Q52" i="12"/>
  <c r="Q52" i="10"/>
  <c r="Q52" i="11"/>
  <c r="W13" i="13"/>
  <c r="W36" i="12"/>
  <c r="W46" i="12"/>
  <c r="W5" i="12"/>
  <c r="T49" i="12"/>
  <c r="W18" i="13"/>
  <c r="U49" i="12"/>
  <c r="N49" i="12"/>
  <c r="W24" i="13"/>
  <c r="W37" i="12"/>
  <c r="AI42" i="8"/>
  <c r="AE42" i="35" s="1"/>
  <c r="AE110" i="35" s="1"/>
  <c r="W15" i="12"/>
  <c r="W38" i="13"/>
  <c r="AI34" i="8"/>
  <c r="AE34" i="35" s="1"/>
  <c r="AE102" i="35" s="1"/>
  <c r="AI46" i="8"/>
  <c r="AE46" i="35" s="1"/>
  <c r="AE114" i="35" s="1"/>
  <c r="O49" i="12"/>
  <c r="W32" i="13"/>
  <c r="W19" i="12"/>
  <c r="W34" i="12"/>
  <c r="AA5" i="12"/>
  <c r="AA49" i="12" s="1"/>
  <c r="Z49" i="12"/>
  <c r="V49" i="13"/>
  <c r="W42" i="13"/>
  <c r="W49" i="11"/>
  <c r="W18" i="12"/>
  <c r="AI7" i="8"/>
  <c r="AE7" i="35" s="1"/>
  <c r="AE75" i="35" s="1"/>
  <c r="W20" i="13"/>
  <c r="W24" i="12"/>
  <c r="AI21" i="8"/>
  <c r="AE21" i="35" s="1"/>
  <c r="AE89" i="35" s="1"/>
  <c r="AI50" i="8"/>
  <c r="AE50" i="35" s="1"/>
  <c r="AE118" i="35" s="1"/>
  <c r="AI29" i="8"/>
  <c r="AE29" i="35" s="1"/>
  <c r="AE97" i="35" s="1"/>
  <c r="V49" i="12"/>
  <c r="W30" i="13"/>
  <c r="AI60" i="8"/>
  <c r="AE60" i="35" s="1"/>
  <c r="AE128" i="35" s="1"/>
  <c r="AI54" i="8"/>
  <c r="AE54" i="35" s="1"/>
  <c r="AE122" i="35" s="1"/>
  <c r="W25" i="12"/>
  <c r="AA49" i="11"/>
  <c r="W32" i="12"/>
  <c r="W9" i="13"/>
  <c r="W12" i="12"/>
  <c r="W29" i="13"/>
  <c r="W30" i="12"/>
  <c r="M49" i="12"/>
  <c r="AI14" i="8"/>
  <c r="AE14" i="35" s="1"/>
  <c r="AE82" i="35" s="1"/>
  <c r="W16" i="12"/>
  <c r="W35" i="13"/>
  <c r="AI11" i="8"/>
  <c r="AE11" i="35" s="1"/>
  <c r="AE79" i="35" s="1"/>
  <c r="W22" i="12"/>
  <c r="W11" i="13"/>
  <c r="AI25" i="8"/>
  <c r="AE25" i="35" s="1"/>
  <c r="AE93" i="35" s="1"/>
  <c r="AI45" i="8"/>
  <c r="AE45" i="35" s="1"/>
  <c r="AE113" i="35" s="1"/>
  <c r="M49" i="13"/>
  <c r="P49" i="13"/>
  <c r="W6" i="13"/>
  <c r="W9" i="12"/>
  <c r="W27" i="13"/>
  <c r="AI19" i="8"/>
  <c r="AE19" i="35" s="1"/>
  <c r="AE87" i="35" s="1"/>
  <c r="AI58" i="8"/>
  <c r="AE58" i="35" s="1"/>
  <c r="AE126" i="35" s="1"/>
  <c r="W43" i="13"/>
  <c r="AI38" i="8"/>
  <c r="AE38" i="35" s="1"/>
  <c r="AE106" i="35" s="1"/>
  <c r="W35" i="12"/>
  <c r="W31" i="13"/>
  <c r="AI36" i="8"/>
  <c r="AE36" i="35" s="1"/>
  <c r="AE104" i="35" s="1"/>
  <c r="AI57" i="8"/>
  <c r="AE57" i="35" s="1"/>
  <c r="AE125" i="35" s="1"/>
  <c r="AI39" i="8"/>
  <c r="AE39" i="35" s="1"/>
  <c r="AE107" i="35" s="1"/>
  <c r="W11" i="12"/>
  <c r="W47" i="13"/>
  <c r="AM72" i="6"/>
  <c r="AM70" i="9"/>
  <c r="AM70" i="7"/>
  <c r="AM70" i="8" s="1"/>
  <c r="T74" i="6"/>
  <c r="T72" i="9"/>
  <c r="T72" i="8"/>
  <c r="T72" i="7"/>
  <c r="P49" i="12"/>
  <c r="W28" i="13"/>
  <c r="W40" i="12"/>
  <c r="W42" i="12"/>
  <c r="W6" i="12"/>
  <c r="W41" i="13"/>
  <c r="W27" i="12"/>
  <c r="S6" i="8"/>
  <c r="S5" i="8"/>
  <c r="S52" i="8"/>
  <c r="S61" i="8"/>
  <c r="S48" i="8"/>
  <c r="S29" i="8"/>
  <c r="S31" i="8"/>
  <c r="S37" i="8"/>
  <c r="S9" i="8"/>
  <c r="S33" i="8"/>
  <c r="S59" i="8"/>
  <c r="S20" i="8"/>
  <c r="S23" i="8"/>
  <c r="S27" i="8"/>
  <c r="S38" i="8"/>
  <c r="S63" i="8"/>
  <c r="S17" i="8"/>
  <c r="S55" i="8"/>
  <c r="S44" i="8"/>
  <c r="S53" i="8"/>
  <c r="S39" i="8"/>
  <c r="S35" i="8"/>
  <c r="S64" i="8"/>
  <c r="S30" i="8"/>
  <c r="S43" i="8"/>
  <c r="S62" i="8"/>
  <c r="S19" i="8"/>
  <c r="S42" i="8"/>
  <c r="S49" i="8"/>
  <c r="S51" i="8"/>
  <c r="S21" i="8"/>
  <c r="S54" i="8"/>
  <c r="S10" i="8"/>
  <c r="S34" i="8"/>
  <c r="S41" i="8"/>
  <c r="S60" i="8"/>
  <c r="S56" i="8"/>
  <c r="S12" i="8"/>
  <c r="S50" i="8"/>
  <c r="S11" i="8"/>
  <c r="S45" i="8"/>
  <c r="S32" i="8"/>
  <c r="S66" i="8"/>
  <c r="S65" i="8"/>
  <c r="S22" i="8"/>
  <c r="S24" i="8"/>
  <c r="S36" i="8"/>
  <c r="S28" i="8"/>
  <c r="S46" i="8"/>
  <c r="S15" i="8"/>
  <c r="S40" i="8"/>
  <c r="S25" i="8"/>
  <c r="S58" i="8"/>
  <c r="S57" i="8"/>
  <c r="S26" i="8"/>
  <c r="S13" i="8"/>
  <c r="S67" i="8"/>
  <c r="S18" i="8"/>
  <c r="S8" i="8"/>
  <c r="S47" i="8"/>
  <c r="S7" i="8"/>
  <c r="S14" i="8"/>
  <c r="S16" i="8"/>
  <c r="W36" i="13"/>
  <c r="W43" i="12"/>
  <c r="AI12" i="8"/>
  <c r="AE12" i="35" s="1"/>
  <c r="AE80" i="35" s="1"/>
  <c r="Q51" i="13"/>
  <c r="Q51" i="12"/>
  <c r="Q51" i="10"/>
  <c r="Q51" i="11"/>
  <c r="L53" i="12"/>
  <c r="W7" i="13"/>
  <c r="AI55" i="8"/>
  <c r="AE55" i="35" s="1"/>
  <c r="AE123" i="35" s="1"/>
  <c r="N49" i="13"/>
  <c r="W31" i="12"/>
  <c r="W37" i="13"/>
  <c r="U49" i="13"/>
  <c r="W41" i="12"/>
  <c r="AI35" i="8"/>
  <c r="AE35" i="35" s="1"/>
  <c r="AE103" i="35" s="1"/>
  <c r="W47" i="12"/>
  <c r="AI10" i="8"/>
  <c r="AE10" i="35" s="1"/>
  <c r="AE78" i="35" s="1"/>
  <c r="W28" i="12"/>
  <c r="W33" i="12"/>
  <c r="R6" i="8"/>
  <c r="R6" i="35" s="1"/>
  <c r="R74" i="35" s="1"/>
  <c r="R5" i="8"/>
  <c r="R5" i="35" s="1"/>
  <c r="R73" i="35" s="1"/>
  <c r="R52" i="8"/>
  <c r="R52" i="35" s="1"/>
  <c r="R120" i="35" s="1"/>
  <c r="R47" i="8"/>
  <c r="R47" i="35" s="1"/>
  <c r="R115" i="35" s="1"/>
  <c r="R7" i="8"/>
  <c r="R7" i="35" s="1"/>
  <c r="R75" i="35" s="1"/>
  <c r="R44" i="8"/>
  <c r="R63" i="8"/>
  <c r="R17" i="8"/>
  <c r="R17" i="35" s="1"/>
  <c r="R85" i="35" s="1"/>
  <c r="R18" i="8"/>
  <c r="R18" i="35" s="1"/>
  <c r="R86" i="35" s="1"/>
  <c r="R55" i="8"/>
  <c r="R9" i="8"/>
  <c r="R9" i="35" s="1"/>
  <c r="R77" i="35" s="1"/>
  <c r="R33" i="8"/>
  <c r="R33" i="35" s="1"/>
  <c r="R101" i="35" s="1"/>
  <c r="R23" i="8"/>
  <c r="R23" i="35" s="1"/>
  <c r="R91" i="35" s="1"/>
  <c r="R56" i="8"/>
  <c r="R56" i="35" s="1"/>
  <c r="R124" i="35" s="1"/>
  <c r="R50" i="8"/>
  <c r="R50" i="35" s="1"/>
  <c r="R118" i="35" s="1"/>
  <c r="R61" i="8"/>
  <c r="R61" i="35" s="1"/>
  <c r="R129" i="35" s="1"/>
  <c r="R48" i="8"/>
  <c r="R48" i="35" s="1"/>
  <c r="R116" i="35" s="1"/>
  <c r="R29" i="8"/>
  <c r="R29" i="35" s="1"/>
  <c r="R97" i="35" s="1"/>
  <c r="R31" i="8"/>
  <c r="R31" i="35" s="1"/>
  <c r="R99" i="35" s="1"/>
  <c r="R37" i="8"/>
  <c r="R20" i="8"/>
  <c r="R20" i="35" s="1"/>
  <c r="R88" i="35" s="1"/>
  <c r="R38" i="8"/>
  <c r="R51" i="8"/>
  <c r="R51" i="35" s="1"/>
  <c r="R119" i="35" s="1"/>
  <c r="R21" i="8"/>
  <c r="R21" i="35" s="1"/>
  <c r="R89" i="35" s="1"/>
  <c r="R66" i="8"/>
  <c r="R66" i="35" s="1"/>
  <c r="R134" i="35" s="1"/>
  <c r="R22" i="8"/>
  <c r="R22" i="35" s="1"/>
  <c r="R90" i="35" s="1"/>
  <c r="R60" i="8"/>
  <c r="R60" i="35" s="1"/>
  <c r="R128" i="35" s="1"/>
  <c r="R53" i="8"/>
  <c r="R53" i="35" s="1"/>
  <c r="R121" i="35" s="1"/>
  <c r="R39" i="8"/>
  <c r="R35" i="8"/>
  <c r="R35" i="35" s="1"/>
  <c r="R103" i="35" s="1"/>
  <c r="R64" i="8"/>
  <c r="R64" i="35" s="1"/>
  <c r="R132" i="35" s="1"/>
  <c r="R30" i="8"/>
  <c r="R30" i="35" s="1"/>
  <c r="R98" i="35" s="1"/>
  <c r="R43" i="8"/>
  <c r="R62" i="8"/>
  <c r="R62" i="35" s="1"/>
  <c r="R130" i="35" s="1"/>
  <c r="R19" i="8"/>
  <c r="R19" i="35" s="1"/>
  <c r="R87" i="35" s="1"/>
  <c r="R42" i="8"/>
  <c r="R24" i="8"/>
  <c r="R24" i="35" s="1"/>
  <c r="R92" i="35" s="1"/>
  <c r="R49" i="8"/>
  <c r="R49" i="35" s="1"/>
  <c r="R117" i="35" s="1"/>
  <c r="R36" i="8"/>
  <c r="R36" i="35" s="1"/>
  <c r="R104" i="35" s="1"/>
  <c r="R28" i="8"/>
  <c r="R28" i="35" s="1"/>
  <c r="R96" i="35" s="1"/>
  <c r="R8" i="8"/>
  <c r="R8" i="35" s="1"/>
  <c r="R76" i="35" s="1"/>
  <c r="R54" i="8"/>
  <c r="R54" i="35" s="1"/>
  <c r="R122" i="35" s="1"/>
  <c r="R10" i="8"/>
  <c r="R10" i="35" s="1"/>
  <c r="R78" i="35" s="1"/>
  <c r="R34" i="8"/>
  <c r="R34" i="35" s="1"/>
  <c r="R102" i="35" s="1"/>
  <c r="R41" i="8"/>
  <c r="R41" i="35" s="1"/>
  <c r="R109" i="35" s="1"/>
  <c r="R12" i="8"/>
  <c r="R12" i="35" s="1"/>
  <c r="R80" i="35" s="1"/>
  <c r="R32" i="8"/>
  <c r="R32" i="35" s="1"/>
  <c r="R100" i="35" s="1"/>
  <c r="R14" i="8"/>
  <c r="R14" i="35" s="1"/>
  <c r="R82" i="35" s="1"/>
  <c r="R16" i="8"/>
  <c r="R16" i="35" s="1"/>
  <c r="R84" i="35" s="1"/>
  <c r="R59" i="8"/>
  <c r="R59" i="35" s="1"/>
  <c r="R127" i="35" s="1"/>
  <c r="R27" i="8"/>
  <c r="R27" i="35" s="1"/>
  <c r="R95" i="35" s="1"/>
  <c r="R11" i="8"/>
  <c r="R11" i="35" s="1"/>
  <c r="R79" i="35" s="1"/>
  <c r="R45" i="8"/>
  <c r="R65" i="8"/>
  <c r="R46" i="8"/>
  <c r="R46" i="35" s="1"/>
  <c r="R114" i="35" s="1"/>
  <c r="R15" i="8"/>
  <c r="R15" i="35" s="1"/>
  <c r="R83" i="35" s="1"/>
  <c r="R40" i="8"/>
  <c r="R25" i="8"/>
  <c r="R25" i="35" s="1"/>
  <c r="R93" i="35" s="1"/>
  <c r="R58" i="8"/>
  <c r="R57" i="8"/>
  <c r="R57" i="35" s="1"/>
  <c r="R125" i="35" s="1"/>
  <c r="R26" i="8"/>
  <c r="R26" i="35" s="1"/>
  <c r="R94" i="35" s="1"/>
  <c r="R13" i="8"/>
  <c r="R13" i="35" s="1"/>
  <c r="R81" i="35" s="1"/>
  <c r="R67" i="8"/>
  <c r="R67" i="35" s="1"/>
  <c r="R135" i="35" s="1"/>
  <c r="W46" i="13"/>
  <c r="T49" i="13"/>
  <c r="W5" i="13"/>
  <c r="AI5" i="8"/>
  <c r="AE5" i="35" s="1"/>
  <c r="AE73" i="35" s="1"/>
  <c r="AI6" i="8"/>
  <c r="AE6" i="35" s="1"/>
  <c r="AE74" i="35" s="1"/>
  <c r="AI48" i="8"/>
  <c r="AE48" i="35" s="1"/>
  <c r="AE116" i="35" s="1"/>
  <c r="W7" i="12"/>
  <c r="AI32" i="8"/>
  <c r="AE32" i="35" s="1"/>
  <c r="AE100" i="35" s="1"/>
  <c r="AI47" i="8"/>
  <c r="AE47" i="35" s="1"/>
  <c r="AE115" i="35" s="1"/>
  <c r="W15" i="13"/>
  <c r="L39" i="8" l="1"/>
  <c r="L39" i="35" s="1"/>
  <c r="L107" i="35" s="1"/>
  <c r="L10" i="8"/>
  <c r="L10" i="35" s="1"/>
  <c r="L78" i="35" s="1"/>
  <c r="L28" i="8"/>
  <c r="L28" i="35" s="1"/>
  <c r="L96" i="35" s="1"/>
  <c r="L60" i="8"/>
  <c r="L60" i="35" s="1"/>
  <c r="L128" i="35" s="1"/>
  <c r="L36" i="8"/>
  <c r="L36" i="35" s="1"/>
  <c r="L104" i="35" s="1"/>
  <c r="L23" i="8"/>
  <c r="L23" i="35" s="1"/>
  <c r="L91" i="35" s="1"/>
  <c r="L51" i="8"/>
  <c r="L51" i="35" s="1"/>
  <c r="L119" i="35" s="1"/>
  <c r="L7" i="8"/>
  <c r="L7" i="35" s="1"/>
  <c r="L75" i="35" s="1"/>
  <c r="L37" i="8"/>
  <c r="L37" i="35" s="1"/>
  <c r="L105" i="35" s="1"/>
  <c r="L67" i="8"/>
  <c r="L67" i="35" s="1"/>
  <c r="L135" i="35" s="1"/>
  <c r="L11" i="8"/>
  <c r="L11" i="35" s="1"/>
  <c r="L79" i="35" s="1"/>
  <c r="L5" i="8"/>
  <c r="L41" i="8"/>
  <c r="L41" i="35" s="1"/>
  <c r="L109" i="35" s="1"/>
  <c r="L13" i="8"/>
  <c r="L13" i="35" s="1"/>
  <c r="L81" i="35" s="1"/>
  <c r="L63" i="8"/>
  <c r="L63" i="35" s="1"/>
  <c r="L131" i="35" s="1"/>
  <c r="L38" i="8"/>
  <c r="L38" i="35" s="1"/>
  <c r="L106" i="35" s="1"/>
  <c r="L6" i="8"/>
  <c r="L6" i="35" s="1"/>
  <c r="L74" i="35" s="1"/>
  <c r="L19" i="8"/>
  <c r="L19" i="35" s="1"/>
  <c r="L87" i="35" s="1"/>
  <c r="L33" i="8"/>
  <c r="L33" i="35" s="1"/>
  <c r="L101" i="35" s="1"/>
  <c r="L47" i="8"/>
  <c r="L47" i="35" s="1"/>
  <c r="L115" i="35" s="1"/>
  <c r="L26" i="8"/>
  <c r="L26" i="35" s="1"/>
  <c r="L94" i="35" s="1"/>
  <c r="L27" i="8"/>
  <c r="L27" i="35" s="1"/>
  <c r="L95" i="35" s="1"/>
  <c r="L29" i="8"/>
  <c r="L29" i="35" s="1"/>
  <c r="L97" i="35" s="1"/>
  <c r="L56" i="8"/>
  <c r="L56" i="35" s="1"/>
  <c r="L124" i="35" s="1"/>
  <c r="L40" i="8"/>
  <c r="L40" i="35" s="1"/>
  <c r="L108" i="35" s="1"/>
  <c r="L62" i="8"/>
  <c r="L62" i="35" s="1"/>
  <c r="L130" i="35" s="1"/>
  <c r="L15" i="8"/>
  <c r="L15" i="35" s="1"/>
  <c r="L83" i="35" s="1"/>
  <c r="L31" i="8"/>
  <c r="L31" i="35" s="1"/>
  <c r="L99" i="35" s="1"/>
  <c r="L45" i="8"/>
  <c r="L45" i="35" s="1"/>
  <c r="L113" i="35" s="1"/>
  <c r="L53" i="8"/>
  <c r="L53" i="35" s="1"/>
  <c r="L121" i="35" s="1"/>
  <c r="L59" i="8"/>
  <c r="L59" i="35" s="1"/>
  <c r="L127" i="35" s="1"/>
  <c r="L14" i="8"/>
  <c r="L14" i="35" s="1"/>
  <c r="L82" i="35" s="1"/>
  <c r="L65" i="8"/>
  <c r="L65" i="35" s="1"/>
  <c r="L133" i="35" s="1"/>
  <c r="L58" i="8"/>
  <c r="L58" i="35" s="1"/>
  <c r="L126" i="35" s="1"/>
  <c r="L18" i="8"/>
  <c r="L18" i="35" s="1"/>
  <c r="L86" i="35" s="1"/>
  <c r="L61" i="8"/>
  <c r="L61" i="35" s="1"/>
  <c r="L129" i="35" s="1"/>
  <c r="L43" i="8"/>
  <c r="L43" i="35" s="1"/>
  <c r="L111" i="35" s="1"/>
  <c r="L64" i="8"/>
  <c r="L64" i="35" s="1"/>
  <c r="L132" i="35" s="1"/>
  <c r="L48" i="8"/>
  <c r="L48" i="35" s="1"/>
  <c r="L116" i="35" s="1"/>
  <c r="L21" i="8"/>
  <c r="L21" i="35" s="1"/>
  <c r="L89" i="35" s="1"/>
  <c r="L35" i="8"/>
  <c r="L35" i="35" s="1"/>
  <c r="L103" i="35" s="1"/>
  <c r="L16" i="8"/>
  <c r="L16" i="35" s="1"/>
  <c r="L84" i="35" s="1"/>
  <c r="L52" i="8"/>
  <c r="L52" i="35" s="1"/>
  <c r="L120" i="35" s="1"/>
  <c r="L9" i="8"/>
  <c r="L9" i="35" s="1"/>
  <c r="L77" i="35" s="1"/>
  <c r="L12" i="8"/>
  <c r="L12" i="35" s="1"/>
  <c r="L80" i="35" s="1"/>
  <c r="L8" i="8"/>
  <c r="L8" i="35" s="1"/>
  <c r="L76" i="35" s="1"/>
  <c r="L22" i="8"/>
  <c r="L22" i="35" s="1"/>
  <c r="L90" i="35" s="1"/>
  <c r="L55" i="8"/>
  <c r="L55" i="35" s="1"/>
  <c r="L123" i="35" s="1"/>
  <c r="L34" i="8"/>
  <c r="L34" i="35" s="1"/>
  <c r="L102" i="35" s="1"/>
  <c r="L57" i="8"/>
  <c r="L57" i="35" s="1"/>
  <c r="L125" i="35" s="1"/>
  <c r="L42" i="8"/>
  <c r="L42" i="35" s="1"/>
  <c r="L110" i="35" s="1"/>
  <c r="L50" i="8"/>
  <c r="L50" i="35" s="1"/>
  <c r="L118" i="35" s="1"/>
  <c r="L49" i="8"/>
  <c r="L49" i="35" s="1"/>
  <c r="L117" i="35" s="1"/>
  <c r="L54" i="8"/>
  <c r="L54" i="35" s="1"/>
  <c r="L122" i="35" s="1"/>
  <c r="L20" i="8"/>
  <c r="L20" i="35" s="1"/>
  <c r="L88" i="35" s="1"/>
  <c r="L44" i="8"/>
  <c r="L44" i="35" s="1"/>
  <c r="L112" i="35" s="1"/>
  <c r="L30" i="8"/>
  <c r="L30" i="35" s="1"/>
  <c r="L98" i="35" s="1"/>
  <c r="L32" i="8"/>
  <c r="L32" i="35" s="1"/>
  <c r="L100" i="35" s="1"/>
  <c r="L24" i="8"/>
  <c r="L24" i="35" s="1"/>
  <c r="L92" i="35" s="1"/>
  <c r="L66" i="8"/>
  <c r="L66" i="35" s="1"/>
  <c r="L134" i="35" s="1"/>
  <c r="L46" i="8"/>
  <c r="L46" i="35" s="1"/>
  <c r="L114" i="35" s="1"/>
  <c r="R69" i="9"/>
  <c r="W44" i="8"/>
  <c r="V44" i="35" s="1"/>
  <c r="V112" i="35" s="1"/>
  <c r="W39" i="8"/>
  <c r="V39" i="35" s="1"/>
  <c r="V107" i="35" s="1"/>
  <c r="W59" i="8"/>
  <c r="V59" i="35" s="1"/>
  <c r="V127" i="35" s="1"/>
  <c r="W16" i="8"/>
  <c r="V16" i="35" s="1"/>
  <c r="V84" i="35" s="1"/>
  <c r="W25" i="8"/>
  <c r="V25" i="35" s="1"/>
  <c r="V93" i="35" s="1"/>
  <c r="W32" i="8"/>
  <c r="V32" i="35" s="1"/>
  <c r="V100" i="35" s="1"/>
  <c r="W65" i="8"/>
  <c r="V65" i="35" s="1"/>
  <c r="V133" i="35" s="1"/>
  <c r="W33" i="8"/>
  <c r="V33" i="35" s="1"/>
  <c r="V101" i="35" s="1"/>
  <c r="W23" i="8"/>
  <c r="V23" i="35" s="1"/>
  <c r="V91" i="35" s="1"/>
  <c r="W36" i="8"/>
  <c r="V36" i="35" s="1"/>
  <c r="V104" i="35" s="1"/>
  <c r="W28" i="8"/>
  <c r="V28" i="35" s="1"/>
  <c r="V96" i="35" s="1"/>
  <c r="W42" i="8"/>
  <c r="V42" i="35" s="1"/>
  <c r="V110" i="35" s="1"/>
  <c r="W21" i="8"/>
  <c r="V21" i="35" s="1"/>
  <c r="V89" i="35" s="1"/>
  <c r="W56" i="8"/>
  <c r="V56" i="35" s="1"/>
  <c r="V124" i="35" s="1"/>
  <c r="W37" i="8"/>
  <c r="V37" i="35" s="1"/>
  <c r="V105" i="35" s="1"/>
  <c r="W50" i="8"/>
  <c r="V50" i="35" s="1"/>
  <c r="V118" i="35" s="1"/>
  <c r="W64" i="8"/>
  <c r="V64" i="35" s="1"/>
  <c r="V132" i="35" s="1"/>
  <c r="W20" i="8"/>
  <c r="V20" i="35" s="1"/>
  <c r="V88" i="35" s="1"/>
  <c r="W31" i="8"/>
  <c r="V31" i="35" s="1"/>
  <c r="V99" i="35" s="1"/>
  <c r="W52" i="8"/>
  <c r="V52" i="35" s="1"/>
  <c r="V120" i="35" s="1"/>
  <c r="W60" i="8"/>
  <c r="V60" i="35" s="1"/>
  <c r="V128" i="35" s="1"/>
  <c r="W7" i="8"/>
  <c r="V7" i="35" s="1"/>
  <c r="V75" i="35" s="1"/>
  <c r="W11" i="8"/>
  <c r="V11" i="35" s="1"/>
  <c r="V79" i="35" s="1"/>
  <c r="W34" i="8"/>
  <c r="V34" i="35" s="1"/>
  <c r="V102" i="35" s="1"/>
  <c r="W30" i="8"/>
  <c r="V30" i="35" s="1"/>
  <c r="V98" i="35" s="1"/>
  <c r="W43" i="8"/>
  <c r="V43" i="35" s="1"/>
  <c r="V111" i="35" s="1"/>
  <c r="W62" i="8"/>
  <c r="V62" i="35" s="1"/>
  <c r="V130" i="35" s="1"/>
  <c r="W26" i="8"/>
  <c r="V26" i="35" s="1"/>
  <c r="V94" i="35" s="1"/>
  <c r="W15" i="8"/>
  <c r="V15" i="35" s="1"/>
  <c r="V83" i="35" s="1"/>
  <c r="W66" i="8"/>
  <c r="V66" i="35" s="1"/>
  <c r="V134" i="35" s="1"/>
  <c r="W40" i="8"/>
  <c r="V40" i="35" s="1"/>
  <c r="V108" i="35" s="1"/>
  <c r="W17" i="8"/>
  <c r="V17" i="35" s="1"/>
  <c r="V85" i="35" s="1"/>
  <c r="W41" i="8"/>
  <c r="V41" i="35" s="1"/>
  <c r="V109" i="35" s="1"/>
  <c r="W67" i="8"/>
  <c r="V67" i="35" s="1"/>
  <c r="V135" i="35" s="1"/>
  <c r="W35" i="8"/>
  <c r="V35" i="35" s="1"/>
  <c r="V103" i="35" s="1"/>
  <c r="W22" i="8"/>
  <c r="V22" i="35" s="1"/>
  <c r="V90" i="35" s="1"/>
  <c r="W61" i="8"/>
  <c r="V61" i="35" s="1"/>
  <c r="V129" i="35" s="1"/>
  <c r="W45" i="8"/>
  <c r="V45" i="35" s="1"/>
  <c r="V113" i="35" s="1"/>
  <c r="W63" i="8"/>
  <c r="V63" i="35" s="1"/>
  <c r="V131" i="35" s="1"/>
  <c r="W6" i="8"/>
  <c r="V6" i="35" s="1"/>
  <c r="V74" i="35" s="1"/>
  <c r="W48" i="8"/>
  <c r="V48" i="35" s="1"/>
  <c r="V116" i="35" s="1"/>
  <c r="W38" i="8"/>
  <c r="V38" i="35" s="1"/>
  <c r="V106" i="35" s="1"/>
  <c r="W27" i="8"/>
  <c r="V27" i="35" s="1"/>
  <c r="V95" i="35" s="1"/>
  <c r="W24" i="8"/>
  <c r="V24" i="35" s="1"/>
  <c r="V92" i="35" s="1"/>
  <c r="W14" i="8"/>
  <c r="V14" i="35" s="1"/>
  <c r="V82" i="35" s="1"/>
  <c r="W51" i="8"/>
  <c r="V51" i="35" s="1"/>
  <c r="V119" i="35" s="1"/>
  <c r="W46" i="8"/>
  <c r="V46" i="35" s="1"/>
  <c r="V114" i="35" s="1"/>
  <c r="W54" i="8"/>
  <c r="V54" i="35" s="1"/>
  <c r="V122" i="35" s="1"/>
  <c r="W55" i="8"/>
  <c r="V55" i="35" s="1"/>
  <c r="V123" i="35" s="1"/>
  <c r="W13" i="8"/>
  <c r="V13" i="35" s="1"/>
  <c r="V81" i="35" s="1"/>
  <c r="W29" i="8"/>
  <c r="V29" i="35" s="1"/>
  <c r="V97" i="35" s="1"/>
  <c r="W9" i="8"/>
  <c r="V9" i="35" s="1"/>
  <c r="V77" i="35" s="1"/>
  <c r="W49" i="8"/>
  <c r="V49" i="35" s="1"/>
  <c r="V117" i="35" s="1"/>
  <c r="W10" i="8"/>
  <c r="V10" i="35" s="1"/>
  <c r="V78" i="35" s="1"/>
  <c r="W5" i="8"/>
  <c r="W57" i="8"/>
  <c r="V57" i="35" s="1"/>
  <c r="V125" i="35" s="1"/>
  <c r="W58" i="8"/>
  <c r="V58" i="35" s="1"/>
  <c r="V126" i="35" s="1"/>
  <c r="W8" i="8"/>
  <c r="V8" i="35" s="1"/>
  <c r="V76" i="35" s="1"/>
  <c r="W12" i="8"/>
  <c r="V12" i="35" s="1"/>
  <c r="V80" i="35" s="1"/>
  <c r="W18" i="8"/>
  <c r="V18" i="35" s="1"/>
  <c r="V86" i="35" s="1"/>
  <c r="W19" i="8"/>
  <c r="V19" i="35" s="1"/>
  <c r="V87" i="35" s="1"/>
  <c r="W47" i="8"/>
  <c r="V47" i="35" s="1"/>
  <c r="V115" i="35" s="1"/>
  <c r="W53" i="8"/>
  <c r="V53" i="35" s="1"/>
  <c r="V121" i="35" s="1"/>
  <c r="L40" i="36"/>
  <c r="L88" i="36" s="1"/>
  <c r="L17" i="8"/>
  <c r="L17" i="35" s="1"/>
  <c r="L85" i="35" s="1"/>
  <c r="H7" i="38"/>
  <c r="H13" i="38" s="1"/>
  <c r="M46" i="9"/>
  <c r="M48" i="9"/>
  <c r="M58" i="9"/>
  <c r="M47" i="9"/>
  <c r="M63" i="9"/>
  <c r="M12" i="9"/>
  <c r="M29" i="9"/>
  <c r="M50" i="9"/>
  <c r="Y16" i="8"/>
  <c r="Y24" i="8"/>
  <c r="Y64" i="8"/>
  <c r="Y65" i="8"/>
  <c r="X65" i="35" s="1"/>
  <c r="X133" i="35" s="1"/>
  <c r="Y15" i="8"/>
  <c r="X15" i="35" s="1"/>
  <c r="X83" i="35" s="1"/>
  <c r="Y59" i="8"/>
  <c r="Y33" i="8"/>
  <c r="X33" i="35" s="1"/>
  <c r="X101" i="35" s="1"/>
  <c r="Y35" i="8"/>
  <c r="Y6" i="8"/>
  <c r="Y48" i="8"/>
  <c r="X48" i="35" s="1"/>
  <c r="X116" i="35" s="1"/>
  <c r="Y34" i="8"/>
  <c r="Y56" i="8"/>
  <c r="X56" i="35" s="1"/>
  <c r="X124" i="35" s="1"/>
  <c r="Y18" i="8"/>
  <c r="Y23" i="8"/>
  <c r="Y53" i="8"/>
  <c r="X53" i="35" s="1"/>
  <c r="X121" i="35" s="1"/>
  <c r="Y43" i="8"/>
  <c r="X43" i="35" s="1"/>
  <c r="X111" i="35" s="1"/>
  <c r="Y19" i="8"/>
  <c r="X19" i="35" s="1"/>
  <c r="X87" i="35" s="1"/>
  <c r="Y5" i="8"/>
  <c r="Y31" i="8"/>
  <c r="X31" i="35" s="1"/>
  <c r="X99" i="35" s="1"/>
  <c r="Y17" i="8"/>
  <c r="X17" i="35" s="1"/>
  <c r="X85" i="35" s="1"/>
  <c r="Y8" i="8"/>
  <c r="Y14" i="8"/>
  <c r="Y54" i="8"/>
  <c r="Y50" i="8"/>
  <c r="Y51" i="8"/>
  <c r="Y29" i="8"/>
  <c r="Y45" i="8"/>
  <c r="Y30" i="8"/>
  <c r="Y46" i="8"/>
  <c r="X46" i="35" s="1"/>
  <c r="X114" i="35" s="1"/>
  <c r="Y58" i="8"/>
  <c r="Y37" i="8"/>
  <c r="Y60" i="8"/>
  <c r="X60" i="35" s="1"/>
  <c r="X128" i="35" s="1"/>
  <c r="Y61" i="8"/>
  <c r="Y7" i="8"/>
  <c r="Y63" i="8"/>
  <c r="X63" i="35" s="1"/>
  <c r="X131" i="35" s="1"/>
  <c r="Y11" i="8"/>
  <c r="X11" i="35" s="1"/>
  <c r="X79" i="35" s="1"/>
  <c r="Y62" i="8"/>
  <c r="Y67" i="8"/>
  <c r="Y32" i="8"/>
  <c r="Y10" i="8"/>
  <c r="X10" i="35" s="1"/>
  <c r="X78" i="35" s="1"/>
  <c r="Y55" i="8"/>
  <c r="X55" i="35" s="1"/>
  <c r="X123" i="35" s="1"/>
  <c r="Y38" i="8"/>
  <c r="Y52" i="8"/>
  <c r="X52" i="35" s="1"/>
  <c r="X120" i="35" s="1"/>
  <c r="Y49" i="8"/>
  <c r="X49" i="35" s="1"/>
  <c r="X117" i="35" s="1"/>
  <c r="Y36" i="8"/>
  <c r="Y66" i="8"/>
  <c r="Y25" i="8"/>
  <c r="X25" i="35" s="1"/>
  <c r="X93" i="35" s="1"/>
  <c r="Y40" i="8"/>
  <c r="X40" i="35" s="1"/>
  <c r="X108" i="35" s="1"/>
  <c r="Y44" i="8"/>
  <c r="Y47" i="8"/>
  <c r="Y21" i="8"/>
  <c r="Y13" i="8"/>
  <c r="X13" i="35" s="1"/>
  <c r="X81" i="35" s="1"/>
  <c r="Y26" i="8"/>
  <c r="X26" i="35" s="1"/>
  <c r="X94" i="35" s="1"/>
  <c r="Y20" i="8"/>
  <c r="Y28" i="8"/>
  <c r="Y9" i="8"/>
  <c r="X9" i="35" s="1"/>
  <c r="X77" i="35" s="1"/>
  <c r="Y57" i="8"/>
  <c r="Y12" i="8"/>
  <c r="Y42" i="8"/>
  <c r="Y27" i="8"/>
  <c r="X27" i="35" s="1"/>
  <c r="X95" i="35" s="1"/>
  <c r="Y39" i="8"/>
  <c r="X39" i="35" s="1"/>
  <c r="X107" i="35" s="1"/>
  <c r="Y41" i="8"/>
  <c r="Y22" i="8"/>
  <c r="V22" i="7"/>
  <c r="V35" i="7"/>
  <c r="V52" i="7"/>
  <c r="V40" i="7"/>
  <c r="V47" i="7"/>
  <c r="V48" i="7"/>
  <c r="V31" i="7"/>
  <c r="V23" i="7"/>
  <c r="V18" i="7"/>
  <c r="V28" i="7"/>
  <c r="V53" i="7"/>
  <c r="V50" i="7"/>
  <c r="V57" i="7"/>
  <c r="V54" i="7"/>
  <c r="V24" i="7"/>
  <c r="V19" i="7"/>
  <c r="V14" i="7"/>
  <c r="V7" i="7"/>
  <c r="V56" i="7"/>
  <c r="V51" i="7"/>
  <c r="V66" i="7"/>
  <c r="V62" i="7"/>
  <c r="V20" i="7"/>
  <c r="V15" i="7"/>
  <c r="V41" i="7"/>
  <c r="V25" i="7"/>
  <c r="V42" i="7"/>
  <c r="V38" i="7"/>
  <c r="V67" i="7"/>
  <c r="V45" i="7"/>
  <c r="V12" i="7"/>
  <c r="V26" i="7"/>
  <c r="V21" i="7"/>
  <c r="V11" i="7"/>
  <c r="V60" i="7"/>
  <c r="V58" i="7"/>
  <c r="V55" i="7"/>
  <c r="V39" i="7"/>
  <c r="V34" i="7"/>
  <c r="V36" i="7"/>
  <c r="V17" i="7"/>
  <c r="V9" i="7"/>
  <c r="V61" i="7"/>
  <c r="V59" i="7"/>
  <c r="V65" i="7"/>
  <c r="V27" i="7"/>
  <c r="V29" i="7"/>
  <c r="V13" i="7"/>
  <c r="V8" i="7"/>
  <c r="V64" i="7"/>
  <c r="V46" i="7"/>
  <c r="V63" i="7"/>
  <c r="V30" i="7"/>
  <c r="V32" i="7"/>
  <c r="V10" i="7"/>
  <c r="V43" i="7"/>
  <c r="V49" i="7"/>
  <c r="V37" i="7"/>
  <c r="V44" i="7"/>
  <c r="V16" i="7"/>
  <c r="V33" i="7"/>
  <c r="O33" i="8"/>
  <c r="O33" i="35" s="1"/>
  <c r="O101" i="35" s="1"/>
  <c r="X30" i="8"/>
  <c r="W30" i="35" s="1"/>
  <c r="W98" i="35" s="1"/>
  <c r="X24" i="8"/>
  <c r="W24" i="35" s="1"/>
  <c r="W92" i="35" s="1"/>
  <c r="O15" i="8"/>
  <c r="O15" i="35" s="1"/>
  <c r="O83" i="35" s="1"/>
  <c r="X29" i="8"/>
  <c r="W29" i="35" s="1"/>
  <c r="W97" i="35" s="1"/>
  <c r="X47" i="8"/>
  <c r="W47" i="35" s="1"/>
  <c r="W115" i="35" s="1"/>
  <c r="W69" i="9"/>
  <c r="O14" i="8"/>
  <c r="O14" i="35" s="1"/>
  <c r="O82" i="35" s="1"/>
  <c r="O16" i="8"/>
  <c r="O16" i="35" s="1"/>
  <c r="O84" i="35" s="1"/>
  <c r="P41" i="8"/>
  <c r="P41" i="35" s="1"/>
  <c r="P109" i="35" s="1"/>
  <c r="P10" i="8"/>
  <c r="P10" i="35" s="1"/>
  <c r="P78" i="35" s="1"/>
  <c r="P7" i="8"/>
  <c r="P7" i="35" s="1"/>
  <c r="P75" i="35" s="1"/>
  <c r="P38" i="8"/>
  <c r="P35" i="8"/>
  <c r="P35" i="35" s="1"/>
  <c r="P103" i="35" s="1"/>
  <c r="P40" i="8"/>
  <c r="P23" i="8"/>
  <c r="P23" i="35" s="1"/>
  <c r="P91" i="35" s="1"/>
  <c r="P8" i="8"/>
  <c r="P8" i="35" s="1"/>
  <c r="P76" i="35" s="1"/>
  <c r="P57" i="8"/>
  <c r="P57" i="35" s="1"/>
  <c r="P125" i="35" s="1"/>
  <c r="P28" i="8"/>
  <c r="P28" i="35" s="1"/>
  <c r="P96" i="35" s="1"/>
  <c r="P51" i="8"/>
  <c r="P51" i="35" s="1"/>
  <c r="P119" i="35" s="1"/>
  <c r="P47" i="8"/>
  <c r="P47" i="35" s="1"/>
  <c r="P115" i="35" s="1"/>
  <c r="P37" i="8"/>
  <c r="P15" i="8"/>
  <c r="P15" i="35" s="1"/>
  <c r="P83" i="35" s="1"/>
  <c r="P64" i="8"/>
  <c r="P64" i="35" s="1"/>
  <c r="P132" i="35" s="1"/>
  <c r="P16" i="8"/>
  <c r="P16" i="35" s="1"/>
  <c r="P84" i="35" s="1"/>
  <c r="P56" i="8"/>
  <c r="P56" i="35" s="1"/>
  <c r="P124" i="35" s="1"/>
  <c r="P54" i="8"/>
  <c r="P54" i="35" s="1"/>
  <c r="P122" i="35" s="1"/>
  <c r="P27" i="8"/>
  <c r="P27" i="35" s="1"/>
  <c r="P95" i="35" s="1"/>
  <c r="P50" i="8"/>
  <c r="P50" i="35" s="1"/>
  <c r="P118" i="35" s="1"/>
  <c r="P22" i="8"/>
  <c r="P22" i="35" s="1"/>
  <c r="P90" i="35" s="1"/>
  <c r="P32" i="8"/>
  <c r="P32" i="35" s="1"/>
  <c r="P100" i="35" s="1"/>
  <c r="P9" i="8"/>
  <c r="P9" i="35" s="1"/>
  <c r="P77" i="35" s="1"/>
  <c r="P67" i="8"/>
  <c r="P67" i="35" s="1"/>
  <c r="P135" i="35" s="1"/>
  <c r="P36" i="8"/>
  <c r="P36" i="35" s="1"/>
  <c r="P104" i="35" s="1"/>
  <c r="P60" i="8"/>
  <c r="P60" i="35" s="1"/>
  <c r="P128" i="35" s="1"/>
  <c r="P42" i="8"/>
  <c r="P25" i="8"/>
  <c r="P25" i="35" s="1"/>
  <c r="P93" i="35" s="1"/>
  <c r="P19" i="8"/>
  <c r="P19" i="35" s="1"/>
  <c r="P87" i="35" s="1"/>
  <c r="P49" i="8"/>
  <c r="P49" i="35" s="1"/>
  <c r="P117" i="35" s="1"/>
  <c r="P61" i="8"/>
  <c r="P61" i="35" s="1"/>
  <c r="P129" i="35" s="1"/>
  <c r="P66" i="8"/>
  <c r="P66" i="35" s="1"/>
  <c r="P134" i="35" s="1"/>
  <c r="P31" i="8"/>
  <c r="P31" i="35" s="1"/>
  <c r="P99" i="35" s="1"/>
  <c r="P12" i="8"/>
  <c r="P12" i="35" s="1"/>
  <c r="P80" i="35" s="1"/>
  <c r="P46" i="8"/>
  <c r="P46" i="35" s="1"/>
  <c r="P114" i="35" s="1"/>
  <c r="P21" i="8"/>
  <c r="P21" i="35" s="1"/>
  <c r="P89" i="35" s="1"/>
  <c r="P44" i="8"/>
  <c r="P39" i="8"/>
  <c r="P34" i="8"/>
  <c r="P34" i="35" s="1"/>
  <c r="P102" i="35" s="1"/>
  <c r="P58" i="8"/>
  <c r="P58" i="35" s="1"/>
  <c r="P126" i="35" s="1"/>
  <c r="P14" i="8"/>
  <c r="P14" i="35" s="1"/>
  <c r="P82" i="35" s="1"/>
  <c r="P52" i="8"/>
  <c r="P52" i="35" s="1"/>
  <c r="P120" i="35" s="1"/>
  <c r="P30" i="8"/>
  <c r="P30" i="35" s="1"/>
  <c r="P98" i="35" s="1"/>
  <c r="P11" i="8"/>
  <c r="P11" i="35" s="1"/>
  <c r="P79" i="35" s="1"/>
  <c r="P65" i="8"/>
  <c r="P65" i="35" s="1"/>
  <c r="P133" i="35" s="1"/>
  <c r="P53" i="8"/>
  <c r="P53" i="35" s="1"/>
  <c r="P121" i="35" s="1"/>
  <c r="P59" i="8"/>
  <c r="P59" i="35" s="1"/>
  <c r="P127" i="35" s="1"/>
  <c r="P17" i="8"/>
  <c r="P17" i="35" s="1"/>
  <c r="P85" i="35" s="1"/>
  <c r="P55" i="8"/>
  <c r="P55" i="35" s="1"/>
  <c r="P123" i="35" s="1"/>
  <c r="P24" i="8"/>
  <c r="P24" i="35" s="1"/>
  <c r="P92" i="35" s="1"/>
  <c r="P43" i="8"/>
  <c r="P48" i="8"/>
  <c r="P48" i="35" s="1"/>
  <c r="P116" i="35" s="1"/>
  <c r="P29" i="8"/>
  <c r="P29" i="35" s="1"/>
  <c r="P97" i="35" s="1"/>
  <c r="P18" i="8"/>
  <c r="P18" i="35" s="1"/>
  <c r="P86" i="35" s="1"/>
  <c r="P33" i="8"/>
  <c r="P33" i="35" s="1"/>
  <c r="P101" i="35" s="1"/>
  <c r="P45" i="8"/>
  <c r="P20" i="8"/>
  <c r="P20" i="35" s="1"/>
  <c r="P88" i="35" s="1"/>
  <c r="P26" i="8"/>
  <c r="P26" i="35" s="1"/>
  <c r="P94" i="35" s="1"/>
  <c r="P6" i="8"/>
  <c r="P6" i="35" s="1"/>
  <c r="P74" i="35" s="1"/>
  <c r="P62" i="8"/>
  <c r="P62" i="35" s="1"/>
  <c r="P130" i="35" s="1"/>
  <c r="P13" i="8"/>
  <c r="P13" i="35" s="1"/>
  <c r="P81" i="35" s="1"/>
  <c r="P5" i="8"/>
  <c r="P63" i="8"/>
  <c r="P63" i="35" s="1"/>
  <c r="P131" i="35" s="1"/>
  <c r="L69" i="9"/>
  <c r="AH9" i="8"/>
  <c r="AD9" i="35" s="1"/>
  <c r="AD77" i="35" s="1"/>
  <c r="Q59" i="8"/>
  <c r="Q59" i="35" s="1"/>
  <c r="Q127" i="35" s="1"/>
  <c r="AH61" i="8"/>
  <c r="AD61" i="35" s="1"/>
  <c r="AD129" i="35" s="1"/>
  <c r="X59" i="8"/>
  <c r="W59" i="35" s="1"/>
  <c r="W127" i="35" s="1"/>
  <c r="O62" i="8"/>
  <c r="O62" i="35" s="1"/>
  <c r="O130" i="35" s="1"/>
  <c r="M38" i="9"/>
  <c r="M60" i="9"/>
  <c r="M34" i="9"/>
  <c r="M40" i="9"/>
  <c r="M62" i="9"/>
  <c r="M59" i="9"/>
  <c r="M20" i="9"/>
  <c r="M65" i="9"/>
  <c r="Y56" i="9"/>
  <c r="O30" i="8"/>
  <c r="O30" i="35" s="1"/>
  <c r="O98" i="35" s="1"/>
  <c r="D13" i="38"/>
  <c r="G13" i="38"/>
  <c r="C13" i="38"/>
  <c r="J13" i="38"/>
  <c r="I13" i="38"/>
  <c r="F13" i="38"/>
  <c r="E13" i="38"/>
  <c r="O34" i="8"/>
  <c r="O34" i="35" s="1"/>
  <c r="O102" i="35" s="1"/>
  <c r="G14" i="38"/>
  <c r="C14" i="38"/>
  <c r="J14" i="38"/>
  <c r="I14" i="38"/>
  <c r="F14" i="38"/>
  <c r="E14" i="38"/>
  <c r="L14" i="38"/>
  <c r="H14" i="38"/>
  <c r="D14" i="38"/>
  <c r="P69" i="9"/>
  <c r="O9" i="8"/>
  <c r="O9" i="35" s="1"/>
  <c r="O77" i="35" s="1"/>
  <c r="AH43" i="8"/>
  <c r="AD43" i="35" s="1"/>
  <c r="AD111" i="35" s="1"/>
  <c r="AH64" i="8"/>
  <c r="AD64" i="35" s="1"/>
  <c r="AD132" i="35" s="1"/>
  <c r="AH18" i="8"/>
  <c r="AD18" i="35" s="1"/>
  <c r="AD86" i="35" s="1"/>
  <c r="AH62" i="8"/>
  <c r="AD62" i="35" s="1"/>
  <c r="AD130" i="35" s="1"/>
  <c r="AH19" i="8"/>
  <c r="AD19" i="35" s="1"/>
  <c r="AD87" i="35" s="1"/>
  <c r="AH57" i="8"/>
  <c r="AD57" i="35" s="1"/>
  <c r="AD125" i="35" s="1"/>
  <c r="AH6" i="8"/>
  <c r="AD6" i="35" s="1"/>
  <c r="AD74" i="35" s="1"/>
  <c r="AH41" i="8"/>
  <c r="AD41" i="35" s="1"/>
  <c r="AD109" i="35" s="1"/>
  <c r="AH47" i="8"/>
  <c r="AD47" i="35" s="1"/>
  <c r="AD115" i="35" s="1"/>
  <c r="AH59" i="8"/>
  <c r="AD59" i="35" s="1"/>
  <c r="AD127" i="35" s="1"/>
  <c r="AH52" i="8"/>
  <c r="AD52" i="35" s="1"/>
  <c r="AD120" i="35" s="1"/>
  <c r="AH7" i="8"/>
  <c r="AD7" i="35" s="1"/>
  <c r="AD75" i="35" s="1"/>
  <c r="AH5" i="8"/>
  <c r="O54" i="8"/>
  <c r="O54" i="35" s="1"/>
  <c r="O122" i="35" s="1"/>
  <c r="X69" i="9"/>
  <c r="O56" i="8"/>
  <c r="O56" i="35" s="1"/>
  <c r="O124" i="35" s="1"/>
  <c r="AH50" i="8"/>
  <c r="AD50" i="35" s="1"/>
  <c r="AD118" i="35" s="1"/>
  <c r="AH38" i="8"/>
  <c r="AD38" i="35" s="1"/>
  <c r="AD106" i="35" s="1"/>
  <c r="O26" i="8"/>
  <c r="O26" i="35" s="1"/>
  <c r="O94" i="35" s="1"/>
  <c r="X61" i="8"/>
  <c r="W61" i="35" s="1"/>
  <c r="W129" i="35" s="1"/>
  <c r="AH66" i="8"/>
  <c r="AD66" i="35" s="1"/>
  <c r="AD134" i="35" s="1"/>
  <c r="M55" i="9"/>
  <c r="M49" i="9"/>
  <c r="M24" i="9"/>
  <c r="M42" i="9"/>
  <c r="M45" i="9"/>
  <c r="M61" i="9"/>
  <c r="M31" i="9"/>
  <c r="M51" i="9"/>
  <c r="Y24" i="9"/>
  <c r="O67" i="8"/>
  <c r="O67" i="35" s="1"/>
  <c r="O135" i="35" s="1"/>
  <c r="AH46" i="8"/>
  <c r="AD46" i="35" s="1"/>
  <c r="AD114" i="35" s="1"/>
  <c r="AH65" i="8"/>
  <c r="AD65" i="35" s="1"/>
  <c r="AD133" i="35" s="1"/>
  <c r="O23" i="8"/>
  <c r="O23" i="35" s="1"/>
  <c r="O91" i="35" s="1"/>
  <c r="H9" i="37"/>
  <c r="H14" i="37" s="1"/>
  <c r="H11" i="37"/>
  <c r="H7" i="37"/>
  <c r="H13" i="37" s="1"/>
  <c r="O22" i="8"/>
  <c r="O22" i="35" s="1"/>
  <c r="O90" i="35" s="1"/>
  <c r="O25" i="8"/>
  <c r="O25" i="35" s="1"/>
  <c r="O93" i="35" s="1"/>
  <c r="O24" i="8"/>
  <c r="O24" i="35" s="1"/>
  <c r="O92" i="35" s="1"/>
  <c r="O44" i="8"/>
  <c r="O44" i="35" s="1"/>
  <c r="O112" i="35" s="1"/>
  <c r="AH69" i="9"/>
  <c r="O66" i="8"/>
  <c r="O66" i="35" s="1"/>
  <c r="O134" i="35" s="1"/>
  <c r="X13" i="8"/>
  <c r="W13" i="35" s="1"/>
  <c r="W81" i="35" s="1"/>
  <c r="X16" i="8"/>
  <c r="W16" i="35" s="1"/>
  <c r="W84" i="35" s="1"/>
  <c r="X49" i="8"/>
  <c r="W49" i="35" s="1"/>
  <c r="W117" i="35" s="1"/>
  <c r="X18" i="8"/>
  <c r="W18" i="35" s="1"/>
  <c r="W86" i="35" s="1"/>
  <c r="X63" i="8"/>
  <c r="W63" i="35" s="1"/>
  <c r="W131" i="35" s="1"/>
  <c r="X66" i="8"/>
  <c r="W66" i="35" s="1"/>
  <c r="W134" i="35" s="1"/>
  <c r="X22" i="8"/>
  <c r="W22" i="35" s="1"/>
  <c r="W90" i="35" s="1"/>
  <c r="X55" i="8"/>
  <c r="W55" i="35" s="1"/>
  <c r="W123" i="35" s="1"/>
  <c r="X11" i="8"/>
  <c r="W11" i="35" s="1"/>
  <c r="W79" i="35" s="1"/>
  <c r="X67" i="8"/>
  <c r="W67" i="35" s="1"/>
  <c r="W135" i="35" s="1"/>
  <c r="X50" i="8"/>
  <c r="W50" i="35" s="1"/>
  <c r="W118" i="35" s="1"/>
  <c r="X27" i="8"/>
  <c r="W27" i="35" s="1"/>
  <c r="W95" i="35" s="1"/>
  <c r="X7" i="8"/>
  <c r="W7" i="35" s="1"/>
  <c r="W75" i="35" s="1"/>
  <c r="X17" i="8"/>
  <c r="W17" i="35" s="1"/>
  <c r="W85" i="35" s="1"/>
  <c r="X53" i="8"/>
  <c r="W53" i="35" s="1"/>
  <c r="W121" i="35" s="1"/>
  <c r="X33" i="8"/>
  <c r="W33" i="35" s="1"/>
  <c r="W101" i="35" s="1"/>
  <c r="X46" i="8"/>
  <c r="W46" i="35" s="1"/>
  <c r="W114" i="35" s="1"/>
  <c r="X45" i="8"/>
  <c r="W45" i="35" s="1"/>
  <c r="W113" i="35" s="1"/>
  <c r="X25" i="8"/>
  <c r="W25" i="35" s="1"/>
  <c r="W93" i="35" s="1"/>
  <c r="X9" i="8"/>
  <c r="W9" i="35" s="1"/>
  <c r="W77" i="35" s="1"/>
  <c r="X42" i="8"/>
  <c r="W42" i="35" s="1"/>
  <c r="W110" i="35" s="1"/>
  <c r="X5" i="8"/>
  <c r="X57" i="8"/>
  <c r="W57" i="35" s="1"/>
  <c r="W125" i="35" s="1"/>
  <c r="X35" i="8"/>
  <c r="W35" i="35" s="1"/>
  <c r="W103" i="35" s="1"/>
  <c r="X6" i="8"/>
  <c r="W6" i="35" s="1"/>
  <c r="W74" i="35" s="1"/>
  <c r="X14" i="8"/>
  <c r="W14" i="35" s="1"/>
  <c r="W82" i="35" s="1"/>
  <c r="X10" i="8"/>
  <c r="W10" i="35" s="1"/>
  <c r="W78" i="35" s="1"/>
  <c r="X56" i="8"/>
  <c r="W56" i="35" s="1"/>
  <c r="W124" i="35" s="1"/>
  <c r="X54" i="8"/>
  <c r="W54" i="35" s="1"/>
  <c r="W122" i="35" s="1"/>
  <c r="X32" i="8"/>
  <c r="W32" i="35" s="1"/>
  <c r="W100" i="35" s="1"/>
  <c r="X39" i="8"/>
  <c r="W39" i="35" s="1"/>
  <c r="W107" i="35" s="1"/>
  <c r="AH29" i="8"/>
  <c r="AD29" i="35" s="1"/>
  <c r="AD97" i="35" s="1"/>
  <c r="O63" i="8"/>
  <c r="O63" i="35" s="1"/>
  <c r="O131" i="35" s="1"/>
  <c r="Q65" i="8"/>
  <c r="Q65" i="35" s="1"/>
  <c r="Q133" i="35" s="1"/>
  <c r="O61" i="8"/>
  <c r="O61" i="35" s="1"/>
  <c r="O129" i="35" s="1"/>
  <c r="X44" i="8"/>
  <c r="W44" i="35" s="1"/>
  <c r="W112" i="35" s="1"/>
  <c r="M36" i="9"/>
  <c r="M10" i="9"/>
  <c r="M64" i="9"/>
  <c r="M18" i="9"/>
  <c r="M66" i="9"/>
  <c r="M44" i="9"/>
  <c r="M17" i="9"/>
  <c r="X15" i="8"/>
  <c r="W15" i="35" s="1"/>
  <c r="W83" i="35" s="1"/>
  <c r="F15" i="38"/>
  <c r="L15" i="38"/>
  <c r="I15" i="38"/>
  <c r="H15" i="38"/>
  <c r="E15" i="38"/>
  <c r="D15" i="38"/>
  <c r="G15" i="38"/>
  <c r="C15" i="38"/>
  <c r="J15" i="38"/>
  <c r="L30" i="36"/>
  <c r="L78" i="36" s="1"/>
  <c r="O65" i="8"/>
  <c r="O65" i="35" s="1"/>
  <c r="O133" i="35" s="1"/>
  <c r="O5" i="8"/>
  <c r="O29" i="8"/>
  <c r="O29" i="35" s="1"/>
  <c r="O97" i="35" s="1"/>
  <c r="O6" i="8"/>
  <c r="O6" i="35" s="1"/>
  <c r="O74" i="35" s="1"/>
  <c r="O55" i="8"/>
  <c r="O55" i="35" s="1"/>
  <c r="O123" i="35" s="1"/>
  <c r="O27" i="8"/>
  <c r="O27" i="35" s="1"/>
  <c r="O95" i="35" s="1"/>
  <c r="O51" i="8"/>
  <c r="O51" i="35" s="1"/>
  <c r="O119" i="35" s="1"/>
  <c r="O36" i="8"/>
  <c r="O36" i="35" s="1"/>
  <c r="O104" i="35" s="1"/>
  <c r="O48" i="8"/>
  <c r="O48" i="35" s="1"/>
  <c r="O116" i="35" s="1"/>
  <c r="O21" i="8"/>
  <c r="O21" i="35" s="1"/>
  <c r="O89" i="35" s="1"/>
  <c r="O17" i="8"/>
  <c r="O17" i="35" s="1"/>
  <c r="O85" i="35" s="1"/>
  <c r="O60" i="8"/>
  <c r="O60" i="35" s="1"/>
  <c r="O128" i="35" s="1"/>
  <c r="O7" i="8"/>
  <c r="O7" i="35" s="1"/>
  <c r="O75" i="35" s="1"/>
  <c r="O10" i="8"/>
  <c r="O10" i="35" s="1"/>
  <c r="O78" i="35" s="1"/>
  <c r="O49" i="8"/>
  <c r="O49" i="35" s="1"/>
  <c r="O117" i="35" s="1"/>
  <c r="O45" i="8"/>
  <c r="O45" i="35" s="1"/>
  <c r="O113" i="35" s="1"/>
  <c r="O12" i="8"/>
  <c r="O12" i="35" s="1"/>
  <c r="O80" i="35" s="1"/>
  <c r="O11" i="8"/>
  <c r="O11" i="35" s="1"/>
  <c r="O79" i="35" s="1"/>
  <c r="AH25" i="8"/>
  <c r="AD25" i="35" s="1"/>
  <c r="AD93" i="35" s="1"/>
  <c r="AH42" i="8"/>
  <c r="AD42" i="35" s="1"/>
  <c r="AD110" i="35" s="1"/>
  <c r="AH17" i="8"/>
  <c r="AD17" i="35" s="1"/>
  <c r="AD85" i="35" s="1"/>
  <c r="O43" i="8"/>
  <c r="O43" i="35" s="1"/>
  <c r="O111" i="35" s="1"/>
  <c r="X60" i="8"/>
  <c r="W60" i="35" s="1"/>
  <c r="W128" i="35" s="1"/>
  <c r="Q22" i="8"/>
  <c r="Q22" i="35" s="1"/>
  <c r="Q90" i="35" s="1"/>
  <c r="AH56" i="8"/>
  <c r="AD56" i="35" s="1"/>
  <c r="AD124" i="35" s="1"/>
  <c r="AH55" i="8"/>
  <c r="AD55" i="35" s="1"/>
  <c r="AD123" i="35" s="1"/>
  <c r="M39" i="9"/>
  <c r="M52" i="9"/>
  <c r="M56" i="9"/>
  <c r="M8" i="9"/>
  <c r="M28" i="9"/>
  <c r="M53" i="9"/>
  <c r="M43" i="9"/>
  <c r="O59" i="8"/>
  <c r="O59" i="35" s="1"/>
  <c r="O127" i="35" s="1"/>
  <c r="Q24" i="8"/>
  <c r="Q24" i="35" s="1"/>
  <c r="Q92" i="35" s="1"/>
  <c r="AH45" i="8"/>
  <c r="AD45" i="35" s="1"/>
  <c r="AD113" i="35" s="1"/>
  <c r="L11" i="38"/>
  <c r="Q69" i="9"/>
  <c r="O69" i="9"/>
  <c r="P9" i="37"/>
  <c r="P14" i="37" s="1"/>
  <c r="P11" i="37"/>
  <c r="P7" i="37"/>
  <c r="P13" i="37" s="1"/>
  <c r="O13" i="8"/>
  <c r="O13" i="35" s="1"/>
  <c r="O81" i="35" s="1"/>
  <c r="AC29" i="8"/>
  <c r="AC63" i="8"/>
  <c r="AC9" i="8"/>
  <c r="AC37" i="8"/>
  <c r="AC16" i="8"/>
  <c r="AC56" i="8"/>
  <c r="AC12" i="8"/>
  <c r="AC31" i="8"/>
  <c r="AC45" i="8"/>
  <c r="AC14" i="8"/>
  <c r="AC27" i="8"/>
  <c r="AC55" i="8"/>
  <c r="AC59" i="8"/>
  <c r="AC20" i="8"/>
  <c r="AC57" i="8"/>
  <c r="AC58" i="8"/>
  <c r="AC35" i="8"/>
  <c r="AC33" i="8"/>
  <c r="AC32" i="8"/>
  <c r="AC19" i="8"/>
  <c r="AC43" i="8"/>
  <c r="AC40" i="8"/>
  <c r="AC65" i="8"/>
  <c r="AC15" i="8"/>
  <c r="AC28" i="8"/>
  <c r="AC11" i="8"/>
  <c r="AC51" i="8"/>
  <c r="AC52" i="8"/>
  <c r="AC10" i="8"/>
  <c r="AC34" i="8"/>
  <c r="AC21" i="8"/>
  <c r="AC18" i="8"/>
  <c r="AC8" i="8"/>
  <c r="AC53" i="8"/>
  <c r="AC39" i="8"/>
  <c r="AC49" i="8"/>
  <c r="AC60" i="8"/>
  <c r="AC5" i="8"/>
  <c r="AC26" i="8"/>
  <c r="AC13" i="8"/>
  <c r="AC23" i="8"/>
  <c r="AC42" i="8"/>
  <c r="AC17" i="8"/>
  <c r="AC25" i="8"/>
  <c r="AC64" i="8"/>
  <c r="AC41" i="8"/>
  <c r="AC24" i="8"/>
  <c r="AC7" i="8"/>
  <c r="AC30" i="8"/>
  <c r="AC46" i="8"/>
  <c r="AC36" i="8"/>
  <c r="AC67" i="8"/>
  <c r="AC22" i="8"/>
  <c r="AC44" i="8"/>
  <c r="AC54" i="8"/>
  <c r="AC47" i="8"/>
  <c r="AC62" i="8"/>
  <c r="AC61" i="8"/>
  <c r="AC66" i="8"/>
  <c r="AC50" i="8"/>
  <c r="AC38" i="8"/>
  <c r="AC6" i="8"/>
  <c r="AC48" i="8"/>
  <c r="O28" i="8"/>
  <c r="O28" i="35" s="1"/>
  <c r="O96" i="35" s="1"/>
  <c r="AH22" i="8"/>
  <c r="AD22" i="35" s="1"/>
  <c r="AD90" i="35" s="1"/>
  <c r="O58" i="8"/>
  <c r="O58" i="35" s="1"/>
  <c r="O126" i="35" s="1"/>
  <c r="X23" i="8"/>
  <c r="W23" i="35" s="1"/>
  <c r="W91" i="35" s="1"/>
  <c r="AH13" i="8"/>
  <c r="AD13" i="35" s="1"/>
  <c r="AD81" i="35" s="1"/>
  <c r="O52" i="8"/>
  <c r="O52" i="35" s="1"/>
  <c r="O120" i="35" s="1"/>
  <c r="X52" i="8"/>
  <c r="W52" i="35" s="1"/>
  <c r="W120" i="35" s="1"/>
  <c r="AH48" i="8"/>
  <c r="AD48" i="35" s="1"/>
  <c r="AD116" i="35" s="1"/>
  <c r="Y20" i="9"/>
  <c r="Y65" i="9"/>
  <c r="Y54" i="9"/>
  <c r="Y30" i="9"/>
  <c r="Y36" i="9"/>
  <c r="Y37" i="9"/>
  <c r="Y58" i="9"/>
  <c r="Y41" i="9"/>
  <c r="Y47" i="9"/>
  <c r="Y59" i="9"/>
  <c r="Y51" i="9"/>
  <c r="Y22" i="9"/>
  <c r="Y61" i="9"/>
  <c r="Y21" i="9"/>
  <c r="Y27" i="9"/>
  <c r="Y18" i="9"/>
  <c r="Y44" i="9"/>
  <c r="Y34" i="9"/>
  <c r="Y57" i="9"/>
  <c r="Y6" i="9"/>
  <c r="Y49" i="9"/>
  <c r="Y8" i="9"/>
  <c r="Y32" i="9"/>
  <c r="Y23" i="9"/>
  <c r="Y38" i="9"/>
  <c r="Y67" i="9"/>
  <c r="Y5" i="9"/>
  <c r="Y66" i="9"/>
  <c r="Y29" i="9"/>
  <c r="Y45" i="9"/>
  <c r="Y28" i="9"/>
  <c r="Y12" i="9"/>
  <c r="Y16" i="9"/>
  <c r="Y62" i="9"/>
  <c r="Y42" i="9"/>
  <c r="Y14" i="9"/>
  <c r="Y64" i="9"/>
  <c r="Y35" i="9"/>
  <c r="Y11" i="9"/>
  <c r="AH39" i="8"/>
  <c r="AD39" i="35" s="1"/>
  <c r="AD107" i="35" s="1"/>
  <c r="M30" i="9"/>
  <c r="M19" i="9"/>
  <c r="M32" i="9"/>
  <c r="M15" i="9"/>
  <c r="M27" i="9"/>
  <c r="M67" i="9"/>
  <c r="M14" i="9"/>
  <c r="O42" i="8"/>
  <c r="O42" i="35" s="1"/>
  <c r="O110" i="35" s="1"/>
  <c r="X62" i="8"/>
  <c r="W62" i="35" s="1"/>
  <c r="W130" i="35" s="1"/>
  <c r="Q61" i="8"/>
  <c r="Q61" i="35" s="1"/>
  <c r="Q129" i="35" s="1"/>
  <c r="AH67" i="8"/>
  <c r="AD67" i="35" s="1"/>
  <c r="AD135" i="35" s="1"/>
  <c r="AH53" i="8"/>
  <c r="AD53" i="35" s="1"/>
  <c r="AD121" i="35" s="1"/>
  <c r="Y50" i="9"/>
  <c r="U69" i="9"/>
  <c r="O19" i="8"/>
  <c r="O19" i="35" s="1"/>
  <c r="O87" i="35" s="1"/>
  <c r="X26" i="8"/>
  <c r="W26" i="35" s="1"/>
  <c r="W94" i="35" s="1"/>
  <c r="X28" i="8"/>
  <c r="W28" i="35" s="1"/>
  <c r="W96" i="35" s="1"/>
  <c r="X36" i="8"/>
  <c r="W36" i="35" s="1"/>
  <c r="W104" i="35" s="1"/>
  <c r="L7" i="38"/>
  <c r="L13" i="38" s="1"/>
  <c r="O31" i="8"/>
  <c r="O31" i="35" s="1"/>
  <c r="O99" i="35" s="1"/>
  <c r="O20" i="8"/>
  <c r="O20" i="35" s="1"/>
  <c r="O88" i="35" s="1"/>
  <c r="AD7" i="9"/>
  <c r="AD69" i="9" s="1"/>
  <c r="AC69" i="9"/>
  <c r="AH32" i="8"/>
  <c r="AD32" i="35" s="1"/>
  <c r="AD100" i="35" s="1"/>
  <c r="X12" i="8"/>
  <c r="W12" i="35" s="1"/>
  <c r="W80" i="35" s="1"/>
  <c r="Q50" i="8"/>
  <c r="Q50" i="35" s="1"/>
  <c r="Q118" i="35" s="1"/>
  <c r="AH37" i="8"/>
  <c r="AD37" i="35" s="1"/>
  <c r="AD105" i="35" s="1"/>
  <c r="O40" i="8"/>
  <c r="O40" i="35" s="1"/>
  <c r="O108" i="35" s="1"/>
  <c r="X65" i="8"/>
  <c r="W65" i="35" s="1"/>
  <c r="W133" i="35" s="1"/>
  <c r="X64" i="8"/>
  <c r="W64" i="35" s="1"/>
  <c r="W132" i="35" s="1"/>
  <c r="AH54" i="8"/>
  <c r="AD54" i="35" s="1"/>
  <c r="AD122" i="35" s="1"/>
  <c r="O47" i="8"/>
  <c r="O47" i="35" s="1"/>
  <c r="O115" i="35" s="1"/>
  <c r="M33" i="9"/>
  <c r="M7" i="9"/>
  <c r="M69" i="7"/>
  <c r="M74" i="7" s="1"/>
  <c r="M21" i="9"/>
  <c r="M11" i="9"/>
  <c r="M54" i="9"/>
  <c r="M57" i="9"/>
  <c r="M41" i="9"/>
  <c r="M25" i="9"/>
  <c r="O18" i="8"/>
  <c r="O18" i="35" s="1"/>
  <c r="O86" i="35" s="1"/>
  <c r="U9" i="37"/>
  <c r="U15" i="37" s="1"/>
  <c r="U11" i="37"/>
  <c r="U7" i="37"/>
  <c r="U13" i="37" s="1"/>
  <c r="O41" i="8"/>
  <c r="O41" i="35" s="1"/>
  <c r="O109" i="35" s="1"/>
  <c r="AD69" i="7"/>
  <c r="O46" i="8"/>
  <c r="O46" i="35" s="1"/>
  <c r="O114" i="35" s="1"/>
  <c r="H15" i="37"/>
  <c r="AH8" i="8"/>
  <c r="AD8" i="35" s="1"/>
  <c r="AD76" i="35" s="1"/>
  <c r="O38" i="8"/>
  <c r="O38" i="35" s="1"/>
  <c r="O106" i="35" s="1"/>
  <c r="Q57" i="8"/>
  <c r="Q57" i="35" s="1"/>
  <c r="Q125" i="35" s="1"/>
  <c r="Q60" i="8"/>
  <c r="Q60" i="35" s="1"/>
  <c r="Q128" i="35" s="1"/>
  <c r="Q38" i="8"/>
  <c r="Q38" i="35" s="1"/>
  <c r="Q106" i="35" s="1"/>
  <c r="Q19" i="8"/>
  <c r="Q19" i="35" s="1"/>
  <c r="Q87" i="35" s="1"/>
  <c r="Q31" i="8"/>
  <c r="Q31" i="35" s="1"/>
  <c r="Q99" i="35" s="1"/>
  <c r="Q51" i="8"/>
  <c r="Q51" i="35" s="1"/>
  <c r="Q119" i="35" s="1"/>
  <c r="Q64" i="8"/>
  <c r="Q64" i="35" s="1"/>
  <c r="Q132" i="35" s="1"/>
  <c r="Q35" i="8"/>
  <c r="Q35" i="35" s="1"/>
  <c r="Q103" i="35" s="1"/>
  <c r="Q13" i="8"/>
  <c r="Q13" i="35" s="1"/>
  <c r="Q81" i="35" s="1"/>
  <c r="Q18" i="8"/>
  <c r="Q18" i="35" s="1"/>
  <c r="Q86" i="35" s="1"/>
  <c r="Q32" i="8"/>
  <c r="Q32" i="35" s="1"/>
  <c r="Q100" i="35" s="1"/>
  <c r="Q62" i="8"/>
  <c r="Q62" i="35" s="1"/>
  <c r="Q130" i="35" s="1"/>
  <c r="Q21" i="8"/>
  <c r="Q21" i="35" s="1"/>
  <c r="Q89" i="35" s="1"/>
  <c r="Q45" i="8"/>
  <c r="Q45" i="35" s="1"/>
  <c r="Q113" i="35" s="1"/>
  <c r="Q15" i="8"/>
  <c r="Q15" i="35" s="1"/>
  <c r="Q83" i="35" s="1"/>
  <c r="Q44" i="8"/>
  <c r="Q44" i="35" s="1"/>
  <c r="Q112" i="35" s="1"/>
  <c r="Q11" i="8"/>
  <c r="Q11" i="35" s="1"/>
  <c r="Q79" i="35" s="1"/>
  <c r="Q46" i="8"/>
  <c r="Q46" i="35" s="1"/>
  <c r="Q114" i="35" s="1"/>
  <c r="Q53" i="8"/>
  <c r="Q53" i="35" s="1"/>
  <c r="Q121" i="35" s="1"/>
  <c r="Q48" i="8"/>
  <c r="Q48" i="35" s="1"/>
  <c r="Q116" i="35" s="1"/>
  <c r="Q10" i="8"/>
  <c r="Q10" i="35" s="1"/>
  <c r="Q78" i="35" s="1"/>
  <c r="Q33" i="8"/>
  <c r="Q33" i="35" s="1"/>
  <c r="Q101" i="35" s="1"/>
  <c r="Q23" i="8"/>
  <c r="Q23" i="35" s="1"/>
  <c r="Q91" i="35" s="1"/>
  <c r="Q40" i="8"/>
  <c r="Q40" i="35" s="1"/>
  <c r="Q108" i="35" s="1"/>
  <c r="Q66" i="8"/>
  <c r="Q66" i="35" s="1"/>
  <c r="Q134" i="35" s="1"/>
  <c r="Q37" i="8"/>
  <c r="Q37" i="35" s="1"/>
  <c r="Q105" i="35" s="1"/>
  <c r="Q7" i="8"/>
  <c r="Q7" i="35" s="1"/>
  <c r="Q75" i="35" s="1"/>
  <c r="Q30" i="8"/>
  <c r="Q30" i="35" s="1"/>
  <c r="Q98" i="35" s="1"/>
  <c r="Q56" i="8"/>
  <c r="Q56" i="35" s="1"/>
  <c r="Q124" i="35" s="1"/>
  <c r="Q47" i="8"/>
  <c r="Q47" i="35" s="1"/>
  <c r="Q115" i="35" s="1"/>
  <c r="Q52" i="8"/>
  <c r="Q52" i="35" s="1"/>
  <c r="Q120" i="35" s="1"/>
  <c r="Q6" i="8"/>
  <c r="Q6" i="35" s="1"/>
  <c r="Q74" i="35" s="1"/>
  <c r="Q8" i="8"/>
  <c r="Q8" i="35" s="1"/>
  <c r="Q76" i="35" s="1"/>
  <c r="Q12" i="8"/>
  <c r="Q12" i="35" s="1"/>
  <c r="Q80" i="35" s="1"/>
  <c r="Q43" i="8"/>
  <c r="Q43" i="35" s="1"/>
  <c r="Q111" i="35" s="1"/>
  <c r="Q5" i="8"/>
  <c r="Q20" i="8"/>
  <c r="Q20" i="35" s="1"/>
  <c r="Q88" i="35" s="1"/>
  <c r="Q29" i="8"/>
  <c r="Q29" i="35" s="1"/>
  <c r="Q97" i="35" s="1"/>
  <c r="Q49" i="8"/>
  <c r="Q49" i="35" s="1"/>
  <c r="Q117" i="35" s="1"/>
  <c r="Q67" i="8"/>
  <c r="Q67" i="35" s="1"/>
  <c r="Q135" i="35" s="1"/>
  <c r="Q34" i="8"/>
  <c r="Q34" i="35" s="1"/>
  <c r="Q102" i="35" s="1"/>
  <c r="Q54" i="8"/>
  <c r="Q54" i="35" s="1"/>
  <c r="Q122" i="35" s="1"/>
  <c r="Q39" i="8"/>
  <c r="Q39" i="35" s="1"/>
  <c r="Q107" i="35" s="1"/>
  <c r="Q36" i="8"/>
  <c r="Q36" i="35" s="1"/>
  <c r="Q104" i="35" s="1"/>
  <c r="Q55" i="8"/>
  <c r="Q55" i="35" s="1"/>
  <c r="Q123" i="35" s="1"/>
  <c r="AH51" i="8"/>
  <c r="AD51" i="35" s="1"/>
  <c r="AD119" i="35" s="1"/>
  <c r="O39" i="8"/>
  <c r="O39" i="35" s="1"/>
  <c r="O107" i="35" s="1"/>
  <c r="O53" i="8"/>
  <c r="O53" i="35" s="1"/>
  <c r="O121" i="35" s="1"/>
  <c r="AH11" i="8"/>
  <c r="AD11" i="35" s="1"/>
  <c r="AD79" i="35" s="1"/>
  <c r="O9" i="37"/>
  <c r="O14" i="37" s="1"/>
  <c r="O7" i="37"/>
  <c r="O13" i="37" s="1"/>
  <c r="O11" i="37"/>
  <c r="O64" i="8"/>
  <c r="O64" i="35" s="1"/>
  <c r="O132" i="35" s="1"/>
  <c r="X40" i="8"/>
  <c r="W40" i="35" s="1"/>
  <c r="W108" i="35" s="1"/>
  <c r="Q14" i="8"/>
  <c r="Q14" i="35" s="1"/>
  <c r="Q82" i="35" s="1"/>
  <c r="AH49" i="8"/>
  <c r="AD49" i="35" s="1"/>
  <c r="AD117" i="35" s="1"/>
  <c r="M23" i="9"/>
  <c r="M22" i="9"/>
  <c r="M26" i="9"/>
  <c r="M35" i="9"/>
  <c r="M13" i="9"/>
  <c r="M9" i="9"/>
  <c r="M16" i="9"/>
  <c r="M37" i="9"/>
  <c r="Y7" i="9"/>
  <c r="V6" i="9"/>
  <c r="V5" i="9"/>
  <c r="AB5" i="9" s="1"/>
  <c r="O57" i="8"/>
  <c r="O57" i="35" s="1"/>
  <c r="O125" i="35" s="1"/>
  <c r="AH63" i="8"/>
  <c r="AD63" i="35" s="1"/>
  <c r="AD131" i="35" s="1"/>
  <c r="U22" i="8"/>
  <c r="T22" i="35" s="1"/>
  <c r="T90" i="35" s="1"/>
  <c r="U51" i="8"/>
  <c r="T51" i="35" s="1"/>
  <c r="T119" i="35" s="1"/>
  <c r="U47" i="8"/>
  <c r="T47" i="35" s="1"/>
  <c r="T115" i="35" s="1"/>
  <c r="U67" i="8"/>
  <c r="T67" i="35" s="1"/>
  <c r="T135" i="35" s="1"/>
  <c r="U26" i="8"/>
  <c r="T26" i="35" s="1"/>
  <c r="T94" i="35" s="1"/>
  <c r="U29" i="8"/>
  <c r="T29" i="35" s="1"/>
  <c r="T97" i="35" s="1"/>
  <c r="U62" i="8"/>
  <c r="T62" i="35" s="1"/>
  <c r="T130" i="35" s="1"/>
  <c r="U35" i="8"/>
  <c r="T35" i="35" s="1"/>
  <c r="T103" i="35" s="1"/>
  <c r="U32" i="8"/>
  <c r="T32" i="35" s="1"/>
  <c r="T100" i="35" s="1"/>
  <c r="U9" i="8"/>
  <c r="T9" i="35" s="1"/>
  <c r="T77" i="35" s="1"/>
  <c r="U28" i="8"/>
  <c r="T28" i="35" s="1"/>
  <c r="T96" i="35" s="1"/>
  <c r="U66" i="8"/>
  <c r="T66" i="35" s="1"/>
  <c r="T134" i="35" s="1"/>
  <c r="U53" i="8"/>
  <c r="T53" i="35" s="1"/>
  <c r="T121" i="35" s="1"/>
  <c r="U24" i="8"/>
  <c r="T24" i="35" s="1"/>
  <c r="T92" i="35" s="1"/>
  <c r="U39" i="8"/>
  <c r="T39" i="35" s="1"/>
  <c r="T107" i="35" s="1"/>
  <c r="U38" i="8"/>
  <c r="T38" i="35" s="1"/>
  <c r="T106" i="35" s="1"/>
  <c r="U54" i="8"/>
  <c r="T54" i="35" s="1"/>
  <c r="T122" i="35" s="1"/>
  <c r="U41" i="8"/>
  <c r="T41" i="35" s="1"/>
  <c r="T109" i="35" s="1"/>
  <c r="U64" i="8"/>
  <c r="T64" i="35" s="1"/>
  <c r="T132" i="35" s="1"/>
  <c r="U6" i="8"/>
  <c r="T6" i="35" s="1"/>
  <c r="T74" i="35" s="1"/>
  <c r="U10" i="8"/>
  <c r="T10" i="35" s="1"/>
  <c r="T78" i="35" s="1"/>
  <c r="U48" i="8"/>
  <c r="T48" i="35" s="1"/>
  <c r="T116" i="35" s="1"/>
  <c r="U59" i="8"/>
  <c r="T59" i="35" s="1"/>
  <c r="T127" i="35" s="1"/>
  <c r="U13" i="8"/>
  <c r="T13" i="35" s="1"/>
  <c r="T81" i="35" s="1"/>
  <c r="U40" i="8"/>
  <c r="T40" i="35" s="1"/>
  <c r="T108" i="35" s="1"/>
  <c r="U50" i="8"/>
  <c r="T50" i="35" s="1"/>
  <c r="T118" i="35" s="1"/>
  <c r="U12" i="8"/>
  <c r="T12" i="35" s="1"/>
  <c r="T80" i="35" s="1"/>
  <c r="U52" i="8"/>
  <c r="T52" i="35" s="1"/>
  <c r="T120" i="35" s="1"/>
  <c r="U31" i="8"/>
  <c r="T31" i="35" s="1"/>
  <c r="T99" i="35" s="1"/>
  <c r="U60" i="8"/>
  <c r="T60" i="35" s="1"/>
  <c r="T128" i="35" s="1"/>
  <c r="U21" i="8"/>
  <c r="T21" i="35" s="1"/>
  <c r="T89" i="35" s="1"/>
  <c r="U17" i="8"/>
  <c r="T17" i="35" s="1"/>
  <c r="T85" i="35" s="1"/>
  <c r="U5" i="8"/>
  <c r="U15" i="8"/>
  <c r="T15" i="35" s="1"/>
  <c r="T83" i="35" s="1"/>
  <c r="U34" i="8"/>
  <c r="T34" i="35" s="1"/>
  <c r="T102" i="35" s="1"/>
  <c r="U19" i="8"/>
  <c r="T19" i="35" s="1"/>
  <c r="T87" i="35" s="1"/>
  <c r="U18" i="8"/>
  <c r="T18" i="35" s="1"/>
  <c r="T86" i="35" s="1"/>
  <c r="U25" i="8"/>
  <c r="T25" i="35" s="1"/>
  <c r="T93" i="35" s="1"/>
  <c r="U46" i="8"/>
  <c r="T46" i="35" s="1"/>
  <c r="T114" i="35" s="1"/>
  <c r="U8" i="8"/>
  <c r="T8" i="35" s="1"/>
  <c r="T76" i="35" s="1"/>
  <c r="U55" i="8"/>
  <c r="T55" i="35" s="1"/>
  <c r="T123" i="35" s="1"/>
  <c r="U65" i="8"/>
  <c r="T65" i="35" s="1"/>
  <c r="T133" i="35" s="1"/>
  <c r="U36" i="8"/>
  <c r="T36" i="35" s="1"/>
  <c r="T104" i="35" s="1"/>
  <c r="U14" i="8"/>
  <c r="T14" i="35" s="1"/>
  <c r="T82" i="35" s="1"/>
  <c r="U57" i="8"/>
  <c r="T57" i="35" s="1"/>
  <c r="T125" i="35" s="1"/>
  <c r="U49" i="8"/>
  <c r="T49" i="35" s="1"/>
  <c r="T117" i="35" s="1"/>
  <c r="U45" i="8"/>
  <c r="T45" i="35" s="1"/>
  <c r="T113" i="35" s="1"/>
  <c r="U11" i="8"/>
  <c r="T11" i="35" s="1"/>
  <c r="T79" i="35" s="1"/>
  <c r="U20" i="8"/>
  <c r="T20" i="35" s="1"/>
  <c r="T88" i="35" s="1"/>
  <c r="U37" i="8"/>
  <c r="T37" i="35" s="1"/>
  <c r="T105" i="35" s="1"/>
  <c r="U27" i="8"/>
  <c r="T27" i="35" s="1"/>
  <c r="T95" i="35" s="1"/>
  <c r="U23" i="8"/>
  <c r="T23" i="35" s="1"/>
  <c r="T91" i="35" s="1"/>
  <c r="U43" i="8"/>
  <c r="T43" i="35" s="1"/>
  <c r="T111" i="35" s="1"/>
  <c r="U63" i="8"/>
  <c r="T63" i="35" s="1"/>
  <c r="T131" i="35" s="1"/>
  <c r="U56" i="8"/>
  <c r="T56" i="35" s="1"/>
  <c r="T124" i="35" s="1"/>
  <c r="U44" i="8"/>
  <c r="T44" i="35" s="1"/>
  <c r="T112" i="35" s="1"/>
  <c r="U61" i="8"/>
  <c r="T61" i="35" s="1"/>
  <c r="T129" i="35" s="1"/>
  <c r="U30" i="8"/>
  <c r="T30" i="35" s="1"/>
  <c r="T98" i="35" s="1"/>
  <c r="L7" i="13"/>
  <c r="Q7" i="13" s="1"/>
  <c r="L41" i="12"/>
  <c r="Q41" i="12" s="1"/>
  <c r="Q41" i="11"/>
  <c r="AB41" i="11" s="1"/>
  <c r="L41" i="13"/>
  <c r="Q41" i="13" s="1"/>
  <c r="L42" i="12"/>
  <c r="Q42" i="12" s="1"/>
  <c r="Q42" i="11"/>
  <c r="AB42" i="11" s="1"/>
  <c r="L42" i="13"/>
  <c r="Q42" i="13" s="1"/>
  <c r="L26" i="12"/>
  <c r="Q26" i="12" s="1"/>
  <c r="Q26" i="11"/>
  <c r="AB26" i="11" s="1"/>
  <c r="L26" i="13"/>
  <c r="Q26" i="13" s="1"/>
  <c r="L23" i="12"/>
  <c r="Q23" i="12" s="1"/>
  <c r="Q23" i="11"/>
  <c r="AB23" i="11" s="1"/>
  <c r="L23" i="13"/>
  <c r="Q23" i="13" s="1"/>
  <c r="L13" i="12"/>
  <c r="Q13" i="12" s="1"/>
  <c r="Q13" i="11"/>
  <c r="AB13" i="11" s="1"/>
  <c r="L13" i="13"/>
  <c r="Q13" i="13" s="1"/>
  <c r="W49" i="13"/>
  <c r="AB52" i="13"/>
  <c r="AB52" i="12"/>
  <c r="AB52" i="10"/>
  <c r="AB52" i="11"/>
  <c r="L38" i="12"/>
  <c r="Q38" i="12" s="1"/>
  <c r="Q38" i="11"/>
  <c r="AB38" i="11" s="1"/>
  <c r="L38" i="13"/>
  <c r="Q38" i="13" s="1"/>
  <c r="L30" i="12"/>
  <c r="Q30" i="12" s="1"/>
  <c r="Q30" i="11"/>
  <c r="AB30" i="11" s="1"/>
  <c r="L30" i="13"/>
  <c r="Q30" i="13" s="1"/>
  <c r="L45" i="12"/>
  <c r="Q45" i="12" s="1"/>
  <c r="Q45" i="11"/>
  <c r="AB45" i="11" s="1"/>
  <c r="L45" i="13"/>
  <c r="Q45" i="13" s="1"/>
  <c r="L32" i="12"/>
  <c r="Q32" i="12" s="1"/>
  <c r="Q32" i="11"/>
  <c r="AB32" i="11" s="1"/>
  <c r="L32" i="13"/>
  <c r="Q32" i="13" s="1"/>
  <c r="L12" i="12"/>
  <c r="Q12" i="12" s="1"/>
  <c r="Q12" i="11"/>
  <c r="AB12" i="11" s="1"/>
  <c r="L12" i="13"/>
  <c r="Q12" i="13" s="1"/>
  <c r="L21" i="12"/>
  <c r="Q21" i="12" s="1"/>
  <c r="Q21" i="11"/>
  <c r="AB21" i="11" s="1"/>
  <c r="L21" i="13"/>
  <c r="Q21" i="13" s="1"/>
  <c r="L9" i="12"/>
  <c r="Q9" i="12" s="1"/>
  <c r="Q9" i="11"/>
  <c r="AB9" i="11" s="1"/>
  <c r="L9" i="13"/>
  <c r="Q9" i="13" s="1"/>
  <c r="L17" i="12"/>
  <c r="Q17" i="12" s="1"/>
  <c r="Q17" i="11"/>
  <c r="AB17" i="11" s="1"/>
  <c r="L17" i="13"/>
  <c r="Q17" i="13" s="1"/>
  <c r="L47" i="12"/>
  <c r="Q47" i="12" s="1"/>
  <c r="Q47" i="11"/>
  <c r="AB47" i="11" s="1"/>
  <c r="L47" i="13"/>
  <c r="Q47" i="13" s="1"/>
  <c r="Q46" i="11"/>
  <c r="AB46" i="11" s="1"/>
  <c r="L46" i="12"/>
  <c r="Q46" i="12" s="1"/>
  <c r="L46" i="13"/>
  <c r="Q46" i="13" s="1"/>
  <c r="L19" i="12"/>
  <c r="Q19" i="12" s="1"/>
  <c r="Q19" i="11"/>
  <c r="AB19" i="11" s="1"/>
  <c r="L19" i="13"/>
  <c r="Q19" i="13" s="1"/>
  <c r="L6" i="12"/>
  <c r="Q6" i="12" s="1"/>
  <c r="Q6" i="11"/>
  <c r="AB6" i="11" s="1"/>
  <c r="L6" i="13"/>
  <c r="Q6" i="13" s="1"/>
  <c r="L10" i="12"/>
  <c r="Q10" i="12" s="1"/>
  <c r="Q10" i="11"/>
  <c r="AB10" i="11" s="1"/>
  <c r="L10" i="13"/>
  <c r="Q10" i="13" s="1"/>
  <c r="L24" i="12"/>
  <c r="Q24" i="12" s="1"/>
  <c r="Q24" i="11"/>
  <c r="AB24" i="11" s="1"/>
  <c r="L24" i="13"/>
  <c r="Q24" i="13" s="1"/>
  <c r="L27" i="12"/>
  <c r="Q27" i="12" s="1"/>
  <c r="Q27" i="11"/>
  <c r="AB27" i="11" s="1"/>
  <c r="L27" i="13"/>
  <c r="Q27" i="13" s="1"/>
  <c r="L36" i="12"/>
  <c r="Q36" i="12" s="1"/>
  <c r="Q36" i="11"/>
  <c r="AB36" i="11" s="1"/>
  <c r="L36" i="13"/>
  <c r="Q36" i="13" s="1"/>
  <c r="L29" i="12"/>
  <c r="Q29" i="12" s="1"/>
  <c r="Q29" i="11"/>
  <c r="AB29" i="11" s="1"/>
  <c r="L29" i="13"/>
  <c r="Q29" i="13" s="1"/>
  <c r="Q5" i="11"/>
  <c r="L5" i="12"/>
  <c r="L49" i="11"/>
  <c r="L5" i="13"/>
  <c r="L5" i="36" s="1"/>
  <c r="L53" i="36" s="1"/>
  <c r="AE71" i="9"/>
  <c r="AE71" i="8"/>
  <c r="AO70" i="8" s="1"/>
  <c r="AE71" i="7"/>
  <c r="E43" i="5"/>
  <c r="X51" i="13"/>
  <c r="X51" i="12"/>
  <c r="X51" i="10"/>
  <c r="X51" i="11"/>
  <c r="X54" i="11" s="1"/>
  <c r="W49" i="12"/>
  <c r="L35" i="12"/>
  <c r="Q35" i="12" s="1"/>
  <c r="Q35" i="11"/>
  <c r="AB35" i="11" s="1"/>
  <c r="L35" i="13"/>
  <c r="Q35" i="13" s="1"/>
  <c r="L33" i="12"/>
  <c r="Q33" i="12" s="1"/>
  <c r="Q33" i="11"/>
  <c r="AB33" i="11" s="1"/>
  <c r="L33" i="13"/>
  <c r="Q33" i="13" s="1"/>
  <c r="L34" i="12"/>
  <c r="Q34" i="12" s="1"/>
  <c r="Q34" i="11"/>
  <c r="AB34" i="11" s="1"/>
  <c r="L34" i="13"/>
  <c r="Q34" i="13" s="1"/>
  <c r="L43" i="12"/>
  <c r="Q43" i="12" s="1"/>
  <c r="Q43" i="11"/>
  <c r="AB43" i="11" s="1"/>
  <c r="L43" i="13"/>
  <c r="Q43" i="13" s="1"/>
  <c r="L14" i="12"/>
  <c r="Q14" i="12" s="1"/>
  <c r="Q14" i="11"/>
  <c r="AB14" i="11" s="1"/>
  <c r="L14" i="13"/>
  <c r="Q14" i="13" s="1"/>
  <c r="R69" i="8"/>
  <c r="S74" i="8" s="1"/>
  <c r="S69" i="8"/>
  <c r="L39" i="12"/>
  <c r="Q39" i="12" s="1"/>
  <c r="Q39" i="11"/>
  <c r="AB39" i="11" s="1"/>
  <c r="L39" i="13"/>
  <c r="Q39" i="13" s="1"/>
  <c r="L22" i="12"/>
  <c r="Q22" i="12" s="1"/>
  <c r="Q22" i="11"/>
  <c r="AB22" i="11" s="1"/>
  <c r="L22" i="13"/>
  <c r="Q22" i="13" s="1"/>
  <c r="L40" i="12"/>
  <c r="Q40" i="12" s="1"/>
  <c r="Q40" i="11"/>
  <c r="AB40" i="11" s="1"/>
  <c r="L40" i="13"/>
  <c r="Q40" i="13" s="1"/>
  <c r="L15" i="12"/>
  <c r="Q15" i="12" s="1"/>
  <c r="Q15" i="11"/>
  <c r="AB15" i="11" s="1"/>
  <c r="L15" i="13"/>
  <c r="Q15" i="13" s="1"/>
  <c r="L11" i="12"/>
  <c r="Q11" i="12" s="1"/>
  <c r="Q11" i="11"/>
  <c r="AB11" i="11" s="1"/>
  <c r="L11" i="13"/>
  <c r="Q11" i="13" s="1"/>
  <c r="L20" i="12"/>
  <c r="Q20" i="12" s="1"/>
  <c r="Q20" i="11"/>
  <c r="AB20" i="11" s="1"/>
  <c r="L20" i="13"/>
  <c r="Q20" i="13" s="1"/>
  <c r="L18" i="12"/>
  <c r="Q18" i="12" s="1"/>
  <c r="Q18" i="11"/>
  <c r="AB18" i="11" s="1"/>
  <c r="L18" i="13"/>
  <c r="Q18" i="13" s="1"/>
  <c r="L37" i="12"/>
  <c r="Q37" i="12" s="1"/>
  <c r="Q37" i="11"/>
  <c r="AB37" i="11" s="1"/>
  <c r="L37" i="13"/>
  <c r="Q37" i="13" s="1"/>
  <c r="L31" i="12"/>
  <c r="Q31" i="12" s="1"/>
  <c r="Q31" i="11"/>
  <c r="AB31" i="11" s="1"/>
  <c r="L31" i="13"/>
  <c r="Q31" i="13" s="1"/>
  <c r="L8" i="12"/>
  <c r="Q8" i="12" s="1"/>
  <c r="Q8" i="11"/>
  <c r="AB8" i="11" s="1"/>
  <c r="L8" i="13"/>
  <c r="Q8" i="13" s="1"/>
  <c r="AI69" i="8"/>
  <c r="Q44" i="11"/>
  <c r="AB44" i="11" s="1"/>
  <c r="L44" i="12"/>
  <c r="Q44" i="12" s="1"/>
  <c r="L44" i="13"/>
  <c r="Q44" i="13" s="1"/>
  <c r="L25" i="12"/>
  <c r="Q25" i="12" s="1"/>
  <c r="Q25" i="11"/>
  <c r="AB25" i="11" s="1"/>
  <c r="L25" i="13"/>
  <c r="Q25" i="13" s="1"/>
  <c r="L28" i="12"/>
  <c r="Q28" i="12" s="1"/>
  <c r="Q28" i="11"/>
  <c r="AB28" i="11" s="1"/>
  <c r="L28" i="13"/>
  <c r="Q28" i="13" s="1"/>
  <c r="L7" i="12"/>
  <c r="Q7" i="12" s="1"/>
  <c r="Q7" i="11"/>
  <c r="AB7" i="11" s="1"/>
  <c r="L16" i="12"/>
  <c r="Q16" i="12" s="1"/>
  <c r="Q16" i="11"/>
  <c r="AB16" i="11" s="1"/>
  <c r="L16" i="13"/>
  <c r="Q16" i="13" s="1"/>
  <c r="E23" i="5"/>
  <c r="AE73" i="6"/>
  <c r="P15" i="37" l="1"/>
  <c r="AA17" i="35"/>
  <c r="AA85" i="35" s="1"/>
  <c r="AD17" i="8"/>
  <c r="V65" i="9"/>
  <c r="AB65" i="9" s="1"/>
  <c r="AB65" i="7"/>
  <c r="V55" i="9"/>
  <c r="AB55" i="9" s="1"/>
  <c r="AB55" i="7"/>
  <c r="V47" i="9"/>
  <c r="AB47" i="9" s="1"/>
  <c r="AB47" i="7"/>
  <c r="M69" i="9"/>
  <c r="U14" i="37"/>
  <c r="Y69" i="9"/>
  <c r="AA61" i="35"/>
  <c r="AA129" i="35" s="1"/>
  <c r="AD61" i="8"/>
  <c r="AA46" i="35"/>
  <c r="AA114" i="35" s="1"/>
  <c r="AD46" i="8"/>
  <c r="AA42" i="35"/>
  <c r="AA110" i="35" s="1"/>
  <c r="AD42" i="8"/>
  <c r="AA53" i="35"/>
  <c r="AA121" i="35" s="1"/>
  <c r="AD53" i="8"/>
  <c r="AA11" i="35"/>
  <c r="AA79" i="35" s="1"/>
  <c r="AD11" i="8"/>
  <c r="AD33" i="8"/>
  <c r="AA33" i="35"/>
  <c r="AA101" i="35" s="1"/>
  <c r="AD14" i="8"/>
  <c r="AA14" i="35"/>
  <c r="AA82" i="35" s="1"/>
  <c r="AA63" i="35"/>
  <c r="AA131" i="35" s="1"/>
  <c r="AD63" i="8"/>
  <c r="L9" i="36"/>
  <c r="L57" i="36" s="1"/>
  <c r="L38" i="36"/>
  <c r="L86" i="36" s="1"/>
  <c r="W5" i="35"/>
  <c r="W73" i="35" s="1"/>
  <c r="X69" i="8"/>
  <c r="L41" i="36"/>
  <c r="L89" i="36" s="1"/>
  <c r="L25" i="36"/>
  <c r="L73" i="36" s="1"/>
  <c r="L20" i="36"/>
  <c r="L68" i="36" s="1"/>
  <c r="V16" i="9"/>
  <c r="AB16" i="9" s="1"/>
  <c r="AB16" i="7"/>
  <c r="V63" i="9"/>
  <c r="AB63" i="9" s="1"/>
  <c r="AB63" i="7"/>
  <c r="V59" i="9"/>
  <c r="AB59" i="9" s="1"/>
  <c r="AB59" i="7"/>
  <c r="V58" i="9"/>
  <c r="AB58" i="9" s="1"/>
  <c r="AB58" i="7"/>
  <c r="V38" i="9"/>
  <c r="AB38" i="9" s="1"/>
  <c r="AB38" i="7"/>
  <c r="V51" i="9"/>
  <c r="AB51" i="9" s="1"/>
  <c r="AB51" i="7"/>
  <c r="V50" i="9"/>
  <c r="AB50" i="9" s="1"/>
  <c r="AB50" i="7"/>
  <c r="AB40" i="7"/>
  <c r="V40" i="9"/>
  <c r="AB40" i="9" s="1"/>
  <c r="X42" i="35"/>
  <c r="X110" i="35" s="1"/>
  <c r="X21" i="35"/>
  <c r="X89" i="35" s="1"/>
  <c r="X45" i="35"/>
  <c r="X113" i="35" s="1"/>
  <c r="X34" i="35"/>
  <c r="X102" i="35" s="1"/>
  <c r="X64" i="35"/>
  <c r="X132" i="35" s="1"/>
  <c r="L22" i="36"/>
  <c r="L70" i="36" s="1"/>
  <c r="AA51" i="35"/>
  <c r="AA119" i="35" s="1"/>
  <c r="AD51" i="8"/>
  <c r="L28" i="36"/>
  <c r="L76" i="36" s="1"/>
  <c r="V33" i="9"/>
  <c r="AB33" i="9" s="1"/>
  <c r="AB33" i="7"/>
  <c r="V57" i="9"/>
  <c r="AB57" i="9" s="1"/>
  <c r="AB57" i="7"/>
  <c r="AB6" i="9"/>
  <c r="L14" i="36"/>
  <c r="L62" i="36" s="1"/>
  <c r="L10" i="36"/>
  <c r="L58" i="36" s="1"/>
  <c r="AA62" i="35"/>
  <c r="AA130" i="35" s="1"/>
  <c r="AD62" i="8"/>
  <c r="AA30" i="35"/>
  <c r="AA98" i="35" s="1"/>
  <c r="AD30" i="8"/>
  <c r="AD23" i="8"/>
  <c r="AA23" i="35"/>
  <c r="AA91" i="35" s="1"/>
  <c r="AD8" i="8"/>
  <c r="AA8" i="35"/>
  <c r="AA76" i="35" s="1"/>
  <c r="AA28" i="35"/>
  <c r="AA96" i="35" s="1"/>
  <c r="AD28" i="8"/>
  <c r="AD35" i="8"/>
  <c r="AA35" i="35"/>
  <c r="AA103" i="35" s="1"/>
  <c r="AA45" i="35"/>
  <c r="AA113" i="35" s="1"/>
  <c r="AD45" i="8"/>
  <c r="AD29" i="8"/>
  <c r="AA29" i="35"/>
  <c r="AA97" i="35" s="1"/>
  <c r="L29" i="36"/>
  <c r="L77" i="36" s="1"/>
  <c r="O5" i="35"/>
  <c r="O73" i="35" s="1"/>
  <c r="O69" i="8"/>
  <c r="AD5" i="35"/>
  <c r="AD73" i="35" s="1"/>
  <c r="AH69" i="8"/>
  <c r="L44" i="36"/>
  <c r="L92" i="36" s="1"/>
  <c r="AB44" i="7"/>
  <c r="V44" i="9"/>
  <c r="AB44" i="9" s="1"/>
  <c r="V46" i="9"/>
  <c r="AB46" i="9" s="1"/>
  <c r="AB46" i="7"/>
  <c r="V61" i="9"/>
  <c r="AB61" i="9" s="1"/>
  <c r="AB61" i="7"/>
  <c r="AB60" i="7"/>
  <c r="V60" i="9"/>
  <c r="AB60" i="9" s="1"/>
  <c r="AB42" i="7"/>
  <c r="V42" i="9"/>
  <c r="AB42" i="9" s="1"/>
  <c r="V56" i="9"/>
  <c r="AB56" i="9" s="1"/>
  <c r="AB56" i="7"/>
  <c r="V53" i="9"/>
  <c r="AB53" i="9" s="1"/>
  <c r="AB53" i="7"/>
  <c r="AB52" i="7"/>
  <c r="V52" i="9"/>
  <c r="AB52" i="9" s="1"/>
  <c r="X12" i="35"/>
  <c r="X80" i="35" s="1"/>
  <c r="X47" i="35"/>
  <c r="X115" i="35" s="1"/>
  <c r="X38" i="35"/>
  <c r="X106" i="35" s="1"/>
  <c r="X7" i="35"/>
  <c r="X75" i="35" s="1"/>
  <c r="X29" i="35"/>
  <c r="X97" i="35" s="1"/>
  <c r="X5" i="35"/>
  <c r="X73" i="35" s="1"/>
  <c r="Y69" i="8"/>
  <c r="X24" i="35"/>
  <c r="X92" i="35" s="1"/>
  <c r="L39" i="36"/>
  <c r="L87" i="36" s="1"/>
  <c r="AA66" i="35"/>
  <c r="AA134" i="35" s="1"/>
  <c r="AD66" i="8"/>
  <c r="AA27" i="35"/>
  <c r="AA95" i="35" s="1"/>
  <c r="AD27" i="8"/>
  <c r="L43" i="36"/>
  <c r="L91" i="36" s="1"/>
  <c r="L6" i="36"/>
  <c r="L54" i="36" s="1"/>
  <c r="B9" i="38" s="1"/>
  <c r="AD47" i="8"/>
  <c r="AA47" i="35"/>
  <c r="AA115" i="35" s="1"/>
  <c r="AD7" i="8"/>
  <c r="AA7" i="35"/>
  <c r="AA75" i="35" s="1"/>
  <c r="AA13" i="35"/>
  <c r="AA81" i="35" s="1"/>
  <c r="AD13" i="8"/>
  <c r="AD18" i="8"/>
  <c r="AA18" i="35"/>
  <c r="AA86" i="35" s="1"/>
  <c r="AD15" i="8"/>
  <c r="AA15" i="35"/>
  <c r="AA83" i="35" s="1"/>
  <c r="AD58" i="8"/>
  <c r="AA58" i="35"/>
  <c r="AA126" i="35" s="1"/>
  <c r="AA31" i="35"/>
  <c r="AA99" i="35" s="1"/>
  <c r="AD31" i="8"/>
  <c r="L36" i="36"/>
  <c r="L84" i="36" s="1"/>
  <c r="V37" i="9"/>
  <c r="AB37" i="9" s="1"/>
  <c r="AB37" i="7"/>
  <c r="V64" i="9"/>
  <c r="AB64" i="9" s="1"/>
  <c r="AB64" i="7"/>
  <c r="AB9" i="7"/>
  <c r="V9" i="9"/>
  <c r="AB9" i="9" s="1"/>
  <c r="V11" i="9"/>
  <c r="AB11" i="9" s="1"/>
  <c r="AB11" i="7"/>
  <c r="V25" i="9"/>
  <c r="AB25" i="9" s="1"/>
  <c r="AB25" i="7"/>
  <c r="V7" i="9"/>
  <c r="V69" i="7"/>
  <c r="V74" i="7" s="1"/>
  <c r="V67" i="8" s="1"/>
  <c r="AB7" i="7"/>
  <c r="AB28" i="7"/>
  <c r="V28" i="9"/>
  <c r="AB28" i="9" s="1"/>
  <c r="AB35" i="7"/>
  <c r="V35" i="9"/>
  <c r="AB35" i="9" s="1"/>
  <c r="X57" i="35"/>
  <c r="X125" i="35" s="1"/>
  <c r="X44" i="35"/>
  <c r="X112" i="35" s="1"/>
  <c r="X61" i="35"/>
  <c r="X129" i="35" s="1"/>
  <c r="X51" i="35"/>
  <c r="X119" i="35" s="1"/>
  <c r="X6" i="35"/>
  <c r="X74" i="35" s="1"/>
  <c r="X16" i="35"/>
  <c r="X84" i="35" s="1"/>
  <c r="AA32" i="35"/>
  <c r="AA100" i="35" s="1"/>
  <c r="AD32" i="8"/>
  <c r="O15" i="37"/>
  <c r="L34" i="36"/>
  <c r="L82" i="36" s="1"/>
  <c r="L19" i="36"/>
  <c r="L67" i="36" s="1"/>
  <c r="AD48" i="8"/>
  <c r="AA48" i="35"/>
  <c r="AA116" i="35" s="1"/>
  <c r="AA54" i="35"/>
  <c r="AA122" i="35" s="1"/>
  <c r="AD54" i="8"/>
  <c r="AD24" i="8"/>
  <c r="AA24" i="35"/>
  <c r="AA92" i="35" s="1"/>
  <c r="AD26" i="8"/>
  <c r="AA26" i="35"/>
  <c r="AA94" i="35" s="1"/>
  <c r="AA21" i="35"/>
  <c r="AA89" i="35" s="1"/>
  <c r="AD21" i="8"/>
  <c r="AD65" i="8"/>
  <c r="AA65" i="35"/>
  <c r="AA133" i="35" s="1"/>
  <c r="AD57" i="8"/>
  <c r="AA57" i="35"/>
  <c r="AA125" i="35" s="1"/>
  <c r="AA12" i="35"/>
  <c r="AA80" i="35" s="1"/>
  <c r="AD12" i="8"/>
  <c r="L27" i="36"/>
  <c r="L75" i="36" s="1"/>
  <c r="L21" i="36"/>
  <c r="L69" i="36" s="1"/>
  <c r="P5" i="35"/>
  <c r="P73" i="35" s="1"/>
  <c r="P69" i="8"/>
  <c r="V49" i="9"/>
  <c r="AB49" i="9" s="1"/>
  <c r="AB49" i="7"/>
  <c r="V8" i="9"/>
  <c r="AB8" i="9" s="1"/>
  <c r="AB8" i="7"/>
  <c r="V17" i="9"/>
  <c r="AB17" i="9" s="1"/>
  <c r="AB17" i="7"/>
  <c r="V21" i="9"/>
  <c r="AB21" i="9" s="1"/>
  <c r="AB21" i="7"/>
  <c r="V41" i="9"/>
  <c r="AB41" i="9" s="1"/>
  <c r="AB41" i="7"/>
  <c r="V14" i="9"/>
  <c r="AB14" i="9" s="1"/>
  <c r="AB14" i="7"/>
  <c r="V18" i="9"/>
  <c r="AB18" i="9" s="1"/>
  <c r="AB18" i="7"/>
  <c r="V22" i="9"/>
  <c r="AB22" i="9" s="1"/>
  <c r="AB22" i="7"/>
  <c r="X50" i="35"/>
  <c r="X118" i="35" s="1"/>
  <c r="X35" i="35"/>
  <c r="X103" i="35" s="1"/>
  <c r="M40" i="8"/>
  <c r="M40" i="35" s="1"/>
  <c r="M108" i="35" s="1"/>
  <c r="M49" i="8"/>
  <c r="M49" i="35" s="1"/>
  <c r="M117" i="35" s="1"/>
  <c r="M66" i="8"/>
  <c r="M66" i="35" s="1"/>
  <c r="M134" i="35" s="1"/>
  <c r="M52" i="8"/>
  <c r="M52" i="35" s="1"/>
  <c r="M120" i="35" s="1"/>
  <c r="M56" i="8"/>
  <c r="M56" i="35" s="1"/>
  <c r="M124" i="35" s="1"/>
  <c r="M33" i="8"/>
  <c r="M33" i="35" s="1"/>
  <c r="M101" i="35" s="1"/>
  <c r="M20" i="8"/>
  <c r="M20" i="35" s="1"/>
  <c r="M88" i="35" s="1"/>
  <c r="M38" i="8"/>
  <c r="M38" i="35" s="1"/>
  <c r="M106" i="35" s="1"/>
  <c r="M67" i="8"/>
  <c r="M67" i="35" s="1"/>
  <c r="M135" i="35" s="1"/>
  <c r="M21" i="8"/>
  <c r="M21" i="35" s="1"/>
  <c r="M89" i="35" s="1"/>
  <c r="M54" i="8"/>
  <c r="M54" i="35" s="1"/>
  <c r="M122" i="35" s="1"/>
  <c r="M18" i="8"/>
  <c r="M18" i="35" s="1"/>
  <c r="M86" i="35" s="1"/>
  <c r="M7" i="8"/>
  <c r="M7" i="35" s="1"/>
  <c r="M75" i="35" s="1"/>
  <c r="M27" i="8"/>
  <c r="M27" i="35" s="1"/>
  <c r="M95" i="35" s="1"/>
  <c r="M12" i="8"/>
  <c r="M12" i="35" s="1"/>
  <c r="M80" i="35" s="1"/>
  <c r="M5" i="8"/>
  <c r="M24" i="8"/>
  <c r="M24" i="35" s="1"/>
  <c r="M92" i="35" s="1"/>
  <c r="M10" i="8"/>
  <c r="M10" i="35" s="1"/>
  <c r="M78" i="35" s="1"/>
  <c r="M14" i="8"/>
  <c r="M14" i="35" s="1"/>
  <c r="M82" i="35" s="1"/>
  <c r="M42" i="8"/>
  <c r="M42" i="35" s="1"/>
  <c r="M110" i="35" s="1"/>
  <c r="M57" i="8"/>
  <c r="M57" i="35" s="1"/>
  <c r="M125" i="35" s="1"/>
  <c r="M26" i="8"/>
  <c r="M26" i="35" s="1"/>
  <c r="M94" i="35" s="1"/>
  <c r="M46" i="8"/>
  <c r="M46" i="35" s="1"/>
  <c r="M114" i="35" s="1"/>
  <c r="M34" i="8"/>
  <c r="M34" i="35" s="1"/>
  <c r="M102" i="35" s="1"/>
  <c r="M59" i="8"/>
  <c r="M59" i="35" s="1"/>
  <c r="M127" i="35" s="1"/>
  <c r="M41" i="8"/>
  <c r="M41" i="35" s="1"/>
  <c r="M109" i="35" s="1"/>
  <c r="M6" i="8"/>
  <c r="M6" i="35" s="1"/>
  <c r="M74" i="35" s="1"/>
  <c r="M30" i="8"/>
  <c r="M30" i="35" s="1"/>
  <c r="M98" i="35" s="1"/>
  <c r="M17" i="8"/>
  <c r="M17" i="35" s="1"/>
  <c r="M85" i="35" s="1"/>
  <c r="M51" i="8"/>
  <c r="M51" i="35" s="1"/>
  <c r="M119" i="35" s="1"/>
  <c r="M55" i="8"/>
  <c r="M55" i="35" s="1"/>
  <c r="M123" i="35" s="1"/>
  <c r="M63" i="8"/>
  <c r="M63" i="35" s="1"/>
  <c r="M131" i="35" s="1"/>
  <c r="M47" i="8"/>
  <c r="M47" i="35" s="1"/>
  <c r="M115" i="35" s="1"/>
  <c r="M48" i="8"/>
  <c r="M48" i="35" s="1"/>
  <c r="M116" i="35" s="1"/>
  <c r="M15" i="8"/>
  <c r="M15" i="35" s="1"/>
  <c r="M83" i="35" s="1"/>
  <c r="M60" i="8"/>
  <c r="M60" i="35" s="1"/>
  <c r="M128" i="35" s="1"/>
  <c r="M16" i="8"/>
  <c r="M16" i="35" s="1"/>
  <c r="M84" i="35" s="1"/>
  <c r="M62" i="8"/>
  <c r="M62" i="35" s="1"/>
  <c r="M130" i="35" s="1"/>
  <c r="M43" i="8"/>
  <c r="M43" i="35" s="1"/>
  <c r="M111" i="35" s="1"/>
  <c r="M61" i="8"/>
  <c r="M61" i="35" s="1"/>
  <c r="M129" i="35" s="1"/>
  <c r="M23" i="8"/>
  <c r="M23" i="35" s="1"/>
  <c r="M91" i="35" s="1"/>
  <c r="M13" i="8"/>
  <c r="M13" i="35" s="1"/>
  <c r="M81" i="35" s="1"/>
  <c r="M22" i="8"/>
  <c r="M22" i="35" s="1"/>
  <c r="M90" i="35" s="1"/>
  <c r="M19" i="8"/>
  <c r="M19" i="35" s="1"/>
  <c r="M87" i="35" s="1"/>
  <c r="M28" i="8"/>
  <c r="M28" i="35" s="1"/>
  <c r="M96" i="35" s="1"/>
  <c r="M64" i="8"/>
  <c r="M64" i="35" s="1"/>
  <c r="M132" i="35" s="1"/>
  <c r="M65" i="8"/>
  <c r="M65" i="35" s="1"/>
  <c r="M133" i="35" s="1"/>
  <c r="M37" i="8"/>
  <c r="M37" i="35" s="1"/>
  <c r="M105" i="35" s="1"/>
  <c r="M25" i="8"/>
  <c r="M25" i="35" s="1"/>
  <c r="M93" i="35" s="1"/>
  <c r="M36" i="8"/>
  <c r="M36" i="35" s="1"/>
  <c r="M104" i="35" s="1"/>
  <c r="M53" i="8"/>
  <c r="M53" i="35" s="1"/>
  <c r="M121" i="35" s="1"/>
  <c r="M35" i="8"/>
  <c r="M35" i="35" s="1"/>
  <c r="M103" i="35" s="1"/>
  <c r="M31" i="8"/>
  <c r="M31" i="35" s="1"/>
  <c r="M99" i="35" s="1"/>
  <c r="M11" i="8"/>
  <c r="M11" i="35" s="1"/>
  <c r="M79" i="35" s="1"/>
  <c r="M50" i="8"/>
  <c r="M50" i="35" s="1"/>
  <c r="M118" i="35" s="1"/>
  <c r="M8" i="8"/>
  <c r="M8" i="35" s="1"/>
  <c r="M76" i="35" s="1"/>
  <c r="M44" i="8"/>
  <c r="M44" i="35" s="1"/>
  <c r="M112" i="35" s="1"/>
  <c r="M9" i="8"/>
  <c r="M9" i="35" s="1"/>
  <c r="M77" i="35" s="1"/>
  <c r="M45" i="8"/>
  <c r="M45" i="35" s="1"/>
  <c r="M113" i="35" s="1"/>
  <c r="M29" i="8"/>
  <c r="M29" i="35" s="1"/>
  <c r="M97" i="35" s="1"/>
  <c r="M39" i="8"/>
  <c r="M39" i="35" s="1"/>
  <c r="M107" i="35" s="1"/>
  <c r="M58" i="8"/>
  <c r="M58" i="35" s="1"/>
  <c r="M126" i="35" s="1"/>
  <c r="M32" i="8"/>
  <c r="M32" i="35" s="1"/>
  <c r="M100" i="35" s="1"/>
  <c r="AA36" i="35"/>
  <c r="AA104" i="35" s="1"/>
  <c r="AD36" i="8"/>
  <c r="AA9" i="35"/>
  <c r="AA77" i="35" s="1"/>
  <c r="AD9" i="8"/>
  <c r="V30" i="9"/>
  <c r="AB30" i="9" s="1"/>
  <c r="AB30" i="7"/>
  <c r="AB67" i="7"/>
  <c r="V67" i="9"/>
  <c r="AB67" i="9" s="1"/>
  <c r="X30" i="35"/>
  <c r="X98" i="35" s="1"/>
  <c r="L33" i="36"/>
  <c r="L81" i="36" s="1"/>
  <c r="L46" i="36"/>
  <c r="L94" i="36" s="1"/>
  <c r="AA6" i="35"/>
  <c r="AA74" i="35" s="1"/>
  <c r="AD6" i="8"/>
  <c r="AA44" i="35"/>
  <c r="AA112" i="35" s="1"/>
  <c r="AD44" i="8"/>
  <c r="AD41" i="8"/>
  <c r="AA41" i="35"/>
  <c r="AA109" i="35" s="1"/>
  <c r="AA5" i="35"/>
  <c r="AA73" i="35" s="1"/>
  <c r="AD5" i="8"/>
  <c r="AC69" i="8"/>
  <c r="AD34" i="8"/>
  <c r="AA34" i="35"/>
  <c r="AA102" i="35" s="1"/>
  <c r="AA40" i="35"/>
  <c r="AA108" i="35" s="1"/>
  <c r="AD40" i="8"/>
  <c r="AD20" i="8"/>
  <c r="AA20" i="35"/>
  <c r="AA88" i="35" s="1"/>
  <c r="AA56" i="35"/>
  <c r="AA124" i="35" s="1"/>
  <c r="AD56" i="8"/>
  <c r="L24" i="36"/>
  <c r="L72" i="36" s="1"/>
  <c r="L12" i="36"/>
  <c r="L60" i="36" s="1"/>
  <c r="L13" i="36"/>
  <c r="L61" i="36" s="1"/>
  <c r="L8" i="36"/>
  <c r="L56" i="36" s="1"/>
  <c r="V43" i="9"/>
  <c r="AB43" i="9" s="1"/>
  <c r="AB43" i="7"/>
  <c r="V13" i="9"/>
  <c r="AB13" i="9" s="1"/>
  <c r="AB13" i="7"/>
  <c r="V36" i="9"/>
  <c r="AB36" i="9" s="1"/>
  <c r="AB36" i="7"/>
  <c r="V26" i="9"/>
  <c r="AB26" i="9" s="1"/>
  <c r="AB26" i="7"/>
  <c r="V15" i="9"/>
  <c r="AB15" i="9" s="1"/>
  <c r="AB15" i="7"/>
  <c r="AB19" i="7"/>
  <c r="V19" i="9"/>
  <c r="AB19" i="9" s="1"/>
  <c r="V23" i="9"/>
  <c r="AB23" i="9" s="1"/>
  <c r="AB23" i="7"/>
  <c r="X22" i="35"/>
  <c r="X90" i="35" s="1"/>
  <c r="X28" i="35"/>
  <c r="X96" i="35" s="1"/>
  <c r="X32" i="35"/>
  <c r="X100" i="35" s="1"/>
  <c r="X37" i="35"/>
  <c r="X105" i="35" s="1"/>
  <c r="X54" i="35"/>
  <c r="X122" i="35" s="1"/>
  <c r="Q5" i="35"/>
  <c r="Q73" i="35" s="1"/>
  <c r="Q69" i="8"/>
  <c r="AD39" i="8"/>
  <c r="AA39" i="35"/>
  <c r="AA107" i="35" s="1"/>
  <c r="L18" i="36"/>
  <c r="L66" i="36" s="1"/>
  <c r="V66" i="9"/>
  <c r="AB66" i="9" s="1"/>
  <c r="AB66" i="7"/>
  <c r="T5" i="35"/>
  <c r="T73" i="35" s="1"/>
  <c r="U69" i="8"/>
  <c r="L35" i="36"/>
  <c r="L83" i="36" s="1"/>
  <c r="L47" i="36"/>
  <c r="L95" i="36" s="1"/>
  <c r="AA38" i="35"/>
  <c r="AA106" i="35" s="1"/>
  <c r="AD38" i="8"/>
  <c r="AA22" i="35"/>
  <c r="AA90" i="35" s="1"/>
  <c r="AD22" i="8"/>
  <c r="AD64" i="8"/>
  <c r="AA64" i="35"/>
  <c r="AA132" i="35" s="1"/>
  <c r="AA60" i="35"/>
  <c r="AA128" i="35" s="1"/>
  <c r="AD60" i="8"/>
  <c r="AD10" i="8"/>
  <c r="AA10" i="35"/>
  <c r="AA78" i="35" s="1"/>
  <c r="AD43" i="8"/>
  <c r="AA43" i="35"/>
  <c r="AA111" i="35" s="1"/>
  <c r="AD59" i="8"/>
  <c r="AA59" i="35"/>
  <c r="AA127" i="35" s="1"/>
  <c r="AA16" i="35"/>
  <c r="AA84" i="35" s="1"/>
  <c r="AD16" i="8"/>
  <c r="L32" i="36"/>
  <c r="L80" i="36" s="1"/>
  <c r="L23" i="36"/>
  <c r="L71" i="36" s="1"/>
  <c r="L16" i="36"/>
  <c r="L64" i="36" s="1"/>
  <c r="L31" i="36"/>
  <c r="L79" i="36" s="1"/>
  <c r="V10" i="9"/>
  <c r="AB10" i="9" s="1"/>
  <c r="AB10" i="7"/>
  <c r="AB29" i="7"/>
  <c r="V29" i="9"/>
  <c r="AB29" i="9" s="1"/>
  <c r="V34" i="9"/>
  <c r="AB34" i="9" s="1"/>
  <c r="AB34" i="7"/>
  <c r="V12" i="9"/>
  <c r="AB12" i="9" s="1"/>
  <c r="AB12" i="7"/>
  <c r="V20" i="9"/>
  <c r="AB20" i="9" s="1"/>
  <c r="AB20" i="7"/>
  <c r="V24" i="9"/>
  <c r="AB24" i="9" s="1"/>
  <c r="AB24" i="7"/>
  <c r="V31" i="9"/>
  <c r="AB31" i="9" s="1"/>
  <c r="AB31" i="7"/>
  <c r="X41" i="35"/>
  <c r="X109" i="35" s="1"/>
  <c r="X20" i="35"/>
  <c r="X88" i="35" s="1"/>
  <c r="X66" i="35"/>
  <c r="X134" i="35" s="1"/>
  <c r="X67" i="35"/>
  <c r="X135" i="35" s="1"/>
  <c r="X58" i="35"/>
  <c r="X126" i="35" s="1"/>
  <c r="X14" i="35"/>
  <c r="X82" i="35" s="1"/>
  <c r="X23" i="35"/>
  <c r="X91" i="35" s="1"/>
  <c r="X59" i="35"/>
  <c r="X127" i="35" s="1"/>
  <c r="L11" i="36"/>
  <c r="L59" i="36" s="1"/>
  <c r="V5" i="35"/>
  <c r="V73" i="35" s="1"/>
  <c r="W69" i="8"/>
  <c r="L42" i="36"/>
  <c r="L90" i="36" s="1"/>
  <c r="L17" i="36"/>
  <c r="L65" i="36" s="1"/>
  <c r="AA50" i="35"/>
  <c r="AA118" i="35" s="1"/>
  <c r="AD50" i="8"/>
  <c r="AA67" i="35"/>
  <c r="AA135" i="35" s="1"/>
  <c r="AD67" i="8"/>
  <c r="AA25" i="35"/>
  <c r="AA93" i="35" s="1"/>
  <c r="AD25" i="8"/>
  <c r="AA49" i="35"/>
  <c r="AA117" i="35" s="1"/>
  <c r="AD49" i="8"/>
  <c r="AD52" i="8"/>
  <c r="AA52" i="35"/>
  <c r="AA120" i="35" s="1"/>
  <c r="AA19" i="35"/>
  <c r="AA87" i="35" s="1"/>
  <c r="AD19" i="8"/>
  <c r="AA55" i="35"/>
  <c r="AA123" i="35" s="1"/>
  <c r="AD55" i="8"/>
  <c r="AA37" i="35"/>
  <c r="AA105" i="35" s="1"/>
  <c r="AD37" i="8"/>
  <c r="L45" i="36"/>
  <c r="L93" i="36" s="1"/>
  <c r="L26" i="36"/>
  <c r="L74" i="36" s="1"/>
  <c r="L7" i="36"/>
  <c r="L55" i="36" s="1"/>
  <c r="L37" i="36"/>
  <c r="L85" i="36" s="1"/>
  <c r="V32" i="9"/>
  <c r="AB32" i="9" s="1"/>
  <c r="AB32" i="7"/>
  <c r="V27" i="9"/>
  <c r="AB27" i="9" s="1"/>
  <c r="AB27" i="7"/>
  <c r="V39" i="9"/>
  <c r="AB39" i="9" s="1"/>
  <c r="AB39" i="7"/>
  <c r="V45" i="9"/>
  <c r="AB45" i="9" s="1"/>
  <c r="AB45" i="7"/>
  <c r="V62" i="9"/>
  <c r="AB62" i="9" s="1"/>
  <c r="AB62" i="7"/>
  <c r="V54" i="9"/>
  <c r="AB54" i="9" s="1"/>
  <c r="AB54" i="7"/>
  <c r="AB48" i="7"/>
  <c r="V48" i="9"/>
  <c r="AB48" i="9" s="1"/>
  <c r="X36" i="35"/>
  <c r="X104" i="35" s="1"/>
  <c r="X62" i="35"/>
  <c r="X130" i="35" s="1"/>
  <c r="X8" i="35"/>
  <c r="X76" i="35" s="1"/>
  <c r="X18" i="35"/>
  <c r="X86" i="35" s="1"/>
  <c r="L15" i="36"/>
  <c r="L63" i="36" s="1"/>
  <c r="L5" i="35"/>
  <c r="L73" i="35" s="1"/>
  <c r="L69" i="8"/>
  <c r="X35" i="12"/>
  <c r="Y35" i="12" s="1"/>
  <c r="AB35" i="12" s="1"/>
  <c r="X35" i="13"/>
  <c r="Q5" i="12"/>
  <c r="L49" i="12"/>
  <c r="X11" i="12"/>
  <c r="Y11" i="12" s="1"/>
  <c r="AB11" i="12" s="1"/>
  <c r="X11" i="13"/>
  <c r="E46" i="5"/>
  <c r="Y51" i="13"/>
  <c r="Y51" i="12"/>
  <c r="Y51" i="10"/>
  <c r="Y51" i="11"/>
  <c r="AB5" i="11"/>
  <c r="Q49" i="11"/>
  <c r="X27" i="12"/>
  <c r="Y27" i="12" s="1"/>
  <c r="X27" i="13"/>
  <c r="U27" i="36" s="1"/>
  <c r="U75" i="36" s="1"/>
  <c r="X12" i="12"/>
  <c r="Y12" i="12" s="1"/>
  <c r="AB12" i="12" s="1"/>
  <c r="X12" i="13"/>
  <c r="X10" i="12"/>
  <c r="Y10" i="12" s="1"/>
  <c r="AB10" i="12" s="1"/>
  <c r="X10" i="13"/>
  <c r="U10" i="36" s="1"/>
  <c r="U58" i="36" s="1"/>
  <c r="X18" i="12"/>
  <c r="Y18" i="12" s="1"/>
  <c r="AB18" i="12" s="1"/>
  <c r="X18" i="13"/>
  <c r="U18" i="36" s="1"/>
  <c r="U66" i="36" s="1"/>
  <c r="X25" i="12"/>
  <c r="Y25" i="12" s="1"/>
  <c r="AB25" i="12" s="1"/>
  <c r="X25" i="13"/>
  <c r="U25" i="36" s="1"/>
  <c r="U73" i="36" s="1"/>
  <c r="X22" i="12"/>
  <c r="Y22" i="12" s="1"/>
  <c r="AB22" i="12" s="1"/>
  <c r="X22" i="13"/>
  <c r="S6" i="9"/>
  <c r="S6" i="35" s="1"/>
  <c r="S74" i="35" s="1"/>
  <c r="S5" i="9"/>
  <c r="S5" i="35" s="1"/>
  <c r="S73" i="35" s="1"/>
  <c r="S52" i="9"/>
  <c r="S52" i="35" s="1"/>
  <c r="S120" i="35" s="1"/>
  <c r="S46" i="9"/>
  <c r="S46" i="35" s="1"/>
  <c r="S114" i="35" s="1"/>
  <c r="S40" i="9"/>
  <c r="S40" i="35" s="1"/>
  <c r="S108" i="35" s="1"/>
  <c r="S25" i="9"/>
  <c r="S25" i="35" s="1"/>
  <c r="S93" i="35" s="1"/>
  <c r="S26" i="9"/>
  <c r="S26" i="35" s="1"/>
  <c r="S94" i="35" s="1"/>
  <c r="S13" i="9"/>
  <c r="S13" i="35" s="1"/>
  <c r="S81" i="35" s="1"/>
  <c r="S67" i="9"/>
  <c r="S67" i="35" s="1"/>
  <c r="S135" i="35" s="1"/>
  <c r="S14" i="9"/>
  <c r="S14" i="35" s="1"/>
  <c r="S82" i="35" s="1"/>
  <c r="S16" i="9"/>
  <c r="S16" i="35" s="1"/>
  <c r="S84" i="35" s="1"/>
  <c r="S21" i="9"/>
  <c r="S21" i="35" s="1"/>
  <c r="S89" i="35" s="1"/>
  <c r="S47" i="9"/>
  <c r="S47" i="35" s="1"/>
  <c r="S115" i="35" s="1"/>
  <c r="S15" i="9"/>
  <c r="S15" i="35" s="1"/>
  <c r="S83" i="35" s="1"/>
  <c r="S58" i="9"/>
  <c r="S58" i="35" s="1"/>
  <c r="S126" i="35" s="1"/>
  <c r="S57" i="9"/>
  <c r="S57" i="35" s="1"/>
  <c r="S125" i="35" s="1"/>
  <c r="S48" i="9"/>
  <c r="S48" i="35" s="1"/>
  <c r="S116" i="35" s="1"/>
  <c r="S31" i="9"/>
  <c r="S31" i="35" s="1"/>
  <c r="S99" i="35" s="1"/>
  <c r="S7" i="9"/>
  <c r="S7" i="35" s="1"/>
  <c r="S75" i="35" s="1"/>
  <c r="S63" i="9"/>
  <c r="S63" i="35" s="1"/>
  <c r="S131" i="35" s="1"/>
  <c r="S17" i="9"/>
  <c r="S17" i="35" s="1"/>
  <c r="S85" i="35" s="1"/>
  <c r="S18" i="9"/>
  <c r="S18" i="35" s="1"/>
  <c r="S86" i="35" s="1"/>
  <c r="S20" i="9"/>
  <c r="S20" i="35" s="1"/>
  <c r="S88" i="35" s="1"/>
  <c r="S55" i="9"/>
  <c r="S55" i="35" s="1"/>
  <c r="S123" i="35" s="1"/>
  <c r="S38" i="9"/>
  <c r="S38" i="35" s="1"/>
  <c r="S106" i="35" s="1"/>
  <c r="S53" i="9"/>
  <c r="S53" i="35" s="1"/>
  <c r="S121" i="35" s="1"/>
  <c r="S51" i="9"/>
  <c r="S51" i="35" s="1"/>
  <c r="S119" i="35" s="1"/>
  <c r="S19" i="9"/>
  <c r="S19" i="35" s="1"/>
  <c r="S87" i="35" s="1"/>
  <c r="S61" i="9"/>
  <c r="S61" i="35" s="1"/>
  <c r="S129" i="35" s="1"/>
  <c r="S29" i="9"/>
  <c r="S29" i="35" s="1"/>
  <c r="S97" i="35" s="1"/>
  <c r="S37" i="9"/>
  <c r="S37" i="35" s="1"/>
  <c r="S105" i="35" s="1"/>
  <c r="S44" i="9"/>
  <c r="S44" i="35" s="1"/>
  <c r="S112" i="35" s="1"/>
  <c r="S9" i="9"/>
  <c r="S9" i="35" s="1"/>
  <c r="S77" i="35" s="1"/>
  <c r="S33" i="9"/>
  <c r="S33" i="35" s="1"/>
  <c r="S101" i="35" s="1"/>
  <c r="S59" i="9"/>
  <c r="S59" i="35" s="1"/>
  <c r="S127" i="35" s="1"/>
  <c r="S23" i="9"/>
  <c r="S23" i="35" s="1"/>
  <c r="S91" i="35" s="1"/>
  <c r="S27" i="9"/>
  <c r="S27" i="35" s="1"/>
  <c r="S95" i="35" s="1"/>
  <c r="S39" i="9"/>
  <c r="S39" i="35" s="1"/>
  <c r="S107" i="35" s="1"/>
  <c r="S35" i="9"/>
  <c r="S35" i="35" s="1"/>
  <c r="S103" i="35" s="1"/>
  <c r="S64" i="9"/>
  <c r="S64" i="35" s="1"/>
  <c r="S132" i="35" s="1"/>
  <c r="S43" i="9"/>
  <c r="S43" i="35" s="1"/>
  <c r="S111" i="35" s="1"/>
  <c r="S49" i="9"/>
  <c r="S49" i="35" s="1"/>
  <c r="S117" i="35" s="1"/>
  <c r="S30" i="9"/>
  <c r="S30" i="35" s="1"/>
  <c r="S98" i="35" s="1"/>
  <c r="S54" i="9"/>
  <c r="S54" i="35" s="1"/>
  <c r="S122" i="35" s="1"/>
  <c r="S10" i="9"/>
  <c r="S10" i="35" s="1"/>
  <c r="S78" i="35" s="1"/>
  <c r="S34" i="9"/>
  <c r="S34" i="35" s="1"/>
  <c r="S102" i="35" s="1"/>
  <c r="S41" i="9"/>
  <c r="S41" i="35" s="1"/>
  <c r="S109" i="35" s="1"/>
  <c r="S60" i="9"/>
  <c r="S60" i="35" s="1"/>
  <c r="S128" i="35" s="1"/>
  <c r="S36" i="9"/>
  <c r="S36" i="35" s="1"/>
  <c r="S104" i="35" s="1"/>
  <c r="S56" i="9"/>
  <c r="S56" i="35" s="1"/>
  <c r="S124" i="35" s="1"/>
  <c r="S8" i="9"/>
  <c r="S8" i="35" s="1"/>
  <c r="S76" i="35" s="1"/>
  <c r="S12" i="9"/>
  <c r="S12" i="35" s="1"/>
  <c r="S80" i="35" s="1"/>
  <c r="S50" i="9"/>
  <c r="S50" i="35" s="1"/>
  <c r="S118" i="35" s="1"/>
  <c r="S11" i="9"/>
  <c r="S11" i="35" s="1"/>
  <c r="S79" i="35" s="1"/>
  <c r="S45" i="9"/>
  <c r="S45" i="35" s="1"/>
  <c r="S113" i="35" s="1"/>
  <c r="S66" i="9"/>
  <c r="S66" i="35" s="1"/>
  <c r="S134" i="35" s="1"/>
  <c r="S65" i="9"/>
  <c r="S65" i="35" s="1"/>
  <c r="S133" i="35" s="1"/>
  <c r="S24" i="9"/>
  <c r="S24" i="35" s="1"/>
  <c r="S92" i="35" s="1"/>
  <c r="S62" i="9"/>
  <c r="S62" i="35" s="1"/>
  <c r="S130" i="35" s="1"/>
  <c r="S42" i="9"/>
  <c r="S42" i="35" s="1"/>
  <c r="S110" i="35" s="1"/>
  <c r="S28" i="9"/>
  <c r="S28" i="35" s="1"/>
  <c r="S96" i="35" s="1"/>
  <c r="S32" i="9"/>
  <c r="S32" i="35" s="1"/>
  <c r="S100" i="35" s="1"/>
  <c r="S22" i="9"/>
  <c r="S22" i="35" s="1"/>
  <c r="S90" i="35" s="1"/>
  <c r="X34" i="12"/>
  <c r="Y34" i="12" s="1"/>
  <c r="X34" i="13"/>
  <c r="AB27" i="12"/>
  <c r="X46" i="12"/>
  <c r="Y46" i="12" s="1"/>
  <c r="AB46" i="12" s="1"/>
  <c r="X46" i="13"/>
  <c r="U46" i="36" s="1"/>
  <c r="U94" i="36" s="1"/>
  <c r="X30" i="12"/>
  <c r="Y30" i="12" s="1"/>
  <c r="AB30" i="12" s="1"/>
  <c r="X30" i="13"/>
  <c r="U30" i="36" s="1"/>
  <c r="U78" i="36" s="1"/>
  <c r="X23" i="12"/>
  <c r="Y23" i="12" s="1"/>
  <c r="AB23" i="12" s="1"/>
  <c r="X23" i="13"/>
  <c r="X42" i="12"/>
  <c r="Y42" i="12" s="1"/>
  <c r="AB42" i="12" s="1"/>
  <c r="X42" i="13"/>
  <c r="X16" i="12"/>
  <c r="Y16" i="12" s="1"/>
  <c r="AB16" i="12" s="1"/>
  <c r="X16" i="13"/>
  <c r="U16" i="36" s="1"/>
  <c r="U64" i="36" s="1"/>
  <c r="X31" i="12"/>
  <c r="Y31" i="12" s="1"/>
  <c r="X31" i="13"/>
  <c r="U31" i="36" s="1"/>
  <c r="U79" i="36" s="1"/>
  <c r="AB34" i="12"/>
  <c r="X29" i="12"/>
  <c r="Y29" i="12" s="1"/>
  <c r="AB29" i="12" s="1"/>
  <c r="X29" i="13"/>
  <c r="U29" i="36" s="1"/>
  <c r="U77" i="36" s="1"/>
  <c r="X6" i="12"/>
  <c r="Y6" i="12" s="1"/>
  <c r="X6" i="13"/>
  <c r="U6" i="36" s="1"/>
  <c r="U54" i="36" s="1"/>
  <c r="AB49" i="11"/>
  <c r="X9" i="12"/>
  <c r="Y9" i="12" s="1"/>
  <c r="AB9" i="12" s="1"/>
  <c r="X9" i="13"/>
  <c r="U9" i="36" s="1"/>
  <c r="U57" i="36" s="1"/>
  <c r="X41" i="12"/>
  <c r="Y41" i="12" s="1"/>
  <c r="AB41" i="12" s="1"/>
  <c r="X41" i="13"/>
  <c r="X8" i="12"/>
  <c r="Y8" i="12" s="1"/>
  <c r="AB8" i="12" s="1"/>
  <c r="X8" i="13"/>
  <c r="X7" i="12"/>
  <c r="Y7" i="12" s="1"/>
  <c r="AB7" i="12" s="1"/>
  <c r="X7" i="13"/>
  <c r="U7" i="36" s="1"/>
  <c r="U55" i="36" s="1"/>
  <c r="X15" i="12"/>
  <c r="Y15" i="12" s="1"/>
  <c r="AB15" i="12" s="1"/>
  <c r="X15" i="13"/>
  <c r="U15" i="36" s="1"/>
  <c r="U63" i="36" s="1"/>
  <c r="X14" i="12"/>
  <c r="Y14" i="12" s="1"/>
  <c r="AB14" i="12" s="1"/>
  <c r="X14" i="13"/>
  <c r="X24" i="12"/>
  <c r="Y24" i="12" s="1"/>
  <c r="AB24" i="12" s="1"/>
  <c r="X24" i="13"/>
  <c r="AB6" i="12"/>
  <c r="X47" i="12"/>
  <c r="Y47" i="12" s="1"/>
  <c r="AB47" i="12" s="1"/>
  <c r="X47" i="13"/>
  <c r="X32" i="12"/>
  <c r="Y32" i="12" s="1"/>
  <c r="AB32" i="12" s="1"/>
  <c r="X32" i="13"/>
  <c r="U32" i="36" s="1"/>
  <c r="U80" i="36" s="1"/>
  <c r="X40" i="12"/>
  <c r="Y40" i="12" s="1"/>
  <c r="AB40" i="12" s="1"/>
  <c r="X40" i="13"/>
  <c r="U40" i="36" s="1"/>
  <c r="U88" i="36" s="1"/>
  <c r="AG73" i="6"/>
  <c r="AG71" i="9"/>
  <c r="AG71" i="8"/>
  <c r="AG71" i="7"/>
  <c r="AB31" i="12"/>
  <c r="X39" i="12"/>
  <c r="Y39" i="12" s="1"/>
  <c r="AB39" i="12" s="1"/>
  <c r="X39" i="13"/>
  <c r="X33" i="12"/>
  <c r="Y33" i="12" s="1"/>
  <c r="X33" i="13"/>
  <c r="X38" i="12"/>
  <c r="Y38" i="12" s="1"/>
  <c r="AB38" i="12" s="1"/>
  <c r="X38" i="13"/>
  <c r="U38" i="36" s="1"/>
  <c r="U86" i="36" s="1"/>
  <c r="X26" i="12"/>
  <c r="Y26" i="12" s="1"/>
  <c r="AB26" i="12" s="1"/>
  <c r="X26" i="13"/>
  <c r="U26" i="36" s="1"/>
  <c r="U74" i="36" s="1"/>
  <c r="X20" i="12"/>
  <c r="Y20" i="12" s="1"/>
  <c r="AB20" i="12" s="1"/>
  <c r="X20" i="13"/>
  <c r="E29" i="5"/>
  <c r="E47" i="5"/>
  <c r="X44" i="12"/>
  <c r="Y44" i="12" s="1"/>
  <c r="AB44" i="12" s="1"/>
  <c r="X44" i="13"/>
  <c r="U44" i="36" s="1"/>
  <c r="U92" i="36" s="1"/>
  <c r="X37" i="12"/>
  <c r="Y37" i="12" s="1"/>
  <c r="AB37" i="12" s="1"/>
  <c r="X37" i="13"/>
  <c r="U37" i="36" s="1"/>
  <c r="U85" i="36" s="1"/>
  <c r="AB33" i="12"/>
  <c r="Q5" i="13"/>
  <c r="L49" i="13"/>
  <c r="X36" i="12"/>
  <c r="Y36" i="12" s="1"/>
  <c r="AB36" i="12" s="1"/>
  <c r="X36" i="13"/>
  <c r="U36" i="36" s="1"/>
  <c r="U84" i="36" s="1"/>
  <c r="X19" i="12"/>
  <c r="Y19" i="12" s="1"/>
  <c r="AB19" i="12" s="1"/>
  <c r="X19" i="13"/>
  <c r="U19" i="36" s="1"/>
  <c r="U67" i="36" s="1"/>
  <c r="X21" i="12"/>
  <c r="Y21" i="12" s="1"/>
  <c r="AB21" i="12" s="1"/>
  <c r="X21" i="13"/>
  <c r="U21" i="36" s="1"/>
  <c r="U69" i="36" s="1"/>
  <c r="X28" i="12"/>
  <c r="Y28" i="12" s="1"/>
  <c r="AB28" i="12" s="1"/>
  <c r="X28" i="13"/>
  <c r="U28" i="36" s="1"/>
  <c r="U76" i="36" s="1"/>
  <c r="X43" i="12"/>
  <c r="Y43" i="12" s="1"/>
  <c r="AB43" i="12" s="1"/>
  <c r="X43" i="13"/>
  <c r="U43" i="36" s="1"/>
  <c r="U91" i="36" s="1"/>
  <c r="X17" i="12"/>
  <c r="Y17" i="12" s="1"/>
  <c r="AB17" i="12" s="1"/>
  <c r="X17" i="13"/>
  <c r="X45" i="12"/>
  <c r="Y45" i="12" s="1"/>
  <c r="AB45" i="12" s="1"/>
  <c r="X45" i="13"/>
  <c r="X13" i="12"/>
  <c r="Y13" i="12" s="1"/>
  <c r="AB13" i="12" s="1"/>
  <c r="X13" i="13"/>
  <c r="U13" i="36" s="1"/>
  <c r="U61" i="36" s="1"/>
  <c r="U67" i="35" l="1"/>
  <c r="U135" i="35" s="1"/>
  <c r="AB67" i="8"/>
  <c r="B14" i="38"/>
  <c r="B15" i="38"/>
  <c r="J9" i="37"/>
  <c r="J7" i="37"/>
  <c r="J13" i="37" s="1"/>
  <c r="J11" i="37"/>
  <c r="U34" i="36"/>
  <c r="U82" i="36" s="1"/>
  <c r="U35" i="36"/>
  <c r="U83" i="36" s="1"/>
  <c r="V65" i="8"/>
  <c r="V55" i="8"/>
  <c r="M9" i="37"/>
  <c r="M7" i="37"/>
  <c r="M13" i="37" s="1"/>
  <c r="M11" i="37"/>
  <c r="U17" i="36"/>
  <c r="U65" i="36" s="1"/>
  <c r="U20" i="36"/>
  <c r="U68" i="36" s="1"/>
  <c r="U39" i="36"/>
  <c r="U87" i="36" s="1"/>
  <c r="U14" i="36"/>
  <c r="U62" i="36" s="1"/>
  <c r="U41" i="36"/>
  <c r="U89" i="36" s="1"/>
  <c r="U23" i="36"/>
  <c r="U71" i="36" s="1"/>
  <c r="U22" i="36"/>
  <c r="U70" i="36" s="1"/>
  <c r="U12" i="36"/>
  <c r="U60" i="36" s="1"/>
  <c r="M5" i="35"/>
  <c r="M73" i="35" s="1"/>
  <c r="M69" i="8"/>
  <c r="AB69" i="7"/>
  <c r="V47" i="8"/>
  <c r="V43" i="8"/>
  <c r="V26" i="8"/>
  <c r="V7" i="8"/>
  <c r="V56" i="8"/>
  <c r="V34" i="8"/>
  <c r="V21" i="8"/>
  <c r="V17" i="8"/>
  <c r="V11" i="8"/>
  <c r="V42" i="8"/>
  <c r="V32" i="8"/>
  <c r="V29" i="8"/>
  <c r="V9" i="8"/>
  <c r="V45" i="8"/>
  <c r="V54" i="8"/>
  <c r="V19" i="8"/>
  <c r="V15" i="8"/>
  <c r="V61" i="8"/>
  <c r="V48" i="8"/>
  <c r="V41" i="8"/>
  <c r="V5" i="8"/>
  <c r="V13" i="8"/>
  <c r="V53" i="8"/>
  <c r="V51" i="8"/>
  <c r="V16" i="8"/>
  <c r="V25" i="8"/>
  <c r="V44" i="8"/>
  <c r="V63" i="8"/>
  <c r="V28" i="8"/>
  <c r="V64" i="8"/>
  <c r="V6" i="8"/>
  <c r="V12" i="8"/>
  <c r="V37" i="8"/>
  <c r="V36" i="8"/>
  <c r="V31" i="8"/>
  <c r="V57" i="8"/>
  <c r="V52" i="8"/>
  <c r="V27" i="8"/>
  <c r="V10" i="8"/>
  <c r="V59" i="8"/>
  <c r="V14" i="8"/>
  <c r="V33" i="8"/>
  <c r="V24" i="8"/>
  <c r="V46" i="8"/>
  <c r="V38" i="8"/>
  <c r="V62" i="8"/>
  <c r="V22" i="8"/>
  <c r="V60" i="8"/>
  <c r="V35" i="8"/>
  <c r="V18" i="8"/>
  <c r="V49" i="8"/>
  <c r="V39" i="8"/>
  <c r="V40" i="8"/>
  <c r="V58" i="8"/>
  <c r="V20" i="8"/>
  <c r="U47" i="36"/>
  <c r="U95" i="36" s="1"/>
  <c r="U11" i="36"/>
  <c r="U59" i="36" s="1"/>
  <c r="N9" i="37"/>
  <c r="N11" i="37"/>
  <c r="N7" i="37"/>
  <c r="N13" i="37" s="1"/>
  <c r="T9" i="37"/>
  <c r="T11" i="37"/>
  <c r="T7" i="37"/>
  <c r="T13" i="37" s="1"/>
  <c r="V30" i="8"/>
  <c r="B9" i="37"/>
  <c r="B7" i="37"/>
  <c r="B13" i="37" s="1"/>
  <c r="B11" i="37"/>
  <c r="V66" i="8"/>
  <c r="L9" i="37"/>
  <c r="L11" i="37"/>
  <c r="L7" i="37"/>
  <c r="L13" i="37" s="1"/>
  <c r="G9" i="37"/>
  <c r="G7" i="37"/>
  <c r="G13" i="37" s="1"/>
  <c r="G11" i="37"/>
  <c r="V23" i="8"/>
  <c r="F9" i="37"/>
  <c r="F11" i="37"/>
  <c r="F7" i="37"/>
  <c r="F13" i="37" s="1"/>
  <c r="B7" i="38"/>
  <c r="B13" i="38" s="1"/>
  <c r="AB7" i="9"/>
  <c r="AB69" i="9" s="1"/>
  <c r="V69" i="9"/>
  <c r="AD69" i="8"/>
  <c r="E9" i="37"/>
  <c r="E11" i="37"/>
  <c r="E7" i="37"/>
  <c r="E13" i="37" s="1"/>
  <c r="B11" i="38"/>
  <c r="U45" i="36"/>
  <c r="U93" i="36" s="1"/>
  <c r="U33" i="36"/>
  <c r="U81" i="36" s="1"/>
  <c r="U24" i="36"/>
  <c r="U72" i="36" s="1"/>
  <c r="U8" i="36"/>
  <c r="U56" i="36" s="1"/>
  <c r="U42" i="36"/>
  <c r="U90" i="36" s="1"/>
  <c r="I9" i="37"/>
  <c r="I11" i="37"/>
  <c r="I7" i="37"/>
  <c r="I13" i="37" s="1"/>
  <c r="Q9" i="37"/>
  <c r="Q7" i="37"/>
  <c r="Q13" i="37" s="1"/>
  <c r="Q11" i="37"/>
  <c r="V8" i="8"/>
  <c r="V50" i="8"/>
  <c r="T6" i="9"/>
  <c r="Y13" i="13"/>
  <c r="AB13" i="13" s="1"/>
  <c r="S5" i="40" s="1"/>
  <c r="Y25" i="13"/>
  <c r="AB25" i="13" s="1"/>
  <c r="Y46" i="13"/>
  <c r="AB46" i="13" s="1"/>
  <c r="S32" i="40" s="1"/>
  <c r="Y37" i="13"/>
  <c r="AB37" i="13" s="1"/>
  <c r="Y16" i="13"/>
  <c r="AB16" i="13" s="1"/>
  <c r="S9" i="40" s="1"/>
  <c r="Y44" i="13"/>
  <c r="AB44" i="13" s="1"/>
  <c r="S31" i="40" s="1"/>
  <c r="Y32" i="13"/>
  <c r="AB32" i="13" s="1"/>
  <c r="S19" i="40" s="1"/>
  <c r="Y14" i="13"/>
  <c r="AB14" i="13" s="1"/>
  <c r="S6" i="40" s="1"/>
  <c r="Y41" i="13"/>
  <c r="AB41" i="13" s="1"/>
  <c r="S27" i="40" s="1"/>
  <c r="Y42" i="13"/>
  <c r="AB42" i="13" s="1"/>
  <c r="S28" i="40" s="1"/>
  <c r="Y18" i="13"/>
  <c r="AB18" i="13" s="1"/>
  <c r="AA162" i="17" s="1"/>
  <c r="Y11" i="13"/>
  <c r="AB11" i="13" s="1"/>
  <c r="Y29" i="13"/>
  <c r="AB29" i="13" s="1"/>
  <c r="AA250" i="17" s="1"/>
  <c r="Y26" i="13"/>
  <c r="AB26" i="13" s="1"/>
  <c r="S12" i="40" s="1"/>
  <c r="Y28" i="13"/>
  <c r="AB28" i="13" s="1"/>
  <c r="S14" i="40" s="1"/>
  <c r="Y15" i="13"/>
  <c r="AB15" i="13" s="1"/>
  <c r="S7" i="40" s="1"/>
  <c r="Y10" i="13"/>
  <c r="AB10" i="13" s="1"/>
  <c r="Y27" i="13"/>
  <c r="AB27" i="13" s="1"/>
  <c r="S13" i="40" s="1"/>
  <c r="Y21" i="13"/>
  <c r="AB21" i="13" s="1"/>
  <c r="S8" i="40" s="1"/>
  <c r="Y34" i="13"/>
  <c r="AB34" i="13" s="1"/>
  <c r="S22" i="40" s="1"/>
  <c r="Y33" i="13"/>
  <c r="AB33" i="13" s="1"/>
  <c r="Y9" i="13"/>
  <c r="AB9" i="13" s="1"/>
  <c r="Y22" i="13"/>
  <c r="AB22" i="13" s="1"/>
  <c r="S10" i="40" s="1"/>
  <c r="Y36" i="13"/>
  <c r="AB36" i="13" s="1"/>
  <c r="S24" i="40" s="1"/>
  <c r="Y8" i="13"/>
  <c r="AB8" i="13" s="1"/>
  <c r="Y38" i="13"/>
  <c r="AB38" i="13" s="1"/>
  <c r="Y23" i="13"/>
  <c r="AB23" i="13" s="1"/>
  <c r="Y19" i="13"/>
  <c r="AB19" i="13" s="1"/>
  <c r="AA190" i="17" s="1"/>
  <c r="Y20" i="13"/>
  <c r="AB20" i="13" s="1"/>
  <c r="AA206" i="17" s="1"/>
  <c r="Y31" i="13"/>
  <c r="AB31" i="13" s="1"/>
  <c r="S18" i="40" s="1"/>
  <c r="Y30" i="13"/>
  <c r="AB30" i="13" s="1"/>
  <c r="S17" i="40" s="1"/>
  <c r="Y12" i="13"/>
  <c r="AB12" i="13" s="1"/>
  <c r="Y35" i="13"/>
  <c r="AB35" i="13" s="1"/>
  <c r="S23" i="40" s="1"/>
  <c r="Y6" i="13"/>
  <c r="AB6" i="13" s="1"/>
  <c r="G8" i="40" s="1"/>
  <c r="Y45" i="13"/>
  <c r="AB45" i="13" s="1"/>
  <c r="S30" i="40" s="1"/>
  <c r="Y17" i="13"/>
  <c r="AB17" i="13" s="1"/>
  <c r="S11" i="40" s="1"/>
  <c r="Y47" i="13"/>
  <c r="AB47" i="13" s="1"/>
  <c r="S33" i="40" s="1"/>
  <c r="Y7" i="13"/>
  <c r="AB7" i="13" s="1"/>
  <c r="Y43" i="13"/>
  <c r="AB43" i="13" s="1"/>
  <c r="S29" i="40" s="1"/>
  <c r="Y39" i="13"/>
  <c r="AB39" i="13" s="1"/>
  <c r="Y40" i="13"/>
  <c r="AB40" i="13" s="1"/>
  <c r="Y24" i="13"/>
  <c r="AB24" i="13" s="1"/>
  <c r="AA646" i="16"/>
  <c r="AA664" i="16"/>
  <c r="AA649" i="16"/>
  <c r="AA683" i="16"/>
  <c r="AA643" i="16"/>
  <c r="AA642" i="16"/>
  <c r="AA666" i="16"/>
  <c r="AA242" i="17"/>
  <c r="AA234" i="17"/>
  <c r="AA235" i="17"/>
  <c r="AA247" i="17"/>
  <c r="AA816" i="16"/>
  <c r="AG816" i="16" s="1"/>
  <c r="AA818" i="16"/>
  <c r="AG818" i="16" s="1"/>
  <c r="AA812" i="16"/>
  <c r="AG812" i="16" s="1"/>
  <c r="AA480" i="16"/>
  <c r="AA156" i="16"/>
  <c r="AA218" i="16"/>
  <c r="AA111" i="16"/>
  <c r="AA876" i="16"/>
  <c r="AA842" i="16"/>
  <c r="AA834" i="16"/>
  <c r="AA214" i="17"/>
  <c r="AA215" i="17"/>
  <c r="AA777" i="16"/>
  <c r="AG777" i="16" s="1"/>
  <c r="S69" i="9"/>
  <c r="T5" i="9"/>
  <c r="AB51" i="13"/>
  <c r="AB51" i="12"/>
  <c r="AB51" i="10"/>
  <c r="AB51" i="11"/>
  <c r="Q49" i="12"/>
  <c r="AM73" i="6"/>
  <c r="AM71" i="9"/>
  <c r="AM71" i="8"/>
  <c r="AM71" i="7"/>
  <c r="X5" i="12"/>
  <c r="X5" i="13"/>
  <c r="Q49" i="13"/>
  <c r="AA761" i="16" l="1"/>
  <c r="AG761" i="16" s="1"/>
  <c r="AA795" i="16"/>
  <c r="AG795" i="16" s="1"/>
  <c r="AA676" i="16"/>
  <c r="AA678" i="16"/>
  <c r="AA817" i="16"/>
  <c r="AG817" i="16" s="1"/>
  <c r="AA224" i="17"/>
  <c r="AA628" i="16"/>
  <c r="AA602" i="16"/>
  <c r="AA809" i="16"/>
  <c r="AG809" i="16" s="1"/>
  <c r="S15" i="40"/>
  <c r="S20" i="40"/>
  <c r="S25" i="40"/>
  <c r="AA46" i="16"/>
  <c r="G17" i="40"/>
  <c r="G12" i="40"/>
  <c r="AA285" i="16"/>
  <c r="G27" i="40"/>
  <c r="G22" i="40"/>
  <c r="AA611" i="16"/>
  <c r="G16" i="40"/>
  <c r="G11" i="40"/>
  <c r="AA617" i="16"/>
  <c r="AA237" i="17"/>
  <c r="S21" i="40"/>
  <c r="S16" i="40"/>
  <c r="S26" i="40"/>
  <c r="AA619" i="16"/>
  <c r="G28" i="40"/>
  <c r="G23" i="40"/>
  <c r="AA598" i="16"/>
  <c r="AA606" i="16"/>
  <c r="AA596" i="16"/>
  <c r="AA623" i="16"/>
  <c r="AG623" i="16" s="1"/>
  <c r="AA607" i="16"/>
  <c r="AA599" i="16"/>
  <c r="AA616" i="16"/>
  <c r="AA600" i="16"/>
  <c r="AA624" i="16"/>
  <c r="AA614" i="16"/>
  <c r="AA630" i="16"/>
  <c r="AA601" i="16"/>
  <c r="AG601" i="16" s="1"/>
  <c r="AA605" i="16"/>
  <c r="AA620" i="16"/>
  <c r="AA608" i="16"/>
  <c r="AA612" i="16"/>
  <c r="AA621" i="16"/>
  <c r="AA609" i="16"/>
  <c r="L609" i="21" s="1"/>
  <c r="O609" i="21" s="1"/>
  <c r="AA618" i="16"/>
  <c r="AA622" i="16"/>
  <c r="AG622" i="16" s="1"/>
  <c r="AA638" i="16"/>
  <c r="L15" i="37"/>
  <c r="L14" i="37"/>
  <c r="T14" i="37"/>
  <c r="T15" i="37"/>
  <c r="U40" i="35"/>
  <c r="U108" i="35" s="1"/>
  <c r="AB40" i="8"/>
  <c r="U38" i="35"/>
  <c r="U106" i="35" s="1"/>
  <c r="AB38" i="8"/>
  <c r="AB52" i="8"/>
  <c r="U52" i="35"/>
  <c r="U120" i="35" s="1"/>
  <c r="AB28" i="8"/>
  <c r="U28" i="35"/>
  <c r="U96" i="35" s="1"/>
  <c r="U5" i="35"/>
  <c r="U73" i="35" s="1"/>
  <c r="V69" i="8"/>
  <c r="AB5" i="8"/>
  <c r="U9" i="35"/>
  <c r="U77" i="35" s="1"/>
  <c r="AB9" i="8"/>
  <c r="U56" i="35"/>
  <c r="U124" i="35" s="1"/>
  <c r="AB56" i="8"/>
  <c r="C9" i="37"/>
  <c r="C7" i="37"/>
  <c r="C13" i="37" s="1"/>
  <c r="C11" i="37"/>
  <c r="AB62" i="8"/>
  <c r="U62" i="35"/>
  <c r="U130" i="35" s="1"/>
  <c r="U34" i="35"/>
  <c r="U102" i="35" s="1"/>
  <c r="AB34" i="8"/>
  <c r="AA96" i="16"/>
  <c r="I14" i="37"/>
  <c r="I15" i="37"/>
  <c r="F15" i="37"/>
  <c r="F14" i="37"/>
  <c r="AB66" i="8"/>
  <c r="U66" i="35"/>
  <c r="U134" i="35" s="1"/>
  <c r="AB39" i="8"/>
  <c r="U39" i="35"/>
  <c r="U107" i="35" s="1"/>
  <c r="U46" i="35"/>
  <c r="U114" i="35" s="1"/>
  <c r="AB46" i="8"/>
  <c r="AB57" i="8"/>
  <c r="U57" i="35"/>
  <c r="U125" i="35" s="1"/>
  <c r="AB63" i="8"/>
  <c r="U63" i="35"/>
  <c r="U131" i="35" s="1"/>
  <c r="U41" i="35"/>
  <c r="U109" i="35" s="1"/>
  <c r="AB41" i="8"/>
  <c r="AB29" i="8"/>
  <c r="U29" i="35"/>
  <c r="U97" i="35" s="1"/>
  <c r="U7" i="35"/>
  <c r="U75" i="35" s="1"/>
  <c r="AB7" i="8"/>
  <c r="AB27" i="8"/>
  <c r="U27" i="35"/>
  <c r="U95" i="35" s="1"/>
  <c r="U45" i="35"/>
  <c r="U113" i="35" s="1"/>
  <c r="AB45" i="8"/>
  <c r="AA885" i="16"/>
  <c r="AA168" i="16"/>
  <c r="AG168" i="16" s="1"/>
  <c r="AB50" i="8"/>
  <c r="U50" i="35"/>
  <c r="U118" i="35" s="1"/>
  <c r="E14" i="37"/>
  <c r="E15" i="37"/>
  <c r="AB23" i="8"/>
  <c r="U23" i="35"/>
  <c r="U91" i="35" s="1"/>
  <c r="AB49" i="8"/>
  <c r="U49" i="35"/>
  <c r="U117" i="35" s="1"/>
  <c r="AB24" i="8"/>
  <c r="U24" i="35"/>
  <c r="U92" i="35" s="1"/>
  <c r="AB31" i="8"/>
  <c r="U31" i="35"/>
  <c r="U99" i="35" s="1"/>
  <c r="U44" i="35"/>
  <c r="U112" i="35" s="1"/>
  <c r="AB44" i="8"/>
  <c r="AB48" i="8"/>
  <c r="U48" i="35"/>
  <c r="U116" i="35" s="1"/>
  <c r="U32" i="35"/>
  <c r="U100" i="35" s="1"/>
  <c r="AB32" i="8"/>
  <c r="U26" i="35"/>
  <c r="U94" i="35" s="1"/>
  <c r="AB26" i="8"/>
  <c r="J14" i="37"/>
  <c r="J15" i="37"/>
  <c r="AA634" i="16"/>
  <c r="AB8" i="8"/>
  <c r="U8" i="35"/>
  <c r="U76" i="35" s="1"/>
  <c r="N15" i="37"/>
  <c r="N14" i="37"/>
  <c r="AB18" i="8"/>
  <c r="U18" i="35"/>
  <c r="U86" i="35" s="1"/>
  <c r="U33" i="35"/>
  <c r="U101" i="35" s="1"/>
  <c r="AB33" i="8"/>
  <c r="U36" i="35"/>
  <c r="U104" i="35" s="1"/>
  <c r="AB36" i="8"/>
  <c r="U25" i="35"/>
  <c r="U93" i="35" s="1"/>
  <c r="AB25" i="8"/>
  <c r="U61" i="35"/>
  <c r="U129" i="35" s="1"/>
  <c r="AB61" i="8"/>
  <c r="U42" i="35"/>
  <c r="U110" i="35" s="1"/>
  <c r="AB42" i="8"/>
  <c r="AB43" i="8"/>
  <c r="U43" i="35"/>
  <c r="U111" i="35" s="1"/>
  <c r="M14" i="37"/>
  <c r="M15" i="37"/>
  <c r="AA636" i="16"/>
  <c r="AA635" i="16"/>
  <c r="AA844" i="16"/>
  <c r="AA539" i="16"/>
  <c r="AA211" i="17"/>
  <c r="AA854" i="16"/>
  <c r="AA543" i="16"/>
  <c r="L543" i="21" s="1"/>
  <c r="O543" i="21" s="1"/>
  <c r="B15" i="37"/>
  <c r="B14" i="37"/>
  <c r="U35" i="35"/>
  <c r="U103" i="35" s="1"/>
  <c r="AB35" i="8"/>
  <c r="U14" i="35"/>
  <c r="U82" i="35" s="1"/>
  <c r="AB14" i="8"/>
  <c r="U37" i="35"/>
  <c r="U105" i="35" s="1"/>
  <c r="AB37" i="8"/>
  <c r="U16" i="35"/>
  <c r="U84" i="35" s="1"/>
  <c r="AB16" i="8"/>
  <c r="U15" i="35"/>
  <c r="U83" i="35" s="1"/>
  <c r="AB15" i="8"/>
  <c r="AB11" i="8"/>
  <c r="U11" i="35"/>
  <c r="U79" i="35" s="1"/>
  <c r="U47" i="35"/>
  <c r="U115" i="35" s="1"/>
  <c r="AB47" i="8"/>
  <c r="U55" i="35"/>
  <c r="U123" i="35" s="1"/>
  <c r="AB55" i="8"/>
  <c r="AB58" i="8"/>
  <c r="U58" i="35"/>
  <c r="U126" i="35" s="1"/>
  <c r="AB64" i="8"/>
  <c r="U64" i="35"/>
  <c r="U132" i="35" s="1"/>
  <c r="U13" i="35"/>
  <c r="U81" i="35" s="1"/>
  <c r="AB13" i="8"/>
  <c r="AA633" i="16"/>
  <c r="AA625" i="16"/>
  <c r="AA626" i="16"/>
  <c r="AA632" i="16"/>
  <c r="AA603" i="16"/>
  <c r="AA610" i="16"/>
  <c r="L610" i="21" s="1"/>
  <c r="O610" i="21" s="1"/>
  <c r="U5" i="36"/>
  <c r="U53" i="36" s="1"/>
  <c r="K9" i="38" s="1"/>
  <c r="AA639" i="16"/>
  <c r="L639" i="21" s="1"/>
  <c r="O639" i="21" s="1"/>
  <c r="AA629" i="16"/>
  <c r="AA207" i="17"/>
  <c r="AA604" i="16"/>
  <c r="AA597" i="16"/>
  <c r="AA793" i="16"/>
  <c r="AG793" i="16" s="1"/>
  <c r="AA615" i="16"/>
  <c r="L615" i="21" s="1"/>
  <c r="O615" i="21" s="1"/>
  <c r="AA613" i="16"/>
  <c r="AA882" i="16"/>
  <c r="AG882" i="16" s="1"/>
  <c r="AA656" i="16"/>
  <c r="G15" i="37"/>
  <c r="G14" i="37"/>
  <c r="AB30" i="8"/>
  <c r="U30" i="35"/>
  <c r="U98" i="35" s="1"/>
  <c r="AB60" i="8"/>
  <c r="U60" i="35"/>
  <c r="U128" i="35" s="1"/>
  <c r="AB59" i="8"/>
  <c r="U59" i="35"/>
  <c r="U127" i="35" s="1"/>
  <c r="AB12" i="8"/>
  <c r="U12" i="35"/>
  <c r="U80" i="35" s="1"/>
  <c r="U51" i="35"/>
  <c r="U119" i="35" s="1"/>
  <c r="AB51" i="8"/>
  <c r="AB19" i="8"/>
  <c r="U19" i="35"/>
  <c r="U87" i="35" s="1"/>
  <c r="AB17" i="8"/>
  <c r="U17" i="35"/>
  <c r="U85" i="35" s="1"/>
  <c r="AB65" i="8"/>
  <c r="U65" i="35"/>
  <c r="U133" i="35" s="1"/>
  <c r="AA631" i="16"/>
  <c r="AA853" i="16"/>
  <c r="AA627" i="16"/>
  <c r="AG627" i="16" s="1"/>
  <c r="AA637" i="16"/>
  <c r="AA848" i="16"/>
  <c r="AG848" i="16" s="1"/>
  <c r="Q14" i="37"/>
  <c r="Q15" i="37"/>
  <c r="U20" i="35"/>
  <c r="U88" i="35" s="1"/>
  <c r="AB20" i="8"/>
  <c r="AB22" i="8"/>
  <c r="U22" i="35"/>
  <c r="U90" i="35" s="1"/>
  <c r="U10" i="35"/>
  <c r="U78" i="35" s="1"/>
  <c r="AB10" i="8"/>
  <c r="U6" i="35"/>
  <c r="U74" i="35" s="1"/>
  <c r="AB6" i="8"/>
  <c r="U53" i="35"/>
  <c r="U121" i="35" s="1"/>
  <c r="AB53" i="8"/>
  <c r="AB54" i="8"/>
  <c r="U54" i="35"/>
  <c r="U122" i="35" s="1"/>
  <c r="AB21" i="8"/>
  <c r="U21" i="35"/>
  <c r="U89" i="35" s="1"/>
  <c r="AA756" i="16"/>
  <c r="AG756" i="16" s="1"/>
  <c r="AA176" i="17"/>
  <c r="AA66" i="16"/>
  <c r="AG66" i="16" s="1"/>
  <c r="AA559" i="16"/>
  <c r="AG559" i="16" s="1"/>
  <c r="AA263" i="17"/>
  <c r="AA189" i="17"/>
  <c r="AA79" i="16"/>
  <c r="L79" i="21" s="1"/>
  <c r="O79" i="21" s="1"/>
  <c r="AA81" i="16"/>
  <c r="L81" i="21" s="1"/>
  <c r="O81" i="21" s="1"/>
  <c r="AA155" i="16"/>
  <c r="AA396" i="16"/>
  <c r="AA199" i="16"/>
  <c r="AG199" i="16" s="1"/>
  <c r="AA469" i="16"/>
  <c r="AG469" i="16" s="1"/>
  <c r="AA751" i="16"/>
  <c r="AG751" i="16" s="1"/>
  <c r="AA187" i="17"/>
  <c r="AA236" i="16"/>
  <c r="AG236" i="16" s="1"/>
  <c r="AA153" i="16"/>
  <c r="AG153" i="16" s="1"/>
  <c r="AA475" i="16"/>
  <c r="AA239" i="16"/>
  <c r="AA558" i="16"/>
  <c r="AG558" i="16" s="1"/>
  <c r="AA739" i="16"/>
  <c r="AG739" i="16" s="1"/>
  <c r="AA192" i="17"/>
  <c r="AA88" i="16"/>
  <c r="AG88" i="16" s="1"/>
  <c r="AA473" i="16"/>
  <c r="L473" i="21" s="1"/>
  <c r="O473" i="21" s="1"/>
  <c r="AA157" i="16"/>
  <c r="AG157" i="16" s="1"/>
  <c r="AA180" i="17"/>
  <c r="AA402" i="16"/>
  <c r="AA755" i="16"/>
  <c r="AG755" i="16" s="1"/>
  <c r="AA217" i="16"/>
  <c r="AG217" i="16" s="1"/>
  <c r="AA138" i="16"/>
  <c r="AG138" i="16" s="1"/>
  <c r="AA477" i="16"/>
  <c r="AG477" i="16" s="1"/>
  <c r="AA564" i="16"/>
  <c r="AG564" i="16" s="1"/>
  <c r="AA758" i="16"/>
  <c r="AG758" i="16" s="1"/>
  <c r="AA237" i="16"/>
  <c r="AA154" i="16"/>
  <c r="AA225" i="16"/>
  <c r="L225" i="21" s="1"/>
  <c r="O225" i="21" s="1"/>
  <c r="AA565" i="16"/>
  <c r="AG565" i="16" s="1"/>
  <c r="AA759" i="16"/>
  <c r="AG759" i="16" s="1"/>
  <c r="AA476" i="16"/>
  <c r="AG476" i="16" s="1"/>
  <c r="AA86" i="17"/>
  <c r="AA183" i="17"/>
  <c r="AA135" i="16"/>
  <c r="AA470" i="16"/>
  <c r="AA462" i="16"/>
  <c r="L462" i="21" s="1"/>
  <c r="O462" i="21" s="1"/>
  <c r="AA478" i="16"/>
  <c r="AG478" i="16" s="1"/>
  <c r="AA25" i="17"/>
  <c r="AA692" i="16"/>
  <c r="AG692" i="16" s="1"/>
  <c r="AA707" i="16"/>
  <c r="AG707" i="16" s="1"/>
  <c r="AA127" i="17"/>
  <c r="AA126" i="17"/>
  <c r="AA393" i="16"/>
  <c r="AA139" i="16"/>
  <c r="AG139" i="16" s="1"/>
  <c r="AA394" i="16"/>
  <c r="AG394" i="16" s="1"/>
  <c r="AA140" i="16"/>
  <c r="AG140" i="16" s="1"/>
  <c r="AA395" i="16"/>
  <c r="AA141" i="16"/>
  <c r="AG141" i="16" s="1"/>
  <c r="AA398" i="16"/>
  <c r="AG398" i="16" s="1"/>
  <c r="AA150" i="16"/>
  <c r="AA458" i="16"/>
  <c r="AA380" i="16"/>
  <c r="AG380" i="16" s="1"/>
  <c r="AA223" i="16"/>
  <c r="AG223" i="16" s="1"/>
  <c r="AA464" i="16"/>
  <c r="AG464" i="16" s="1"/>
  <c r="AA552" i="16"/>
  <c r="AG552" i="16" s="1"/>
  <c r="AA195" i="16"/>
  <c r="AG195" i="16" s="1"/>
  <c r="AA18" i="17"/>
  <c r="AA561" i="16"/>
  <c r="AG561" i="16" s="1"/>
  <c r="AA26" i="17"/>
  <c r="AA748" i="16"/>
  <c r="AG748" i="16" s="1"/>
  <c r="AA743" i="16"/>
  <c r="AG743" i="16" s="1"/>
  <c r="AA747" i="16"/>
  <c r="AG747" i="16" s="1"/>
  <c r="AA177" i="17"/>
  <c r="AA171" i="17"/>
  <c r="AA178" i="17"/>
  <c r="AA706" i="16"/>
  <c r="AG706" i="16" s="1"/>
  <c r="AA701" i="16"/>
  <c r="AG701" i="16" s="1"/>
  <c r="AA143" i="17"/>
  <c r="AA128" i="17"/>
  <c r="AA481" i="16"/>
  <c r="AG481" i="16" s="1"/>
  <c r="AA400" i="16"/>
  <c r="AG400" i="16" s="1"/>
  <c r="AA80" i="16"/>
  <c r="AG80" i="16" s="1"/>
  <c r="AA227" i="16"/>
  <c r="AG227" i="16" s="1"/>
  <c r="AA482" i="16"/>
  <c r="AA161" i="16"/>
  <c r="AA461" i="16"/>
  <c r="AA146" i="16"/>
  <c r="AG146" i="16" s="1"/>
  <c r="AA403" i="16"/>
  <c r="AG403" i="16" s="1"/>
  <c r="AA147" i="16"/>
  <c r="AG147" i="16" s="1"/>
  <c r="AA465" i="16"/>
  <c r="AG465" i="16" s="1"/>
  <c r="AA148" i="16"/>
  <c r="AG148" i="16" s="1"/>
  <c r="AA466" i="16"/>
  <c r="AA149" i="16"/>
  <c r="AA467" i="16"/>
  <c r="AG467" i="16" s="1"/>
  <c r="AA158" i="16"/>
  <c r="L158" i="21" s="1"/>
  <c r="O158" i="21" s="1"/>
  <c r="AA468" i="16"/>
  <c r="AG468" i="16" s="1"/>
  <c r="AA388" i="16"/>
  <c r="AA231" i="16"/>
  <c r="AG231" i="16" s="1"/>
  <c r="AA472" i="16"/>
  <c r="L472" i="21" s="1"/>
  <c r="O472" i="21" s="1"/>
  <c r="AA21" i="17"/>
  <c r="AA560" i="16"/>
  <c r="AG560" i="16" s="1"/>
  <c r="AA197" i="16"/>
  <c r="AG197" i="16" s="1"/>
  <c r="AA90" i="17"/>
  <c r="AA78" i="17"/>
  <c r="AA80" i="17"/>
  <c r="AA151" i="16"/>
  <c r="AG151" i="16" s="1"/>
  <c r="AA709" i="16"/>
  <c r="AG709" i="16" s="1"/>
  <c r="AA179" i="17"/>
  <c r="AA182" i="17"/>
  <c r="AA141" i="17"/>
  <c r="AA228" i="16"/>
  <c r="AG228" i="16" s="1"/>
  <c r="AA474" i="16"/>
  <c r="AG474" i="16" s="1"/>
  <c r="AA221" i="16"/>
  <c r="AG221" i="16" s="1"/>
  <c r="AA224" i="16"/>
  <c r="L224" i="21" s="1"/>
  <c r="O224" i="21" s="1"/>
  <c r="AA235" i="16"/>
  <c r="AG235" i="16" s="1"/>
  <c r="AA463" i="16"/>
  <c r="AA488" i="16"/>
  <c r="AA16" i="17"/>
  <c r="AA76" i="17"/>
  <c r="AA201" i="16"/>
  <c r="AG201" i="16" s="1"/>
  <c r="AA566" i="16"/>
  <c r="AG566" i="16" s="1"/>
  <c r="AA17" i="17"/>
  <c r="AA562" i="16"/>
  <c r="AG562" i="16" s="1"/>
  <c r="AA753" i="16"/>
  <c r="AG753" i="16" s="1"/>
  <c r="AA746" i="16"/>
  <c r="AG746" i="16" s="1"/>
  <c r="AA749" i="16"/>
  <c r="AG749" i="16" s="1"/>
  <c r="AA181" i="17"/>
  <c r="AA185" i="17"/>
  <c r="AA184" i="17"/>
  <c r="AA690" i="16"/>
  <c r="AG690" i="16" s="1"/>
  <c r="AA698" i="16"/>
  <c r="AG698" i="16" s="1"/>
  <c r="AA702" i="16"/>
  <c r="AG702" i="16" s="1"/>
  <c r="AA139" i="17"/>
  <c r="AA136" i="17"/>
  <c r="AA216" i="16"/>
  <c r="L216" i="21" s="1"/>
  <c r="O216" i="21" s="1"/>
  <c r="AA390" i="16"/>
  <c r="AG390" i="16" s="1"/>
  <c r="AA136" i="16"/>
  <c r="AG136" i="16" s="1"/>
  <c r="AA379" i="16"/>
  <c r="AA105" i="16"/>
  <c r="AG105" i="16" s="1"/>
  <c r="AA240" i="16"/>
  <c r="AA82" i="16"/>
  <c r="AA229" i="16"/>
  <c r="AG229" i="16" s="1"/>
  <c r="AA484" i="16"/>
  <c r="AG484" i="16" s="1"/>
  <c r="AA232" i="16"/>
  <c r="AG232" i="16" s="1"/>
  <c r="AA76" i="16"/>
  <c r="L76" i="21" s="1"/>
  <c r="AA233" i="16"/>
  <c r="L233" i="21" s="1"/>
  <c r="O233" i="21" s="1"/>
  <c r="AA77" i="16"/>
  <c r="AG77" i="16" s="1"/>
  <c r="AA234" i="16"/>
  <c r="AA86" i="16"/>
  <c r="AA245" i="16"/>
  <c r="L245" i="21" s="1"/>
  <c r="O245" i="21" s="1"/>
  <c r="AA230" i="16"/>
  <c r="AG230" i="16" s="1"/>
  <c r="AA471" i="16"/>
  <c r="AG471" i="16" s="1"/>
  <c r="AA317" i="16"/>
  <c r="AG317" i="16" s="1"/>
  <c r="AA23" i="17"/>
  <c r="AA79" i="17"/>
  <c r="AA555" i="16"/>
  <c r="AG555" i="16" s="1"/>
  <c r="AA20" i="17"/>
  <c r="AA24" i="17"/>
  <c r="AA737" i="16"/>
  <c r="AG737" i="16" s="1"/>
  <c r="AA700" i="16"/>
  <c r="AG700" i="16" s="1"/>
  <c r="AA311" i="16"/>
  <c r="AG311" i="16" s="1"/>
  <c r="AA222" i="16"/>
  <c r="AG222" i="16" s="1"/>
  <c r="AA175" i="17"/>
  <c r="AA710" i="16"/>
  <c r="AG710" i="16" s="1"/>
  <c r="AA83" i="16"/>
  <c r="AA82" i="17"/>
  <c r="AA189" i="16"/>
  <c r="AG189" i="16" s="1"/>
  <c r="AA81" i="17"/>
  <c r="AA190" i="16"/>
  <c r="AG190" i="16" s="1"/>
  <c r="AA697" i="16"/>
  <c r="AG697" i="16" s="1"/>
  <c r="AA132" i="17"/>
  <c r="AA745" i="16"/>
  <c r="AG745" i="16" s="1"/>
  <c r="AA711" i="16"/>
  <c r="AG711" i="16" s="1"/>
  <c r="AA134" i="17"/>
  <c r="AA112" i="16"/>
  <c r="AG112" i="16" s="1"/>
  <c r="AA483" i="16"/>
  <c r="AG483" i="16" s="1"/>
  <c r="AA220" i="16"/>
  <c r="AG220" i="16" s="1"/>
  <c r="AA486" i="16"/>
  <c r="AG486" i="16" s="1"/>
  <c r="AA78" i="16"/>
  <c r="AG78" i="16" s="1"/>
  <c r="AA309" i="16"/>
  <c r="AA736" i="16"/>
  <c r="AG736" i="16" s="1"/>
  <c r="AA170" i="17"/>
  <c r="AA703" i="16"/>
  <c r="AG703" i="16" s="1"/>
  <c r="AA121" i="17"/>
  <c r="AA87" i="16"/>
  <c r="AG87" i="16" s="1"/>
  <c r="AA144" i="16"/>
  <c r="AG144" i="16" s="1"/>
  <c r="AA113" i="16"/>
  <c r="AG113" i="16" s="1"/>
  <c r="AA90" i="16"/>
  <c r="AA241" i="16"/>
  <c r="AA84" i="16"/>
  <c r="AG84" i="16" s="1"/>
  <c r="AA85" i="16"/>
  <c r="AG85" i="16" s="1"/>
  <c r="AA110" i="16"/>
  <c r="AG110" i="16" s="1"/>
  <c r="AA238" i="16"/>
  <c r="L238" i="21" s="1"/>
  <c r="O238" i="21" s="1"/>
  <c r="AA381" i="16"/>
  <c r="L381" i="21" s="1"/>
  <c r="O381" i="21" s="1"/>
  <c r="AA563" i="16"/>
  <c r="AG563" i="16" s="1"/>
  <c r="AA754" i="16"/>
  <c r="AG754" i="16" s="1"/>
  <c r="AA744" i="16"/>
  <c r="AG744" i="16" s="1"/>
  <c r="AA742" i="16"/>
  <c r="AG742" i="16" s="1"/>
  <c r="AA191" i="17"/>
  <c r="AA172" i="17"/>
  <c r="AA188" i="17"/>
  <c r="AA691" i="16"/>
  <c r="AG691" i="16" s="1"/>
  <c r="AA688" i="16"/>
  <c r="AG688" i="16" s="1"/>
  <c r="AA131" i="17"/>
  <c r="AA137" i="17"/>
  <c r="AA142" i="17"/>
  <c r="AA226" i="16"/>
  <c r="AG226" i="16" s="1"/>
  <c r="AA459" i="16"/>
  <c r="AG459" i="16" s="1"/>
  <c r="AA152" i="16"/>
  <c r="AA401" i="16"/>
  <c r="AG401" i="16" s="1"/>
  <c r="AA137" i="16"/>
  <c r="AG137" i="16" s="1"/>
  <c r="AA382" i="16"/>
  <c r="AA106" i="16"/>
  <c r="AA313" i="16"/>
  <c r="AG313" i="16" s="1"/>
  <c r="AA107" i="16"/>
  <c r="AG107" i="16" s="1"/>
  <c r="AA314" i="16"/>
  <c r="AG314" i="16" s="1"/>
  <c r="AA108" i="16"/>
  <c r="AG108" i="16" s="1"/>
  <c r="AA315" i="16"/>
  <c r="AG315" i="16" s="1"/>
  <c r="AA109" i="16"/>
  <c r="AG109" i="16" s="1"/>
  <c r="AA318" i="16"/>
  <c r="AA118" i="16"/>
  <c r="AA387" i="16"/>
  <c r="AA308" i="16"/>
  <c r="AG308" i="16" s="1"/>
  <c r="AA487" i="16"/>
  <c r="AG487" i="16" s="1"/>
  <c r="AA389" i="16"/>
  <c r="L389" i="21" s="1"/>
  <c r="O389" i="21" s="1"/>
  <c r="AA964" i="16"/>
  <c r="AG964" i="16" s="1"/>
  <c r="AA85" i="17"/>
  <c r="AA191" i="16"/>
  <c r="AG191" i="16" s="1"/>
  <c r="AA14" i="17"/>
  <c r="AA84" i="17"/>
  <c r="AA194" i="16"/>
  <c r="AG194" i="16" s="1"/>
  <c r="AA125" i="17"/>
  <c r="AA741" i="16"/>
  <c r="AG741" i="16" s="1"/>
  <c r="AA169" i="17"/>
  <c r="AA694" i="16"/>
  <c r="AG694" i="16" s="1"/>
  <c r="AA143" i="16"/>
  <c r="AA89" i="16"/>
  <c r="AA219" i="16"/>
  <c r="AG219" i="16" s="1"/>
  <c r="AA485" i="16"/>
  <c r="AG485" i="16" s="1"/>
  <c r="AA738" i="16"/>
  <c r="AG738" i="16" s="1"/>
  <c r="AA757" i="16"/>
  <c r="AG757" i="16" s="1"/>
  <c r="AA186" i="17"/>
  <c r="AA699" i="16"/>
  <c r="AG699" i="16" s="1"/>
  <c r="AA138" i="17"/>
  <c r="AA119" i="16"/>
  <c r="AA391" i="16"/>
  <c r="AG391" i="16" s="1"/>
  <c r="AA312" i="16"/>
  <c r="L312" i="21" s="1"/>
  <c r="O312" i="21" s="1"/>
  <c r="AA242" i="16"/>
  <c r="L242" i="21" s="1"/>
  <c r="O242" i="21" s="1"/>
  <c r="AA243" i="16"/>
  <c r="AG243" i="16" s="1"/>
  <c r="AA244" i="16"/>
  <c r="AG244" i="16" s="1"/>
  <c r="AA307" i="16"/>
  <c r="AG307" i="16" s="1"/>
  <c r="AA479" i="16"/>
  <c r="AA740" i="16"/>
  <c r="AG740" i="16" s="1"/>
  <c r="AA752" i="16"/>
  <c r="AG752" i="16" s="1"/>
  <c r="AA750" i="16"/>
  <c r="AG750" i="16" s="1"/>
  <c r="AA173" i="17"/>
  <c r="AA174" i="17"/>
  <c r="AA705" i="16"/>
  <c r="AG705" i="16" s="1"/>
  <c r="AA696" i="16"/>
  <c r="AG696" i="16" s="1"/>
  <c r="AA129" i="17"/>
  <c r="AA124" i="17"/>
  <c r="AA144" i="17"/>
  <c r="AA159" i="16"/>
  <c r="L159" i="21" s="1"/>
  <c r="O159" i="21" s="1"/>
  <c r="AA310" i="16"/>
  <c r="AG310" i="16" s="1"/>
  <c r="AA160" i="16"/>
  <c r="AG160" i="16" s="1"/>
  <c r="AA460" i="16"/>
  <c r="AG460" i="16" s="1"/>
  <c r="AA145" i="16"/>
  <c r="AG145" i="16" s="1"/>
  <c r="AA392" i="16"/>
  <c r="AA114" i="16"/>
  <c r="AA383" i="16"/>
  <c r="AA115" i="16"/>
  <c r="L115" i="21" s="1"/>
  <c r="O115" i="21" s="1"/>
  <c r="AA384" i="16"/>
  <c r="AG384" i="16" s="1"/>
  <c r="AA116" i="16"/>
  <c r="AG116" i="16" s="1"/>
  <c r="AA385" i="16"/>
  <c r="AG385" i="16" s="1"/>
  <c r="AA117" i="16"/>
  <c r="AG117" i="16" s="1"/>
  <c r="AA386" i="16"/>
  <c r="AA142" i="16"/>
  <c r="AA399" i="16"/>
  <c r="L399" i="21" s="1"/>
  <c r="O399" i="21" s="1"/>
  <c r="AA316" i="16"/>
  <c r="AG316" i="16" s="1"/>
  <c r="AA215" i="16"/>
  <c r="L215" i="21" s="1"/>
  <c r="O215" i="21" s="1"/>
  <c r="AA397" i="16"/>
  <c r="AG397" i="16" s="1"/>
  <c r="AA905" i="16"/>
  <c r="AG905" i="16" s="1"/>
  <c r="AA88" i="17"/>
  <c r="AA193" i="16"/>
  <c r="AG193" i="16" s="1"/>
  <c r="AA557" i="16"/>
  <c r="AG557" i="16" s="1"/>
  <c r="AA87" i="17"/>
  <c r="AA985" i="16"/>
  <c r="L985" i="21" s="1"/>
  <c r="O985" i="21" s="1"/>
  <c r="AA926" i="16"/>
  <c r="L926" i="21" s="1"/>
  <c r="O926" i="21" s="1"/>
  <c r="AA69" i="16"/>
  <c r="AG69" i="16" s="1"/>
  <c r="AA930" i="16"/>
  <c r="AG930" i="16" s="1"/>
  <c r="AA937" i="16"/>
  <c r="AG937" i="16" s="1"/>
  <c r="AA910" i="16"/>
  <c r="AA963" i="16"/>
  <c r="AA953" i="16"/>
  <c r="L953" i="21" s="1"/>
  <c r="O953" i="21" s="1"/>
  <c r="AA1003" i="16"/>
  <c r="L1003" i="21" s="1"/>
  <c r="O1003" i="21" s="1"/>
  <c r="AA911" i="16"/>
  <c r="AG911" i="16" s="1"/>
  <c r="AA888" i="16"/>
  <c r="AG888" i="16" s="1"/>
  <c r="AA938" i="16"/>
  <c r="AG938" i="16" s="1"/>
  <c r="AA922" i="16"/>
  <c r="AG922" i="16" s="1"/>
  <c r="AA264" i="17"/>
  <c r="AA921" i="16"/>
  <c r="AG921" i="16" s="1"/>
  <c r="AA975" i="16"/>
  <c r="AA253" i="17"/>
  <c r="AA837" i="16"/>
  <c r="AG837" i="16" s="1"/>
  <c r="AA981" i="16"/>
  <c r="AG981" i="16" s="1"/>
  <c r="AA924" i="16"/>
  <c r="AG924" i="16" s="1"/>
  <c r="AA974" i="16"/>
  <c r="AG974" i="16" s="1"/>
  <c r="AA997" i="16"/>
  <c r="AG997" i="16" s="1"/>
  <c r="AA990" i="16"/>
  <c r="AG990" i="16" s="1"/>
  <c r="AA928" i="16"/>
  <c r="AG928" i="16" s="1"/>
  <c r="AA1023" i="16"/>
  <c r="AG1023" i="16" s="1"/>
  <c r="AA873" i="16"/>
  <c r="AG873" i="16" s="1"/>
  <c r="AA1002" i="16"/>
  <c r="AG1002" i="16" s="1"/>
  <c r="AA966" i="16"/>
  <c r="AG966" i="16" s="1"/>
  <c r="AA929" i="16"/>
  <c r="AG929" i="16" s="1"/>
  <c r="AA1007" i="16"/>
  <c r="AG1007" i="16" s="1"/>
  <c r="AA891" i="16"/>
  <c r="L891" i="21" s="1"/>
  <c r="O891" i="21" s="1"/>
  <c r="AA944" i="16"/>
  <c r="AA1009" i="16"/>
  <c r="AG1009" i="16" s="1"/>
  <c r="AA72" i="16"/>
  <c r="AG72" i="16" s="1"/>
  <c r="AA843" i="16"/>
  <c r="AG843" i="16" s="1"/>
  <c r="AA962" i="16"/>
  <c r="L962" i="21" s="1"/>
  <c r="O962" i="21" s="1"/>
  <c r="AA988" i="16"/>
  <c r="L988" i="21" s="1"/>
  <c r="O988" i="21" s="1"/>
  <c r="AA950" i="16"/>
  <c r="AG950" i="16" s="1"/>
  <c r="AA935" i="16"/>
  <c r="AG935" i="16" s="1"/>
  <c r="AA899" i="16"/>
  <c r="AG899" i="16" s="1"/>
  <c r="AA952" i="16"/>
  <c r="AG952" i="16" s="1"/>
  <c r="AA254" i="17"/>
  <c r="AA73" i="16"/>
  <c r="L73" i="21" s="1"/>
  <c r="O73" i="21" s="1"/>
  <c r="AA1005" i="16"/>
  <c r="AG1005" i="16" s="1"/>
  <c r="AA991" i="16"/>
  <c r="AG991" i="16" s="1"/>
  <c r="AA961" i="16"/>
  <c r="L961" i="21" s="1"/>
  <c r="O961" i="21" s="1"/>
  <c r="AA957" i="16"/>
  <c r="AG957" i="16" s="1"/>
  <c r="AA939" i="16"/>
  <c r="AG939" i="16" s="1"/>
  <c r="AA992" i="16"/>
  <c r="L992" i="21" s="1"/>
  <c r="O992" i="21" s="1"/>
  <c r="AA859" i="16"/>
  <c r="L859" i="21" s="1"/>
  <c r="O859" i="21" s="1"/>
  <c r="AA874" i="16"/>
  <c r="AA892" i="16"/>
  <c r="AG892" i="16" s="1"/>
  <c r="AA909" i="16"/>
  <c r="AG909" i="16" s="1"/>
  <c r="AA890" i="16"/>
  <c r="AG890" i="16" s="1"/>
  <c r="AA967" i="16"/>
  <c r="AG967" i="16" s="1"/>
  <c r="AA955" i="16"/>
  <c r="AG955" i="16" s="1"/>
  <c r="AA1008" i="16"/>
  <c r="AG1008" i="16" s="1"/>
  <c r="AA19" i="16"/>
  <c r="AG19" i="16" s="1"/>
  <c r="AA51" i="16"/>
  <c r="AG51" i="16" s="1"/>
  <c r="AA582" i="16"/>
  <c r="AG582" i="16" s="1"/>
  <c r="AA252" i="17"/>
  <c r="AA198" i="16"/>
  <c r="AG198" i="16" s="1"/>
  <c r="AA16" i="16"/>
  <c r="AG16" i="16" s="1"/>
  <c r="AA762" i="16"/>
  <c r="AG762" i="16" s="1"/>
  <c r="AA201" i="17"/>
  <c r="AA49" i="16"/>
  <c r="AG49" i="16" s="1"/>
  <c r="AA124" i="16"/>
  <c r="AG124" i="16" s="1"/>
  <c r="AA445" i="16"/>
  <c r="AG445" i="16" s="1"/>
  <c r="AA769" i="16"/>
  <c r="AG769" i="16" s="1"/>
  <c r="AA200" i="17"/>
  <c r="AA824" i="16"/>
  <c r="L824" i="21" s="1"/>
  <c r="O824" i="21" s="1"/>
  <c r="AA765" i="16"/>
  <c r="AG765" i="16" s="1"/>
  <c r="AA210" i="17"/>
  <c r="AA708" i="16"/>
  <c r="AG708" i="16" s="1"/>
  <c r="AA693" i="16"/>
  <c r="AG693" i="16" s="1"/>
  <c r="AA133" i="17"/>
  <c r="AA122" i="17"/>
  <c r="AA140" i="17"/>
  <c r="AA24" i="16"/>
  <c r="AG24" i="16" s="1"/>
  <c r="AA134" i="16"/>
  <c r="AG134" i="16" s="1"/>
  <c r="AA98" i="16"/>
  <c r="L98" i="21" s="1"/>
  <c r="O98" i="21" s="1"/>
  <c r="AA114" i="17"/>
  <c r="AA764" i="16"/>
  <c r="AG764" i="16" s="1"/>
  <c r="AA197" i="17"/>
  <c r="AA291" i="16"/>
  <c r="L291" i="21" s="1"/>
  <c r="O291" i="21" s="1"/>
  <c r="AA31" i="17"/>
  <c r="AA722" i="16"/>
  <c r="AG722" i="16" s="1"/>
  <c r="AA1030" i="16"/>
  <c r="AG1030" i="16" s="1"/>
  <c r="AA773" i="16"/>
  <c r="AG773" i="16" s="1"/>
  <c r="AA213" i="17"/>
  <c r="AA216" i="17"/>
  <c r="AA689" i="16"/>
  <c r="AG689" i="16" s="1"/>
  <c r="AA695" i="16"/>
  <c r="AG695" i="16" s="1"/>
  <c r="AA704" i="16"/>
  <c r="AG704" i="16" s="1"/>
  <c r="AA135" i="17"/>
  <c r="AA123" i="17"/>
  <c r="AA130" i="17"/>
  <c r="AA720" i="16"/>
  <c r="AG720" i="16" s="1"/>
  <c r="AA799" i="16"/>
  <c r="AG799" i="16" s="1"/>
  <c r="AA784" i="16"/>
  <c r="AG784" i="16" s="1"/>
  <c r="AA251" i="17"/>
  <c r="AA879" i="16"/>
  <c r="L879" i="21" s="1"/>
  <c r="O879" i="21" s="1"/>
  <c r="AA1027" i="16"/>
  <c r="AG1027" i="16" s="1"/>
  <c r="AA682" i="16"/>
  <c r="L682" i="21" s="1"/>
  <c r="O682" i="21" s="1"/>
  <c r="AA653" i="16"/>
  <c r="AG653" i="16" s="1"/>
  <c r="AA289" i="16"/>
  <c r="AG289" i="16" s="1"/>
  <c r="AA180" i="16"/>
  <c r="L180" i="21" s="1"/>
  <c r="O180" i="21" s="1"/>
  <c r="AA432" i="16"/>
  <c r="AG432" i="16" s="1"/>
  <c r="AA718" i="16"/>
  <c r="AG718" i="16" s="1"/>
  <c r="AA802" i="16"/>
  <c r="AG802" i="16" s="1"/>
  <c r="AA808" i="16"/>
  <c r="AG808" i="16" s="1"/>
  <c r="AA218" i="17"/>
  <c r="AA849" i="16"/>
  <c r="AG849" i="16" s="1"/>
  <c r="AA850" i="16"/>
  <c r="AG850" i="16" s="1"/>
  <c r="AA663" i="16"/>
  <c r="L663" i="21" s="1"/>
  <c r="O663" i="21" s="1"/>
  <c r="AA644" i="16"/>
  <c r="AG644" i="16" s="1"/>
  <c r="AA677" i="16"/>
  <c r="AG677" i="16" s="1"/>
  <c r="AA97" i="16"/>
  <c r="L97" i="21" s="1"/>
  <c r="O97" i="21" s="1"/>
  <c r="AA530" i="16"/>
  <c r="AG530" i="16" s="1"/>
  <c r="AA112" i="17"/>
  <c r="AA151" i="17"/>
  <c r="AA774" i="16"/>
  <c r="AG774" i="16" s="1"/>
  <c r="AA771" i="16"/>
  <c r="AG771" i="16" s="1"/>
  <c r="AA194" i="17"/>
  <c r="AA148" i="17"/>
  <c r="AA815" i="16"/>
  <c r="AG815" i="16" s="1"/>
  <c r="AA243" i="17"/>
  <c r="AA228" i="17"/>
  <c r="AA881" i="16"/>
  <c r="AG881" i="16" s="1"/>
  <c r="AA852" i="16"/>
  <c r="AG852" i="16" s="1"/>
  <c r="AA45" i="16"/>
  <c r="AG45" i="16" s="1"/>
  <c r="AA641" i="16"/>
  <c r="AG641" i="16" s="1"/>
  <c r="AA673" i="16"/>
  <c r="L673" i="21" s="1"/>
  <c r="O673" i="21" s="1"/>
  <c r="AA670" i="16"/>
  <c r="AG670" i="16" s="1"/>
  <c r="AA170" i="16"/>
  <c r="L170" i="21" s="1"/>
  <c r="O170" i="21" s="1"/>
  <c r="AA541" i="16"/>
  <c r="AG541" i="16" s="1"/>
  <c r="AA29" i="17"/>
  <c r="AA164" i="17"/>
  <c r="AA868" i="16"/>
  <c r="L868" i="21" s="1"/>
  <c r="O868" i="21" s="1"/>
  <c r="AA781" i="16"/>
  <c r="AG781" i="16" s="1"/>
  <c r="AA195" i="17"/>
  <c r="AA208" i="17"/>
  <c r="AA789" i="16"/>
  <c r="AG789" i="16" s="1"/>
  <c r="AA788" i="16"/>
  <c r="AG788" i="16" s="1"/>
  <c r="AA245" i="17"/>
  <c r="AA236" i="17"/>
  <c r="AA846" i="16"/>
  <c r="L846" i="21" s="1"/>
  <c r="O846" i="21" s="1"/>
  <c r="AA47" i="16"/>
  <c r="L47" i="21" s="1"/>
  <c r="O47" i="21" s="1"/>
  <c r="AA679" i="16"/>
  <c r="AG679" i="16" s="1"/>
  <c r="AA640" i="16"/>
  <c r="L819" i="21" s="1"/>
  <c r="AA332" i="16"/>
  <c r="AG332" i="16" s="1"/>
  <c r="AA91" i="16"/>
  <c r="L91" i="21" s="1"/>
  <c r="O91" i="21" s="1"/>
  <c r="AA436" i="16"/>
  <c r="L436" i="21" s="1"/>
  <c r="O436" i="21" s="1"/>
  <c r="AA113" i="17"/>
  <c r="AA166" i="17"/>
  <c r="AA864" i="16"/>
  <c r="AG864" i="16" s="1"/>
  <c r="AA727" i="16"/>
  <c r="AG727" i="16" s="1"/>
  <c r="AA734" i="16"/>
  <c r="AG734" i="16" s="1"/>
  <c r="AA168" i="17"/>
  <c r="AA1038" i="16"/>
  <c r="L1038" i="21" s="1"/>
  <c r="O1038" i="21" s="1"/>
  <c r="AA1031" i="16"/>
  <c r="AG1031" i="16" s="1"/>
  <c r="AA715" i="16"/>
  <c r="AG715" i="16" s="1"/>
  <c r="AA165" i="17"/>
  <c r="AA152" i="17"/>
  <c r="AA857" i="16"/>
  <c r="L857" i="21" s="1"/>
  <c r="O857" i="21" s="1"/>
  <c r="AA869" i="16"/>
  <c r="AG869" i="16" s="1"/>
  <c r="AA716" i="16"/>
  <c r="AG716" i="16" s="1"/>
  <c r="AA713" i="16"/>
  <c r="AG713" i="16" s="1"/>
  <c r="AA723" i="16"/>
  <c r="AG723" i="16" s="1"/>
  <c r="AA145" i="17"/>
  <c r="AA159" i="17"/>
  <c r="AA154" i="17"/>
  <c r="AA806" i="16"/>
  <c r="AG806" i="16" s="1"/>
  <c r="AA801" i="16"/>
  <c r="AG801" i="16" s="1"/>
  <c r="AA787" i="16"/>
  <c r="AG787" i="16" s="1"/>
  <c r="AA241" i="17"/>
  <c r="AA217" i="17"/>
  <c r="AA240" i="17"/>
  <c r="AA41" i="16"/>
  <c r="AG41" i="16" s="1"/>
  <c r="AA1025" i="16"/>
  <c r="L1025" i="21" s="1"/>
  <c r="AA1039" i="16"/>
  <c r="AG1039" i="16" s="1"/>
  <c r="AA647" i="16"/>
  <c r="L647" i="21" s="1"/>
  <c r="O647" i="21" s="1"/>
  <c r="AA672" i="16"/>
  <c r="L672" i="21" s="1"/>
  <c r="O672" i="21" s="1"/>
  <c r="AA120" i="17"/>
  <c r="AA450" i="16"/>
  <c r="AG450" i="16" s="1"/>
  <c r="AA452" i="16"/>
  <c r="AG452" i="16" s="1"/>
  <c r="AA339" i="16"/>
  <c r="AG339" i="16" s="1"/>
  <c r="AA287" i="16"/>
  <c r="L287" i="21" s="1"/>
  <c r="O287" i="21" s="1"/>
  <c r="AA528" i="16"/>
  <c r="L528" i="21" s="1"/>
  <c r="O528" i="21" s="1"/>
  <c r="AA116" i="17"/>
  <c r="AA728" i="16"/>
  <c r="AG728" i="16" s="1"/>
  <c r="AA1036" i="16"/>
  <c r="AG1036" i="16" s="1"/>
  <c r="AA821" i="16"/>
  <c r="AG821" i="16" s="1"/>
  <c r="AA157" i="17"/>
  <c r="AA1032" i="16"/>
  <c r="AG1032" i="16" s="1"/>
  <c r="AA822" i="16"/>
  <c r="L822" i="21" s="1"/>
  <c r="O822" i="21" s="1"/>
  <c r="AA826" i="16"/>
  <c r="L826" i="21" s="1"/>
  <c r="O826" i="21" s="1"/>
  <c r="AA731" i="16"/>
  <c r="AG731" i="16" s="1"/>
  <c r="AA156" i="17"/>
  <c r="AA1037" i="16"/>
  <c r="L1037" i="21" s="1"/>
  <c r="O1037" i="21" s="1"/>
  <c r="AA863" i="16"/>
  <c r="AG863" i="16" s="1"/>
  <c r="AA830" i="16"/>
  <c r="AG830" i="16" s="1"/>
  <c r="AA780" i="16"/>
  <c r="AG780" i="16" s="1"/>
  <c r="AA768" i="16"/>
  <c r="AG768" i="16" s="1"/>
  <c r="AA198" i="17"/>
  <c r="AA719" i="16"/>
  <c r="AG719" i="16" s="1"/>
  <c r="AA714" i="16"/>
  <c r="AG714" i="16" s="1"/>
  <c r="AA717" i="16"/>
  <c r="AG717" i="16" s="1"/>
  <c r="AA167" i="17"/>
  <c r="AA155" i="17"/>
  <c r="AA158" i="17"/>
  <c r="AA810" i="16"/>
  <c r="AG810" i="16" s="1"/>
  <c r="AA805" i="16"/>
  <c r="AG805" i="16" s="1"/>
  <c r="AA819" i="16"/>
  <c r="AG819" i="16" s="1"/>
  <c r="AA229" i="17"/>
  <c r="AA220" i="17"/>
  <c r="AA244" i="17"/>
  <c r="AA884" i="16"/>
  <c r="L884" i="21" s="1"/>
  <c r="O884" i="21" s="1"/>
  <c r="AA50" i="16"/>
  <c r="AG50" i="16" s="1"/>
  <c r="AA1029" i="16"/>
  <c r="AG1029" i="16" s="1"/>
  <c r="AA650" i="16"/>
  <c r="AG650" i="16" s="1"/>
  <c r="AA681" i="16"/>
  <c r="AG681" i="16" s="1"/>
  <c r="AA684" i="16"/>
  <c r="AG684" i="16" s="1"/>
  <c r="AA661" i="16"/>
  <c r="L661" i="21" s="1"/>
  <c r="O661" i="21" s="1"/>
  <c r="AA95" i="16"/>
  <c r="L95" i="21" s="1"/>
  <c r="O95" i="21" s="1"/>
  <c r="AA177" i="16"/>
  <c r="AG177" i="16" s="1"/>
  <c r="AA163" i="16"/>
  <c r="AG163" i="16" s="1"/>
  <c r="AA101" i="16"/>
  <c r="AG101" i="16" s="1"/>
  <c r="AA542" i="16"/>
  <c r="AG542" i="16" s="1"/>
  <c r="AA117" i="17"/>
  <c r="AA210" i="16"/>
  <c r="AG210" i="16" s="1"/>
  <c r="AA828" i="16"/>
  <c r="AG828" i="16" s="1"/>
  <c r="AA856" i="16"/>
  <c r="AG856" i="16" s="1"/>
  <c r="AA726" i="16"/>
  <c r="AG726" i="16" s="1"/>
  <c r="AA150" i="17"/>
  <c r="AA831" i="16"/>
  <c r="L831" i="21" s="1"/>
  <c r="O831" i="21" s="1"/>
  <c r="AA729" i="16"/>
  <c r="AG729" i="16" s="1"/>
  <c r="AA862" i="16"/>
  <c r="AG862" i="16" s="1"/>
  <c r="AA735" i="16"/>
  <c r="AG735" i="16" s="1"/>
  <c r="AA730" i="16"/>
  <c r="AG730" i="16" s="1"/>
  <c r="AA725" i="16"/>
  <c r="AG725" i="16" s="1"/>
  <c r="AA163" i="17"/>
  <c r="AA153" i="17"/>
  <c r="AA160" i="17"/>
  <c r="AA43" i="16"/>
  <c r="AG43" i="16" s="1"/>
  <c r="AA1026" i="16"/>
  <c r="AG1026" i="16" s="1"/>
  <c r="AA1033" i="16"/>
  <c r="AG1033" i="16" s="1"/>
  <c r="AA278" i="16"/>
  <c r="L278" i="21" s="1"/>
  <c r="O278" i="21" s="1"/>
  <c r="AA302" i="16"/>
  <c r="AG302" i="16" s="1"/>
  <c r="AA282" i="16"/>
  <c r="AG282" i="16" s="1"/>
  <c r="AA173" i="16"/>
  <c r="AG173" i="16" s="1"/>
  <c r="AA300" i="16"/>
  <c r="L300" i="21" s="1"/>
  <c r="O300" i="21" s="1"/>
  <c r="AA211" i="16"/>
  <c r="AG211" i="16" s="1"/>
  <c r="AA595" i="16"/>
  <c r="AG595" i="16" s="1"/>
  <c r="AA724" i="16"/>
  <c r="AG724" i="16" s="1"/>
  <c r="AA149" i="17"/>
  <c r="AA1035" i="16"/>
  <c r="L1035" i="21" s="1"/>
  <c r="O1035" i="21" s="1"/>
  <c r="AA829" i="16"/>
  <c r="AG829" i="16" s="1"/>
  <c r="AA732" i="16"/>
  <c r="AG732" i="16" s="1"/>
  <c r="AA147" i="17"/>
  <c r="AA823" i="16"/>
  <c r="AG823" i="16" s="1"/>
  <c r="AA825" i="16"/>
  <c r="AG825" i="16" s="1"/>
  <c r="AA827" i="16"/>
  <c r="AG827" i="16" s="1"/>
  <c r="AA772" i="16"/>
  <c r="AG772" i="16" s="1"/>
  <c r="AA783" i="16"/>
  <c r="AG783" i="16" s="1"/>
  <c r="AA209" i="17"/>
  <c r="AA202" i="17"/>
  <c r="AA721" i="16"/>
  <c r="AG721" i="16" s="1"/>
  <c r="AA712" i="16"/>
  <c r="AG712" i="16" s="1"/>
  <c r="AA733" i="16"/>
  <c r="AG733" i="16" s="1"/>
  <c r="AA161" i="17"/>
  <c r="AA146" i="17"/>
  <c r="AA814" i="16"/>
  <c r="AG814" i="16" s="1"/>
  <c r="AA786" i="16"/>
  <c r="AG786" i="16" s="1"/>
  <c r="AA800" i="16"/>
  <c r="AG800" i="16" s="1"/>
  <c r="AA221" i="17"/>
  <c r="AA226" i="17"/>
  <c r="AA15" i="16"/>
  <c r="AG15" i="16" s="1"/>
  <c r="AA880" i="16"/>
  <c r="AG880" i="16" s="1"/>
  <c r="AA1028" i="16"/>
  <c r="AG1028" i="16" s="1"/>
  <c r="AA1034" i="16"/>
  <c r="L1034" i="21" s="1"/>
  <c r="O1034" i="21" s="1"/>
  <c r="AA675" i="16"/>
  <c r="AG675" i="16" s="1"/>
  <c r="AA668" i="16"/>
  <c r="AG668" i="16" s="1"/>
  <c r="AA687" i="16"/>
  <c r="L687" i="21" s="1"/>
  <c r="O687" i="21" s="1"/>
  <c r="AA685" i="16"/>
  <c r="AG685" i="16" s="1"/>
  <c r="AA449" i="16"/>
  <c r="L449" i="21" s="1"/>
  <c r="O449" i="21" s="1"/>
  <c r="AA525" i="16"/>
  <c r="L525" i="21" s="1"/>
  <c r="O525" i="21" s="1"/>
  <c r="AA433" i="16"/>
  <c r="AG433" i="16" s="1"/>
  <c r="AA296" i="16"/>
  <c r="AG296" i="16" s="1"/>
  <c r="AA447" i="16"/>
  <c r="AG447" i="16" s="1"/>
  <c r="AA28" i="17"/>
  <c r="AA19" i="17"/>
  <c r="AA536" i="16"/>
  <c r="AG536" i="16" s="1"/>
  <c r="AA213" i="16"/>
  <c r="AG213" i="16" s="1"/>
  <c r="AA36" i="17"/>
  <c r="AA35" i="17"/>
  <c r="AA545" i="16"/>
  <c r="AG545" i="16" s="1"/>
  <c r="AA184" i="16"/>
  <c r="AG184" i="16" s="1"/>
  <c r="AA176" i="16"/>
  <c r="AG176" i="16" s="1"/>
  <c r="AA524" i="16"/>
  <c r="AG524" i="16" s="1"/>
  <c r="AA186" i="16"/>
  <c r="AG186" i="16" s="1"/>
  <c r="AA537" i="16"/>
  <c r="AG537" i="16" s="1"/>
  <c r="AA178" i="16"/>
  <c r="L178" i="21" s="1"/>
  <c r="O178" i="21" s="1"/>
  <c r="AA526" i="16"/>
  <c r="AG526" i="16" s="1"/>
  <c r="AA171" i="16"/>
  <c r="AG171" i="16" s="1"/>
  <c r="AA443" i="16"/>
  <c r="L443" i="21" s="1"/>
  <c r="O443" i="21" s="1"/>
  <c r="AA132" i="16"/>
  <c r="AG132" i="16" s="1"/>
  <c r="AA434" i="16"/>
  <c r="AG434" i="16" s="1"/>
  <c r="AA125" i="16"/>
  <c r="L125" i="21" s="1"/>
  <c r="O125" i="21" s="1"/>
  <c r="AA306" i="16"/>
  <c r="AG306" i="16" s="1"/>
  <c r="AA94" i="16"/>
  <c r="L94" i="21" s="1"/>
  <c r="O94" i="21" s="1"/>
  <c r="AA297" i="16"/>
  <c r="AG297" i="16" s="1"/>
  <c r="AA276" i="16"/>
  <c r="AG276" i="16" s="1"/>
  <c r="AA455" i="16"/>
  <c r="AG455" i="16" s="1"/>
  <c r="AA293" i="16"/>
  <c r="L293" i="21" s="1"/>
  <c r="O293" i="21" s="1"/>
  <c r="AA32" i="17"/>
  <c r="AA586" i="16"/>
  <c r="AG586" i="16" s="1"/>
  <c r="AA202" i="16"/>
  <c r="AG202" i="16" s="1"/>
  <c r="AA866" i="16"/>
  <c r="L866" i="21" s="1"/>
  <c r="O866" i="21" s="1"/>
  <c r="AA820" i="16"/>
  <c r="AG820" i="16" s="1"/>
  <c r="AA778" i="16"/>
  <c r="AG778" i="16" s="1"/>
  <c r="AA763" i="16"/>
  <c r="AG763" i="16" s="1"/>
  <c r="AA779" i="16"/>
  <c r="AG779" i="16" s="1"/>
  <c r="AA199" i="17"/>
  <c r="AA196" i="17"/>
  <c r="AA212" i="17"/>
  <c r="AA785" i="16"/>
  <c r="AG785" i="16" s="1"/>
  <c r="AA796" i="16"/>
  <c r="AG796" i="16" s="1"/>
  <c r="AA794" i="16"/>
  <c r="AG794" i="16" s="1"/>
  <c r="AA798" i="16"/>
  <c r="AG798" i="16" s="1"/>
  <c r="AA792" i="16"/>
  <c r="AG792" i="16" s="1"/>
  <c r="AA231" i="17"/>
  <c r="AA219" i="17"/>
  <c r="AA222" i="17"/>
  <c r="AA238" i="17"/>
  <c r="AA845" i="16"/>
  <c r="AG845" i="16" s="1"/>
  <c r="AA861" i="16"/>
  <c r="AG861" i="16" s="1"/>
  <c r="AA44" i="16"/>
  <c r="AG44" i="16" s="1"/>
  <c r="AA42" i="16"/>
  <c r="AG42" i="16" s="1"/>
  <c r="AA652" i="16"/>
  <c r="AG652" i="16" s="1"/>
  <c r="AA657" i="16"/>
  <c r="AG657" i="16" s="1"/>
  <c r="AA659" i="16"/>
  <c r="AG659" i="16" s="1"/>
  <c r="AA648" i="16"/>
  <c r="L648" i="21" s="1"/>
  <c r="O648" i="21" s="1"/>
  <c r="AA669" i="16"/>
  <c r="AG669" i="16" s="1"/>
  <c r="AA686" i="16"/>
  <c r="AG686" i="16" s="1"/>
  <c r="AA103" i="16"/>
  <c r="AG103" i="16" s="1"/>
  <c r="AA298" i="16"/>
  <c r="AG298" i="16" s="1"/>
  <c r="AA185" i="16"/>
  <c r="AG185" i="16" s="1"/>
  <c r="AA534" i="16"/>
  <c r="AG534" i="16" s="1"/>
  <c r="AA280" i="16"/>
  <c r="AG280" i="16" s="1"/>
  <c r="AA547" i="16"/>
  <c r="AG547" i="16" s="1"/>
  <c r="AA187" i="16"/>
  <c r="AG187" i="16" s="1"/>
  <c r="AA538" i="16"/>
  <c r="AG538" i="16" s="1"/>
  <c r="AA179" i="16"/>
  <c r="AG179" i="16" s="1"/>
  <c r="AA453" i="16"/>
  <c r="AG453" i="16" s="1"/>
  <c r="AA164" i="16"/>
  <c r="AG164" i="16" s="1"/>
  <c r="AA444" i="16"/>
  <c r="L444" i="21" s="1"/>
  <c r="O444" i="21" s="1"/>
  <c r="AA133" i="16"/>
  <c r="AG133" i="16" s="1"/>
  <c r="AA340" i="16"/>
  <c r="L340" i="21" s="1"/>
  <c r="O340" i="21" s="1"/>
  <c r="AA102" i="16"/>
  <c r="AG102" i="16" s="1"/>
  <c r="AA331" i="16"/>
  <c r="L331" i="21" s="1"/>
  <c r="O331" i="21" s="1"/>
  <c r="AA284" i="16"/>
  <c r="L284" i="21" s="1"/>
  <c r="O284" i="21" s="1"/>
  <c r="AA527" i="16"/>
  <c r="AG527" i="16" s="1"/>
  <c r="AA301" i="16"/>
  <c r="AG301" i="16" s="1"/>
  <c r="AA544" i="16"/>
  <c r="AG544" i="16" s="1"/>
  <c r="AA37" i="17"/>
  <c r="AA583" i="16"/>
  <c r="AG583" i="16" s="1"/>
  <c r="AA594" i="16"/>
  <c r="AG594" i="16" s="1"/>
  <c r="AA39" i="17"/>
  <c r="AA204" i="16"/>
  <c r="AG204" i="16" s="1"/>
  <c r="AA38" i="17"/>
  <c r="AA167" i="16"/>
  <c r="AG167" i="16" s="1"/>
  <c r="AA127" i="16"/>
  <c r="AG127" i="16" s="1"/>
  <c r="AA279" i="16"/>
  <c r="AG279" i="16" s="1"/>
  <c r="AA546" i="16"/>
  <c r="AG546" i="16" s="1"/>
  <c r="AA290" i="16"/>
  <c r="L290" i="21" s="1"/>
  <c r="O290" i="21" s="1"/>
  <c r="AA281" i="16"/>
  <c r="AG281" i="16" s="1"/>
  <c r="AA548" i="16"/>
  <c r="AG548" i="16" s="1"/>
  <c r="AA188" i="16"/>
  <c r="L210" i="21" s="1"/>
  <c r="AA529" i="16"/>
  <c r="AG529" i="16" s="1"/>
  <c r="AA172" i="16"/>
  <c r="AG172" i="16" s="1"/>
  <c r="AA454" i="16"/>
  <c r="AG454" i="16" s="1"/>
  <c r="AA165" i="16"/>
  <c r="AG165" i="16" s="1"/>
  <c r="AA435" i="16"/>
  <c r="AG435" i="16" s="1"/>
  <c r="AA126" i="16"/>
  <c r="AG126" i="16" s="1"/>
  <c r="AA341" i="16"/>
  <c r="AG341" i="16" s="1"/>
  <c r="AA292" i="16"/>
  <c r="AG292" i="16" s="1"/>
  <c r="AA535" i="16"/>
  <c r="AG535" i="16" s="1"/>
  <c r="AA337" i="16"/>
  <c r="L337" i="21" s="1"/>
  <c r="O337" i="21" s="1"/>
  <c r="AA109" i="17"/>
  <c r="AA591" i="16"/>
  <c r="AG591" i="16" s="1"/>
  <c r="AA115" i="17"/>
  <c r="AA108" i="17"/>
  <c r="AA206" i="16"/>
  <c r="AG206" i="16" s="1"/>
  <c r="AA118" i="17"/>
  <c r="AA437" i="16"/>
  <c r="AG437" i="16" s="1"/>
  <c r="AA299" i="16"/>
  <c r="L299" i="21" s="1"/>
  <c r="O299" i="21" s="1"/>
  <c r="AA334" i="16"/>
  <c r="AG334" i="16" s="1"/>
  <c r="AA122" i="16"/>
  <c r="AG122" i="16" s="1"/>
  <c r="AA99" i="16"/>
  <c r="AG99" i="16" s="1"/>
  <c r="AA549" i="16"/>
  <c r="AG549" i="16" s="1"/>
  <c r="AA540" i="16"/>
  <c r="AG540" i="16" s="1"/>
  <c r="AA181" i="16"/>
  <c r="AG181" i="16" s="1"/>
  <c r="AA166" i="16"/>
  <c r="AG166" i="16" s="1"/>
  <c r="AA446" i="16"/>
  <c r="AG446" i="16" s="1"/>
  <c r="AA336" i="16"/>
  <c r="AG336" i="16" s="1"/>
  <c r="AA551" i="16"/>
  <c r="L592" i="21" s="1"/>
  <c r="AA440" i="16"/>
  <c r="AG440" i="16" s="1"/>
  <c r="AA203" i="16"/>
  <c r="AG203" i="16" s="1"/>
  <c r="AA585" i="16"/>
  <c r="AG585" i="16" s="1"/>
  <c r="AA111" i="17"/>
  <c r="AA592" i="16"/>
  <c r="AG592" i="16" s="1"/>
  <c r="AA212" i="16"/>
  <c r="AG212" i="16" s="1"/>
  <c r="AA590" i="16"/>
  <c r="AG590" i="16" s="1"/>
  <c r="AA870" i="16"/>
  <c r="AG870" i="16" s="1"/>
  <c r="AA865" i="16"/>
  <c r="AG865" i="16" s="1"/>
  <c r="AA867" i="16"/>
  <c r="AG867" i="16" s="1"/>
  <c r="AA767" i="16"/>
  <c r="AG767" i="16" s="1"/>
  <c r="AA782" i="16"/>
  <c r="AG782" i="16" s="1"/>
  <c r="AA775" i="16"/>
  <c r="AG775" i="16" s="1"/>
  <c r="AA776" i="16"/>
  <c r="AG776" i="16" s="1"/>
  <c r="AA205" i="17"/>
  <c r="AA204" i="17"/>
  <c r="AA791" i="16"/>
  <c r="AG791" i="16" s="1"/>
  <c r="AA804" i="16"/>
  <c r="AG804" i="16" s="1"/>
  <c r="AA797" i="16"/>
  <c r="AG797" i="16" s="1"/>
  <c r="AA803" i="16"/>
  <c r="AG803" i="16" s="1"/>
  <c r="AA227" i="17"/>
  <c r="AA223" i="17"/>
  <c r="AA233" i="17"/>
  <c r="AA230" i="17"/>
  <c r="AA246" i="17"/>
  <c r="AA855" i="16"/>
  <c r="AG855" i="16" s="1"/>
  <c r="AA886" i="16"/>
  <c r="AG886" i="16" s="1"/>
  <c r="AA851" i="16"/>
  <c r="AG851" i="16" s="1"/>
  <c r="AA40" i="16"/>
  <c r="L40" i="21" s="1"/>
  <c r="AA651" i="16"/>
  <c r="AG651" i="16" s="1"/>
  <c r="AA655" i="16"/>
  <c r="L655" i="21" s="1"/>
  <c r="O655" i="21" s="1"/>
  <c r="AA658" i="16"/>
  <c r="AG658" i="16" s="1"/>
  <c r="AA660" i="16"/>
  <c r="L660" i="21" s="1"/>
  <c r="O660" i="21" s="1"/>
  <c r="AA680" i="16"/>
  <c r="AG680" i="16" s="1"/>
  <c r="AA654" i="16"/>
  <c r="AG654" i="16" s="1"/>
  <c r="AA523" i="16"/>
  <c r="AG523" i="16" s="1"/>
  <c r="AA175" i="16"/>
  <c r="AG175" i="16" s="1"/>
  <c r="AA120" i="16"/>
  <c r="AG120" i="16" s="1"/>
  <c r="AA333" i="16"/>
  <c r="L333" i="21" s="1"/>
  <c r="O333" i="21" s="1"/>
  <c r="AA129" i="16"/>
  <c r="L129" i="21" s="1"/>
  <c r="O129" i="21" s="1"/>
  <c r="AA441" i="16"/>
  <c r="L441" i="21" s="1"/>
  <c r="O441" i="21" s="1"/>
  <c r="AA130" i="16"/>
  <c r="L130" i="21" s="1"/>
  <c r="O130" i="21" s="1"/>
  <c r="AA335" i="16"/>
  <c r="L335" i="21" s="1"/>
  <c r="O335" i="21" s="1"/>
  <c r="AA123" i="16"/>
  <c r="AG123" i="16" s="1"/>
  <c r="AA304" i="16"/>
  <c r="AG304" i="16" s="1"/>
  <c r="AA92" i="16"/>
  <c r="AG92" i="16" s="1"/>
  <c r="AA295" i="16"/>
  <c r="AG295" i="16" s="1"/>
  <c r="AA550" i="16"/>
  <c r="AG550" i="16" s="1"/>
  <c r="AA521" i="16"/>
  <c r="AG521" i="16" s="1"/>
  <c r="AA174" i="16"/>
  <c r="AG174" i="16" s="1"/>
  <c r="AA522" i="16"/>
  <c r="L522" i="21" s="1"/>
  <c r="O522" i="21" s="1"/>
  <c r="AA431" i="16"/>
  <c r="AG431" i="16" s="1"/>
  <c r="AA183" i="16"/>
  <c r="AG183" i="16" s="1"/>
  <c r="AA448" i="16"/>
  <c r="AG448" i="16" s="1"/>
  <c r="AA107" i="17"/>
  <c r="AA205" i="16"/>
  <c r="AG205" i="16" s="1"/>
  <c r="AA27" i="17"/>
  <c r="AA581" i="16"/>
  <c r="AG581" i="16" s="1"/>
  <c r="AA33" i="17"/>
  <c r="AA214" i="16"/>
  <c r="AG214" i="16" s="1"/>
  <c r="AA342" i="16"/>
  <c r="L342" i="21" s="1"/>
  <c r="O342" i="21" s="1"/>
  <c r="AA104" i="16"/>
  <c r="AG104" i="16" s="1"/>
  <c r="AA121" i="16"/>
  <c r="AG121" i="16" s="1"/>
  <c r="AA303" i="16"/>
  <c r="AG303" i="16" s="1"/>
  <c r="AA294" i="16"/>
  <c r="AG294" i="16" s="1"/>
  <c r="AA283" i="16"/>
  <c r="AG283" i="16" s="1"/>
  <c r="AA457" i="16"/>
  <c r="AG457" i="16" s="1"/>
  <c r="AA30" i="17"/>
  <c r="AA770" i="16"/>
  <c r="AG770" i="16" s="1"/>
  <c r="AA760" i="16"/>
  <c r="L763" i="21" s="1"/>
  <c r="AA766" i="16"/>
  <c r="AG766" i="16" s="1"/>
  <c r="AA193" i="17"/>
  <c r="AA203" i="17"/>
  <c r="AA813" i="16"/>
  <c r="AG813" i="16" s="1"/>
  <c r="AA790" i="16"/>
  <c r="AG790" i="16" s="1"/>
  <c r="AA807" i="16"/>
  <c r="AG807" i="16" s="1"/>
  <c r="AA811" i="16"/>
  <c r="AG811" i="16" s="1"/>
  <c r="AA225" i="17"/>
  <c r="AA239" i="17"/>
  <c r="AA249" i="17"/>
  <c r="AA232" i="17"/>
  <c r="AA248" i="17"/>
  <c r="AA860" i="16"/>
  <c r="AG860" i="16" s="1"/>
  <c r="AA847" i="16"/>
  <c r="AG847" i="16" s="1"/>
  <c r="AA883" i="16"/>
  <c r="AG883" i="16" s="1"/>
  <c r="AA48" i="16"/>
  <c r="AG48" i="16" s="1"/>
  <c r="AA665" i="16"/>
  <c r="AG665" i="16" s="1"/>
  <c r="AA667" i="16"/>
  <c r="AG667" i="16" s="1"/>
  <c r="AA671" i="16"/>
  <c r="L671" i="21" s="1"/>
  <c r="O671" i="21" s="1"/>
  <c r="AA674" i="16"/>
  <c r="AG674" i="16" s="1"/>
  <c r="AA645" i="16"/>
  <c r="AG645" i="16" s="1"/>
  <c r="AA662" i="16"/>
  <c r="AG662" i="16" s="1"/>
  <c r="AA533" i="16"/>
  <c r="AG533" i="16" s="1"/>
  <c r="AA288" i="16"/>
  <c r="AG288" i="16" s="1"/>
  <c r="AA128" i="16"/>
  <c r="L128" i="21" s="1"/>
  <c r="O128" i="21" s="1"/>
  <c r="AA438" i="16"/>
  <c r="AG438" i="16" s="1"/>
  <c r="AA169" i="16"/>
  <c r="AG169" i="16" s="1"/>
  <c r="AA451" i="16"/>
  <c r="L451" i="21" s="1"/>
  <c r="O451" i="21" s="1"/>
  <c r="AA162" i="16"/>
  <c r="AG162" i="16" s="1"/>
  <c r="AA442" i="16"/>
  <c r="AG442" i="16" s="1"/>
  <c r="AA131" i="16"/>
  <c r="AG131" i="16" s="1"/>
  <c r="AA338" i="16"/>
  <c r="L338" i="21" s="1"/>
  <c r="O338" i="21" s="1"/>
  <c r="AA100" i="16"/>
  <c r="AG100" i="16" s="1"/>
  <c r="AA305" i="16"/>
  <c r="AG305" i="16" s="1"/>
  <c r="AA93" i="16"/>
  <c r="L93" i="21" s="1"/>
  <c r="O93" i="21" s="1"/>
  <c r="AA286" i="16"/>
  <c r="AG286" i="16" s="1"/>
  <c r="AA531" i="16"/>
  <c r="AG531" i="16" s="1"/>
  <c r="AA182" i="16"/>
  <c r="AG182" i="16" s="1"/>
  <c r="AA532" i="16"/>
  <c r="AG532" i="16" s="1"/>
  <c r="AA439" i="16"/>
  <c r="L439" i="21" s="1"/>
  <c r="O439" i="21" s="1"/>
  <c r="AA277" i="16"/>
  <c r="AG277" i="16" s="1"/>
  <c r="AA456" i="16"/>
  <c r="L456" i="21" s="1"/>
  <c r="O456" i="21" s="1"/>
  <c r="AA593" i="16"/>
  <c r="AG593" i="16" s="1"/>
  <c r="AA207" i="16"/>
  <c r="AG207" i="16" s="1"/>
  <c r="AA106" i="17"/>
  <c r="AA589" i="16"/>
  <c r="AG589" i="16" s="1"/>
  <c r="AA105" i="17"/>
  <c r="AA587" i="16"/>
  <c r="AG587" i="16" s="1"/>
  <c r="AA877" i="16"/>
  <c r="AG877" i="16" s="1"/>
  <c r="AA858" i="16"/>
  <c r="L858" i="21" s="1"/>
  <c r="O858" i="21" s="1"/>
  <c r="AA875" i="16"/>
  <c r="AG875" i="16" s="1"/>
  <c r="AA20" i="16"/>
  <c r="AG20" i="16" s="1"/>
  <c r="AA17" i="16"/>
  <c r="L17" i="21" s="1"/>
  <c r="O17" i="21" s="1"/>
  <c r="AA934" i="16"/>
  <c r="L934" i="21" s="1"/>
  <c r="O934" i="21" s="1"/>
  <c r="AA1006" i="16"/>
  <c r="AG1006" i="16" s="1"/>
  <c r="AA906" i="16"/>
  <c r="AG906" i="16" s="1"/>
  <c r="AA951" i="16"/>
  <c r="L951" i="21" s="1"/>
  <c r="O951" i="21" s="1"/>
  <c r="AA996" i="16"/>
  <c r="AG996" i="16" s="1"/>
  <c r="AA972" i="16"/>
  <c r="AG972" i="16" s="1"/>
  <c r="AA933" i="16"/>
  <c r="AG933" i="16" s="1"/>
  <c r="AA893" i="16"/>
  <c r="AG893" i="16" s="1"/>
  <c r="AA978" i="16"/>
  <c r="AG978" i="16" s="1"/>
  <c r="AA948" i="16"/>
  <c r="AG948" i="16" s="1"/>
  <c r="AA907" i="16"/>
  <c r="AG907" i="16" s="1"/>
  <c r="AA971" i="16"/>
  <c r="AG971" i="16" s="1"/>
  <c r="AA896" i="16"/>
  <c r="AG896" i="16" s="1"/>
  <c r="AA960" i="16"/>
  <c r="L960" i="21" s="1"/>
  <c r="O960" i="21" s="1"/>
  <c r="AA261" i="17"/>
  <c r="AA260" i="17"/>
  <c r="AA262" i="17"/>
  <c r="AA74" i="16"/>
  <c r="AG74" i="16" s="1"/>
  <c r="AA67" i="16"/>
  <c r="AG67" i="16" s="1"/>
  <c r="AA836" i="16"/>
  <c r="AG836" i="16" s="1"/>
  <c r="AA839" i="16"/>
  <c r="AG839" i="16" s="1"/>
  <c r="AA832" i="16"/>
  <c r="L832" i="21" s="1"/>
  <c r="O832" i="21" s="1"/>
  <c r="AA21" i="16"/>
  <c r="AG21" i="16" s="1"/>
  <c r="AA25" i="16"/>
  <c r="AG25" i="16" s="1"/>
  <c r="AA898" i="16"/>
  <c r="L898" i="21" s="1"/>
  <c r="O898" i="21" s="1"/>
  <c r="AA956" i="16"/>
  <c r="AG956" i="16" s="1"/>
  <c r="AA913" i="16"/>
  <c r="AG913" i="16" s="1"/>
  <c r="AA927" i="16"/>
  <c r="L927" i="21" s="1"/>
  <c r="O927" i="21" s="1"/>
  <c r="AA973" i="16"/>
  <c r="AG973" i="16" s="1"/>
  <c r="AA897" i="16"/>
  <c r="L897" i="21" s="1"/>
  <c r="O897" i="21" s="1"/>
  <c r="AA982" i="16"/>
  <c r="AG982" i="16" s="1"/>
  <c r="AA943" i="16"/>
  <c r="AG943" i="16" s="1"/>
  <c r="AA903" i="16"/>
  <c r="L903" i="21" s="1"/>
  <c r="O903" i="21" s="1"/>
  <c r="AA989" i="16"/>
  <c r="AG989" i="16" s="1"/>
  <c r="AA958" i="16"/>
  <c r="L958" i="21" s="1"/>
  <c r="O958" i="21" s="1"/>
  <c r="AA915" i="16"/>
  <c r="AG915" i="16" s="1"/>
  <c r="AA979" i="16"/>
  <c r="AG979" i="16" s="1"/>
  <c r="AA904" i="16"/>
  <c r="AG904" i="16" s="1"/>
  <c r="AA968" i="16"/>
  <c r="AG968" i="16" s="1"/>
  <c r="AA266" i="17"/>
  <c r="AA268" i="17"/>
  <c r="AA1016" i="16"/>
  <c r="AG1016" i="16" s="1"/>
  <c r="AA71" i="16"/>
  <c r="AG71" i="16" s="1"/>
  <c r="AA75" i="16"/>
  <c r="AG75" i="16" s="1"/>
  <c r="AA878" i="16"/>
  <c r="AG878" i="16" s="1"/>
  <c r="AA871" i="16"/>
  <c r="L871" i="21" s="1"/>
  <c r="O871" i="21" s="1"/>
  <c r="AA840" i="16"/>
  <c r="AG840" i="16" s="1"/>
  <c r="AA14" i="16"/>
  <c r="AG14" i="16" s="1"/>
  <c r="AA18" i="16"/>
  <c r="AG18" i="16" s="1"/>
  <c r="AA895" i="16"/>
  <c r="AG895" i="16" s="1"/>
  <c r="AA919" i="16"/>
  <c r="AG919" i="16" s="1"/>
  <c r="AA998" i="16"/>
  <c r="AG998" i="16" s="1"/>
  <c r="AA977" i="16"/>
  <c r="AG977" i="16" s="1"/>
  <c r="AA949" i="16"/>
  <c r="L949" i="21" s="1"/>
  <c r="O949" i="21" s="1"/>
  <c r="AA994" i="16"/>
  <c r="AG994" i="16" s="1"/>
  <c r="AA908" i="16"/>
  <c r="L908" i="21" s="1"/>
  <c r="O908" i="21" s="1"/>
  <c r="AA993" i="16"/>
  <c r="AG993" i="16" s="1"/>
  <c r="AA954" i="16"/>
  <c r="AG954" i="16" s="1"/>
  <c r="AA914" i="16"/>
  <c r="AG914" i="16" s="1"/>
  <c r="AA999" i="16"/>
  <c r="L999" i="21" s="1"/>
  <c r="O999" i="21" s="1"/>
  <c r="AA969" i="16"/>
  <c r="AG969" i="16" s="1"/>
  <c r="AA923" i="16"/>
  <c r="AG923" i="16" s="1"/>
  <c r="AA987" i="16"/>
  <c r="AG987" i="16" s="1"/>
  <c r="AA912" i="16"/>
  <c r="L912" i="21" s="1"/>
  <c r="O912" i="21" s="1"/>
  <c r="AA976" i="16"/>
  <c r="L976" i="21" s="1"/>
  <c r="O976" i="21" s="1"/>
  <c r="AA588" i="16"/>
  <c r="AG588" i="16" s="1"/>
  <c r="AA209" i="16"/>
  <c r="AG209" i="16" s="1"/>
  <c r="AA34" i="17"/>
  <c r="AA119" i="17"/>
  <c r="AA584" i="16"/>
  <c r="AG584" i="16" s="1"/>
  <c r="AA208" i="16"/>
  <c r="AG208" i="16" s="1"/>
  <c r="AA110" i="17"/>
  <c r="AA1020" i="16"/>
  <c r="AG1020" i="16" s="1"/>
  <c r="AA1010" i="16"/>
  <c r="AG1010" i="16" s="1"/>
  <c r="AA1024" i="16"/>
  <c r="AG1024" i="16" s="1"/>
  <c r="AA64" i="16"/>
  <c r="L64" i="21" s="1"/>
  <c r="O64" i="21" s="1"/>
  <c r="AA68" i="16"/>
  <c r="L68" i="21" s="1"/>
  <c r="O68" i="21" s="1"/>
  <c r="AA838" i="16"/>
  <c r="AG838" i="16" s="1"/>
  <c r="AA841" i="16"/>
  <c r="AG841" i="16" s="1"/>
  <c r="AA872" i="16"/>
  <c r="AG872" i="16" s="1"/>
  <c r="AA22" i="16"/>
  <c r="AG22" i="16" s="1"/>
  <c r="AA26" i="16"/>
  <c r="L26" i="21" s="1"/>
  <c r="O26" i="21" s="1"/>
  <c r="AA917" i="16"/>
  <c r="L917" i="21" s="1"/>
  <c r="O917" i="21" s="1"/>
  <c r="AA941" i="16"/>
  <c r="L941" i="21" s="1"/>
  <c r="O941" i="21" s="1"/>
  <c r="AA900" i="16"/>
  <c r="AG900" i="16" s="1"/>
  <c r="AA902" i="16"/>
  <c r="AG902" i="16" s="1"/>
  <c r="AA970" i="16"/>
  <c r="AG970" i="16" s="1"/>
  <c r="AA889" i="16"/>
  <c r="AG889" i="16" s="1"/>
  <c r="AA918" i="16"/>
  <c r="AG918" i="16" s="1"/>
  <c r="AA1004" i="16"/>
  <c r="AG1004" i="16" s="1"/>
  <c r="AA965" i="16"/>
  <c r="L965" i="21" s="1"/>
  <c r="O965" i="21" s="1"/>
  <c r="AA925" i="16"/>
  <c r="AG925" i="16" s="1"/>
  <c r="AA894" i="16"/>
  <c r="AG894" i="16" s="1"/>
  <c r="AA980" i="16"/>
  <c r="L980" i="21" s="1"/>
  <c r="O980" i="21" s="1"/>
  <c r="AA931" i="16"/>
  <c r="AG931" i="16" s="1"/>
  <c r="AA995" i="16"/>
  <c r="AG995" i="16" s="1"/>
  <c r="AA920" i="16"/>
  <c r="AG920" i="16" s="1"/>
  <c r="AA984" i="16"/>
  <c r="AG984" i="16" s="1"/>
  <c r="AA256" i="17"/>
  <c r="AA1018" i="16"/>
  <c r="AG1018" i="16" s="1"/>
  <c r="AA259" i="17"/>
  <c r="AA1014" i="16"/>
  <c r="AG1014" i="16" s="1"/>
  <c r="AA257" i="17"/>
  <c r="AA1011" i="16"/>
  <c r="AG1011" i="16" s="1"/>
  <c r="AA65" i="16"/>
  <c r="AG65" i="16" s="1"/>
  <c r="AA70" i="16"/>
  <c r="AG70" i="16" s="1"/>
  <c r="AA833" i="16"/>
  <c r="AG833" i="16" s="1"/>
  <c r="AA835" i="16"/>
  <c r="AG835" i="16" s="1"/>
  <c r="AA23" i="16"/>
  <c r="AG23" i="16" s="1"/>
  <c r="AA959" i="16"/>
  <c r="AG959" i="16" s="1"/>
  <c r="AA983" i="16"/>
  <c r="L983" i="21" s="1"/>
  <c r="O983" i="21" s="1"/>
  <c r="AA942" i="16"/>
  <c r="AG942" i="16" s="1"/>
  <c r="AA945" i="16"/>
  <c r="AG945" i="16" s="1"/>
  <c r="AA887" i="16"/>
  <c r="L887" i="21" s="1"/>
  <c r="O887" i="21" s="1"/>
  <c r="AA932" i="16"/>
  <c r="AG932" i="16" s="1"/>
  <c r="AA940" i="16"/>
  <c r="AG940" i="16" s="1"/>
  <c r="AA901" i="16"/>
  <c r="L901" i="21" s="1"/>
  <c r="O901" i="21" s="1"/>
  <c r="AA986" i="16"/>
  <c r="L986" i="21" s="1"/>
  <c r="O986" i="21" s="1"/>
  <c r="AA946" i="16"/>
  <c r="AG946" i="16" s="1"/>
  <c r="AA916" i="16"/>
  <c r="AG916" i="16" s="1"/>
  <c r="AA1001" i="16"/>
  <c r="L1001" i="21" s="1"/>
  <c r="O1001" i="21" s="1"/>
  <c r="AA947" i="16"/>
  <c r="AG947" i="16" s="1"/>
  <c r="AA936" i="16"/>
  <c r="L936" i="21" s="1"/>
  <c r="O936" i="21" s="1"/>
  <c r="AA1000" i="16"/>
  <c r="L1000" i="21" s="1"/>
  <c r="O1000" i="21" s="1"/>
  <c r="AA255" i="17"/>
  <c r="AA1013" i="16"/>
  <c r="AG1013" i="16" s="1"/>
  <c r="AA1019" i="16"/>
  <c r="AG1019" i="16" s="1"/>
  <c r="AA258" i="17"/>
  <c r="AA1015" i="16"/>
  <c r="AG1015" i="16" s="1"/>
  <c r="AA265" i="17"/>
  <c r="AA1017" i="16"/>
  <c r="AG1017" i="16" s="1"/>
  <c r="AA1012" i="16"/>
  <c r="AG1012" i="16" s="1"/>
  <c r="AA1022" i="16"/>
  <c r="AG1022" i="16" s="1"/>
  <c r="AA1021" i="16"/>
  <c r="AG1021" i="16" s="1"/>
  <c r="AA267" i="17"/>
  <c r="AA15" i="17"/>
  <c r="AA192" i="16"/>
  <c r="AG192" i="16" s="1"/>
  <c r="AA77" i="17"/>
  <c r="AA22" i="17"/>
  <c r="AA556" i="16"/>
  <c r="AG556" i="16" s="1"/>
  <c r="AA196" i="16"/>
  <c r="AG196" i="16" s="1"/>
  <c r="AA83" i="17"/>
  <c r="AA200" i="16"/>
  <c r="AG200" i="16" s="1"/>
  <c r="AA554" i="16"/>
  <c r="AG554" i="16" s="1"/>
  <c r="AA553" i="16"/>
  <c r="AG553" i="16" s="1"/>
  <c r="AA89" i="17"/>
  <c r="AG842" i="16"/>
  <c r="L842" i="21"/>
  <c r="O842" i="21" s="1"/>
  <c r="AG480" i="16"/>
  <c r="L480" i="21"/>
  <c r="O480" i="21" s="1"/>
  <c r="AG619" i="16"/>
  <c r="L619" i="21"/>
  <c r="O619" i="21" s="1"/>
  <c r="L1005" i="21"/>
  <c r="O1005" i="21" s="1"/>
  <c r="L928" i="21"/>
  <c r="O928" i="21" s="1"/>
  <c r="AG992" i="16"/>
  <c r="AG666" i="16"/>
  <c r="L666" i="21"/>
  <c r="O666" i="21" s="1"/>
  <c r="AG656" i="16"/>
  <c r="L656" i="21"/>
  <c r="O656" i="21" s="1"/>
  <c r="AG239" i="16"/>
  <c r="L239" i="21"/>
  <c r="O239" i="21" s="1"/>
  <c r="AG632" i="16"/>
  <c r="L632" i="21"/>
  <c r="O632" i="21" s="1"/>
  <c r="AG602" i="16"/>
  <c r="L602" i="21"/>
  <c r="O602" i="21" s="1"/>
  <c r="AG600" i="16"/>
  <c r="L600" i="21"/>
  <c r="O600" i="21" s="1"/>
  <c r="AG79" i="16"/>
  <c r="AG240" i="16"/>
  <c r="L240" i="21"/>
  <c r="O240" i="21" s="1"/>
  <c r="L219" i="21"/>
  <c r="O219" i="21" s="1"/>
  <c r="AG155" i="16"/>
  <c r="L155" i="21"/>
  <c r="O155" i="21" s="1"/>
  <c r="L315" i="21"/>
  <c r="O315" i="21" s="1"/>
  <c r="AG234" i="16"/>
  <c r="L234" i="21"/>
  <c r="O234" i="21" s="1"/>
  <c r="AG225" i="16"/>
  <c r="AG309" i="16"/>
  <c r="L309" i="21"/>
  <c r="O309" i="21" s="1"/>
  <c r="AG488" i="16"/>
  <c r="L560" i="21"/>
  <c r="O560" i="21" s="1"/>
  <c r="L552" i="21"/>
  <c r="L565" i="21"/>
  <c r="L557" i="21"/>
  <c r="O557" i="21" s="1"/>
  <c r="L554" i="21"/>
  <c r="L558" i="21"/>
  <c r="L555" i="21"/>
  <c r="O555" i="21" s="1"/>
  <c r="L564" i="21"/>
  <c r="O564" i="21" s="1"/>
  <c r="L561" i="21"/>
  <c r="O561" i="21" s="1"/>
  <c r="L553" i="21"/>
  <c r="L566" i="21"/>
  <c r="L562" i="21"/>
  <c r="L556" i="21"/>
  <c r="L559" i="21"/>
  <c r="L563" i="21"/>
  <c r="L488" i="21"/>
  <c r="O488" i="21" s="1"/>
  <c r="AG620" i="16"/>
  <c r="L620" i="21"/>
  <c r="O620" i="21" s="1"/>
  <c r="L966" i="21"/>
  <c r="O966" i="21" s="1"/>
  <c r="AG46" i="16"/>
  <c r="L46" i="21"/>
  <c r="O46" i="21" s="1"/>
  <c r="AG682" i="16"/>
  <c r="AG664" i="16"/>
  <c r="L664" i="21"/>
  <c r="O664" i="21" s="1"/>
  <c r="AG278" i="16"/>
  <c r="AG96" i="16"/>
  <c r="L96" i="21"/>
  <c r="O96" i="21" s="1"/>
  <c r="L828" i="21"/>
  <c r="O828" i="21" s="1"/>
  <c r="L116" i="21"/>
  <c r="O116" i="21" s="1"/>
  <c r="AG73" i="16"/>
  <c r="AG876" i="16"/>
  <c r="L876" i="21"/>
  <c r="O876" i="21" s="1"/>
  <c r="AG603" i="16"/>
  <c r="L603" i="21"/>
  <c r="O603" i="21" s="1"/>
  <c r="AG143" i="16"/>
  <c r="L143" i="21"/>
  <c r="O143" i="21" s="1"/>
  <c r="AG111" i="16"/>
  <c r="L111" i="21"/>
  <c r="O111" i="21" s="1"/>
  <c r="AG82" i="16"/>
  <c r="L82" i="21"/>
  <c r="O82" i="21" s="1"/>
  <c r="L229" i="21"/>
  <c r="O229" i="21" s="1"/>
  <c r="AG475" i="16"/>
  <c r="L475" i="21"/>
  <c r="O475" i="21" s="1"/>
  <c r="L385" i="21"/>
  <c r="O385" i="21" s="1"/>
  <c r="AG86" i="16"/>
  <c r="L86" i="21"/>
  <c r="O86" i="21" s="1"/>
  <c r="AG910" i="16"/>
  <c r="L910" i="21"/>
  <c r="O910" i="21" s="1"/>
  <c r="AG891" i="16"/>
  <c r="AG944" i="16"/>
  <c r="L944" i="21"/>
  <c r="O944" i="21" s="1"/>
  <c r="L1028" i="21"/>
  <c r="O1028" i="21" s="1"/>
  <c r="AG642" i="16"/>
  <c r="L642" i="21"/>
  <c r="O642" i="21" s="1"/>
  <c r="AG649" i="16"/>
  <c r="L649" i="21"/>
  <c r="O649" i="21" s="1"/>
  <c r="AG672" i="16"/>
  <c r="AG646" i="16"/>
  <c r="L646" i="21"/>
  <c r="O646" i="21" s="1"/>
  <c r="L280" i="21"/>
  <c r="O280" i="21" s="1"/>
  <c r="AG152" i="16"/>
  <c r="L152" i="21"/>
  <c r="O152" i="21" s="1"/>
  <c r="AG626" i="16"/>
  <c r="L626" i="21"/>
  <c r="O626" i="21" s="1"/>
  <c r="AG629" i="16"/>
  <c r="L629" i="21"/>
  <c r="O629" i="21" s="1"/>
  <c r="AG874" i="16"/>
  <c r="L874" i="21"/>
  <c r="O874" i="21" s="1"/>
  <c r="AG637" i="16"/>
  <c r="L637" i="21"/>
  <c r="O637" i="21" s="1"/>
  <c r="AG834" i="16"/>
  <c r="L834" i="21"/>
  <c r="O834" i="21" s="1"/>
  <c r="AG604" i="16"/>
  <c r="L604" i="21"/>
  <c r="O604" i="21" s="1"/>
  <c r="AG597" i="16"/>
  <c r="L597" i="21"/>
  <c r="O597" i="21" s="1"/>
  <c r="L80" i="21"/>
  <c r="O80" i="21" s="1"/>
  <c r="AG470" i="16"/>
  <c r="L470" i="21"/>
  <c r="O470" i="21" s="1"/>
  <c r="AG382" i="16"/>
  <c r="L382" i="21"/>
  <c r="O382" i="21" s="1"/>
  <c r="AG90" i="16"/>
  <c r="L90" i="21"/>
  <c r="O90" i="21" s="1"/>
  <c r="AG241" i="16"/>
  <c r="L241" i="21"/>
  <c r="O241" i="21" s="1"/>
  <c r="AG156" i="16"/>
  <c r="L156" i="21"/>
  <c r="O156" i="21" s="1"/>
  <c r="AG395" i="16"/>
  <c r="L395" i="21"/>
  <c r="O395" i="21" s="1"/>
  <c r="AG318" i="16"/>
  <c r="L318" i="21"/>
  <c r="O318" i="21" s="1"/>
  <c r="AG245" i="16"/>
  <c r="AG611" i="16"/>
  <c r="L611" i="21"/>
  <c r="O611" i="21" s="1"/>
  <c r="AG616" i="16"/>
  <c r="L616" i="21"/>
  <c r="O616" i="21" s="1"/>
  <c r="AG885" i="16"/>
  <c r="L885" i="21"/>
  <c r="O885" i="21" s="1"/>
  <c r="AG999" i="16"/>
  <c r="AG963" i="16"/>
  <c r="L963" i="21"/>
  <c r="O963" i="21" s="1"/>
  <c r="L1030" i="21"/>
  <c r="O1030" i="21" s="1"/>
  <c r="AG285" i="16"/>
  <c r="L285" i="21"/>
  <c r="O285" i="21" s="1"/>
  <c r="AG635" i="16"/>
  <c r="L635" i="21"/>
  <c r="O635" i="21" s="1"/>
  <c r="AG462" i="16"/>
  <c r="AG639" i="16"/>
  <c r="AG628" i="16"/>
  <c r="L628" i="21"/>
  <c r="O628" i="21" s="1"/>
  <c r="AG630" i="16"/>
  <c r="L630" i="21"/>
  <c r="O630" i="21" s="1"/>
  <c r="AG607" i="16"/>
  <c r="L607" i="21"/>
  <c r="O607" i="21" s="1"/>
  <c r="AG605" i="16"/>
  <c r="L605" i="21"/>
  <c r="O605" i="21" s="1"/>
  <c r="L88" i="21"/>
  <c r="O88" i="21" s="1"/>
  <c r="AG482" i="16"/>
  <c r="L482" i="21"/>
  <c r="O482" i="21" s="1"/>
  <c r="AG392" i="16"/>
  <c r="L392" i="21"/>
  <c r="O392" i="21" s="1"/>
  <c r="AG106" i="16"/>
  <c r="L106" i="21"/>
  <c r="O106" i="21" s="1"/>
  <c r="L313" i="21"/>
  <c r="O313" i="21" s="1"/>
  <c r="AG83" i="16"/>
  <c r="L83" i="21"/>
  <c r="O83" i="21" s="1"/>
  <c r="AG466" i="16"/>
  <c r="L466" i="21"/>
  <c r="O466" i="21" s="1"/>
  <c r="L141" i="21"/>
  <c r="O141" i="21" s="1"/>
  <c r="AG386" i="16"/>
  <c r="L386" i="21"/>
  <c r="O386" i="21" s="1"/>
  <c r="AG118" i="16"/>
  <c r="L118" i="21"/>
  <c r="O118" i="21" s="1"/>
  <c r="AG388" i="16"/>
  <c r="L388" i="21"/>
  <c r="O388" i="21" s="1"/>
  <c r="AG389" i="16"/>
  <c r="AG612" i="16"/>
  <c r="L612" i="21"/>
  <c r="O612" i="21" s="1"/>
  <c r="AG624" i="16"/>
  <c r="L624" i="21"/>
  <c r="O624" i="21" s="1"/>
  <c r="L930" i="21"/>
  <c r="O930" i="21" s="1"/>
  <c r="AG953" i="16"/>
  <c r="AG975" i="16"/>
  <c r="L975" i="21"/>
  <c r="O975" i="21" s="1"/>
  <c r="L1036" i="21"/>
  <c r="O1036" i="21" s="1"/>
  <c r="AG333" i="16"/>
  <c r="AG609" i="16"/>
  <c r="AG479" i="16"/>
  <c r="L479" i="21"/>
  <c r="O479" i="21" s="1"/>
  <c r="AG638" i="16"/>
  <c r="L638" i="21"/>
  <c r="O638" i="21" s="1"/>
  <c r="AG596" i="16"/>
  <c r="L596" i="21"/>
  <c r="AG237" i="16"/>
  <c r="L237" i="21"/>
  <c r="O237" i="21" s="1"/>
  <c r="AG161" i="16"/>
  <c r="L199" i="21"/>
  <c r="O199" i="21" s="1"/>
  <c r="L191" i="21"/>
  <c r="O191" i="21" s="1"/>
  <c r="L196" i="21"/>
  <c r="L189" i="21"/>
  <c r="L192" i="21"/>
  <c r="L197" i="21"/>
  <c r="L193" i="21"/>
  <c r="O193" i="21" s="1"/>
  <c r="L200" i="21"/>
  <c r="L195" i="21"/>
  <c r="O195" i="21" s="1"/>
  <c r="L201" i="21"/>
  <c r="L194" i="21"/>
  <c r="L190" i="21"/>
  <c r="L198" i="21"/>
  <c r="L161" i="21"/>
  <c r="O161" i="21" s="1"/>
  <c r="AG402" i="16"/>
  <c r="L402" i="21"/>
  <c r="O402" i="21" s="1"/>
  <c r="AG114" i="16"/>
  <c r="L114" i="21"/>
  <c r="O114" i="21" s="1"/>
  <c r="AG383" i="16"/>
  <c r="L383" i="21"/>
  <c r="O383" i="21" s="1"/>
  <c r="L476" i="21"/>
  <c r="O476" i="21" s="1"/>
  <c r="AG149" i="16"/>
  <c r="L149" i="21"/>
  <c r="O149" i="21" s="1"/>
  <c r="AG142" i="16"/>
  <c r="L142" i="21"/>
  <c r="O142" i="21" s="1"/>
  <c r="AG387" i="16"/>
  <c r="L387" i="21"/>
  <c r="O387" i="21" s="1"/>
  <c r="AG396" i="16"/>
  <c r="L396" i="21"/>
  <c r="O396" i="21" s="1"/>
  <c r="AG613" i="16"/>
  <c r="L613" i="21"/>
  <c r="O613" i="21" s="1"/>
  <c r="L22" i="21"/>
  <c r="O22" i="21" s="1"/>
  <c r="AG1038" i="16"/>
  <c r="AG676" i="16"/>
  <c r="L676" i="21"/>
  <c r="O676" i="21" s="1"/>
  <c r="AG683" i="16"/>
  <c r="L683" i="21"/>
  <c r="O683" i="21" s="1"/>
  <c r="L204" i="21"/>
  <c r="L202" i="21"/>
  <c r="AG93" i="16"/>
  <c r="L147" i="21"/>
  <c r="O147" i="21" s="1"/>
  <c r="AG631" i="16"/>
  <c r="L631" i="21"/>
  <c r="O631" i="21" s="1"/>
  <c r="AG598" i="16"/>
  <c r="L598" i="21"/>
  <c r="O598" i="21" s="1"/>
  <c r="AG608" i="16"/>
  <c r="L608" i="21"/>
  <c r="O608" i="21" s="1"/>
  <c r="AG606" i="16"/>
  <c r="L606" i="21"/>
  <c r="O606" i="21" s="1"/>
  <c r="AG119" i="16"/>
  <c r="L119" i="21"/>
  <c r="O119" i="21" s="1"/>
  <c r="AG461" i="16"/>
  <c r="L461" i="21"/>
  <c r="O461" i="21" s="1"/>
  <c r="AG393" i="16"/>
  <c r="L393" i="21"/>
  <c r="O393" i="21" s="1"/>
  <c r="AG150" i="16"/>
  <c r="L150" i="21"/>
  <c r="O150" i="21" s="1"/>
  <c r="AG399" i="16"/>
  <c r="AG463" i="16"/>
  <c r="L463" i="21"/>
  <c r="O463" i="21" s="1"/>
  <c r="AG617" i="16"/>
  <c r="L617" i="21"/>
  <c r="O617" i="21" s="1"/>
  <c r="AG621" i="16"/>
  <c r="L621" i="21"/>
  <c r="O621" i="21" s="1"/>
  <c r="AG844" i="16"/>
  <c r="L844" i="21"/>
  <c r="O844" i="21" s="1"/>
  <c r="L938" i="21"/>
  <c r="O938" i="21" s="1"/>
  <c r="AG962" i="16"/>
  <c r="AG1025" i="16"/>
  <c r="AG643" i="16"/>
  <c r="L643" i="21"/>
  <c r="O643" i="21" s="1"/>
  <c r="AG661" i="16"/>
  <c r="AG678" i="16"/>
  <c r="L678" i="21"/>
  <c r="O678" i="21" s="1"/>
  <c r="AG91" i="16"/>
  <c r="AG543" i="16"/>
  <c r="AG636" i="16"/>
  <c r="L636" i="21"/>
  <c r="O636" i="21" s="1"/>
  <c r="AG154" i="16"/>
  <c r="L154" i="21"/>
  <c r="O154" i="21" s="1"/>
  <c r="AG633" i="16"/>
  <c r="L633" i="21"/>
  <c r="O633" i="21" s="1"/>
  <c r="AG625" i="16"/>
  <c r="L625" i="21"/>
  <c r="O625" i="21" s="1"/>
  <c r="AG634" i="16"/>
  <c r="L634" i="21"/>
  <c r="O634" i="21" s="1"/>
  <c r="L838" i="21"/>
  <c r="O838" i="21" s="1"/>
  <c r="AG599" i="16"/>
  <c r="L599" i="21"/>
  <c r="O599" i="21" s="1"/>
  <c r="AG135" i="16"/>
  <c r="L135" i="21"/>
  <c r="O135" i="21" s="1"/>
  <c r="AG379" i="16"/>
  <c r="L379" i="21"/>
  <c r="O379" i="21" s="1"/>
  <c r="AG89" i="16"/>
  <c r="L89" i="21"/>
  <c r="O89" i="21" s="1"/>
  <c r="AG218" i="16"/>
  <c r="L218" i="21"/>
  <c r="O218" i="21" s="1"/>
  <c r="L139" i="21"/>
  <c r="O139" i="21" s="1"/>
  <c r="L477" i="21"/>
  <c r="O477" i="21" s="1"/>
  <c r="AG458" i="16"/>
  <c r="L458" i="21"/>
  <c r="O458" i="21" s="1"/>
  <c r="AG618" i="16"/>
  <c r="L618" i="21"/>
  <c r="O618" i="21" s="1"/>
  <c r="AG614" i="16"/>
  <c r="L614" i="21"/>
  <c r="O614" i="21" s="1"/>
  <c r="AG853" i="16"/>
  <c r="L853" i="21"/>
  <c r="O853" i="21" s="1"/>
  <c r="AG854" i="16"/>
  <c r="L854" i="21"/>
  <c r="O854" i="21" s="1"/>
  <c r="L920" i="21"/>
  <c r="O920" i="21" s="1"/>
  <c r="AG1037" i="16"/>
  <c r="AG539" i="16"/>
  <c r="L539" i="21"/>
  <c r="O539" i="21" s="1"/>
  <c r="Y5" i="12"/>
  <c r="X49" i="12"/>
  <c r="Y5" i="13"/>
  <c r="X49" i="13"/>
  <c r="AG81" i="16" l="1"/>
  <c r="L542" i="21"/>
  <c r="O542" i="21" s="1"/>
  <c r="L622" i="21"/>
  <c r="O622" i="21" s="1"/>
  <c r="L601" i="21"/>
  <c r="O601" i="21" s="1"/>
  <c r="L848" i="21"/>
  <c r="O848" i="21" s="1"/>
  <c r="L623" i="21"/>
  <c r="O623" i="21" s="1"/>
  <c r="L882" i="21"/>
  <c r="O882" i="21" s="1"/>
  <c r="L909" i="21"/>
  <c r="O909" i="21" s="1"/>
  <c r="O563" i="21"/>
  <c r="AG528" i="16"/>
  <c r="L1039" i="21"/>
  <c r="O1039" i="21" s="1"/>
  <c r="L157" i="21"/>
  <c r="O157" i="21" s="1"/>
  <c r="AG857" i="16"/>
  <c r="L650" i="21"/>
  <c r="O650" i="21" s="1"/>
  <c r="L227" i="21"/>
  <c r="O227" i="21" s="1"/>
  <c r="L117" i="21"/>
  <c r="O117" i="21" s="1"/>
  <c r="L109" i="21"/>
  <c r="O109" i="21" s="1"/>
  <c r="L937" i="21"/>
  <c r="O937" i="21" s="1"/>
  <c r="L677" i="21"/>
  <c r="O677" i="21" s="1"/>
  <c r="L823" i="21"/>
  <c r="O823" i="21" s="1"/>
  <c r="L398" i="21"/>
  <c r="O398" i="21" s="1"/>
  <c r="L651" i="21"/>
  <c r="O651" i="21" s="1"/>
  <c r="AG610" i="16"/>
  <c r="O562" i="21"/>
  <c r="L78" i="21"/>
  <c r="O78" i="21" s="1"/>
  <c r="L137" i="21"/>
  <c r="O137" i="21" s="1"/>
  <c r="L685" i="21"/>
  <c r="O685" i="21" s="1"/>
  <c r="AG472" i="16"/>
  <c r="L43" i="21"/>
  <c r="O43" i="21" s="1"/>
  <c r="L105" i="21"/>
  <c r="O105" i="21" s="1"/>
  <c r="AG826" i="16"/>
  <c r="L148" i="21"/>
  <c r="O148" i="21" s="1"/>
  <c r="L113" i="21"/>
  <c r="O113" i="21" s="1"/>
  <c r="L991" i="21"/>
  <c r="O991" i="21" s="1"/>
  <c r="L77" i="21"/>
  <c r="O77" i="21" s="1"/>
  <c r="L307" i="21"/>
  <c r="O307" i="21" s="1"/>
  <c r="L153" i="21"/>
  <c r="O153" i="21" s="1"/>
  <c r="L627" i="21"/>
  <c r="O627" i="21" s="1"/>
  <c r="L145" i="21"/>
  <c r="O145" i="21" s="1"/>
  <c r="L235" i="21"/>
  <c r="O235" i="21" s="1"/>
  <c r="AG673" i="16"/>
  <c r="AG444" i="16"/>
  <c r="AG291" i="16"/>
  <c r="L974" i="21"/>
  <c r="O974" i="21" s="1"/>
  <c r="K9" i="37"/>
  <c r="K7" i="37"/>
  <c r="K13" i="37" s="1"/>
  <c r="K11" i="37"/>
  <c r="L168" i="21"/>
  <c r="O168" i="21" s="1"/>
  <c r="AG615" i="16"/>
  <c r="AB69" i="8"/>
  <c r="K7" i="38"/>
  <c r="C15" i="37"/>
  <c r="C14" i="37"/>
  <c r="L837" i="21"/>
  <c r="O837" i="21" s="1"/>
  <c r="K11" i="38"/>
  <c r="M11" i="38" s="1"/>
  <c r="L403" i="21"/>
  <c r="O403" i="21" s="1"/>
  <c r="AG859" i="16"/>
  <c r="L49" i="21"/>
  <c r="O49" i="21" s="1"/>
  <c r="L289" i="21"/>
  <c r="O289" i="21" s="1"/>
  <c r="L66" i="21"/>
  <c r="O66" i="21" s="1"/>
  <c r="L72" i="21"/>
  <c r="O72" i="21" s="1"/>
  <c r="L222" i="21"/>
  <c r="O222" i="21" s="1"/>
  <c r="AG381" i="16"/>
  <c r="L465" i="21"/>
  <c r="O465" i="21" s="1"/>
  <c r="L311" i="21"/>
  <c r="O311" i="21" s="1"/>
  <c r="L924" i="21"/>
  <c r="O924" i="21" s="1"/>
  <c r="L144" i="21"/>
  <c r="O144" i="21" s="1"/>
  <c r="L486" i="21"/>
  <c r="O486" i="21" s="1"/>
  <c r="AG473" i="16"/>
  <c r="L243" i="21"/>
  <c r="O243" i="21" s="1"/>
  <c r="L892" i="21"/>
  <c r="O892" i="21" s="1"/>
  <c r="L981" i="21"/>
  <c r="O981" i="21" s="1"/>
  <c r="L236" i="21"/>
  <c r="O236" i="21" s="1"/>
  <c r="L221" i="21"/>
  <c r="O221" i="21" s="1"/>
  <c r="L873" i="21"/>
  <c r="O873" i="21" s="1"/>
  <c r="L151" i="21"/>
  <c r="O151" i="21" s="1"/>
  <c r="L460" i="21"/>
  <c r="O460" i="21" s="1"/>
  <c r="L843" i="21"/>
  <c r="O843" i="21" s="1"/>
  <c r="L401" i="21"/>
  <c r="O401" i="21" s="1"/>
  <c r="AG224" i="16"/>
  <c r="AG238" i="16"/>
  <c r="AG233" i="16"/>
  <c r="L905" i="21"/>
  <c r="O905" i="21" s="1"/>
  <c r="AG687" i="16"/>
  <c r="L397" i="21"/>
  <c r="O397" i="21" s="1"/>
  <c r="AG76" i="16"/>
  <c r="L220" i="21"/>
  <c r="O220" i="21" s="1"/>
  <c r="AG822" i="16"/>
  <c r="L244" i="21"/>
  <c r="O244" i="21" s="1"/>
  <c r="L183" i="21"/>
  <c r="O183" i="21" s="1"/>
  <c r="L1002" i="21"/>
  <c r="O1002" i="21" s="1"/>
  <c r="L400" i="21"/>
  <c r="O400" i="21" s="1"/>
  <c r="L445" i="21"/>
  <c r="O445" i="21" s="1"/>
  <c r="AG293" i="16"/>
  <c r="AG976" i="16"/>
  <c r="L675" i="21"/>
  <c r="O675" i="21" s="1"/>
  <c r="L177" i="21"/>
  <c r="O177" i="21" s="1"/>
  <c r="L231" i="21"/>
  <c r="O231" i="21" s="1"/>
  <c r="L108" i="21"/>
  <c r="O108" i="21" s="1"/>
  <c r="L136" i="21"/>
  <c r="O136" i="21" s="1"/>
  <c r="O190" i="21"/>
  <c r="L87" i="21"/>
  <c r="O87" i="21" s="1"/>
  <c r="L888" i="21"/>
  <c r="O888" i="21" s="1"/>
  <c r="O566" i="21"/>
  <c r="L160" i="21"/>
  <c r="O160" i="21" s="1"/>
  <c r="L833" i="21"/>
  <c r="O833" i="21" s="1"/>
  <c r="L524" i="21"/>
  <c r="O524" i="21" s="1"/>
  <c r="L132" i="21"/>
  <c r="O132" i="21" s="1"/>
  <c r="AG215" i="16"/>
  <c r="L317" i="21"/>
  <c r="O317" i="21" s="1"/>
  <c r="O552" i="21"/>
  <c r="L69" i="21"/>
  <c r="O69" i="21" s="1"/>
  <c r="L964" i="21"/>
  <c r="O964" i="21" s="1"/>
  <c r="L65" i="21"/>
  <c r="O65" i="21" s="1"/>
  <c r="M7" i="38"/>
  <c r="M13" i="38" s="1"/>
  <c r="K13" i="38"/>
  <c r="L945" i="21"/>
  <c r="O945" i="21" s="1"/>
  <c r="M9" i="38"/>
  <c r="K15" i="38"/>
  <c r="K14" i="38"/>
  <c r="AG951" i="16"/>
  <c r="AG655" i="16"/>
  <c r="L484" i="21"/>
  <c r="O484" i="21" s="1"/>
  <c r="L279" i="21"/>
  <c r="O279" i="21" s="1"/>
  <c r="L998" i="21"/>
  <c r="O998" i="21" s="1"/>
  <c r="L75" i="21"/>
  <c r="O75" i="21" s="1"/>
  <c r="L316" i="21"/>
  <c r="O316" i="21" s="1"/>
  <c r="L336" i="21"/>
  <c r="O336" i="21" s="1"/>
  <c r="L659" i="21"/>
  <c r="O659" i="21" s="1"/>
  <c r="AG158" i="16"/>
  <c r="L785" i="21"/>
  <c r="O785" i="21" s="1"/>
  <c r="L223" i="21"/>
  <c r="O223" i="21" s="1"/>
  <c r="AG159" i="16"/>
  <c r="O202" i="21"/>
  <c r="L915" i="21"/>
  <c r="O915" i="21" s="1"/>
  <c r="AG927" i="16"/>
  <c r="AG128" i="16"/>
  <c r="L890" i="21"/>
  <c r="O890" i="21" s="1"/>
  <c r="L380" i="21"/>
  <c r="O380" i="21" s="1"/>
  <c r="L217" i="21"/>
  <c r="O217" i="21" s="1"/>
  <c r="L469" i="21"/>
  <c r="O469" i="21" s="1"/>
  <c r="L391" i="21"/>
  <c r="O391" i="21" s="1"/>
  <c r="L679" i="21"/>
  <c r="O679" i="21" s="1"/>
  <c r="AG985" i="16"/>
  <c r="L306" i="21"/>
  <c r="O306" i="21" s="1"/>
  <c r="AG337" i="16"/>
  <c r="L467" i="21"/>
  <c r="O467" i="21" s="1"/>
  <c r="L84" i="21"/>
  <c r="O84" i="21" s="1"/>
  <c r="AG917" i="16"/>
  <c r="O197" i="21"/>
  <c r="L665" i="21"/>
  <c r="O665" i="21" s="1"/>
  <c r="L295" i="21"/>
  <c r="O295" i="21" s="1"/>
  <c r="O559" i="21"/>
  <c r="O558" i="21"/>
  <c r="AG125" i="16"/>
  <c r="L950" i="21"/>
  <c r="O950" i="21" s="1"/>
  <c r="L107" i="21"/>
  <c r="O107" i="21" s="1"/>
  <c r="O198" i="21"/>
  <c r="L940" i="21"/>
  <c r="O940" i="21" s="1"/>
  <c r="L877" i="21"/>
  <c r="O877" i="21" s="1"/>
  <c r="AG879" i="16"/>
  <c r="L308" i="21"/>
  <c r="O308" i="21" s="1"/>
  <c r="L133" i="21"/>
  <c r="O133" i="21" s="1"/>
  <c r="AG1003" i="16"/>
  <c r="AG115" i="16"/>
  <c r="AG312" i="16"/>
  <c r="L1007" i="21"/>
  <c r="O1007" i="21" s="1"/>
  <c r="L334" i="21"/>
  <c r="O334" i="21" s="1"/>
  <c r="L836" i="21"/>
  <c r="O836" i="21" s="1"/>
  <c r="L537" i="21"/>
  <c r="O537" i="21" s="1"/>
  <c r="L997" i="21"/>
  <c r="O997" i="21" s="1"/>
  <c r="L121" i="21"/>
  <c r="O121" i="21" s="1"/>
  <c r="L100" i="21"/>
  <c r="O100" i="21" s="1"/>
  <c r="L478" i="21"/>
  <c r="O478" i="21" s="1"/>
  <c r="L85" i="21"/>
  <c r="O85" i="21" s="1"/>
  <c r="L230" i="21"/>
  <c r="O230" i="21" s="1"/>
  <c r="L971" i="21"/>
  <c r="O971" i="21" s="1"/>
  <c r="L702" i="21"/>
  <c r="O702" i="21" s="1"/>
  <c r="AG216" i="16"/>
  <c r="L277" i="21"/>
  <c r="O277" i="21" s="1"/>
  <c r="O565" i="21"/>
  <c r="L454" i="21"/>
  <c r="O454" i="21" s="1"/>
  <c r="AG961" i="16"/>
  <c r="L544" i="21"/>
  <c r="O544" i="21" s="1"/>
  <c r="L768" i="21"/>
  <c r="O768" i="21" s="1"/>
  <c r="L228" i="21"/>
  <c r="O228" i="21" s="1"/>
  <c r="L138" i="21"/>
  <c r="O138" i="21" s="1"/>
  <c r="AG436" i="16"/>
  <c r="L468" i="21"/>
  <c r="O468" i="21" s="1"/>
  <c r="L459" i="21"/>
  <c r="O459" i="21" s="1"/>
  <c r="AG1035" i="16"/>
  <c r="L481" i="21"/>
  <c r="O481" i="21" s="1"/>
  <c r="AG1034" i="16"/>
  <c r="L863" i="21"/>
  <c r="O863" i="21" s="1"/>
  <c r="L110" i="21"/>
  <c r="O110" i="21" s="1"/>
  <c r="L471" i="21"/>
  <c r="O471" i="21" s="1"/>
  <c r="L849" i="21"/>
  <c r="O849" i="21" s="1"/>
  <c r="L20" i="21"/>
  <c r="O20" i="21" s="1"/>
  <c r="L921" i="21"/>
  <c r="O921" i="21" s="1"/>
  <c r="AG242" i="16"/>
  <c r="AG983" i="16"/>
  <c r="AG130" i="16"/>
  <c r="AG451" i="16"/>
  <c r="AG1001" i="16"/>
  <c r="L146" i="21"/>
  <c r="O146" i="21" s="1"/>
  <c r="L390" i="21"/>
  <c r="O390" i="21" s="1"/>
  <c r="L450" i="21"/>
  <c r="O450" i="21" s="1"/>
  <c r="L990" i="21"/>
  <c r="O990" i="21" s="1"/>
  <c r="L911" i="21"/>
  <c r="O911" i="21" s="1"/>
  <c r="L314" i="21"/>
  <c r="O314" i="21" s="1"/>
  <c r="L226" i="21"/>
  <c r="O226" i="21" s="1"/>
  <c r="L212" i="21"/>
  <c r="O212" i="21" s="1"/>
  <c r="AG95" i="16"/>
  <c r="L1031" i="21"/>
  <c r="O1031" i="21" s="1"/>
  <c r="AG980" i="16"/>
  <c r="L112" i="21"/>
  <c r="O112" i="21" s="1"/>
  <c r="AG98" i="16"/>
  <c r="L232" i="21"/>
  <c r="O232" i="21" s="1"/>
  <c r="L485" i="21"/>
  <c r="O485" i="21" s="1"/>
  <c r="L126" i="21"/>
  <c r="O126" i="21" s="1"/>
  <c r="L474" i="21"/>
  <c r="O474" i="21" s="1"/>
  <c r="AG926" i="16"/>
  <c r="AG331" i="16"/>
  <c r="L541" i="21"/>
  <c r="O541" i="21" s="1"/>
  <c r="L957" i="21"/>
  <c r="O957" i="21" s="1"/>
  <c r="L653" i="21"/>
  <c r="O653" i="21" s="1"/>
  <c r="L935" i="21"/>
  <c r="O935" i="21" s="1"/>
  <c r="O189" i="21"/>
  <c r="L302" i="21"/>
  <c r="O302" i="21" s="1"/>
  <c r="L674" i="21"/>
  <c r="O674" i="21" s="1"/>
  <c r="AG960" i="16"/>
  <c r="L134" i="21"/>
  <c r="O134" i="21" s="1"/>
  <c r="L433" i="21"/>
  <c r="O433" i="21" s="1"/>
  <c r="AG40" i="16"/>
  <c r="L394" i="21"/>
  <c r="O394" i="21" s="1"/>
  <c r="L1022" i="21"/>
  <c r="L967" i="21"/>
  <c r="O967" i="21" s="1"/>
  <c r="L296" i="21"/>
  <c r="O296" i="21" s="1"/>
  <c r="L384" i="21"/>
  <c r="O384" i="21" s="1"/>
  <c r="L856" i="21"/>
  <c r="O856" i="21" s="1"/>
  <c r="L176" i="21"/>
  <c r="O176" i="21" s="1"/>
  <c r="L464" i="21"/>
  <c r="O464" i="21" s="1"/>
  <c r="O194" i="21"/>
  <c r="AG671" i="16"/>
  <c r="L1011" i="21"/>
  <c r="O1011" i="21" s="1"/>
  <c r="L487" i="21"/>
  <c r="O487" i="21" s="1"/>
  <c r="L140" i="21"/>
  <c r="O140" i="21" s="1"/>
  <c r="O201" i="21"/>
  <c r="L171" i="21"/>
  <c r="O171" i="21" s="1"/>
  <c r="L21" i="21"/>
  <c r="O21" i="21" s="1"/>
  <c r="L19" i="21"/>
  <c r="O19" i="21" s="1"/>
  <c r="L483" i="21"/>
  <c r="O483" i="21" s="1"/>
  <c r="L855" i="21"/>
  <c r="O855" i="21" s="1"/>
  <c r="L821" i="21"/>
  <c r="O821" i="21" s="1"/>
  <c r="L310" i="21"/>
  <c r="O310" i="21" s="1"/>
  <c r="L946" i="21"/>
  <c r="O946" i="21" s="1"/>
  <c r="L881" i="21"/>
  <c r="O881" i="21" s="1"/>
  <c r="L208" i="21"/>
  <c r="O208" i="21" s="1"/>
  <c r="AG26" i="16"/>
  <c r="O200" i="21"/>
  <c r="L743" i="21"/>
  <c r="O743" i="21" s="1"/>
  <c r="L530" i="21"/>
  <c r="O530" i="21" s="1"/>
  <c r="AG988" i="16"/>
  <c r="L16" i="21"/>
  <c r="O16" i="21" s="1"/>
  <c r="O1022" i="21"/>
  <c r="AG965" i="16"/>
  <c r="L919" i="21"/>
  <c r="O919" i="21" s="1"/>
  <c r="L728" i="21"/>
  <c r="O728" i="21" s="1"/>
  <c r="L929" i="21"/>
  <c r="O929" i="21" s="1"/>
  <c r="AG170" i="16"/>
  <c r="L922" i="21"/>
  <c r="O922" i="21" s="1"/>
  <c r="L839" i="21"/>
  <c r="O839" i="21" s="1"/>
  <c r="L900" i="21"/>
  <c r="O900" i="21" s="1"/>
  <c r="L694" i="21"/>
  <c r="O694" i="21" s="1"/>
  <c r="AG68" i="16"/>
  <c r="L725" i="21"/>
  <c r="O725" i="21" s="1"/>
  <c r="L932" i="21"/>
  <c r="O932" i="21" s="1"/>
  <c r="L51" i="21"/>
  <c r="O51" i="21" s="1"/>
  <c r="L861" i="21"/>
  <c r="O861" i="21" s="1"/>
  <c r="L1008" i="21"/>
  <c r="O1008" i="21" s="1"/>
  <c r="L1023" i="21"/>
  <c r="O1023" i="21" s="1"/>
  <c r="L955" i="21"/>
  <c r="O955" i="21" s="1"/>
  <c r="L452" i="21"/>
  <c r="O452" i="21" s="1"/>
  <c r="L549" i="21"/>
  <c r="O549" i="21" s="1"/>
  <c r="AG284" i="16"/>
  <c r="L1009" i="21"/>
  <c r="O1009" i="21" s="1"/>
  <c r="AG522" i="16"/>
  <c r="L282" i="21"/>
  <c r="O282" i="21" s="1"/>
  <c r="AG884" i="16"/>
  <c r="L286" i="21"/>
  <c r="O286" i="21" s="1"/>
  <c r="L830" i="21"/>
  <c r="O830" i="21" s="1"/>
  <c r="L968" i="21"/>
  <c r="O968" i="21" s="1"/>
  <c r="AG901" i="16"/>
  <c r="L538" i="21"/>
  <c r="O538" i="21" s="1"/>
  <c r="L899" i="21"/>
  <c r="O899" i="21" s="1"/>
  <c r="L540" i="21"/>
  <c r="O540" i="21" s="1"/>
  <c r="L1015" i="21"/>
  <c r="O1015" i="21" s="1"/>
  <c r="L1010" i="21"/>
  <c r="O1010" i="21" s="1"/>
  <c r="L835" i="21"/>
  <c r="O835" i="21" s="1"/>
  <c r="L933" i="21"/>
  <c r="O933" i="21" s="1"/>
  <c r="L103" i="21"/>
  <c r="O103" i="21" s="1"/>
  <c r="L44" i="21"/>
  <c r="O44" i="21" s="1"/>
  <c r="L545" i="21"/>
  <c r="O545" i="21" s="1"/>
  <c r="L902" i="21"/>
  <c r="O902" i="21" s="1"/>
  <c r="L852" i="21"/>
  <c r="O852" i="21" s="1"/>
  <c r="L840" i="21"/>
  <c r="O840" i="21" s="1"/>
  <c r="AG443" i="16"/>
  <c r="L867" i="21"/>
  <c r="O867" i="21" s="1"/>
  <c r="L283" i="21"/>
  <c r="O283" i="21" s="1"/>
  <c r="L1019" i="21"/>
  <c r="L1018" i="21"/>
  <c r="O1018" i="21" s="1"/>
  <c r="AG912" i="16"/>
  <c r="L281" i="21"/>
  <c r="O281" i="21" s="1"/>
  <c r="L276" i="21"/>
  <c r="O276" i="21" s="1"/>
  <c r="L680" i="21"/>
  <c r="O680" i="21" s="1"/>
  <c r="L952" i="21"/>
  <c r="O952" i="21" s="1"/>
  <c r="L850" i="21"/>
  <c r="O850" i="21" s="1"/>
  <c r="L1014" i="21"/>
  <c r="O1014" i="21" s="1"/>
  <c r="L1013" i="21"/>
  <c r="O1013" i="21" s="1"/>
  <c r="L939" i="21"/>
  <c r="O939" i="21" s="1"/>
  <c r="L982" i="21"/>
  <c r="O982" i="21" s="1"/>
  <c r="L1024" i="21"/>
  <c r="O1024" i="21" s="1"/>
  <c r="AG908" i="16"/>
  <c r="AG335" i="16"/>
  <c r="L994" i="21"/>
  <c r="O994" i="21" s="1"/>
  <c r="L162" i="21"/>
  <c r="O162" i="21" s="1"/>
  <c r="L686" i="21"/>
  <c r="O686" i="21" s="1"/>
  <c r="L987" i="21"/>
  <c r="O987" i="21" s="1"/>
  <c r="L829" i="21"/>
  <c r="O829" i="21" s="1"/>
  <c r="L174" i="21"/>
  <c r="O174" i="21" s="1"/>
  <c r="L447" i="21"/>
  <c r="O447" i="21" s="1"/>
  <c r="L1016" i="21"/>
  <c r="O1016" i="21" s="1"/>
  <c r="L1017" i="21"/>
  <c r="O1017" i="21" s="1"/>
  <c r="L1021" i="21"/>
  <c r="O1021" i="21" s="1"/>
  <c r="AG1000" i="16"/>
  <c r="L1012" i="21"/>
  <c r="O1012" i="21" s="1"/>
  <c r="L1020" i="21"/>
  <c r="O1020" i="21" s="1"/>
  <c r="AG17" i="16"/>
  <c r="L531" i="21"/>
  <c r="O531" i="21" s="1"/>
  <c r="L179" i="21"/>
  <c r="O179" i="21" s="1"/>
  <c r="L645" i="21"/>
  <c r="O645" i="21" s="1"/>
  <c r="L455" i="21"/>
  <c r="O455" i="21" s="1"/>
  <c r="AG868" i="16"/>
  <c r="L860" i="21"/>
  <c r="O860" i="21" s="1"/>
  <c r="L23" i="21"/>
  <c r="O23" i="21" s="1"/>
  <c r="L841" i="21"/>
  <c r="O841" i="21" s="1"/>
  <c r="L457" i="21"/>
  <c r="O457" i="21" s="1"/>
  <c r="L548" i="21"/>
  <c r="O548" i="21" s="1"/>
  <c r="L25" i="21"/>
  <c r="O25" i="21" s="1"/>
  <c r="AG180" i="16"/>
  <c r="L50" i="21"/>
  <c r="O50" i="21" s="1"/>
  <c r="L931" i="21"/>
  <c r="O931" i="21" s="1"/>
  <c r="L184" i="21"/>
  <c r="O184" i="21" s="1"/>
  <c r="L41" i="21"/>
  <c r="O41" i="21" s="1"/>
  <c r="L163" i="21"/>
  <c r="O163" i="21" s="1"/>
  <c r="L893" i="21"/>
  <c r="O893" i="21" s="1"/>
  <c r="L1032" i="21"/>
  <c r="O1032" i="21" s="1"/>
  <c r="L124" i="21"/>
  <c r="O124" i="21" s="1"/>
  <c r="L341" i="21"/>
  <c r="O341" i="21" s="1"/>
  <c r="L654" i="21"/>
  <c r="O654" i="21" s="1"/>
  <c r="L668" i="21"/>
  <c r="O668" i="21" s="1"/>
  <c r="O763" i="21"/>
  <c r="L970" i="21"/>
  <c r="O970" i="21" s="1"/>
  <c r="AG846" i="16"/>
  <c r="L14" i="21"/>
  <c r="O14" i="21" s="1"/>
  <c r="AG663" i="16"/>
  <c r="L943" i="21"/>
  <c r="O943" i="21" s="1"/>
  <c r="L886" i="21"/>
  <c r="O886" i="21" s="1"/>
  <c r="O204" i="21"/>
  <c r="L173" i="21"/>
  <c r="O173" i="21" s="1"/>
  <c r="L594" i="21"/>
  <c r="O594" i="21" s="1"/>
  <c r="L794" i="21"/>
  <c r="O794" i="21" s="1"/>
  <c r="L547" i="21"/>
  <c r="O547" i="21" s="1"/>
  <c r="L670" i="21"/>
  <c r="O670" i="21" s="1"/>
  <c r="AG551" i="16"/>
  <c r="L800" i="21"/>
  <c r="O800" i="21" s="1"/>
  <c r="L805" i="21"/>
  <c r="O805" i="21" s="1"/>
  <c r="AG648" i="16"/>
  <c r="L804" i="21"/>
  <c r="O804" i="21" s="1"/>
  <c r="AG64" i="16"/>
  <c r="AG640" i="16"/>
  <c r="AG936" i="16"/>
  <c r="AG866" i="16"/>
  <c r="L896" i="21"/>
  <c r="O896" i="21" s="1"/>
  <c r="L972" i="21"/>
  <c r="O972" i="21" s="1"/>
  <c r="AG832" i="16"/>
  <c r="AG441" i="16"/>
  <c r="L802" i="21"/>
  <c r="O802" i="21" s="1"/>
  <c r="L791" i="21"/>
  <c r="O791" i="21" s="1"/>
  <c r="AG871" i="16"/>
  <c r="AG129" i="16"/>
  <c r="L894" i="21"/>
  <c r="O894" i="21" s="1"/>
  <c r="AG941" i="16"/>
  <c r="L733" i="21"/>
  <c r="O733" i="21" s="1"/>
  <c r="L711" i="21"/>
  <c r="O711" i="21" s="1"/>
  <c r="AG824" i="16"/>
  <c r="AG290" i="16"/>
  <c r="AG660" i="16"/>
  <c r="L865" i="21"/>
  <c r="O865" i="21" s="1"/>
  <c r="AG456" i="16"/>
  <c r="L297" i="21"/>
  <c r="O297" i="21" s="1"/>
  <c r="L1033" i="21"/>
  <c r="O1033" i="21" s="1"/>
  <c r="AG94" i="16"/>
  <c r="AG525" i="16"/>
  <c r="AG897" i="16"/>
  <c r="O819" i="21"/>
  <c r="L551" i="21"/>
  <c r="O551" i="21" s="1"/>
  <c r="L169" i="21"/>
  <c r="O169" i="21" s="1"/>
  <c r="L806" i="21"/>
  <c r="O806" i="21" s="1"/>
  <c r="L996" i="21"/>
  <c r="O996" i="21" s="1"/>
  <c r="L438" i="21"/>
  <c r="O438" i="21" s="1"/>
  <c r="L904" i="21"/>
  <c r="O904" i="21" s="1"/>
  <c r="AG97" i="16"/>
  <c r="L70" i="21"/>
  <c r="O70" i="21" s="1"/>
  <c r="L435" i="21"/>
  <c r="O435" i="21" s="1"/>
  <c r="L978" i="21"/>
  <c r="O978" i="21" s="1"/>
  <c r="L24" i="21"/>
  <c r="O24" i="21" s="1"/>
  <c r="AP7" i="16"/>
  <c r="AQ7" i="16" s="1"/>
  <c r="L799" i="21"/>
  <c r="O799" i="21" s="1"/>
  <c r="O192" i="21"/>
  <c r="L684" i="21"/>
  <c r="O684" i="21" s="1"/>
  <c r="L590" i="21"/>
  <c r="O590" i="21" s="1"/>
  <c r="L797" i="21"/>
  <c r="O797" i="21" s="1"/>
  <c r="L803" i="21"/>
  <c r="O803" i="21" s="1"/>
  <c r="L925" i="21"/>
  <c r="O925" i="21" s="1"/>
  <c r="L845" i="21"/>
  <c r="O845" i="21" s="1"/>
  <c r="L875" i="21"/>
  <c r="O875" i="21" s="1"/>
  <c r="L718" i="21"/>
  <c r="O718" i="21" s="1"/>
  <c r="L775" i="21"/>
  <c r="O775" i="21" s="1"/>
  <c r="L523" i="21"/>
  <c r="O523" i="21" s="1"/>
  <c r="L880" i="21"/>
  <c r="O880" i="21" s="1"/>
  <c r="L526" i="21"/>
  <c r="O526" i="21" s="1"/>
  <c r="L102" i="21"/>
  <c r="O102" i="21" s="1"/>
  <c r="AG178" i="16"/>
  <c r="L294" i="21"/>
  <c r="O294" i="21" s="1"/>
  <c r="O210" i="21"/>
  <c r="L587" i="21"/>
  <c r="O587" i="21" s="1"/>
  <c r="L669" i="21"/>
  <c r="O669" i="21" s="1"/>
  <c r="L923" i="21"/>
  <c r="O923" i="21" s="1"/>
  <c r="L521" i="21"/>
  <c r="O521" i="21" s="1"/>
  <c r="L979" i="21"/>
  <c r="O979" i="21" s="1"/>
  <c r="L332" i="21"/>
  <c r="O332" i="21" s="1"/>
  <c r="L591" i="21"/>
  <c r="O591" i="21" s="1"/>
  <c r="L99" i="21"/>
  <c r="O99" i="21" s="1"/>
  <c r="L820" i="21"/>
  <c r="L303" i="21"/>
  <c r="O303" i="21" s="1"/>
  <c r="L809" i="21"/>
  <c r="O809" i="21" s="1"/>
  <c r="AG647" i="16"/>
  <c r="AG949" i="16"/>
  <c r="AG449" i="16"/>
  <c r="AG858" i="16"/>
  <c r="L737" i="21"/>
  <c r="O737" i="21" s="1"/>
  <c r="L550" i="21"/>
  <c r="O550" i="21" s="1"/>
  <c r="L1027" i="21"/>
  <c r="O1027" i="21" s="1"/>
  <c r="L187" i="21"/>
  <c r="O187" i="21" s="1"/>
  <c r="L827" i="21"/>
  <c r="O827" i="21" s="1"/>
  <c r="AG340" i="16"/>
  <c r="L440" i="21"/>
  <c r="O440" i="21" s="1"/>
  <c r="L442" i="21"/>
  <c r="O442" i="21" s="1"/>
  <c r="L595" i="21"/>
  <c r="O595" i="21" s="1"/>
  <c r="L792" i="21"/>
  <c r="O792" i="21" s="1"/>
  <c r="L681" i="21"/>
  <c r="O681" i="21" s="1"/>
  <c r="L780" i="21"/>
  <c r="O780" i="21" s="1"/>
  <c r="L165" i="21"/>
  <c r="O165" i="21" s="1"/>
  <c r="O553" i="21"/>
  <c r="L71" i="21"/>
  <c r="O71" i="21" s="1"/>
  <c r="O196" i="21"/>
  <c r="L692" i="21"/>
  <c r="O692" i="21" s="1"/>
  <c r="L712" i="21"/>
  <c r="O712" i="21" s="1"/>
  <c r="L706" i="21"/>
  <c r="O706" i="21" s="1"/>
  <c r="L697" i="21"/>
  <c r="O697" i="21" s="1"/>
  <c r="L782" i="21"/>
  <c r="O782" i="21" s="1"/>
  <c r="L726" i="21"/>
  <c r="O726" i="21" s="1"/>
  <c r="L769" i="21"/>
  <c r="O769" i="21" s="1"/>
  <c r="L714" i="21"/>
  <c r="O714" i="21" s="1"/>
  <c r="L757" i="21"/>
  <c r="O757" i="21" s="1"/>
  <c r="L703" i="21"/>
  <c r="O703" i="21" s="1"/>
  <c r="L735" i="21"/>
  <c r="O735" i="21" s="1"/>
  <c r="L767" i="21"/>
  <c r="O767" i="21" s="1"/>
  <c r="AG831" i="16"/>
  <c r="AG47" i="16"/>
  <c r="AG287" i="16"/>
  <c r="L1029" i="21"/>
  <c r="O1029" i="21" s="1"/>
  <c r="L586" i="21"/>
  <c r="O586" i="21" s="1"/>
  <c r="L582" i="21"/>
  <c r="O582" i="21" s="1"/>
  <c r="L798" i="21"/>
  <c r="O798" i="21" s="1"/>
  <c r="L801" i="21"/>
  <c r="O801" i="21" s="1"/>
  <c r="L796" i="21"/>
  <c r="O796" i="21" s="1"/>
  <c r="L795" i="21"/>
  <c r="O795" i="21" s="1"/>
  <c r="L777" i="21"/>
  <c r="O777" i="21" s="1"/>
  <c r="L722" i="21"/>
  <c r="O722" i="21" s="1"/>
  <c r="L717" i="21"/>
  <c r="O717" i="21" s="1"/>
  <c r="L708" i="21"/>
  <c r="O708" i="21" s="1"/>
  <c r="L689" i="21"/>
  <c r="O689" i="21" s="1"/>
  <c r="L732" i="21"/>
  <c r="O732" i="21" s="1"/>
  <c r="L774" i="21"/>
  <c r="O774" i="21" s="1"/>
  <c r="L720" i="21"/>
  <c r="O720" i="21" s="1"/>
  <c r="L762" i="21"/>
  <c r="O762" i="21" s="1"/>
  <c r="L707" i="21"/>
  <c r="O707" i="21" s="1"/>
  <c r="L739" i="21"/>
  <c r="O739" i="21" s="1"/>
  <c r="L771" i="21"/>
  <c r="O771" i="21" s="1"/>
  <c r="AG958" i="16"/>
  <c r="AG338" i="16"/>
  <c r="L101" i="21"/>
  <c r="O101" i="21" s="1"/>
  <c r="L729" i="21"/>
  <c r="O729" i="21" s="1"/>
  <c r="L730" i="21"/>
  <c r="O730" i="21" s="1"/>
  <c r="L779" i="21"/>
  <c r="L581" i="21"/>
  <c r="O581" i="21" s="1"/>
  <c r="AG300" i="16"/>
  <c r="L789" i="21"/>
  <c r="O789" i="21" s="1"/>
  <c r="L810" i="21"/>
  <c r="O810" i="21" s="1"/>
  <c r="L813" i="21"/>
  <c r="O813" i="21" s="1"/>
  <c r="L808" i="21"/>
  <c r="O808" i="21" s="1"/>
  <c r="L807" i="21"/>
  <c r="O807" i="21" s="1"/>
  <c r="L973" i="21"/>
  <c r="O973" i="21" s="1"/>
  <c r="L446" i="21"/>
  <c r="O446" i="21" s="1"/>
  <c r="L339" i="21"/>
  <c r="O339" i="21" s="1"/>
  <c r="L536" i="21"/>
  <c r="O536" i="21" s="1"/>
  <c r="L288" i="21"/>
  <c r="O288" i="21" s="1"/>
  <c r="L667" i="21"/>
  <c r="O667" i="21" s="1"/>
  <c r="L48" i="21"/>
  <c r="O48" i="21" s="1"/>
  <c r="L907" i="21"/>
  <c r="O907" i="21" s="1"/>
  <c r="L906" i="21"/>
  <c r="O906" i="21" s="1"/>
  <c r="L895" i="21"/>
  <c r="O895" i="21" s="1"/>
  <c r="L724" i="21"/>
  <c r="O724" i="21" s="1"/>
  <c r="L754" i="21"/>
  <c r="O754" i="21" s="1"/>
  <c r="L749" i="21"/>
  <c r="O749" i="21" s="1"/>
  <c r="L740" i="21"/>
  <c r="O740" i="21" s="1"/>
  <c r="L705" i="21"/>
  <c r="O705" i="21" s="1"/>
  <c r="L748" i="21"/>
  <c r="O748" i="21" s="1"/>
  <c r="L693" i="21"/>
  <c r="O693" i="21" s="1"/>
  <c r="L736" i="21"/>
  <c r="O736" i="21" s="1"/>
  <c r="L778" i="21"/>
  <c r="O778" i="21" s="1"/>
  <c r="L719" i="21"/>
  <c r="O719" i="21" s="1"/>
  <c r="L751" i="21"/>
  <c r="O751" i="21" s="1"/>
  <c r="L783" i="21"/>
  <c r="O783" i="21" s="1"/>
  <c r="AG299" i="16"/>
  <c r="AG887" i="16"/>
  <c r="AG439" i="16"/>
  <c r="L947" i="21"/>
  <c r="O947" i="21" s="1"/>
  <c r="L45" i="21"/>
  <c r="O45" i="21" s="1"/>
  <c r="L172" i="21"/>
  <c r="O172" i="21" s="1"/>
  <c r="L593" i="21"/>
  <c r="O593" i="21" s="1"/>
  <c r="L589" i="21"/>
  <c r="O589" i="21" s="1"/>
  <c r="L916" i="21"/>
  <c r="O916" i="21" s="1"/>
  <c r="L942" i="21"/>
  <c r="O942" i="21" s="1"/>
  <c r="L864" i="21"/>
  <c r="O864" i="21" s="1"/>
  <c r="L67" i="21"/>
  <c r="O67" i="21" s="1"/>
  <c r="L529" i="21"/>
  <c r="O529" i="21" s="1"/>
  <c r="L640" i="21"/>
  <c r="O640" i="21" s="1"/>
  <c r="L814" i="21"/>
  <c r="O814" i="21" s="1"/>
  <c r="L817" i="21"/>
  <c r="O817" i="21" s="1"/>
  <c r="L812" i="21"/>
  <c r="O812" i="21" s="1"/>
  <c r="L811" i="21"/>
  <c r="O811" i="21" s="1"/>
  <c r="L641" i="21"/>
  <c r="O641" i="21" s="1"/>
  <c r="L122" i="21"/>
  <c r="O122" i="21" s="1"/>
  <c r="L745" i="21"/>
  <c r="O745" i="21" s="1"/>
  <c r="L734" i="21"/>
  <c r="O734" i="21" s="1"/>
  <c r="L765" i="21"/>
  <c r="O765" i="21" s="1"/>
  <c r="L760" i="21"/>
  <c r="O760" i="21" s="1"/>
  <c r="L750" i="21"/>
  <c r="O750" i="21" s="1"/>
  <c r="L710" i="21"/>
  <c r="O710" i="21" s="1"/>
  <c r="L753" i="21"/>
  <c r="O753" i="21" s="1"/>
  <c r="L698" i="21"/>
  <c r="O698" i="21" s="1"/>
  <c r="L741" i="21"/>
  <c r="O741" i="21" s="1"/>
  <c r="L691" i="21"/>
  <c r="O691" i="21" s="1"/>
  <c r="L723" i="21"/>
  <c r="O723" i="21" s="1"/>
  <c r="L755" i="21"/>
  <c r="O755" i="21" s="1"/>
  <c r="AG760" i="16"/>
  <c r="L862" i="21"/>
  <c r="O862" i="21" s="1"/>
  <c r="L120" i="21"/>
  <c r="O120" i="21" s="1"/>
  <c r="L825" i="21"/>
  <c r="O825" i="21" s="1"/>
  <c r="L644" i="21"/>
  <c r="O644" i="21" s="1"/>
  <c r="L546" i="21"/>
  <c r="O546" i="21" s="1"/>
  <c r="L1026" i="21"/>
  <c r="O1026" i="21" s="1"/>
  <c r="L713" i="21"/>
  <c r="O713" i="21" s="1"/>
  <c r="L738" i="21"/>
  <c r="O738" i="21" s="1"/>
  <c r="L742" i="21"/>
  <c r="O742" i="21" s="1"/>
  <c r="L773" i="21"/>
  <c r="O773" i="21" s="1"/>
  <c r="L747" i="21"/>
  <c r="O747" i="21" s="1"/>
  <c r="L432" i="21"/>
  <c r="O432" i="21" s="1"/>
  <c r="L585" i="21"/>
  <c r="O585" i="21" s="1"/>
  <c r="L584" i="21"/>
  <c r="O584" i="21" s="1"/>
  <c r="L657" i="21"/>
  <c r="O657" i="21" s="1"/>
  <c r="L984" i="21"/>
  <c r="O984" i="21" s="1"/>
  <c r="L786" i="21"/>
  <c r="O786" i="21" s="1"/>
  <c r="L818" i="21"/>
  <c r="O818" i="21" s="1"/>
  <c r="L784" i="21"/>
  <c r="O784" i="21" s="1"/>
  <c r="L816" i="21"/>
  <c r="O816" i="21" s="1"/>
  <c r="L815" i="21"/>
  <c r="O815" i="21" s="1"/>
  <c r="L15" i="21"/>
  <c r="O15" i="21" s="1"/>
  <c r="L878" i="21"/>
  <c r="O878" i="21" s="1"/>
  <c r="L869" i="21"/>
  <c r="O869" i="21" s="1"/>
  <c r="L305" i="21"/>
  <c r="O305" i="21" s="1"/>
  <c r="L969" i="21"/>
  <c r="O969" i="21" s="1"/>
  <c r="L977" i="21"/>
  <c r="O977" i="21" s="1"/>
  <c r="L756" i="21"/>
  <c r="O756" i="21" s="1"/>
  <c r="L690" i="21"/>
  <c r="O690" i="21" s="1"/>
  <c r="L776" i="21"/>
  <c r="O776" i="21" s="1"/>
  <c r="L770" i="21"/>
  <c r="O770" i="21" s="1"/>
  <c r="L761" i="21"/>
  <c r="O761" i="21" s="1"/>
  <c r="L716" i="21"/>
  <c r="O716" i="21" s="1"/>
  <c r="L758" i="21"/>
  <c r="O758" i="21" s="1"/>
  <c r="L704" i="21"/>
  <c r="O704" i="21" s="1"/>
  <c r="L746" i="21"/>
  <c r="O746" i="21" s="1"/>
  <c r="L695" i="21"/>
  <c r="O695" i="21" s="1"/>
  <c r="L727" i="21"/>
  <c r="O727" i="21" s="1"/>
  <c r="L759" i="21"/>
  <c r="O759" i="21" s="1"/>
  <c r="L870" i="21"/>
  <c r="O870" i="21" s="1"/>
  <c r="L658" i="21"/>
  <c r="O658" i="21" s="1"/>
  <c r="AG342" i="16"/>
  <c r="L744" i="21"/>
  <c r="O744" i="21" s="1"/>
  <c r="L700" i="21"/>
  <c r="O700" i="21" s="1"/>
  <c r="L688" i="21"/>
  <c r="O688" i="21" s="1"/>
  <c r="L715" i="21"/>
  <c r="O715" i="21" s="1"/>
  <c r="L583" i="21"/>
  <c r="O583" i="21" s="1"/>
  <c r="L588" i="21"/>
  <c r="O588" i="21" s="1"/>
  <c r="L790" i="21"/>
  <c r="O790" i="21" s="1"/>
  <c r="L793" i="21"/>
  <c r="O793" i="21" s="1"/>
  <c r="L788" i="21"/>
  <c r="O788" i="21" s="1"/>
  <c r="L787" i="21"/>
  <c r="O787" i="21" s="1"/>
  <c r="L766" i="21"/>
  <c r="O766" i="21" s="1"/>
  <c r="L701" i="21"/>
  <c r="O701" i="21" s="1"/>
  <c r="L696" i="21"/>
  <c r="O696" i="21" s="1"/>
  <c r="L781" i="21"/>
  <c r="O781" i="21" s="1"/>
  <c r="L772" i="21"/>
  <c r="O772" i="21" s="1"/>
  <c r="L721" i="21"/>
  <c r="O721" i="21" s="1"/>
  <c r="L764" i="21"/>
  <c r="O764" i="21" s="1"/>
  <c r="L709" i="21"/>
  <c r="O709" i="21" s="1"/>
  <c r="L752" i="21"/>
  <c r="O752" i="21" s="1"/>
  <c r="L699" i="21"/>
  <c r="O699" i="21" s="1"/>
  <c r="L731" i="21"/>
  <c r="O731" i="21" s="1"/>
  <c r="L298" i="21"/>
  <c r="O298" i="21" s="1"/>
  <c r="L42" i="21"/>
  <c r="O42" i="21" s="1"/>
  <c r="L995" i="21"/>
  <c r="O995" i="21" s="1"/>
  <c r="L213" i="21"/>
  <c r="O213" i="21" s="1"/>
  <c r="L203" i="21"/>
  <c r="O203" i="21" s="1"/>
  <c r="L18" i="21"/>
  <c r="O18" i="21" s="1"/>
  <c r="AG898" i="16"/>
  <c r="AG903" i="16"/>
  <c r="AG934" i="16"/>
  <c r="L993" i="21"/>
  <c r="O993" i="21" s="1"/>
  <c r="L123" i="21"/>
  <c r="O123" i="21" s="1"/>
  <c r="AC10" i="21"/>
  <c r="L209" i="21"/>
  <c r="O209" i="21" s="1"/>
  <c r="L207" i="21"/>
  <c r="O207" i="21" s="1"/>
  <c r="L527" i="21"/>
  <c r="O527" i="21" s="1"/>
  <c r="L662" i="21"/>
  <c r="O662" i="21" s="1"/>
  <c r="L847" i="21"/>
  <c r="O847" i="21" s="1"/>
  <c r="L453" i="21"/>
  <c r="O453" i="21" s="1"/>
  <c r="L214" i="21"/>
  <c r="O214" i="21" s="1"/>
  <c r="AG188" i="16"/>
  <c r="O779" i="21"/>
  <c r="L181" i="21"/>
  <c r="O181" i="21" s="1"/>
  <c r="L431" i="21"/>
  <c r="O431" i="21" s="1"/>
  <c r="L182" i="21"/>
  <c r="O182" i="21" s="1"/>
  <c r="L211" i="21"/>
  <c r="O211" i="21" s="1"/>
  <c r="O1019" i="21"/>
  <c r="L851" i="21"/>
  <c r="O851" i="21" s="1"/>
  <c r="L292" i="21"/>
  <c r="O292" i="21" s="1"/>
  <c r="L188" i="21"/>
  <c r="O188" i="21" s="1"/>
  <c r="L206" i="21"/>
  <c r="O206" i="21" s="1"/>
  <c r="L205" i="21"/>
  <c r="O205" i="21" s="1"/>
  <c r="AG986" i="16"/>
  <c r="L914" i="21"/>
  <c r="O914" i="21" s="1"/>
  <c r="L186" i="21"/>
  <c r="O186" i="21" s="1"/>
  <c r="L913" i="21"/>
  <c r="O913" i="21" s="1"/>
  <c r="L1004" i="21"/>
  <c r="O1004" i="21" s="1"/>
  <c r="L448" i="21"/>
  <c r="O448" i="21" s="1"/>
  <c r="L534" i="21"/>
  <c r="O534" i="21" s="1"/>
  <c r="L92" i="21"/>
  <c r="O92" i="21" s="1"/>
  <c r="L104" i="21"/>
  <c r="O104" i="21" s="1"/>
  <c r="L918" i="21"/>
  <c r="O918" i="21" s="1"/>
  <c r="L127" i="21"/>
  <c r="O127" i="21" s="1"/>
  <c r="L131" i="21"/>
  <c r="O131" i="21" s="1"/>
  <c r="L883" i="21"/>
  <c r="O883" i="21" s="1"/>
  <c r="L956" i="21"/>
  <c r="O956" i="21" s="1"/>
  <c r="L954" i="21"/>
  <c r="O954" i="21" s="1"/>
  <c r="O592" i="21"/>
  <c r="L652" i="21"/>
  <c r="O652" i="21" s="1"/>
  <c r="L301" i="21"/>
  <c r="O301" i="21" s="1"/>
  <c r="L166" i="21"/>
  <c r="O166" i="21" s="1"/>
  <c r="L185" i="21"/>
  <c r="O185" i="21" s="1"/>
  <c r="L959" i="21"/>
  <c r="O959" i="21" s="1"/>
  <c r="L175" i="21"/>
  <c r="O175" i="21" s="1"/>
  <c r="L948" i="21"/>
  <c r="O948" i="21" s="1"/>
  <c r="L872" i="21"/>
  <c r="O872" i="21" s="1"/>
  <c r="L434" i="21"/>
  <c r="O434" i="21" s="1"/>
  <c r="L535" i="21"/>
  <c r="O535" i="21" s="1"/>
  <c r="L74" i="21"/>
  <c r="O74" i="21" s="1"/>
  <c r="L437" i="21"/>
  <c r="O437" i="21" s="1"/>
  <c r="L989" i="21"/>
  <c r="O989" i="21" s="1"/>
  <c r="L1006" i="21"/>
  <c r="O1006" i="21" s="1"/>
  <c r="L167" i="21"/>
  <c r="O167" i="21" s="1"/>
  <c r="L532" i="21"/>
  <c r="O532" i="21" s="1"/>
  <c r="L164" i="21"/>
  <c r="O164" i="21" s="1"/>
  <c r="L533" i="21"/>
  <c r="O533" i="21" s="1"/>
  <c r="L304" i="21"/>
  <c r="O304" i="21" s="1"/>
  <c r="L889" i="21"/>
  <c r="O889" i="21" s="1"/>
  <c r="AP9" i="16"/>
  <c r="AQ9" i="16" s="1"/>
  <c r="O556" i="21"/>
  <c r="O554" i="21"/>
  <c r="O596" i="21"/>
  <c r="O76" i="21"/>
  <c r="O1025" i="21"/>
  <c r="AC12" i="21"/>
  <c r="O40" i="21"/>
  <c r="O820" i="21"/>
  <c r="AB5" i="13"/>
  <c r="G7" i="40" s="1"/>
  <c r="Y49" i="13"/>
  <c r="Y49" i="12"/>
  <c r="AB5" i="12"/>
  <c r="AB49" i="12" s="1"/>
  <c r="T12" i="21" l="1"/>
  <c r="K14" i="37"/>
  <c r="K15" i="37"/>
  <c r="M15" i="38"/>
  <c r="M14" i="38"/>
  <c r="W12" i="21"/>
  <c r="AC9" i="21"/>
  <c r="AP8" i="16"/>
  <c r="AQ8" i="16" s="1"/>
  <c r="AP5" i="16"/>
  <c r="AQ5" i="16" s="1"/>
  <c r="AP4" i="16"/>
  <c r="AQ4" i="16" s="1"/>
  <c r="AP6" i="16"/>
  <c r="AQ6" i="16" s="1"/>
  <c r="AC6" i="21"/>
  <c r="AC11" i="21"/>
  <c r="AC7" i="21"/>
  <c r="W10" i="21"/>
  <c r="T11" i="21"/>
  <c r="W6" i="21"/>
  <c r="T10" i="21"/>
  <c r="W7" i="21"/>
  <c r="W9" i="21"/>
  <c r="T6" i="21"/>
  <c r="T9" i="21"/>
  <c r="W11" i="21"/>
  <c r="T7" i="21"/>
  <c r="AB49" i="13"/>
  <c r="AA34" i="16"/>
  <c r="AA33" i="16"/>
  <c r="AA32" i="16"/>
  <c r="AA39" i="16"/>
  <c r="AA31" i="16"/>
  <c r="AA38" i="16"/>
  <c r="AA30" i="16"/>
  <c r="AA37" i="16"/>
  <c r="AA29" i="16"/>
  <c r="AA36" i="16"/>
  <c r="AA28" i="16"/>
  <c r="AA35" i="16"/>
  <c r="AA27" i="16"/>
  <c r="Z12" i="21" l="1"/>
  <c r="AH12" i="21" s="1"/>
  <c r="AP11" i="16"/>
  <c r="AQ11" i="16" s="1"/>
  <c r="Z10" i="21"/>
  <c r="AH10" i="21" s="1"/>
  <c r="Z11" i="21"/>
  <c r="AH11" i="21" s="1"/>
  <c r="Z6" i="21"/>
  <c r="AH6" i="21" s="1"/>
  <c r="Z7" i="21"/>
  <c r="AH7" i="21" s="1"/>
  <c r="Z9" i="21"/>
  <c r="AH9" i="21" s="1"/>
  <c r="AG32" i="16"/>
  <c r="L32" i="21"/>
  <c r="O32" i="21" s="1"/>
  <c r="AG36" i="16"/>
  <c r="L36" i="21"/>
  <c r="O36" i="21" s="1"/>
  <c r="AG33" i="16"/>
  <c r="L33" i="21"/>
  <c r="O33" i="21" s="1"/>
  <c r="AG28" i="16"/>
  <c r="L28" i="21"/>
  <c r="O28" i="21" s="1"/>
  <c r="AG29" i="16"/>
  <c r="L29" i="21"/>
  <c r="O29" i="21" s="1"/>
  <c r="AG34" i="16"/>
  <c r="L34" i="21"/>
  <c r="O34" i="21" s="1"/>
  <c r="AG38" i="16"/>
  <c r="L38" i="21"/>
  <c r="O38" i="21" s="1"/>
  <c r="AG37" i="16"/>
  <c r="L37" i="21"/>
  <c r="O37" i="21" s="1"/>
  <c r="AG30" i="16"/>
  <c r="L30" i="21"/>
  <c r="O30" i="21" s="1"/>
  <c r="AG27" i="16"/>
  <c r="L27" i="21"/>
  <c r="AG31" i="16"/>
  <c r="L31" i="21"/>
  <c r="O31" i="21" s="1"/>
  <c r="AG35" i="16"/>
  <c r="L35" i="21"/>
  <c r="O35" i="21" s="1"/>
  <c r="AG39" i="16"/>
  <c r="L39" i="21"/>
  <c r="O39" i="21" s="1"/>
  <c r="AP3" i="16" l="1"/>
  <c r="AC5" i="21"/>
  <c r="O27" i="21"/>
  <c r="W5" i="21" s="1"/>
  <c r="T5" i="21"/>
  <c r="Z5" i="21" l="1"/>
  <c r="AH5" i="21" s="1"/>
  <c r="AQ3" i="16"/>
  <c r="AP10" i="16"/>
  <c r="AP12" i="16" l="1"/>
  <c r="AQ12" i="16" s="1"/>
  <c r="AQ10" i="16"/>
  <c r="J2" i="21" l="1"/>
  <c r="M2" i="21"/>
  <c r="J3" i="21"/>
  <c r="M3" i="21"/>
  <c r="J4" i="21"/>
  <c r="M4" i="21"/>
  <c r="R4" i="21"/>
  <c r="U4" i="21"/>
  <c r="X4" i="21"/>
  <c r="AA4" i="21"/>
  <c r="AD4" i="21"/>
  <c r="AF4" i="21"/>
  <c r="AI4" i="21"/>
  <c r="J5" i="21"/>
  <c r="M5" i="21"/>
  <c r="R5" i="21"/>
  <c r="S5" i="21"/>
  <c r="U5" i="21"/>
  <c r="V5" i="21"/>
  <c r="X5" i="21"/>
  <c r="Y5" i="21"/>
  <c r="AA5" i="21"/>
  <c r="AB5" i="21"/>
  <c r="AF5" i="21"/>
  <c r="AG5" i="21"/>
  <c r="AI5" i="21"/>
  <c r="AJ5" i="21"/>
  <c r="J6" i="21"/>
  <c r="M6" i="21"/>
  <c r="R6" i="21"/>
  <c r="S6" i="21"/>
  <c r="U6" i="21"/>
  <c r="V6" i="21"/>
  <c r="X6" i="21"/>
  <c r="Y6" i="21"/>
  <c r="AA6" i="21"/>
  <c r="AB6" i="21"/>
  <c r="AF6" i="21"/>
  <c r="AG6" i="21"/>
  <c r="AI6" i="21"/>
  <c r="AJ6" i="21"/>
  <c r="J7" i="21"/>
  <c r="M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M8" i="21"/>
  <c r="J9" i="21"/>
  <c r="M9" i="21"/>
  <c r="S9" i="21"/>
  <c r="V9" i="21"/>
  <c r="Y9" i="21"/>
  <c r="AB9" i="21"/>
  <c r="AE9" i="21"/>
  <c r="AG9" i="21"/>
  <c r="AJ9" i="21"/>
  <c r="J10" i="21"/>
  <c r="M10" i="21"/>
  <c r="S10" i="21"/>
  <c r="V10" i="21"/>
  <c r="Y10" i="21"/>
  <c r="AB10" i="21"/>
  <c r="AE10" i="21"/>
  <c r="AG10" i="21"/>
  <c r="AJ10" i="21"/>
  <c r="J11" i="21"/>
  <c r="M11" i="21"/>
  <c r="S11" i="21"/>
  <c r="V11" i="21"/>
  <c r="Y11" i="21"/>
  <c r="AB11" i="21"/>
  <c r="AE11" i="21"/>
  <c r="AG11" i="21"/>
  <c r="AJ11" i="21"/>
  <c r="J12" i="21"/>
  <c r="M12" i="21"/>
  <c r="S12" i="21"/>
  <c r="V12" i="21"/>
  <c r="Y12" i="21"/>
  <c r="AB12" i="21"/>
  <c r="AG12" i="21"/>
  <c r="AJ12" i="21"/>
  <c r="J13" i="21"/>
  <c r="M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K40" i="21"/>
  <c r="N40" i="21"/>
  <c r="K41" i="21"/>
  <c r="N41" i="21"/>
  <c r="K42" i="21"/>
  <c r="N42" i="21"/>
  <c r="K43" i="21"/>
  <c r="N43" i="21"/>
  <c r="K44" i="21"/>
  <c r="N44" i="21"/>
  <c r="K45" i="21"/>
  <c r="N45" i="21"/>
  <c r="K46" i="21"/>
  <c r="N46" i="21"/>
  <c r="K47" i="21"/>
  <c r="N47" i="21"/>
  <c r="K48" i="21"/>
  <c r="N48" i="21"/>
  <c r="K49" i="21"/>
  <c r="N49" i="21"/>
  <c r="K50" i="21"/>
  <c r="N50" i="21"/>
  <c r="K51" i="21"/>
  <c r="N51" i="21"/>
  <c r="J52" i="21"/>
  <c r="M52" i="21"/>
  <c r="J53" i="21"/>
  <c r="M53" i="21"/>
  <c r="J54" i="21"/>
  <c r="M54" i="21"/>
  <c r="J55" i="21"/>
  <c r="M55" i="21"/>
  <c r="J56" i="21"/>
  <c r="M56" i="21"/>
  <c r="J57" i="21"/>
  <c r="M57" i="21"/>
  <c r="J58" i="21"/>
  <c r="M58" i="21"/>
  <c r="J59" i="21"/>
  <c r="M59" i="21"/>
  <c r="J60" i="21"/>
  <c r="M60" i="21"/>
  <c r="J61" i="21"/>
  <c r="M61" i="21"/>
  <c r="J62" i="21"/>
  <c r="M62" i="21"/>
  <c r="J63" i="21"/>
  <c r="M63" i="21"/>
  <c r="K64" i="21"/>
  <c r="N64" i="21"/>
  <c r="K65" i="21"/>
  <c r="N65" i="21"/>
  <c r="K66" i="21"/>
  <c r="N66" i="21"/>
  <c r="K67" i="21"/>
  <c r="N67" i="21"/>
  <c r="K68" i="21"/>
  <c r="N68" i="21"/>
  <c r="K69" i="21"/>
  <c r="N69" i="21"/>
  <c r="K70" i="21"/>
  <c r="N70" i="21"/>
  <c r="K71" i="21"/>
  <c r="N71" i="21"/>
  <c r="K72" i="21"/>
  <c r="N72" i="21"/>
  <c r="K73" i="21"/>
  <c r="N73" i="21"/>
  <c r="K74" i="21"/>
  <c r="N74" i="21"/>
  <c r="K75" i="21"/>
  <c r="N75" i="21"/>
  <c r="J76" i="21"/>
  <c r="K76" i="21"/>
  <c r="M76" i="21"/>
  <c r="N76" i="21"/>
  <c r="J77" i="21"/>
  <c r="K77" i="21"/>
  <c r="M77" i="21"/>
  <c r="N77" i="21"/>
  <c r="J78" i="21"/>
  <c r="K78" i="21"/>
  <c r="M78" i="21"/>
  <c r="N78" i="21"/>
  <c r="J79" i="21"/>
  <c r="K79" i="21"/>
  <c r="M79" i="21"/>
  <c r="N79" i="21"/>
  <c r="J80" i="21"/>
  <c r="K80" i="21"/>
  <c r="M80" i="21"/>
  <c r="N80" i="21"/>
  <c r="J81" i="21"/>
  <c r="K81" i="21"/>
  <c r="M81" i="21"/>
  <c r="N81" i="21"/>
  <c r="J82" i="21"/>
  <c r="K82" i="21"/>
  <c r="M82" i="21"/>
  <c r="N82" i="21"/>
  <c r="J83" i="21"/>
  <c r="K83" i="21"/>
  <c r="M83" i="21"/>
  <c r="N83" i="21"/>
  <c r="J84" i="21"/>
  <c r="K84" i="21"/>
  <c r="M84" i="21"/>
  <c r="N84" i="21"/>
  <c r="J85" i="21"/>
  <c r="K85" i="21"/>
  <c r="M85" i="21"/>
  <c r="N85" i="21"/>
  <c r="J86" i="21"/>
  <c r="K86" i="21"/>
  <c r="M86" i="21"/>
  <c r="N86" i="21"/>
  <c r="J87" i="21"/>
  <c r="K87" i="21"/>
  <c r="M87" i="21"/>
  <c r="N87" i="21"/>
  <c r="J88" i="21"/>
  <c r="K88" i="21"/>
  <c r="M88" i="21"/>
  <c r="N88" i="21"/>
  <c r="J89" i="21"/>
  <c r="K89" i="21"/>
  <c r="M89" i="21"/>
  <c r="N89" i="21"/>
  <c r="J90" i="21"/>
  <c r="K90" i="21"/>
  <c r="M90" i="21"/>
  <c r="N90" i="21"/>
  <c r="J91" i="21"/>
  <c r="K91" i="21"/>
  <c r="M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J136" i="21"/>
  <c r="K136" i="21"/>
  <c r="M136" i="21"/>
  <c r="N136" i="21"/>
  <c r="J137" i="21"/>
  <c r="K137" i="21"/>
  <c r="M137" i="21"/>
  <c r="N137" i="21"/>
  <c r="J138" i="21"/>
  <c r="K138" i="21"/>
  <c r="M138" i="21"/>
  <c r="N138" i="21"/>
  <c r="J139" i="21"/>
  <c r="K139" i="21"/>
  <c r="M139" i="21"/>
  <c r="N139" i="21"/>
  <c r="J140" i="21"/>
  <c r="K140" i="21"/>
  <c r="M140" i="21"/>
  <c r="N140" i="21"/>
  <c r="J141" i="21"/>
  <c r="K141" i="21"/>
  <c r="M141" i="21"/>
  <c r="N141" i="21"/>
  <c r="J142" i="21"/>
  <c r="K142" i="21"/>
  <c r="M142" i="21"/>
  <c r="N142" i="21"/>
  <c r="J143" i="21"/>
  <c r="K143" i="21"/>
  <c r="M143" i="21"/>
  <c r="N143" i="21"/>
  <c r="J144" i="21"/>
  <c r="K144" i="21"/>
  <c r="M144" i="21"/>
  <c r="N144" i="21"/>
  <c r="J145" i="21"/>
  <c r="K145" i="21"/>
  <c r="M145" i="21"/>
  <c r="N145" i="21"/>
  <c r="J146" i="21"/>
  <c r="K146" i="21"/>
  <c r="M146" i="21"/>
  <c r="N146" i="21"/>
  <c r="J147" i="21"/>
  <c r="K147" i="21"/>
  <c r="M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K184" i="21"/>
  <c r="M184" i="21"/>
  <c r="N184" i="21"/>
  <c r="J185" i="21"/>
  <c r="K185" i="21"/>
  <c r="M185" i="21"/>
  <c r="N185" i="21"/>
  <c r="J186" i="21"/>
  <c r="K186" i="21"/>
  <c r="M186" i="21"/>
  <c r="N186" i="21"/>
  <c r="J187" i="21"/>
  <c r="K187" i="21"/>
  <c r="M187" i="21"/>
  <c r="N187" i="21"/>
  <c r="J188" i="21"/>
  <c r="K188" i="21"/>
  <c r="M188" i="21"/>
  <c r="N188" i="21"/>
  <c r="J189" i="21"/>
  <c r="K189" i="21"/>
  <c r="M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K215" i="21"/>
  <c r="N215" i="21"/>
  <c r="K216" i="21"/>
  <c r="N216" i="21"/>
  <c r="K217" i="21"/>
  <c r="N217" i="21"/>
  <c r="K218" i="21"/>
  <c r="N218" i="21"/>
  <c r="K219" i="21"/>
  <c r="N219" i="21"/>
  <c r="K220" i="21"/>
  <c r="N220" i="21"/>
  <c r="K221" i="21"/>
  <c r="N221" i="21"/>
  <c r="K222" i="21"/>
  <c r="N222" i="21"/>
  <c r="K223" i="21"/>
  <c r="N223" i="21"/>
  <c r="K224" i="21"/>
  <c r="N224" i="21"/>
  <c r="K225" i="21"/>
  <c r="N225" i="21"/>
  <c r="K226" i="21"/>
  <c r="N226" i="21"/>
  <c r="K227" i="21"/>
  <c r="N227" i="21"/>
  <c r="K228" i="21"/>
  <c r="N228" i="21"/>
  <c r="K229" i="21"/>
  <c r="N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J246" i="21"/>
  <c r="M246" i="21"/>
  <c r="J247" i="21"/>
  <c r="M247" i="21"/>
  <c r="J248" i="21"/>
  <c r="M248" i="21"/>
  <c r="J249" i="21"/>
  <c r="M249" i="21"/>
  <c r="J250" i="21"/>
  <c r="M250" i="21"/>
  <c r="J251" i="21"/>
  <c r="M251" i="21"/>
  <c r="J252" i="21"/>
  <c r="M252" i="21"/>
  <c r="J253" i="21"/>
  <c r="M253" i="21"/>
  <c r="J254" i="21"/>
  <c r="M254" i="21"/>
  <c r="J255" i="21"/>
  <c r="M255" i="21"/>
  <c r="J256" i="21"/>
  <c r="M256" i="21"/>
  <c r="J257" i="21"/>
  <c r="M257" i="21"/>
  <c r="J258" i="21"/>
  <c r="M258" i="21"/>
  <c r="J259" i="21"/>
  <c r="M259" i="21"/>
  <c r="J260" i="21"/>
  <c r="M260" i="21"/>
  <c r="J261" i="21"/>
  <c r="M261" i="21"/>
  <c r="J262" i="21"/>
  <c r="M262" i="21"/>
  <c r="J263" i="21"/>
  <c r="M263" i="21"/>
  <c r="J264" i="21"/>
  <c r="M264" i="21"/>
  <c r="J265" i="21"/>
  <c r="M265" i="21"/>
  <c r="J266" i="21"/>
  <c r="M266" i="21"/>
  <c r="J267" i="21"/>
  <c r="M267" i="21"/>
  <c r="J268" i="21"/>
  <c r="M268" i="21"/>
  <c r="J269" i="21"/>
  <c r="M269" i="21"/>
  <c r="J270" i="21"/>
  <c r="M270" i="21"/>
  <c r="J271" i="21"/>
  <c r="M271" i="21"/>
  <c r="J272" i="21"/>
  <c r="M272" i="21"/>
  <c r="J273" i="21"/>
  <c r="M273" i="21"/>
  <c r="J274" i="21"/>
  <c r="M274" i="21"/>
  <c r="J275" i="21"/>
  <c r="M275" i="21"/>
  <c r="K276" i="21"/>
  <c r="N276" i="21"/>
  <c r="K277" i="21"/>
  <c r="N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J319" i="21"/>
  <c r="M319" i="21"/>
  <c r="J320" i="21"/>
  <c r="M320" i="21"/>
  <c r="J321" i="21"/>
  <c r="M321" i="21"/>
  <c r="J322" i="21"/>
  <c r="M322" i="21"/>
  <c r="J323" i="21"/>
  <c r="M323" i="21"/>
  <c r="J324" i="21"/>
  <c r="M324" i="21"/>
  <c r="J325" i="21"/>
  <c r="M325" i="21"/>
  <c r="J326" i="21"/>
  <c r="M326" i="21"/>
  <c r="J327" i="21"/>
  <c r="M327" i="21"/>
  <c r="J328" i="21"/>
  <c r="M328" i="21"/>
  <c r="J329" i="21"/>
  <c r="M329" i="21"/>
  <c r="J330" i="21"/>
  <c r="M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J355" i="21"/>
  <c r="M355" i="21"/>
  <c r="J356" i="21"/>
  <c r="M356" i="21"/>
  <c r="J357" i="21"/>
  <c r="M357" i="21"/>
  <c r="J358" i="21"/>
  <c r="M358" i="21"/>
  <c r="J359" i="21"/>
  <c r="M359" i="21"/>
  <c r="J360" i="21"/>
  <c r="M360" i="21"/>
  <c r="J361" i="21"/>
  <c r="M361" i="21"/>
  <c r="J362" i="21"/>
  <c r="M362" i="21"/>
  <c r="J363" i="21"/>
  <c r="M363" i="21"/>
  <c r="J364" i="21"/>
  <c r="M364" i="21"/>
  <c r="J365" i="21"/>
  <c r="M365" i="21"/>
  <c r="J366" i="21"/>
  <c r="M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J404" i="21"/>
  <c r="M404" i="21"/>
  <c r="J405" i="21"/>
  <c r="M405" i="21"/>
  <c r="J406" i="21"/>
  <c r="M406" i="21"/>
  <c r="J407" i="21"/>
  <c r="M407" i="21"/>
  <c r="J408" i="21"/>
  <c r="M408" i="21"/>
  <c r="J409" i="21"/>
  <c r="M409" i="21"/>
  <c r="J410" i="21"/>
  <c r="M410" i="21"/>
  <c r="J411" i="21"/>
  <c r="M411" i="21"/>
  <c r="J412" i="21"/>
  <c r="M412" i="21"/>
  <c r="J413" i="21"/>
  <c r="M413" i="21"/>
  <c r="J414" i="21"/>
  <c r="M414" i="21"/>
  <c r="J415" i="21"/>
  <c r="M415" i="21"/>
  <c r="J416" i="21"/>
  <c r="M416" i="21"/>
  <c r="J417" i="21"/>
  <c r="M417" i="21"/>
  <c r="J418" i="21"/>
  <c r="M418" i="21"/>
  <c r="J419" i="21"/>
  <c r="M419" i="21"/>
  <c r="J420" i="21"/>
  <c r="M420" i="21"/>
  <c r="J421" i="21"/>
  <c r="M421" i="21"/>
  <c r="J422" i="21"/>
  <c r="M422" i="21"/>
  <c r="J423" i="21"/>
  <c r="M423" i="21"/>
  <c r="J424" i="21"/>
  <c r="M424" i="21"/>
  <c r="J425" i="21"/>
  <c r="M425" i="21"/>
  <c r="J426" i="21"/>
  <c r="M426" i="21"/>
  <c r="J427" i="21"/>
  <c r="M427" i="21"/>
  <c r="J428" i="21"/>
  <c r="M428" i="21"/>
  <c r="J429" i="21"/>
  <c r="M429" i="21"/>
  <c r="J430" i="21"/>
  <c r="M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J489" i="21"/>
  <c r="M489" i="21"/>
  <c r="J490" i="21"/>
  <c r="M490" i="21"/>
  <c r="J491" i="21"/>
  <c r="M491" i="21"/>
  <c r="J492" i="21"/>
  <c r="M492" i="21"/>
  <c r="J493" i="21"/>
  <c r="M493" i="21"/>
  <c r="J494" i="21"/>
  <c r="M494" i="21"/>
  <c r="J495" i="21"/>
  <c r="M495" i="21"/>
  <c r="J496" i="21"/>
  <c r="M496" i="21"/>
  <c r="J497" i="21"/>
  <c r="M497" i="21"/>
  <c r="J498" i="21"/>
  <c r="M498" i="21"/>
  <c r="J499" i="21"/>
  <c r="M499" i="21"/>
  <c r="J500" i="21"/>
  <c r="M500" i="21"/>
  <c r="J501" i="21"/>
  <c r="M501" i="21"/>
  <c r="J502" i="21"/>
  <c r="M502" i="21"/>
  <c r="J503" i="21"/>
  <c r="M503" i="21"/>
  <c r="J504" i="21"/>
  <c r="M504" i="21"/>
  <c r="J505" i="21"/>
  <c r="M505" i="21"/>
  <c r="J506" i="21"/>
  <c r="M506" i="21"/>
  <c r="J507" i="21"/>
  <c r="M507" i="21"/>
  <c r="J508" i="21"/>
  <c r="M508" i="21"/>
  <c r="J509" i="21"/>
  <c r="M509" i="21"/>
  <c r="J510" i="21"/>
  <c r="M510" i="21"/>
  <c r="J511" i="21"/>
  <c r="M511" i="21"/>
  <c r="J512" i="21"/>
  <c r="M512" i="21"/>
  <c r="J513" i="21"/>
  <c r="M513" i="21"/>
  <c r="J514" i="21"/>
  <c r="M514" i="21"/>
  <c r="J515" i="21"/>
  <c r="M515" i="21"/>
  <c r="J516" i="21"/>
  <c r="M516" i="21"/>
  <c r="J517" i="21"/>
  <c r="M517" i="21"/>
  <c r="J518" i="21"/>
  <c r="M518" i="21"/>
  <c r="J519" i="21"/>
  <c r="M519" i="21"/>
  <c r="J520" i="21"/>
  <c r="M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J567" i="21"/>
  <c r="M567" i="21"/>
  <c r="J568" i="21"/>
  <c r="M568" i="21"/>
  <c r="J569" i="21"/>
  <c r="M569" i="21"/>
  <c r="J570" i="21"/>
  <c r="M570" i="21"/>
  <c r="J571" i="21"/>
  <c r="M571" i="21"/>
  <c r="J572" i="21"/>
  <c r="M572" i="21"/>
  <c r="J573" i="21"/>
  <c r="M573" i="21"/>
  <c r="J574" i="21"/>
  <c r="M574" i="21"/>
  <c r="J575" i="21"/>
  <c r="M575" i="21"/>
  <c r="J576" i="21"/>
  <c r="M576" i="21"/>
  <c r="J577" i="21"/>
  <c r="M577" i="21"/>
  <c r="J578" i="21"/>
  <c r="M578" i="21"/>
  <c r="J579" i="21"/>
  <c r="M579" i="21"/>
  <c r="J580" i="21"/>
  <c r="M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K899" i="21"/>
  <c r="N899" i="21"/>
  <c r="K900" i="21"/>
  <c r="N900" i="21"/>
  <c r="K901" i="21"/>
  <c r="N901" i="21"/>
  <c r="K902" i="21"/>
  <c r="N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K1004" i="21"/>
  <c r="N1004" i="21"/>
  <c r="K1005" i="21"/>
  <c r="N1005" i="21"/>
  <c r="K1006" i="21"/>
  <c r="N1006" i="21"/>
  <c r="K1007" i="21"/>
  <c r="N1007" i="21"/>
  <c r="K1008" i="21"/>
  <c r="N1008" i="21"/>
  <c r="K1009" i="21"/>
  <c r="N1009" i="21"/>
  <c r="K1010" i="21"/>
  <c r="N1010" i="21"/>
  <c r="K1011" i="21"/>
  <c r="N1011" i="21"/>
  <c r="K1012" i="21"/>
  <c r="N1012" i="21"/>
  <c r="K1013" i="21"/>
  <c r="N1013" i="21"/>
  <c r="K1014" i="21"/>
  <c r="N1014" i="21"/>
  <c r="K1015" i="21"/>
  <c r="N1015" i="21"/>
  <c r="K1016" i="21"/>
  <c r="N1016" i="21"/>
  <c r="K1017" i="21"/>
  <c r="N1017" i="21"/>
  <c r="K1018" i="21"/>
  <c r="N1018" i="21"/>
  <c r="K1019" i="21"/>
  <c r="N1019" i="21"/>
  <c r="K1020" i="21"/>
  <c r="N1020" i="21"/>
  <c r="K1021" i="21"/>
  <c r="N1021" i="21"/>
  <c r="K1022" i="21"/>
  <c r="N1022" i="21"/>
  <c r="K1023" i="21"/>
  <c r="N1023" i="21"/>
  <c r="K1024" i="21"/>
  <c r="N1024" i="21"/>
  <c r="K1025" i="21"/>
  <c r="N1025" i="21"/>
  <c r="K1026" i="21"/>
  <c r="N1026" i="21"/>
  <c r="K1027" i="21"/>
  <c r="N1027" i="21"/>
  <c r="K1028" i="21"/>
  <c r="N1028" i="21"/>
  <c r="K1029" i="21"/>
  <c r="N1029" i="21"/>
  <c r="K1030" i="21"/>
  <c r="N1030" i="21"/>
  <c r="K1031" i="21"/>
  <c r="N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D48" i="5"/>
  <c r="E48" i="5"/>
  <c r="F48" i="5"/>
  <c r="D49" i="5"/>
  <c r="E49" i="5"/>
  <c r="F49" i="5"/>
  <c r="F52" i="5"/>
  <c r="F53" i="5"/>
  <c r="Y2" i="16"/>
  <c r="AE2" i="16"/>
  <c r="AK2" i="16"/>
  <c r="AL2" i="16"/>
  <c r="AU2" i="16"/>
  <c r="AV2" i="16"/>
  <c r="Y3" i="16"/>
  <c r="AE3" i="16"/>
  <c r="AK3" i="16"/>
  <c r="AL3" i="16"/>
  <c r="AU3" i="16"/>
  <c r="AV3" i="16"/>
  <c r="Y4" i="16"/>
  <c r="AE4" i="16"/>
  <c r="AK4" i="16"/>
  <c r="AL4" i="16"/>
  <c r="AU4" i="16"/>
  <c r="AV4" i="16"/>
  <c r="Y5" i="16"/>
  <c r="AE5" i="16"/>
  <c r="AK5" i="16"/>
  <c r="AL5" i="16"/>
  <c r="AU5" i="16"/>
  <c r="AV5" i="16"/>
  <c r="Y6" i="16"/>
  <c r="AE6" i="16"/>
  <c r="AK6" i="16"/>
  <c r="AL6" i="16"/>
  <c r="AU6" i="16"/>
  <c r="AV6" i="16"/>
  <c r="Y7" i="16"/>
  <c r="AE7" i="16"/>
  <c r="AK7" i="16"/>
  <c r="AL7" i="16"/>
  <c r="AU7" i="16"/>
  <c r="AV7" i="16"/>
  <c r="Y8" i="16"/>
  <c r="AE8" i="16"/>
  <c r="AK8" i="16"/>
  <c r="AL8" i="16"/>
  <c r="AU8" i="16"/>
  <c r="AV8" i="16"/>
  <c r="Y9" i="16"/>
  <c r="AE9" i="16"/>
  <c r="AK9" i="16"/>
  <c r="AL9" i="16"/>
  <c r="AU9" i="16"/>
  <c r="AV9" i="16"/>
  <c r="Y10" i="16"/>
  <c r="AE10" i="16"/>
  <c r="AK10" i="16"/>
  <c r="AL10" i="16"/>
  <c r="AU10" i="16"/>
  <c r="AV10" i="16"/>
  <c r="Y11" i="16"/>
  <c r="AE11" i="16"/>
  <c r="AK11" i="16"/>
  <c r="AL11" i="16"/>
  <c r="AU11" i="16"/>
  <c r="AV11" i="16"/>
  <c r="Y12" i="16"/>
  <c r="AE12" i="16"/>
  <c r="AK12" i="16"/>
  <c r="AL12" i="16"/>
  <c r="AU12" i="16"/>
  <c r="AV12" i="16"/>
  <c r="Y13" i="16"/>
  <c r="AE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Z50" i="16"/>
  <c r="AF50" i="16"/>
  <c r="Z51" i="16"/>
  <c r="AF51" i="16"/>
  <c r="Y52" i="16"/>
  <c r="AE52" i="16"/>
  <c r="Y53" i="16"/>
  <c r="AE53" i="16"/>
  <c r="Y54" i="16"/>
  <c r="AE54" i="16"/>
  <c r="Y55" i="16"/>
  <c r="AE55" i="16"/>
  <c r="Y56" i="16"/>
  <c r="AE56" i="16"/>
  <c r="Y57" i="16"/>
  <c r="AE57" i="16"/>
  <c r="Y58" i="16"/>
  <c r="AE58" i="16"/>
  <c r="Y59" i="16"/>
  <c r="AE59" i="16"/>
  <c r="Y60" i="16"/>
  <c r="AE60" i="16"/>
  <c r="Y61" i="16"/>
  <c r="AE61" i="16"/>
  <c r="Y62" i="16"/>
  <c r="AE62" i="16"/>
  <c r="Y63" i="16"/>
  <c r="AE63" i="16"/>
  <c r="Z64" i="16"/>
  <c r="AF64" i="16"/>
  <c r="Z65" i="16"/>
  <c r="AF65" i="16"/>
  <c r="Z66" i="16"/>
  <c r="AF66" i="16"/>
  <c r="Z67" i="16"/>
  <c r="AF67" i="16"/>
  <c r="Z68" i="16"/>
  <c r="AF68" i="16"/>
  <c r="Z69" i="16"/>
  <c r="AF69" i="16"/>
  <c r="Z70" i="16"/>
  <c r="AF70" i="16"/>
  <c r="Z71" i="16"/>
  <c r="AF71" i="16"/>
  <c r="Z72" i="16"/>
  <c r="AF72" i="16"/>
  <c r="Z73" i="16"/>
  <c r="AF73" i="16"/>
  <c r="Z74" i="16"/>
  <c r="AF74" i="16"/>
  <c r="Z75" i="16"/>
  <c r="AF75" i="16"/>
  <c r="Y76" i="16"/>
  <c r="Z76" i="16"/>
  <c r="AE76" i="16"/>
  <c r="AF76" i="16"/>
  <c r="Y77" i="16"/>
  <c r="Z77" i="16"/>
  <c r="AE77" i="16"/>
  <c r="AF77" i="16"/>
  <c r="Y78" i="16"/>
  <c r="Z78" i="16"/>
  <c r="AE78" i="16"/>
  <c r="AF78" i="16"/>
  <c r="Y79" i="16"/>
  <c r="Z79" i="16"/>
  <c r="AE79" i="16"/>
  <c r="AF79" i="16"/>
  <c r="Y80" i="16"/>
  <c r="Z80" i="16"/>
  <c r="AE80" i="16"/>
  <c r="AF80" i="16"/>
  <c r="Y81" i="16"/>
  <c r="Z81" i="16"/>
  <c r="AE81" i="16"/>
  <c r="AF81" i="16"/>
  <c r="Y82" i="16"/>
  <c r="Z82" i="16"/>
  <c r="AE82" i="16"/>
  <c r="AF82" i="16"/>
  <c r="Y83" i="16"/>
  <c r="Z83" i="16"/>
  <c r="AE83" i="16"/>
  <c r="AF83" i="16"/>
  <c r="Y84" i="16"/>
  <c r="Z84" i="16"/>
  <c r="AE84" i="16"/>
  <c r="AF84" i="16"/>
  <c r="Y85" i="16"/>
  <c r="Z85" i="16"/>
  <c r="AE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Y144" i="16"/>
  <c r="Z144" i="16"/>
  <c r="AE144" i="16"/>
  <c r="AF144" i="16"/>
  <c r="Y145" i="16"/>
  <c r="Z145" i="16"/>
  <c r="AE145" i="16"/>
  <c r="AF145" i="16"/>
  <c r="Y146" i="16"/>
  <c r="Z146" i="16"/>
  <c r="AE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Z215" i="16"/>
  <c r="AF215" i="16"/>
  <c r="Z216" i="16"/>
  <c r="AF216" i="16"/>
  <c r="Z217" i="16"/>
  <c r="AF217" i="16"/>
  <c r="Z218" i="16"/>
  <c r="AF218" i="16"/>
  <c r="Z219" i="16"/>
  <c r="AF219" i="16"/>
  <c r="Z220" i="16"/>
  <c r="AF220" i="16"/>
  <c r="Z221" i="16"/>
  <c r="AF221" i="16"/>
  <c r="Z222" i="16"/>
  <c r="AF222" i="16"/>
  <c r="Z223" i="16"/>
  <c r="AF223" i="16"/>
  <c r="Z224" i="16"/>
  <c r="AF224" i="16"/>
  <c r="Z225" i="16"/>
  <c r="AF225" i="16"/>
  <c r="Z226" i="16"/>
  <c r="AF226" i="16"/>
  <c r="Z227" i="16"/>
  <c r="AF227" i="16"/>
  <c r="Z228" i="16"/>
  <c r="AF228" i="16"/>
  <c r="Z229" i="16"/>
  <c r="AF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Y246" i="16"/>
  <c r="AE246" i="16"/>
  <c r="Y247" i="16"/>
  <c r="AE247" i="16"/>
  <c r="Y248" i="16"/>
  <c r="AE248" i="16"/>
  <c r="Y249" i="16"/>
  <c r="AE249" i="16"/>
  <c r="Y250" i="16"/>
  <c r="AE250" i="16"/>
  <c r="Y251" i="16"/>
  <c r="AE251" i="16"/>
  <c r="Y252" i="16"/>
  <c r="AE252" i="16"/>
  <c r="Y253" i="16"/>
  <c r="AE253" i="16"/>
  <c r="Y254" i="16"/>
  <c r="AE254" i="16"/>
  <c r="Y255" i="16"/>
  <c r="AE255" i="16"/>
  <c r="Y256" i="16"/>
  <c r="AE256" i="16"/>
  <c r="Y257" i="16"/>
  <c r="AE257" i="16"/>
  <c r="Y258" i="16"/>
  <c r="AE258" i="16"/>
  <c r="Y259" i="16"/>
  <c r="AE259" i="16"/>
  <c r="Y260" i="16"/>
  <c r="AE260" i="16"/>
  <c r="Y261" i="16"/>
  <c r="AE261" i="16"/>
  <c r="Y262" i="16"/>
  <c r="AE262" i="16"/>
  <c r="Y263" i="16"/>
  <c r="AE263" i="16"/>
  <c r="Y264" i="16"/>
  <c r="AE264" i="16"/>
  <c r="Y265" i="16"/>
  <c r="AE265" i="16"/>
  <c r="Y266" i="16"/>
  <c r="AE266" i="16"/>
  <c r="Y267" i="16"/>
  <c r="AE267" i="16"/>
  <c r="Y268" i="16"/>
  <c r="AE268" i="16"/>
  <c r="Y269" i="16"/>
  <c r="AE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Z276" i="16"/>
  <c r="AF276" i="16"/>
  <c r="Z277" i="16"/>
  <c r="AF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Y319" i="16"/>
  <c r="AE319" i="16"/>
  <c r="Y320" i="16"/>
  <c r="AE320" i="16"/>
  <c r="Y321" i="16"/>
  <c r="AE321" i="16"/>
  <c r="Y322" i="16"/>
  <c r="AE322" i="16"/>
  <c r="Y323" i="16"/>
  <c r="AE323" i="16"/>
  <c r="Y324" i="16"/>
  <c r="AE324" i="16"/>
  <c r="Y325" i="16"/>
  <c r="AE325" i="16"/>
  <c r="Y326" i="16"/>
  <c r="AE326" i="16"/>
  <c r="Y327" i="16"/>
  <c r="AE327" i="16"/>
  <c r="Y328" i="16"/>
  <c r="AE328" i="16"/>
  <c r="Y329" i="16"/>
  <c r="AE329" i="16"/>
  <c r="Y330" i="16"/>
  <c r="AE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Y355" i="16"/>
  <c r="AE355" i="16"/>
  <c r="Y356" i="16"/>
  <c r="AE356" i="16"/>
  <c r="Y357" i="16"/>
  <c r="AE357" i="16"/>
  <c r="Y358" i="16"/>
  <c r="AE358" i="16"/>
  <c r="Y359" i="16"/>
  <c r="AE359" i="16"/>
  <c r="Y360" i="16"/>
  <c r="AE360" i="16"/>
  <c r="Y361" i="16"/>
  <c r="AE361" i="16"/>
  <c r="Y362" i="16"/>
  <c r="AE362" i="16"/>
  <c r="Y363" i="16"/>
  <c r="AE363" i="16"/>
  <c r="Y364" i="16"/>
  <c r="AE364" i="16"/>
  <c r="Y365" i="16"/>
  <c r="AE365" i="16"/>
  <c r="Y366" i="16"/>
  <c r="AE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Y404" i="16"/>
  <c r="AE404" i="16"/>
  <c r="Y405" i="16"/>
  <c r="AE405" i="16"/>
  <c r="Y406" i="16"/>
  <c r="AE406" i="16"/>
  <c r="Y407" i="16"/>
  <c r="AE407" i="16"/>
  <c r="Y408" i="16"/>
  <c r="AE408" i="16"/>
  <c r="Y409" i="16"/>
  <c r="AE409" i="16"/>
  <c r="Y410" i="16"/>
  <c r="AE410" i="16"/>
  <c r="Y411" i="16"/>
  <c r="AE411" i="16"/>
  <c r="Y412" i="16"/>
  <c r="AE412" i="16"/>
  <c r="Y413" i="16"/>
  <c r="AE413" i="16"/>
  <c r="Y414" i="16"/>
  <c r="AE414" i="16"/>
  <c r="Y415" i="16"/>
  <c r="AE415" i="16"/>
  <c r="Y416" i="16"/>
  <c r="AE416" i="16"/>
  <c r="Y417" i="16"/>
  <c r="AE417" i="16"/>
  <c r="Y418" i="16"/>
  <c r="AE418" i="16"/>
  <c r="Y419" i="16"/>
  <c r="AE419" i="16"/>
  <c r="Y420" i="16"/>
  <c r="AE420" i="16"/>
  <c r="Y421" i="16"/>
  <c r="AE421" i="16"/>
  <c r="Y422" i="16"/>
  <c r="AE422" i="16"/>
  <c r="Y423" i="16"/>
  <c r="AE423" i="16"/>
  <c r="Y424" i="16"/>
  <c r="AE424" i="16"/>
  <c r="Y425" i="16"/>
  <c r="AE425" i="16"/>
  <c r="Y426" i="16"/>
  <c r="AE426" i="16"/>
  <c r="Y427" i="16"/>
  <c r="AE427" i="16"/>
  <c r="Y428" i="16"/>
  <c r="AE428" i="16"/>
  <c r="Y429" i="16"/>
  <c r="AE429" i="16"/>
  <c r="Y430" i="16"/>
  <c r="AE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Y489" i="16"/>
  <c r="AE489" i="16"/>
  <c r="Y490" i="16"/>
  <c r="AE490" i="16"/>
  <c r="Y491" i="16"/>
  <c r="AE491" i="16"/>
  <c r="Y492" i="16"/>
  <c r="AE492" i="16"/>
  <c r="Y493" i="16"/>
  <c r="AE493" i="16"/>
  <c r="Y494" i="16"/>
  <c r="AE494" i="16"/>
  <c r="Y495" i="16"/>
  <c r="AE495" i="16"/>
  <c r="Y496" i="16"/>
  <c r="AE496" i="16"/>
  <c r="Y497" i="16"/>
  <c r="AE497" i="16"/>
  <c r="Y498" i="16"/>
  <c r="AE498" i="16"/>
  <c r="Y499" i="16"/>
  <c r="AE499" i="16"/>
  <c r="Y500" i="16"/>
  <c r="AE500" i="16"/>
  <c r="Y501" i="16"/>
  <c r="AE501" i="16"/>
  <c r="Y502" i="16"/>
  <c r="AE502" i="16"/>
  <c r="Y503" i="16"/>
  <c r="AE503" i="16"/>
  <c r="Y504" i="16"/>
  <c r="AE504" i="16"/>
  <c r="Y505" i="16"/>
  <c r="AE505" i="16"/>
  <c r="Y506" i="16"/>
  <c r="AE506" i="16"/>
  <c r="Y507" i="16"/>
  <c r="AE507" i="16"/>
  <c r="Y508" i="16"/>
  <c r="AE508" i="16"/>
  <c r="Y509" i="16"/>
  <c r="AE509" i="16"/>
  <c r="Y510" i="16"/>
  <c r="AE510" i="16"/>
  <c r="Y511" i="16"/>
  <c r="AE511" i="16"/>
  <c r="Y512" i="16"/>
  <c r="AE512" i="16"/>
  <c r="Y513" i="16"/>
  <c r="AE513" i="16"/>
  <c r="Y514" i="16"/>
  <c r="AE514" i="16"/>
  <c r="Y515" i="16"/>
  <c r="AE515" i="16"/>
  <c r="Y516" i="16"/>
  <c r="AE516" i="16"/>
  <c r="Y517" i="16"/>
  <c r="AE517" i="16"/>
  <c r="Y518" i="16"/>
  <c r="AE518" i="16"/>
  <c r="Y519" i="16"/>
  <c r="AE519" i="16"/>
  <c r="Y520" i="16"/>
  <c r="AE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Y567" i="16"/>
  <c r="AE567" i="16"/>
  <c r="Y568" i="16"/>
  <c r="AE568" i="16"/>
  <c r="Y569" i="16"/>
  <c r="AE569" i="16"/>
  <c r="Y570" i="16"/>
  <c r="AE570" i="16"/>
  <c r="Y571" i="16"/>
  <c r="AE571" i="16"/>
  <c r="Y572" i="16"/>
  <c r="AE572" i="16"/>
  <c r="Y573" i="16"/>
  <c r="AE573" i="16"/>
  <c r="Y574" i="16"/>
  <c r="AE574" i="16"/>
  <c r="Y575" i="16"/>
  <c r="AE575" i="16"/>
  <c r="Y576" i="16"/>
  <c r="AE576" i="16"/>
  <c r="Y577" i="16"/>
  <c r="AE577" i="16"/>
  <c r="Y578" i="16"/>
  <c r="AE578" i="16"/>
  <c r="Y579" i="16"/>
  <c r="AE579" i="16"/>
  <c r="Y580" i="16"/>
  <c r="AE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Z899" i="16"/>
  <c r="AF899" i="16"/>
  <c r="Z900" i="16"/>
  <c r="AF900" i="16"/>
  <c r="Z901" i="16"/>
  <c r="AF901" i="16"/>
  <c r="Z902" i="16"/>
  <c r="AF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D7" i="37"/>
  <c r="R7" i="37"/>
  <c r="S7" i="37"/>
  <c r="V7" i="37"/>
  <c r="W7" i="37"/>
  <c r="X7" i="37"/>
  <c r="D9" i="37"/>
  <c r="R9" i="37"/>
  <c r="S9" i="37"/>
  <c r="V9" i="37"/>
  <c r="W9" i="37"/>
  <c r="X9" i="37"/>
  <c r="D11" i="37"/>
  <c r="R11" i="37"/>
  <c r="S11" i="37"/>
  <c r="V11" i="37"/>
  <c r="W11" i="37"/>
  <c r="X11" i="37"/>
  <c r="D13" i="37"/>
  <c r="R13" i="37"/>
  <c r="S13" i="37"/>
  <c r="V13" i="37"/>
  <c r="W13" i="37"/>
  <c r="X13" i="37"/>
  <c r="D14" i="37"/>
  <c r="R14" i="37"/>
  <c r="S14" i="37"/>
  <c r="V14" i="37"/>
  <c r="W14" i="37"/>
  <c r="X14" i="37"/>
  <c r="D15" i="37"/>
  <c r="R15" i="37"/>
  <c r="S15" i="37"/>
  <c r="V15" i="37"/>
  <c r="W15" i="37"/>
  <c r="X15" i="37"/>
  <c r="Y2" i="17"/>
  <c r="AD2" i="17"/>
  <c r="AJ2" i="17"/>
  <c r="Y3" i="17"/>
  <c r="AD3" i="17"/>
  <c r="AJ3" i="17"/>
  <c r="Y4" i="17"/>
  <c r="AD4" i="17"/>
  <c r="Y5" i="17"/>
  <c r="AD5" i="17"/>
  <c r="AJ5" i="17"/>
  <c r="Y6" i="17"/>
  <c r="AD6" i="17"/>
  <c r="AJ6" i="17"/>
  <c r="Y7" i="17"/>
  <c r="AD7" i="17"/>
  <c r="Y8" i="17"/>
  <c r="AD8" i="17"/>
  <c r="AJ8" i="17"/>
  <c r="Y9" i="17"/>
  <c r="AD9" i="17"/>
  <c r="Y10" i="17"/>
  <c r="AD10" i="17"/>
  <c r="Y11" i="17"/>
  <c r="AD11" i="17"/>
  <c r="Y12" i="17"/>
  <c r="AD12" i="17"/>
  <c r="Y13" i="17"/>
  <c r="AD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Y26" i="17"/>
  <c r="Z26" i="17"/>
  <c r="AD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Y38" i="17"/>
  <c r="Z38" i="17"/>
  <c r="AD38" i="17"/>
  <c r="AE38" i="17"/>
  <c r="Y39" i="17"/>
  <c r="Z39" i="17"/>
  <c r="AD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AD63" i="17"/>
  <c r="Z64" i="17"/>
  <c r="AE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Z86" i="17"/>
  <c r="AE86" i="17"/>
  <c r="Z87" i="17"/>
  <c r="AE87" i="17"/>
  <c r="Z88" i="17"/>
  <c r="AE88" i="17"/>
  <c r="Z89" i="17"/>
  <c r="AE89" i="17"/>
  <c r="Z90" i="17"/>
  <c r="AE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Y98" i="17"/>
  <c r="AD98" i="17"/>
  <c r="Y99" i="17"/>
  <c r="AD99" i="17"/>
  <c r="Y100" i="17"/>
  <c r="AD100" i="17"/>
  <c r="Y101" i="17"/>
  <c r="AD101" i="17"/>
  <c r="Y102" i="17"/>
  <c r="AD102" i="17"/>
  <c r="Y103" i="17"/>
  <c r="AD103" i="17"/>
  <c r="Y104" i="17"/>
  <c r="AD104" i="17"/>
  <c r="Z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E5" i="40"/>
  <c r="R5" i="40"/>
  <c r="U5" i="40"/>
  <c r="E6" i="40"/>
  <c r="R6" i="40"/>
  <c r="U6" i="40"/>
  <c r="E7" i="40"/>
  <c r="F7" i="40"/>
  <c r="H7" i="40"/>
  <c r="I7" i="40"/>
  <c r="R7" i="40"/>
  <c r="U7" i="40"/>
  <c r="E8" i="40"/>
  <c r="F8" i="40"/>
  <c r="H8" i="40"/>
  <c r="I8" i="40"/>
  <c r="R8" i="40"/>
  <c r="U8" i="40"/>
  <c r="E9" i="40"/>
  <c r="F9" i="40"/>
  <c r="H9" i="40"/>
  <c r="I9" i="40"/>
  <c r="R9" i="40"/>
  <c r="U9" i="40"/>
  <c r="E10" i="40"/>
  <c r="F10" i="40"/>
  <c r="H10" i="40"/>
  <c r="I10" i="40"/>
  <c r="R10" i="40"/>
  <c r="U10" i="40"/>
  <c r="E11" i="40"/>
  <c r="F11" i="40"/>
  <c r="H11" i="40"/>
  <c r="I11" i="40"/>
  <c r="R11" i="40"/>
  <c r="U11" i="40"/>
  <c r="E12" i="40"/>
  <c r="F12" i="40"/>
  <c r="H12" i="40"/>
  <c r="I12" i="40"/>
  <c r="R12" i="40"/>
  <c r="U12" i="40"/>
  <c r="E13" i="40"/>
  <c r="F13" i="40"/>
  <c r="H13" i="40"/>
  <c r="I13" i="40"/>
  <c r="R13" i="40"/>
  <c r="U13" i="40"/>
  <c r="E14" i="40"/>
  <c r="F14" i="40"/>
  <c r="H14" i="40"/>
  <c r="I14" i="40"/>
  <c r="R14" i="40"/>
  <c r="U14" i="40"/>
  <c r="E15" i="40"/>
  <c r="H15" i="40"/>
  <c r="R15" i="40"/>
  <c r="U15" i="40"/>
  <c r="F16" i="40"/>
  <c r="I16" i="40"/>
  <c r="R16" i="40"/>
  <c r="U16" i="40"/>
  <c r="F17" i="40"/>
  <c r="I17" i="40"/>
  <c r="R17" i="40"/>
  <c r="U17" i="40"/>
  <c r="E18" i="40"/>
  <c r="H18" i="40"/>
  <c r="R18" i="40"/>
  <c r="U18" i="40"/>
  <c r="F19" i="40"/>
  <c r="I19" i="40"/>
  <c r="R19" i="40"/>
  <c r="U19" i="40"/>
  <c r="F20" i="40"/>
  <c r="I20" i="40"/>
  <c r="R20" i="40"/>
  <c r="U20" i="40"/>
  <c r="E21" i="40"/>
  <c r="H21" i="40"/>
  <c r="R21" i="40"/>
  <c r="U21" i="40"/>
  <c r="E22" i="40"/>
  <c r="F22" i="40"/>
  <c r="H22" i="40"/>
  <c r="I22" i="40"/>
  <c r="R22" i="40"/>
  <c r="U22" i="40"/>
  <c r="E23" i="40"/>
  <c r="F23" i="40"/>
  <c r="H23" i="40"/>
  <c r="I23" i="40"/>
  <c r="R23" i="40"/>
  <c r="U23" i="40"/>
  <c r="E24" i="40"/>
  <c r="F24" i="40"/>
  <c r="H24" i="40"/>
  <c r="I24" i="40"/>
  <c r="R24" i="40"/>
  <c r="U24" i="40"/>
  <c r="E25" i="40"/>
  <c r="F25" i="40"/>
  <c r="H25" i="40"/>
  <c r="I25" i="40"/>
  <c r="R25" i="40"/>
  <c r="U25" i="40"/>
  <c r="E26" i="40"/>
  <c r="H26" i="40"/>
  <c r="R26" i="40"/>
  <c r="U26" i="40"/>
  <c r="F27" i="40"/>
  <c r="I27" i="40"/>
  <c r="R27" i="40"/>
  <c r="U27" i="40"/>
  <c r="F28" i="40"/>
  <c r="I28" i="40"/>
  <c r="R28" i="40"/>
  <c r="U28" i="40"/>
  <c r="E29" i="40"/>
  <c r="H29" i="40"/>
  <c r="R29" i="40"/>
  <c r="U29" i="40"/>
  <c r="F30" i="40"/>
  <c r="I30" i="40"/>
  <c r="R30" i="40"/>
  <c r="U30" i="40"/>
  <c r="F31" i="40"/>
  <c r="I31" i="40"/>
  <c r="R31" i="40"/>
  <c r="U31" i="40"/>
  <c r="E32" i="40"/>
  <c r="H32" i="40"/>
  <c r="R32" i="40"/>
  <c r="U32" i="40"/>
  <c r="R33" i="40"/>
  <c r="U33" i="40"/>
  <c r="Q34" i="40"/>
  <c r="T34" i="40"/>
  <c r="Q35" i="40"/>
  <c r="T35" i="40"/>
  <c r="N9" i="6"/>
  <c r="AJ9" i="6"/>
  <c r="AK9" i="6"/>
  <c r="N10" i="6"/>
  <c r="AJ10" i="6"/>
  <c r="AK10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3" i="6"/>
  <c r="AJ23" i="6"/>
  <c r="AK23" i="6"/>
  <c r="N24" i="6"/>
  <c r="AJ24" i="6"/>
  <c r="AK24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2" i="6"/>
  <c r="AJ62" i="6"/>
  <c r="AK62" i="6"/>
  <c r="N63" i="6"/>
  <c r="AJ63" i="6"/>
  <c r="AK63" i="6"/>
  <c r="N64" i="6"/>
  <c r="AJ64" i="6"/>
  <c r="AK64" i="6"/>
  <c r="N65" i="6"/>
  <c r="AJ65" i="6"/>
  <c r="AK65" i="6"/>
  <c r="N66" i="6"/>
  <c r="AJ66" i="6"/>
  <c r="AK66" i="6"/>
  <c r="N67" i="6"/>
  <c r="AJ67" i="6"/>
  <c r="AK67" i="6"/>
  <c r="N71" i="6"/>
  <c r="AJ71" i="6"/>
  <c r="AK71" i="6"/>
  <c r="N76" i="6"/>
  <c r="AJ76" i="6"/>
  <c r="AK76" i="6"/>
  <c r="N79" i="6"/>
  <c r="L80" i="6"/>
  <c r="N80" i="6"/>
  <c r="L81" i="6"/>
  <c r="N81" i="6"/>
  <c r="O81" i="6"/>
  <c r="L82" i="6"/>
  <c r="N82" i="6"/>
  <c r="O82" i="6"/>
  <c r="L83" i="6"/>
  <c r="N83" i="6"/>
  <c r="N84" i="6"/>
  <c r="L85" i="6"/>
  <c r="L86" i="6"/>
  <c r="L87" i="6"/>
  <c r="L88" i="6"/>
  <c r="L89" i="6"/>
  <c r="N5" i="35"/>
  <c r="AB5" i="35"/>
  <c r="AC5" i="35"/>
  <c r="AF5" i="35"/>
  <c r="AG5" i="35"/>
  <c r="N6" i="35"/>
  <c r="AB6" i="35"/>
  <c r="AC6" i="35"/>
  <c r="AF6" i="35"/>
  <c r="AG6" i="35"/>
  <c r="N7" i="35"/>
  <c r="AB7" i="35"/>
  <c r="AC7" i="35"/>
  <c r="AF7" i="35"/>
  <c r="AG7" i="35"/>
  <c r="N8" i="35"/>
  <c r="AB8" i="35"/>
  <c r="AC8" i="35"/>
  <c r="AF8" i="35"/>
  <c r="AG8" i="35"/>
  <c r="N9" i="35"/>
  <c r="AB9" i="35"/>
  <c r="AC9" i="35"/>
  <c r="AF9" i="35"/>
  <c r="AG9" i="35"/>
  <c r="N10" i="35"/>
  <c r="AB10" i="35"/>
  <c r="AC10" i="35"/>
  <c r="AF10" i="35"/>
  <c r="AG10" i="35"/>
  <c r="N11" i="35"/>
  <c r="AB11" i="35"/>
  <c r="AC11" i="35"/>
  <c r="AF11" i="35"/>
  <c r="AG11" i="35"/>
  <c r="N12" i="35"/>
  <c r="AB12" i="35"/>
  <c r="AC12" i="35"/>
  <c r="AF12" i="35"/>
  <c r="AG12" i="35"/>
  <c r="N13" i="35"/>
  <c r="AB13" i="35"/>
  <c r="AC13" i="35"/>
  <c r="AF13" i="35"/>
  <c r="AG13" i="35"/>
  <c r="N14" i="35"/>
  <c r="AB14" i="35"/>
  <c r="AC14" i="35"/>
  <c r="AF14" i="35"/>
  <c r="AG14" i="35"/>
  <c r="N15" i="35"/>
  <c r="AB15" i="35"/>
  <c r="AC15" i="35"/>
  <c r="AF15" i="35"/>
  <c r="AG15" i="35"/>
  <c r="N16" i="35"/>
  <c r="AB16" i="35"/>
  <c r="AC16" i="35"/>
  <c r="AF16" i="35"/>
  <c r="AG16" i="35"/>
  <c r="N17" i="35"/>
  <c r="AB17" i="35"/>
  <c r="AC17" i="35"/>
  <c r="AF17" i="35"/>
  <c r="AG17" i="35"/>
  <c r="N18" i="35"/>
  <c r="AB18" i="35"/>
  <c r="AC18" i="35"/>
  <c r="AF18" i="35"/>
  <c r="AG18" i="35"/>
  <c r="N19" i="35"/>
  <c r="AB19" i="35"/>
  <c r="AC19" i="35"/>
  <c r="AF19" i="35"/>
  <c r="AG19" i="35"/>
  <c r="N20" i="35"/>
  <c r="AB20" i="35"/>
  <c r="AC20" i="35"/>
  <c r="AF20" i="35"/>
  <c r="AG20" i="35"/>
  <c r="N21" i="35"/>
  <c r="AB21" i="35"/>
  <c r="AC21" i="35"/>
  <c r="AF21" i="35"/>
  <c r="AG21" i="35"/>
  <c r="N22" i="35"/>
  <c r="AB22" i="35"/>
  <c r="AC22" i="35"/>
  <c r="AF22" i="35"/>
  <c r="AG22" i="35"/>
  <c r="N23" i="35"/>
  <c r="AB23" i="35"/>
  <c r="AC23" i="35"/>
  <c r="AF23" i="35"/>
  <c r="AG23" i="35"/>
  <c r="N24" i="35"/>
  <c r="AB24" i="35"/>
  <c r="AC24" i="35"/>
  <c r="AF24" i="35"/>
  <c r="AG24" i="35"/>
  <c r="N25" i="35"/>
  <c r="AB25" i="35"/>
  <c r="AC25" i="35"/>
  <c r="AF25" i="35"/>
  <c r="AG25" i="35"/>
  <c r="N26" i="35"/>
  <c r="AB26" i="35"/>
  <c r="AC26" i="35"/>
  <c r="AF26" i="35"/>
  <c r="AG26" i="35"/>
  <c r="N27" i="35"/>
  <c r="AB27" i="35"/>
  <c r="AC27" i="35"/>
  <c r="AF27" i="35"/>
  <c r="AG27" i="35"/>
  <c r="N28" i="35"/>
  <c r="AB28" i="35"/>
  <c r="AC28" i="35"/>
  <c r="AF28" i="35"/>
  <c r="AG28" i="35"/>
  <c r="N29" i="35"/>
  <c r="AB29" i="35"/>
  <c r="AC29" i="35"/>
  <c r="AF29" i="35"/>
  <c r="AG29" i="35"/>
  <c r="N30" i="35"/>
  <c r="AB30" i="35"/>
  <c r="AC30" i="35"/>
  <c r="AF30" i="35"/>
  <c r="AG30" i="35"/>
  <c r="N31" i="35"/>
  <c r="AB31" i="35"/>
  <c r="AC31" i="35"/>
  <c r="AF31" i="35"/>
  <c r="AG31" i="35"/>
  <c r="N32" i="35"/>
  <c r="AB32" i="35"/>
  <c r="AC32" i="35"/>
  <c r="AF32" i="35"/>
  <c r="AG32" i="35"/>
  <c r="N33" i="35"/>
  <c r="AB33" i="35"/>
  <c r="AC33" i="35"/>
  <c r="AF33" i="35"/>
  <c r="AG33" i="35"/>
  <c r="N34" i="35"/>
  <c r="AB34" i="35"/>
  <c r="AC34" i="35"/>
  <c r="AF34" i="35"/>
  <c r="AG34" i="35"/>
  <c r="N35" i="35"/>
  <c r="AB35" i="35"/>
  <c r="AC35" i="35"/>
  <c r="AF35" i="35"/>
  <c r="AG35" i="35"/>
  <c r="N36" i="35"/>
  <c r="AB36" i="35"/>
  <c r="AC36" i="35"/>
  <c r="AF36" i="35"/>
  <c r="AG36" i="35"/>
  <c r="N37" i="35"/>
  <c r="AB37" i="35"/>
  <c r="AC37" i="35"/>
  <c r="AF37" i="35"/>
  <c r="AG37" i="35"/>
  <c r="N38" i="35"/>
  <c r="AB38" i="35"/>
  <c r="AC38" i="35"/>
  <c r="AF38" i="35"/>
  <c r="AG38" i="35"/>
  <c r="N39" i="35"/>
  <c r="AB39" i="35"/>
  <c r="AC39" i="35"/>
  <c r="AF39" i="35"/>
  <c r="AG39" i="35"/>
  <c r="N40" i="35"/>
  <c r="AB40" i="35"/>
  <c r="AC40" i="35"/>
  <c r="AF40" i="35"/>
  <c r="AG40" i="35"/>
  <c r="N41" i="35"/>
  <c r="AB41" i="35"/>
  <c r="AC41" i="35"/>
  <c r="AF41" i="35"/>
  <c r="AG41" i="35"/>
  <c r="N42" i="35"/>
  <c r="AB42" i="35"/>
  <c r="AC42" i="35"/>
  <c r="AF42" i="35"/>
  <c r="AG42" i="35"/>
  <c r="N43" i="35"/>
  <c r="AB43" i="35"/>
  <c r="AC43" i="35"/>
  <c r="AF43" i="35"/>
  <c r="AG43" i="35"/>
  <c r="N44" i="35"/>
  <c r="AB44" i="35"/>
  <c r="AC44" i="35"/>
  <c r="AF44" i="35"/>
  <c r="AG44" i="35"/>
  <c r="N45" i="35"/>
  <c r="AB45" i="35"/>
  <c r="AC45" i="35"/>
  <c r="AF45" i="35"/>
  <c r="AG45" i="35"/>
  <c r="N46" i="35"/>
  <c r="AB46" i="35"/>
  <c r="AC46" i="35"/>
  <c r="AF46" i="35"/>
  <c r="AG46" i="35"/>
  <c r="N47" i="35"/>
  <c r="AB47" i="35"/>
  <c r="AC47" i="35"/>
  <c r="AF47" i="35"/>
  <c r="AG47" i="35"/>
  <c r="N48" i="35"/>
  <c r="AB48" i="35"/>
  <c r="AC48" i="35"/>
  <c r="AF48" i="35"/>
  <c r="AG48" i="35"/>
  <c r="N49" i="35"/>
  <c r="AB49" i="35"/>
  <c r="AC49" i="35"/>
  <c r="AF49" i="35"/>
  <c r="AG49" i="35"/>
  <c r="N50" i="35"/>
  <c r="AB50" i="35"/>
  <c r="AC50" i="35"/>
  <c r="AF50" i="35"/>
  <c r="AG50" i="35"/>
  <c r="N51" i="35"/>
  <c r="AB51" i="35"/>
  <c r="AC51" i="35"/>
  <c r="AF51" i="35"/>
  <c r="AG51" i="35"/>
  <c r="N52" i="35"/>
  <c r="AB52" i="35"/>
  <c r="AC52" i="35"/>
  <c r="AF52" i="35"/>
  <c r="AG52" i="35"/>
  <c r="N53" i="35"/>
  <c r="AB53" i="35"/>
  <c r="AC53" i="35"/>
  <c r="AF53" i="35"/>
  <c r="AG53" i="35"/>
  <c r="N54" i="35"/>
  <c r="AB54" i="35"/>
  <c r="AC54" i="35"/>
  <c r="AF54" i="35"/>
  <c r="AG54" i="35"/>
  <c r="N55" i="35"/>
  <c r="AB55" i="35"/>
  <c r="AC55" i="35"/>
  <c r="AF55" i="35"/>
  <c r="AG55" i="35"/>
  <c r="N56" i="35"/>
  <c r="AB56" i="35"/>
  <c r="AC56" i="35"/>
  <c r="AF56" i="35"/>
  <c r="AG56" i="35"/>
  <c r="N57" i="35"/>
  <c r="AB57" i="35"/>
  <c r="AC57" i="35"/>
  <c r="AF57" i="35"/>
  <c r="AG57" i="35"/>
  <c r="N58" i="35"/>
  <c r="AB58" i="35"/>
  <c r="AC58" i="35"/>
  <c r="AF58" i="35"/>
  <c r="AG58" i="35"/>
  <c r="N59" i="35"/>
  <c r="AB59" i="35"/>
  <c r="AC59" i="35"/>
  <c r="AF59" i="35"/>
  <c r="AG59" i="35"/>
  <c r="N60" i="35"/>
  <c r="AB60" i="35"/>
  <c r="AC60" i="35"/>
  <c r="AF60" i="35"/>
  <c r="AG60" i="35"/>
  <c r="N61" i="35"/>
  <c r="AB61" i="35"/>
  <c r="AC61" i="35"/>
  <c r="AF61" i="35"/>
  <c r="AG61" i="35"/>
  <c r="N62" i="35"/>
  <c r="AB62" i="35"/>
  <c r="AC62" i="35"/>
  <c r="AF62" i="35"/>
  <c r="AG62" i="35"/>
  <c r="N63" i="35"/>
  <c r="AB63" i="35"/>
  <c r="AC63" i="35"/>
  <c r="AF63" i="35"/>
  <c r="AG63" i="35"/>
  <c r="N64" i="35"/>
  <c r="AB64" i="35"/>
  <c r="AC64" i="35"/>
  <c r="AF64" i="35"/>
  <c r="AG64" i="35"/>
  <c r="N65" i="35"/>
  <c r="AB65" i="35"/>
  <c r="AC65" i="35"/>
  <c r="AF65" i="35"/>
  <c r="AG65" i="35"/>
  <c r="N66" i="35"/>
  <c r="AB66" i="35"/>
  <c r="AC66" i="35"/>
  <c r="AF66" i="35"/>
  <c r="AG66" i="35"/>
  <c r="N67" i="35"/>
  <c r="AB67" i="35"/>
  <c r="AC67" i="35"/>
  <c r="AF67" i="35"/>
  <c r="AG67" i="35"/>
  <c r="N73" i="35"/>
  <c r="AB73" i="35"/>
  <c r="AC73" i="35"/>
  <c r="AF73" i="35"/>
  <c r="AG73" i="35"/>
  <c r="N74" i="35"/>
  <c r="AB74" i="35"/>
  <c r="AC74" i="35"/>
  <c r="AF74" i="35"/>
  <c r="AG74" i="35"/>
  <c r="N75" i="35"/>
  <c r="AB75" i="35"/>
  <c r="AC75" i="35"/>
  <c r="AF75" i="35"/>
  <c r="AG75" i="35"/>
  <c r="N76" i="35"/>
  <c r="AB76" i="35"/>
  <c r="AC76" i="35"/>
  <c r="AF76" i="35"/>
  <c r="AG76" i="35"/>
  <c r="N77" i="35"/>
  <c r="AB77" i="35"/>
  <c r="AC77" i="35"/>
  <c r="AF77" i="35"/>
  <c r="AG77" i="35"/>
  <c r="N78" i="35"/>
  <c r="AB78" i="35"/>
  <c r="AC78" i="35"/>
  <c r="AF78" i="35"/>
  <c r="AG78" i="35"/>
  <c r="N79" i="35"/>
  <c r="AB79" i="35"/>
  <c r="AC79" i="35"/>
  <c r="AF79" i="35"/>
  <c r="AG79" i="35"/>
  <c r="N80" i="35"/>
  <c r="AB80" i="35"/>
  <c r="AC80" i="35"/>
  <c r="AF80" i="35"/>
  <c r="AG80" i="35"/>
  <c r="N81" i="35"/>
  <c r="AB81" i="35"/>
  <c r="AC81" i="35"/>
  <c r="AF81" i="35"/>
  <c r="AG81" i="35"/>
  <c r="N82" i="35"/>
  <c r="AB82" i="35"/>
  <c r="AC82" i="35"/>
  <c r="AF82" i="35"/>
  <c r="AG82" i="35"/>
  <c r="N83" i="35"/>
  <c r="AB83" i="35"/>
  <c r="AC83" i="35"/>
  <c r="AF83" i="35"/>
  <c r="AG83" i="35"/>
  <c r="N84" i="35"/>
  <c r="AB84" i="35"/>
  <c r="AC84" i="35"/>
  <c r="AF84" i="35"/>
  <c r="AG84" i="35"/>
  <c r="N85" i="35"/>
  <c r="AB85" i="35"/>
  <c r="AC85" i="35"/>
  <c r="AF85" i="35"/>
  <c r="AG85" i="35"/>
  <c r="N86" i="35"/>
  <c r="AB86" i="35"/>
  <c r="AC86" i="35"/>
  <c r="AF86" i="35"/>
  <c r="AG86" i="35"/>
  <c r="N87" i="35"/>
  <c r="AB87" i="35"/>
  <c r="AC87" i="35"/>
  <c r="AF87" i="35"/>
  <c r="AG87" i="35"/>
  <c r="N88" i="35"/>
  <c r="AB88" i="35"/>
  <c r="AC88" i="35"/>
  <c r="AF88" i="35"/>
  <c r="AG88" i="35"/>
  <c r="N89" i="35"/>
  <c r="AB89" i="35"/>
  <c r="AC89" i="35"/>
  <c r="AF89" i="35"/>
  <c r="AG89" i="35"/>
  <c r="N90" i="35"/>
  <c r="AB90" i="35"/>
  <c r="AC90" i="35"/>
  <c r="AF90" i="35"/>
  <c r="AG90" i="35"/>
  <c r="N91" i="35"/>
  <c r="AB91" i="35"/>
  <c r="AC91" i="35"/>
  <c r="AF91" i="35"/>
  <c r="AG91" i="35"/>
  <c r="N92" i="35"/>
  <c r="AB92" i="35"/>
  <c r="AC92" i="35"/>
  <c r="AF92" i="35"/>
  <c r="AG92" i="35"/>
  <c r="N93" i="35"/>
  <c r="AB93" i="35"/>
  <c r="AC93" i="35"/>
  <c r="AF93" i="35"/>
  <c r="AG93" i="35"/>
  <c r="N94" i="35"/>
  <c r="AB94" i="35"/>
  <c r="AC94" i="35"/>
  <c r="AF94" i="35"/>
  <c r="AG94" i="35"/>
  <c r="N95" i="35"/>
  <c r="AB95" i="35"/>
  <c r="AC95" i="35"/>
  <c r="AF95" i="35"/>
  <c r="AG95" i="35"/>
  <c r="N96" i="35"/>
  <c r="AB96" i="35"/>
  <c r="AC96" i="35"/>
  <c r="AF96" i="35"/>
  <c r="AG96" i="35"/>
  <c r="N97" i="35"/>
  <c r="AB97" i="35"/>
  <c r="AC97" i="35"/>
  <c r="AF97" i="35"/>
  <c r="AG97" i="35"/>
  <c r="N98" i="35"/>
  <c r="AB98" i="35"/>
  <c r="AC98" i="35"/>
  <c r="AF98" i="35"/>
  <c r="AG98" i="35"/>
  <c r="N99" i="35"/>
  <c r="AB99" i="35"/>
  <c r="AC99" i="35"/>
  <c r="AF99" i="35"/>
  <c r="AG99" i="35"/>
  <c r="N100" i="35"/>
  <c r="AB100" i="35"/>
  <c r="AC100" i="35"/>
  <c r="AF100" i="35"/>
  <c r="AG100" i="35"/>
  <c r="N101" i="35"/>
  <c r="AB101" i="35"/>
  <c r="AC101" i="35"/>
  <c r="AF101" i="35"/>
  <c r="AG101" i="35"/>
  <c r="N102" i="35"/>
  <c r="AB102" i="35"/>
  <c r="AC102" i="35"/>
  <c r="AF102" i="35"/>
  <c r="AG102" i="35"/>
  <c r="N103" i="35"/>
  <c r="AB103" i="35"/>
  <c r="AC103" i="35"/>
  <c r="AF103" i="35"/>
  <c r="AG103" i="35"/>
  <c r="N104" i="35"/>
  <c r="AB104" i="35"/>
  <c r="AC104" i="35"/>
  <c r="AF104" i="35"/>
  <c r="AG104" i="35"/>
  <c r="N105" i="35"/>
  <c r="AB105" i="35"/>
  <c r="AC105" i="35"/>
  <c r="AF105" i="35"/>
  <c r="AG105" i="35"/>
  <c r="N106" i="35"/>
  <c r="AB106" i="35"/>
  <c r="AC106" i="35"/>
  <c r="AF106" i="35"/>
  <c r="AG106" i="35"/>
  <c r="N107" i="35"/>
  <c r="AB107" i="35"/>
  <c r="AC107" i="35"/>
  <c r="AF107" i="35"/>
  <c r="AG107" i="35"/>
  <c r="N108" i="35"/>
  <c r="AB108" i="35"/>
  <c r="AC108" i="35"/>
  <c r="AF108" i="35"/>
  <c r="AG108" i="35"/>
  <c r="N109" i="35"/>
  <c r="AB109" i="35"/>
  <c r="AC109" i="35"/>
  <c r="AF109" i="35"/>
  <c r="AG109" i="35"/>
  <c r="N110" i="35"/>
  <c r="AB110" i="35"/>
  <c r="AC110" i="35"/>
  <c r="AF110" i="35"/>
  <c r="AG110" i="35"/>
  <c r="N111" i="35"/>
  <c r="AB111" i="35"/>
  <c r="AC111" i="35"/>
  <c r="AF111" i="35"/>
  <c r="AG111" i="35"/>
  <c r="N112" i="35"/>
  <c r="AB112" i="35"/>
  <c r="AC112" i="35"/>
  <c r="AF112" i="35"/>
  <c r="AG112" i="35"/>
  <c r="N113" i="35"/>
  <c r="AB113" i="35"/>
  <c r="AC113" i="35"/>
  <c r="AF113" i="35"/>
  <c r="AG113" i="35"/>
  <c r="N114" i="35"/>
  <c r="AB114" i="35"/>
  <c r="AC114" i="35"/>
  <c r="AF114" i="35"/>
  <c r="AG114" i="35"/>
  <c r="N115" i="35"/>
  <c r="AB115" i="35"/>
  <c r="AC115" i="35"/>
  <c r="AF115" i="35"/>
  <c r="AG115" i="35"/>
  <c r="N116" i="35"/>
  <c r="AB116" i="35"/>
  <c r="AC116" i="35"/>
  <c r="AF116" i="35"/>
  <c r="AG116" i="35"/>
  <c r="N117" i="35"/>
  <c r="AB117" i="35"/>
  <c r="AC117" i="35"/>
  <c r="AF117" i="35"/>
  <c r="AG117" i="35"/>
  <c r="N118" i="35"/>
  <c r="AB118" i="35"/>
  <c r="AC118" i="35"/>
  <c r="AF118" i="35"/>
  <c r="AG118" i="35"/>
  <c r="N119" i="35"/>
  <c r="AB119" i="35"/>
  <c r="AC119" i="35"/>
  <c r="AF119" i="35"/>
  <c r="AG119" i="35"/>
  <c r="N120" i="35"/>
  <c r="AB120" i="35"/>
  <c r="AC120" i="35"/>
  <c r="AF120" i="35"/>
  <c r="AG120" i="35"/>
  <c r="N121" i="35"/>
  <c r="AB121" i="35"/>
  <c r="AC121" i="35"/>
  <c r="AF121" i="35"/>
  <c r="AG121" i="35"/>
  <c r="N122" i="35"/>
  <c r="AB122" i="35"/>
  <c r="AC122" i="35"/>
  <c r="AF122" i="35"/>
  <c r="AG122" i="35"/>
  <c r="N123" i="35"/>
  <c r="AB123" i="35"/>
  <c r="AC123" i="35"/>
  <c r="AF123" i="35"/>
  <c r="AG123" i="35"/>
  <c r="N124" i="35"/>
  <c r="AB124" i="35"/>
  <c r="AC124" i="35"/>
  <c r="AF124" i="35"/>
  <c r="AG124" i="35"/>
  <c r="N125" i="35"/>
  <c r="AB125" i="35"/>
  <c r="AC125" i="35"/>
  <c r="AF125" i="35"/>
  <c r="AG125" i="35"/>
  <c r="N126" i="35"/>
  <c r="AB126" i="35"/>
  <c r="AC126" i="35"/>
  <c r="AF126" i="35"/>
  <c r="AG126" i="35"/>
  <c r="N127" i="35"/>
  <c r="AB127" i="35"/>
  <c r="AC127" i="35"/>
  <c r="AF127" i="35"/>
  <c r="AG127" i="35"/>
  <c r="N128" i="35"/>
  <c r="AB128" i="35"/>
  <c r="AC128" i="35"/>
  <c r="AF128" i="35"/>
  <c r="AG128" i="35"/>
  <c r="N129" i="35"/>
  <c r="AB129" i="35"/>
  <c r="AC129" i="35"/>
  <c r="AF129" i="35"/>
  <c r="AG129" i="35"/>
  <c r="N130" i="35"/>
  <c r="AB130" i="35"/>
  <c r="AC130" i="35"/>
  <c r="AF130" i="35"/>
  <c r="AG130" i="35"/>
  <c r="N131" i="35"/>
  <c r="AB131" i="35"/>
  <c r="AC131" i="35"/>
  <c r="AF131" i="35"/>
  <c r="AG131" i="35"/>
  <c r="N132" i="35"/>
  <c r="AB132" i="35"/>
  <c r="AC132" i="35"/>
  <c r="AF132" i="35"/>
  <c r="AG132" i="35"/>
  <c r="N133" i="35"/>
  <c r="AB133" i="35"/>
  <c r="AC133" i="35"/>
  <c r="AF133" i="35"/>
  <c r="AG133" i="35"/>
  <c r="N134" i="35"/>
  <c r="AB134" i="35"/>
  <c r="AC134" i="35"/>
  <c r="AF134" i="35"/>
  <c r="AG134" i="35"/>
  <c r="N135" i="35"/>
  <c r="AB135" i="35"/>
  <c r="AC135" i="35"/>
  <c r="AF135" i="35"/>
  <c r="AG135" i="35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2" i="7"/>
  <c r="T62" i="7"/>
  <c r="AJ62" i="7"/>
  <c r="AK62" i="7"/>
  <c r="AL62" i="7"/>
  <c r="AM62" i="7"/>
  <c r="N63" i="7"/>
  <c r="T63" i="7"/>
  <c r="AJ63" i="7"/>
  <c r="AK63" i="7"/>
  <c r="AL63" i="7"/>
  <c r="AM63" i="7"/>
  <c r="N64" i="7"/>
  <c r="T64" i="7"/>
  <c r="AJ64" i="7"/>
  <c r="AK64" i="7"/>
  <c r="AL64" i="7"/>
  <c r="AM64" i="7"/>
  <c r="N65" i="7"/>
  <c r="T65" i="7"/>
  <c r="AJ65" i="7"/>
  <c r="AK65" i="7"/>
  <c r="AL65" i="7"/>
  <c r="AM65" i="7"/>
  <c r="N66" i="7"/>
  <c r="T66" i="7"/>
  <c r="AJ66" i="7"/>
  <c r="AK66" i="7"/>
  <c r="AL66" i="7"/>
  <c r="AM66" i="7"/>
  <c r="N67" i="7"/>
  <c r="T67" i="7"/>
  <c r="AJ67" i="7"/>
  <c r="AK67" i="7"/>
  <c r="AL67" i="7"/>
  <c r="AM67" i="7"/>
  <c r="N69" i="7"/>
  <c r="T69" i="7"/>
  <c r="AJ69" i="7"/>
  <c r="AK69" i="7"/>
  <c r="AL69" i="7"/>
  <c r="AM69" i="7"/>
  <c r="N74" i="7"/>
  <c r="AE74" i="7"/>
  <c r="AF74" i="7"/>
  <c r="AJ74" i="7"/>
  <c r="AK74" i="7"/>
  <c r="N5" i="8"/>
  <c r="T5" i="8"/>
  <c r="AE5" i="8"/>
  <c r="AF5" i="8"/>
  <c r="AG5" i="8"/>
  <c r="AJ5" i="8"/>
  <c r="AK5" i="8"/>
  <c r="AL5" i="8"/>
  <c r="AM5" i="8"/>
  <c r="N6" i="8"/>
  <c r="T6" i="8"/>
  <c r="AE6" i="8"/>
  <c r="AF6" i="8"/>
  <c r="AG6" i="8"/>
  <c r="AJ6" i="8"/>
  <c r="AK6" i="8"/>
  <c r="AL6" i="8"/>
  <c r="AM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2" i="8"/>
  <c r="T62" i="8"/>
  <c r="AE62" i="8"/>
  <c r="AF62" i="8"/>
  <c r="AG62" i="8"/>
  <c r="AJ62" i="8"/>
  <c r="AK62" i="8"/>
  <c r="AL62" i="8"/>
  <c r="AM62" i="8"/>
  <c r="AO62" i="8"/>
  <c r="AP62" i="8"/>
  <c r="N63" i="8"/>
  <c r="T63" i="8"/>
  <c r="AE63" i="8"/>
  <c r="AF63" i="8"/>
  <c r="AG63" i="8"/>
  <c r="AJ63" i="8"/>
  <c r="AK63" i="8"/>
  <c r="AL63" i="8"/>
  <c r="AM63" i="8"/>
  <c r="AO63" i="8"/>
  <c r="AP63" i="8"/>
  <c r="N64" i="8"/>
  <c r="T64" i="8"/>
  <c r="AE64" i="8"/>
  <c r="AF64" i="8"/>
  <c r="AG64" i="8"/>
  <c r="AJ64" i="8"/>
  <c r="AK64" i="8"/>
  <c r="AL64" i="8"/>
  <c r="AM64" i="8"/>
  <c r="AO64" i="8"/>
  <c r="AP64" i="8"/>
  <c r="N65" i="8"/>
  <c r="T65" i="8"/>
  <c r="AE65" i="8"/>
  <c r="AF65" i="8"/>
  <c r="AG65" i="8"/>
  <c r="AJ65" i="8"/>
  <c r="AK65" i="8"/>
  <c r="AL65" i="8"/>
  <c r="AM65" i="8"/>
  <c r="AO65" i="8"/>
  <c r="AP65" i="8"/>
  <c r="N66" i="8"/>
  <c r="T66" i="8"/>
  <c r="AE66" i="8"/>
  <c r="AF66" i="8"/>
  <c r="AG66" i="8"/>
  <c r="AJ66" i="8"/>
  <c r="AK66" i="8"/>
  <c r="AL66" i="8"/>
  <c r="AM66" i="8"/>
  <c r="AO66" i="8"/>
  <c r="AP66" i="8"/>
  <c r="N67" i="8"/>
  <c r="T67" i="8"/>
  <c r="AE67" i="8"/>
  <c r="AF67" i="8"/>
  <c r="AG67" i="8"/>
  <c r="AJ67" i="8"/>
  <c r="AK67" i="8"/>
  <c r="AL67" i="8"/>
  <c r="AM67" i="8"/>
  <c r="AO67" i="8"/>
  <c r="AP67" i="8"/>
  <c r="N69" i="8"/>
  <c r="T69" i="8"/>
  <c r="AE69" i="8"/>
  <c r="AF69" i="8"/>
  <c r="AG69" i="8"/>
  <c r="AJ69" i="8"/>
  <c r="AK69" i="8"/>
  <c r="AL69" i="8"/>
  <c r="AM69" i="8"/>
  <c r="AO69" i="8"/>
  <c r="AP69" i="8"/>
  <c r="AO71" i="8"/>
  <c r="AP71" i="8"/>
  <c r="AE74" i="8"/>
  <c r="AF74" i="8"/>
  <c r="AE5" i="9"/>
  <c r="AF5" i="9"/>
  <c r="AG5" i="9"/>
  <c r="AM5" i="9"/>
  <c r="AE6" i="9"/>
  <c r="AF6" i="9"/>
  <c r="AG6" i="9"/>
  <c r="AM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2" i="9"/>
  <c r="T62" i="9"/>
  <c r="AE62" i="9"/>
  <c r="AF62" i="9"/>
  <c r="AG62" i="9"/>
  <c r="AJ62" i="9"/>
  <c r="AK62" i="9"/>
  <c r="AL62" i="9"/>
  <c r="AM62" i="9"/>
  <c r="AO62" i="9"/>
  <c r="AP62" i="9"/>
  <c r="N63" i="9"/>
  <c r="T63" i="9"/>
  <c r="AE63" i="9"/>
  <c r="AF63" i="9"/>
  <c r="AG63" i="9"/>
  <c r="AJ63" i="9"/>
  <c r="AK63" i="9"/>
  <c r="AL63" i="9"/>
  <c r="AM63" i="9"/>
  <c r="AO63" i="9"/>
  <c r="AP63" i="9"/>
  <c r="N64" i="9"/>
  <c r="T64" i="9"/>
  <c r="AE64" i="9"/>
  <c r="AF64" i="9"/>
  <c r="AG64" i="9"/>
  <c r="AJ64" i="9"/>
  <c r="AK64" i="9"/>
  <c r="AL64" i="9"/>
  <c r="AM64" i="9"/>
  <c r="AO64" i="9"/>
  <c r="AP64" i="9"/>
  <c r="N65" i="9"/>
  <c r="T65" i="9"/>
  <c r="AE65" i="9"/>
  <c r="AF65" i="9"/>
  <c r="AG65" i="9"/>
  <c r="AJ65" i="9"/>
  <c r="AK65" i="9"/>
  <c r="AL65" i="9"/>
  <c r="AM65" i="9"/>
  <c r="AO65" i="9"/>
  <c r="AP65" i="9"/>
  <c r="N66" i="9"/>
  <c r="T66" i="9"/>
  <c r="AE66" i="9"/>
  <c r="AF66" i="9"/>
  <c r="AG66" i="9"/>
  <c r="AJ66" i="9"/>
  <c r="AK66" i="9"/>
  <c r="AL66" i="9"/>
  <c r="AM66" i="9"/>
  <c r="AO66" i="9"/>
  <c r="AP66" i="9"/>
  <c r="N67" i="9"/>
  <c r="T67" i="9"/>
  <c r="AE67" i="9"/>
  <c r="AF67" i="9"/>
  <c r="AG67" i="9"/>
  <c r="AJ67" i="9"/>
  <c r="AK67" i="9"/>
  <c r="AL67" i="9"/>
  <c r="AM67" i="9"/>
  <c r="AO67" i="9"/>
  <c r="AP67" i="9"/>
  <c r="N69" i="9"/>
  <c r="T69" i="9"/>
  <c r="AE69" i="9"/>
  <c r="AF69" i="9"/>
  <c r="AG69" i="9"/>
  <c r="AJ69" i="9"/>
  <c r="AK69" i="9"/>
  <c r="AL69" i="9"/>
  <c r="AM69" i="9"/>
  <c r="AO69" i="9"/>
  <c r="AP69" i="9"/>
  <c r="AO71" i="9"/>
  <c r="AP71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CB98034E-58EA-47A4-A322-F517105FD138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B897C9-5A32-4242-9201-EB71AED89A06}" name="Conexão" type="7" refreshedVersion="7" background="1" saveData="1"/>
  <connection id="2" xr16:uid="{BE530C5A-8F19-459D-9049-56CFF945CD5E}" name="Conexão1" type="7" refreshedVersion="7" background="1" saveData="1"/>
  <connection id="3" xr16:uid="{5761C8A8-E609-48D2-8135-8414D7B0013A}" name="Conexão2" type="7" refreshedVersion="7" background="1" saveData="1"/>
</connections>
</file>

<file path=xl/sharedStrings.xml><?xml version="1.0" encoding="utf-8"?>
<sst xmlns="http://schemas.openxmlformats.org/spreadsheetml/2006/main" count="41158" uniqueCount="1394">
  <si>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</si>
  <si>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</si>
  <si>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</si>
  <si>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</si>
  <si>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</si>
  <si>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</si>
  <si>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</si>
  <si>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</si>
  <si>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</si>
  <si>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</si>
  <si>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</si>
  <si>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</si>
  <si>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</si>
  <si>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</si>
  <si>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</si>
  <si>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</si>
  <si>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</si>
  <si>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</si>
  <si>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</si>
  <si>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</si>
  <si>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</si>
  <si>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</si>
  <si>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</si>
  <si>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</si>
  <si>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</si>
  <si>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</si>
  <si>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</si>
  <si>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</si>
  <si>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</si>
  <si>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</si>
  <si>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</si>
  <si>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</si>
  <si>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</si>
  <si>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</si>
  <si>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</si>
  <si>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</si>
  <si>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</si>
  <si>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</si>
  <si>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</si>
  <si>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A3</t>
  </si>
  <si>
    <t>Azul</t>
  </si>
  <si>
    <t>A4</t>
  </si>
  <si>
    <t>A3a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</si>
  <si>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</si>
  <si>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</si>
  <si>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</si>
  <si>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</si>
  <si>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</si>
  <si>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</si>
  <si>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</si>
  <si>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</si>
  <si>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</si>
  <si>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</si>
  <si>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</si>
  <si>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PROJETADO</t>
  </si>
  <si>
    <t>Fonte incentivada</t>
  </si>
  <si>
    <t>LIVRE</t>
  </si>
  <si>
    <t>A2</t>
  </si>
  <si>
    <t>Geração</t>
  </si>
  <si>
    <t>UHE COARACY NUNES</t>
  </si>
  <si>
    <t>GERAÇÃO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</si>
  <si>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</si>
  <si>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</si>
  <si>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</si>
  <si>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</si>
  <si>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</si>
  <si>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</si>
  <si>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</si>
  <si>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</si>
  <si>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</si>
  <si>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</si>
  <si>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</si>
  <si>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</si>
  <si>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</si>
  <si>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</si>
  <si>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</si>
  <si>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kW</t>
  </si>
  <si>
    <t>NOVO GERADOR</t>
  </si>
  <si>
    <t>Energia horária</t>
  </si>
  <si>
    <t>MWh</t>
  </si>
  <si>
    <t>EP</t>
  </si>
  <si>
    <t>EFP</t>
  </si>
  <si>
    <t>DP</t>
  </si>
  <si>
    <t>DFP</t>
  </si>
  <si>
    <t>E</t>
  </si>
  <si>
    <t>APE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</si>
  <si>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</si>
  <si>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</si>
  <si>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</si>
  <si>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</si>
  <si>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</si>
  <si>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</si>
  <si>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</si>
  <si>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</si>
  <si>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</si>
  <si>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</si>
  <si>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</si>
  <si>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44531A2GeraçãoNão se aplicaNão se aplicaNão se aplicaUHE COARACY NUNESNão se aplica</t>
  </si>
  <si>
    <t>44562A2GeraçãoNão se aplicaNão se aplicaNão se aplicaUHE COARACY NUNESNão se aplica</t>
  </si>
  <si>
    <t>44593A2GeraçãoNão se aplicaNão se aplicaNão se aplicaUHE COARACY NUNESNão se aplica</t>
  </si>
  <si>
    <t>44621A2GeraçãoNão se aplicaNão se aplicaNão se aplicaUHE COARACY NUNESNão se aplica</t>
  </si>
  <si>
    <t>44652A2GeraçãoNão se aplicaNão se aplicaNão se aplicaUHE COARACY NUNESNão se aplica</t>
  </si>
  <si>
    <t>44682A2GeraçãoNão se aplicaNão se aplicaNão se aplicaUHE COARACY NUNESNão se aplica</t>
  </si>
  <si>
    <t>44713A2GeraçãoNão se aplicaNão se aplicaNão se aplicaUHE COARACY NUNESNão se aplica</t>
  </si>
  <si>
    <t>44743A2GeraçãoNão se aplicaNão se aplicaNão se aplicaUHE COARACY NUNESNão se aplica</t>
  </si>
  <si>
    <t>44774A2GeraçãoNão se aplicaNão se aplicaNão se aplicaUHE COARACY NUNESNão se aplica</t>
  </si>
  <si>
    <t>44805A2GeraçãoNão se aplicaNão se aplicaNão se aplicaUHE COARACY NUNESNão se aplica</t>
  </si>
  <si>
    <t>44835A2GeraçãoNão se aplicaNão se aplicaNão se aplicaUHE COARACY NUNESNão se aplica</t>
  </si>
  <si>
    <t>44866A2GeraçãoNão se aplicaNão se aplicaNão se aplicaUHE COARACY NUNESNão se aplica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</si>
  <si>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</si>
  <si>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</si>
  <si>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</si>
  <si>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</si>
  <si>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44652A3AzulNão se aplicaNão se aplicaNão se aplicaNão se aplicaFora ponta</t>
  </si>
  <si>
    <t>44682A3AzulNão se aplicaNão se aplicaNão se aplicaNão se aplicaFora ponta</t>
  </si>
  <si>
    <t>44713A3AzulNão se aplicaNão se aplicaNão se aplicaNão se aplicaFora ponta</t>
  </si>
  <si>
    <t>44743A3AzulNão se aplicaNão se aplicaNão se aplicaNão se aplicaFora ponta</t>
  </si>
  <si>
    <t>44774A3AzulNão se aplicaNão se aplicaNão se aplicaNão se aplicaFora ponta</t>
  </si>
  <si>
    <t>44805A3AzulNão se aplicaNão se aplicaNão se aplicaNão se aplicaFora ponta</t>
  </si>
  <si>
    <t>44835A3AzulNão se aplicaNão se aplicaNão se aplicaNão se aplicaFora ponta</t>
  </si>
  <si>
    <t>44866A3AzulNão se aplicaNão se aplicaNão se aplicaNão se aplicaFora 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</si>
  <si>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</si>
  <si>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</si>
  <si>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</si>
  <si>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</si>
  <si>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44652A3AzulNão se aplicaNão se aplicaNão se aplicaNão se aplicaPonta</t>
  </si>
  <si>
    <t>44682A3AzulNão se aplicaNão se aplicaNão se aplicaNão se aplicaPonta</t>
  </si>
  <si>
    <t>44713A3AzulNão se aplicaNão se aplicaNão se aplicaNão se aplicaPonta</t>
  </si>
  <si>
    <t>44743A3AzulNão se aplicaNão se aplicaNão se aplicaNão se aplicaPonta</t>
  </si>
  <si>
    <t>44774A3AzulNão se aplicaNão se aplicaNão se aplicaNão se aplicaPonta</t>
  </si>
  <si>
    <t>44805A3AzulNão se aplicaNão se aplicaNão se aplicaNão se aplicaPonta</t>
  </si>
  <si>
    <t>44835A3AzulNão se aplicaNão se aplicaNão se aplicaNão se aplicaPonta</t>
  </si>
  <si>
    <t>44866A3AzulNão se aplicaNão se aplicaNão se aplicaNão se aplicaPonta</t>
  </si>
  <si>
    <t>44531A3aVerdeNão se aplicaNão se aplicaNão se aplicaNão se aplicaFora ponta</t>
  </si>
  <si>
    <t>44562A3aVerdeNão se aplicaNão se aplicaNão se aplicaNão se aplicaFora ponta</t>
  </si>
  <si>
    <t>44593A3aVerdeNão se aplicaNão se aplicaNão se aplicaNão se aplicaFora ponta</t>
  </si>
  <si>
    <t>44621A3aVerdeNão se aplicaNão se aplicaNão se aplicaNão se aplicaFora ponta</t>
  </si>
  <si>
    <t>44652A3aVerdeNão se aplicaNão se aplicaNão se aplicaNão se aplicaFora ponta</t>
  </si>
  <si>
    <t>44682A3aVerdeNão se aplicaNão se aplicaNão se aplicaNão se aplicaFora ponta</t>
  </si>
  <si>
    <t>44713A3aVerdeNão se aplicaNão se aplicaNão se aplicaNão se aplicaFora ponta</t>
  </si>
  <si>
    <t>44743A3aVerdeNão se aplicaNão se aplicaNão se aplicaNão se aplicaFora ponta</t>
  </si>
  <si>
    <t>44774A3aVerdeNão se aplicaNão se aplicaNão se aplicaNão se aplicaFora ponta</t>
  </si>
  <si>
    <t>44805A3aVerdeNão se aplicaNão se aplicaNão se aplicaNão se aplicaFora ponta</t>
  </si>
  <si>
    <t>44835A3aVerdeNão se aplicaNão se aplicaNão se aplicaNão se aplicaFora ponta</t>
  </si>
  <si>
    <t>44866A3aVerdeNão se aplicaNão se aplicaNão se aplicaNão se aplicaFora ponta</t>
  </si>
  <si>
    <t>44531A3aVerdeNão se aplicaNão se aplicaNão se aplicaNão se aplicaNão se aplica</t>
  </si>
  <si>
    <t>44562A3aVerdeNão se aplicaNão se aplicaNão se aplicaNão se aplicaNão se aplica</t>
  </si>
  <si>
    <t>44593A3aVerdeNão se aplicaNão se aplicaNão se aplicaNão se aplicaNão se aplica</t>
  </si>
  <si>
    <t>44621A3aVerdeNão se aplicaNão se aplicaNão se aplicaNão se aplicaNão se aplica</t>
  </si>
  <si>
    <t>44652A3aVerdeNão se aplicaNão se aplicaNão se aplicaNão se aplicaNão se aplica</t>
  </si>
  <si>
    <t>44682A3aVerdeNão se aplicaNão se aplicaNão se aplicaNão se aplicaNão se aplica</t>
  </si>
  <si>
    <t>44713A3aVerdeNão se aplicaNão se aplicaNão se aplicaNão se aplicaNão se aplica</t>
  </si>
  <si>
    <t>44743A3aVerdeNão se aplicaNão se aplicaNão se aplicaNão se aplicaNão se aplica</t>
  </si>
  <si>
    <t>44774A3aVerdeNão se aplicaNão se aplicaNão se aplicaNão se aplicaNão se aplica</t>
  </si>
  <si>
    <t>44805A3aVerdeNão se aplicaNão se aplicaNão se aplicaNão se aplicaNão se aplica</t>
  </si>
  <si>
    <t>44835A3aVerdeNão se aplicaNão se aplicaNão se aplicaNão se aplicaNão se aplica</t>
  </si>
  <si>
    <t>44866A3aVerdeNão se aplicaNão se aplicaNão se aplicaNão se aplicaNão se aplica</t>
  </si>
  <si>
    <t>44531A3aVerdeNão se aplicaNão se aplicaNão se aplicaNão se aplicaPonta</t>
  </si>
  <si>
    <t>44562A3aVerdeNão se aplicaNão se aplicaNão se aplicaNão se aplicaPonta</t>
  </si>
  <si>
    <t>44593A3aVerdeNão se aplicaNão se aplicaNão se aplicaNão se aplicaPonta</t>
  </si>
  <si>
    <t>44621A3aVerdeNão se aplicaNão se aplicaNão se aplicaNão se aplicaPonta</t>
  </si>
  <si>
    <t>44652A3aVerdeNão se aplicaNão se aplicaNão se aplicaNão se aplicaPonta</t>
  </si>
  <si>
    <t>44682A3aVerdeNão se aplicaNão se aplicaNão se aplicaNão se aplicaPonta</t>
  </si>
  <si>
    <t>44713A3aVerdeNão se aplicaNão se aplicaNão se aplicaNão se aplicaPonta</t>
  </si>
  <si>
    <t>44743A3aVerdeNão se aplicaNão se aplicaNão se aplicaNão se aplicaPonta</t>
  </si>
  <si>
    <t>44774A3aVerdeNão se aplicaNão se aplicaNão se aplicaNão se aplicaPonta</t>
  </si>
  <si>
    <t>44805A3aVerdeNão se aplicaNão se aplicaNão se aplicaNão se aplicaPonta</t>
  </si>
  <si>
    <t>44835A3aVerdeNão se aplicaNão se aplicaNão se aplicaNão se aplicaPonta</t>
  </si>
  <si>
    <t>44866A3aVerdeNão se aplicaNão se aplicaNão se aplicaNão se aplicaPonta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</si>
  <si>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</si>
  <si>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</si>
  <si>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</si>
  <si>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</si>
  <si>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</si>
  <si>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</si>
  <si>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</si>
  <si>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</si>
  <si>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</si>
  <si>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44805A4AzulNão se aplicaNão se aplicaNão se aplicaNão se aplicaFora ponta</t>
  </si>
  <si>
    <t>44835A4AzulNão se aplicaNão se aplicaNão se aplicaNão se aplicaFora ponta</t>
  </si>
  <si>
    <t>44866A4AzulNão se aplicaNão se aplicaNão se aplicaNão se aplicaFora 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</si>
  <si>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</si>
  <si>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</si>
  <si>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</si>
  <si>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</si>
  <si>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</si>
  <si>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</si>
  <si>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</si>
  <si>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</si>
  <si>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</si>
  <si>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44805A4AzulNão se aplicaNão se aplicaNão se aplicaNão se aplicaPonta</t>
  </si>
  <si>
    <t>44835A4AzulNão se aplicaNão se aplicaNão se aplicaNão se aplicaPonta</t>
  </si>
  <si>
    <t>44866A4AzulNão se aplicaNão se aplicaNão se aplicaNão se aplicaPonta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</si>
  <si>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</si>
  <si>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</si>
  <si>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</si>
  <si>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</si>
  <si>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</si>
  <si>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</si>
  <si>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</si>
  <si>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</si>
  <si>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</si>
  <si>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44805A4VerdeNão se aplicaNão se aplicaNão se aplicaNão se aplicaFora ponta</t>
  </si>
  <si>
    <t>44835A4VerdeNão se aplicaNão se aplicaNão se aplicaNão se aplicaFora ponta</t>
  </si>
  <si>
    <t>44866A4VerdeNão se aplicaNão se aplicaNão se aplicaNão se aplicaFora ponta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</si>
  <si>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</si>
  <si>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</si>
  <si>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</si>
  <si>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</si>
  <si>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</si>
  <si>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</si>
  <si>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</si>
  <si>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</si>
  <si>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</si>
  <si>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44805A4VerdeNão se aplicaNão se aplicaNão se aplicaNão se aplicaNão se aplica</t>
  </si>
  <si>
    <t>44835A4VerdeNão se aplicaNão se aplicaNão se aplicaNão se aplicaNão se aplica</t>
  </si>
  <si>
    <t>44866A4VerdeNão se aplicaNão se aplicaNão se aplicaNão se aplicaNão se aplica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</si>
  <si>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</si>
  <si>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</si>
  <si>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</si>
  <si>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</si>
  <si>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</si>
  <si>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</si>
  <si>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</si>
  <si>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</si>
  <si>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</si>
  <si>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44805A4VerdeNão se aplicaNão se aplicaNão se aplicaNão se aplicaPonta</t>
  </si>
  <si>
    <t>44835A4VerdeNão se aplicaNão se aplicaNão se aplicaNão se aplicaPonta</t>
  </si>
  <si>
    <t>44866A4VerdeNão se aplicaNão se aplicaNão se aplicaNão se aplicaPonta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</si>
  <si>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</si>
  <si>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</si>
  <si>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</si>
  <si>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</si>
  <si>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</si>
  <si>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</si>
  <si>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</si>
  <si>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</si>
  <si>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</si>
  <si>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44805B1BrancaResidencialResidencialNão se aplicaNão se aplicaFora ponta</t>
  </si>
  <si>
    <t>44835B1BrancaResidencialResidencialNão se aplicaNão se aplicaFora ponta</t>
  </si>
  <si>
    <t>44866B1BrancaResidencialResidencialNão se aplicaNão se aplicaFora ponta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</si>
  <si>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</si>
  <si>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</si>
  <si>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</si>
  <si>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</si>
  <si>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</si>
  <si>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</si>
  <si>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</si>
  <si>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</si>
  <si>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</si>
  <si>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44805B1BrancaResidencialResidencialNão se aplicaNão se aplicaIntermediário</t>
  </si>
  <si>
    <t>44835B1BrancaResidencialResidencialNão se aplicaNão se aplicaIntermediário</t>
  </si>
  <si>
    <t>44866B1BrancaResidencialResidencialNão se aplicaNão se aplicaIntermediário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</si>
  <si>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</si>
  <si>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</si>
  <si>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</si>
  <si>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</si>
  <si>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</si>
  <si>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</si>
  <si>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</si>
  <si>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</si>
  <si>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</si>
  <si>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44805B1BrancaResidencialResidencialNão se aplicaNão se aplicaPonta</t>
  </si>
  <si>
    <t>44835B1BrancaResidencialResidencialNão se aplicaNão se aplicaPonta</t>
  </si>
  <si>
    <t>44866B1BrancaResidencialResidencialNão se aplicaNão se aplicaPonta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</si>
  <si>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</si>
  <si>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</si>
  <si>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</si>
  <si>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</si>
  <si>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</si>
  <si>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</si>
  <si>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</si>
  <si>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</si>
  <si>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</si>
  <si>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44805B1ConvencionalResidencialResidencialNão se aplicaNão se aplicaNão se aplica</t>
  </si>
  <si>
    <t>44835B1ConvencionalResidencialResidencialNão se aplicaNão se aplicaNão se aplica</t>
  </si>
  <si>
    <t>44866B1ConvencionalResidencialResidencialNão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</si>
  <si>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</si>
  <si>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</si>
  <si>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</si>
  <si>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</si>
  <si>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</si>
  <si>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</si>
  <si>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</si>
  <si>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</si>
  <si>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</si>
  <si>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44805B1ConvencionalResidencialResidencial baixa renda – faixa 01Não se aplicaNão se aplicaNão se aplica</t>
  </si>
  <si>
    <t>44835B1ConvencionalResidencialResidencial baixa renda – faixa 01Não se aplicaNão se aplicaNão se aplica</t>
  </si>
  <si>
    <t>44866B1ConvencionalResidencialResidencial baixa renda – faixa 01Não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</si>
  <si>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</si>
  <si>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</si>
  <si>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</si>
  <si>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</si>
  <si>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</si>
  <si>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</si>
  <si>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</si>
  <si>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</si>
  <si>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</si>
  <si>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44805B1ConvencionalResidencialResidencial baixa renda – faixa 02Não se aplicaNão se aplicaNão se aplica</t>
  </si>
  <si>
    <t>44835B1ConvencionalResidencialResidencial baixa renda – faixa 02Não se aplicaNão se aplicaNão se aplica</t>
  </si>
  <si>
    <t>44866B1ConvencionalResidencialResidencial baixa renda – faixa 02Não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</si>
  <si>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</si>
  <si>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</si>
  <si>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</si>
  <si>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</si>
  <si>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</si>
  <si>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</si>
  <si>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</si>
  <si>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</si>
  <si>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</si>
  <si>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44805B1ConvencionalResidencialResidencial baixa renda – faixa 03Não se aplicaNão se aplicaNão se aplica</t>
  </si>
  <si>
    <t>44835B1ConvencionalResidencialResidencial baixa renda – faixa 03Não se aplicaNão se aplicaNão se aplica</t>
  </si>
  <si>
    <t>44866B1ConvencionalResidencialResidencial baixa renda – faixa 03Não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</si>
  <si>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</si>
  <si>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</si>
  <si>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</si>
  <si>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</si>
  <si>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</si>
  <si>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</si>
  <si>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</si>
  <si>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</si>
  <si>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</si>
  <si>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44805B1ConvencionalResidencialResidencial baixa renda – faixa 04Não se aplicaNão se aplicaNão se aplica</t>
  </si>
  <si>
    <t>44835B1ConvencionalResidencialResidencial baixa renda – faixa 04Não se aplicaNão se aplicaNão se aplica</t>
  </si>
  <si>
    <t>44866B1ConvencionalResidencialResidencial baixa renda – faixa 04Não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</si>
  <si>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</si>
  <si>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</si>
  <si>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</si>
  <si>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</si>
  <si>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</si>
  <si>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</si>
  <si>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</si>
  <si>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</si>
  <si>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</si>
  <si>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44805B2ConvencionalRuralNão se aplicaNão se aplicaNão se aplicaNão se aplica</t>
  </si>
  <si>
    <t>44835B2ConvencionalRuralNão se aplicaNão se aplicaNão se aplicaNão se aplica</t>
  </si>
  <si>
    <t>44866B2ConvencionalRuralNão se aplicaNão se aplicaNão se aplicaNão se aplica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</si>
  <si>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</si>
  <si>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</si>
  <si>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</si>
  <si>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</si>
  <si>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</si>
  <si>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</si>
  <si>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</si>
  <si>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</si>
  <si>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</si>
  <si>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44805B3BrancaNão se aplicaNão se aplicaNão se aplicaNão se aplicaFora ponta</t>
  </si>
  <si>
    <t>44835B3BrancaNão se aplicaNão se aplicaNão se aplicaNão se aplicaFora ponta</t>
  </si>
  <si>
    <t>44866B3BrancaNão se aplicaNão se aplicaNão se aplicaNão se aplicaFora ponta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</si>
  <si>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</si>
  <si>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</si>
  <si>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</si>
  <si>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</si>
  <si>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</si>
  <si>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</si>
  <si>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</si>
  <si>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</si>
  <si>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</si>
  <si>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44805B3BrancaNão se aplicaNão se aplicaNão se aplicaNão se aplicaIntermediário</t>
  </si>
  <si>
    <t>44835B3BrancaNão se aplicaNão se aplicaNão se aplicaNão se aplicaIntermediário</t>
  </si>
  <si>
    <t>44866B3BrancaNão se aplicaNão se aplicaNão se aplicaNão se aplicaIntermediário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</si>
  <si>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</si>
  <si>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</si>
  <si>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</si>
  <si>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</si>
  <si>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</si>
  <si>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</si>
  <si>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</si>
  <si>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</si>
  <si>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</si>
  <si>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44805B3BrancaNão se aplicaNão se aplicaNão se aplicaNão se aplicaPonta</t>
  </si>
  <si>
    <t>44835B3BrancaNão se aplicaNão se aplicaNão se aplicaNão se aplicaPonta</t>
  </si>
  <si>
    <t>44866B3BrancaNão se aplicaNão se aplicaNão se aplicaNão se aplicaPonta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</si>
  <si>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</si>
  <si>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</si>
  <si>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</si>
  <si>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</si>
  <si>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</si>
  <si>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</si>
  <si>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</si>
  <si>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</si>
  <si>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</si>
  <si>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44805B3ConvencionalNão se aplicaNão se aplicaNão se aplicaNão se aplicaNão se aplica</t>
  </si>
  <si>
    <t>44835B3ConvencionalNão se aplicaNão se aplicaNão se aplicaNão se aplicaNão se aplica</t>
  </si>
  <si>
    <t>44866B3ConvencionalNão se aplicaNão se aplicaNão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</si>
  <si>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</si>
  <si>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</si>
  <si>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</si>
  <si>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</si>
  <si>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</si>
  <si>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</si>
  <si>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</si>
  <si>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</si>
  <si>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</si>
  <si>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44805B4ConvencionalIluminação públicaIluminação pública – B4aNão se aplicaNão se aplicaNão se aplica</t>
  </si>
  <si>
    <t>44835B4ConvencionalIluminação públicaIluminação pública – B4aNão se aplicaNão se aplicaNão se aplica</t>
  </si>
  <si>
    <t>44866B4ConvencionalIluminação públicaIluminação pública – B4aNão se aplicaNão se aplicaNão se aplica</t>
  </si>
  <si>
    <t>CHAVE TE</t>
  </si>
  <si>
    <t>44531A3Energia horáriaNão se aplicaNão se aplicaNão se aplicaNão se aplicaFora ponta</t>
  </si>
  <si>
    <t>44562A3Energia horáriaNão se aplicaNão se aplicaNão se aplicaNão se aplicaFora ponta</t>
  </si>
  <si>
    <t>44593A3Energia horáriaNão se aplicaNão se aplicaNão se aplicaNão se aplicaFora ponta</t>
  </si>
  <si>
    <t>44621A3Energia horáriaNão se aplicaNão se aplicaNão se aplicaNão se aplicaFora ponta</t>
  </si>
  <si>
    <t>44652A3Energia horáriaNão se aplicaNão se aplicaNão se aplicaNão se aplicaFora ponta</t>
  </si>
  <si>
    <t>44682A3Energia horáriaNão se aplicaNão se aplicaNão se aplicaNão se aplicaFora ponta</t>
  </si>
  <si>
    <t>44713A3Energia horáriaNão se aplicaNão se aplicaNão se aplicaNão se aplicaFora ponta</t>
  </si>
  <si>
    <t>44743A3Energia horáriaNão se aplicaNão se aplicaNão se aplicaNão se aplicaFora ponta</t>
  </si>
  <si>
    <t>44774A3Energia horáriaNão se aplicaNão se aplicaNão se aplicaNão se aplicaFora ponta</t>
  </si>
  <si>
    <t>44805A3Energia horáriaNão se aplicaNão se aplicaNão se aplicaNão se aplicaFora ponta</t>
  </si>
  <si>
    <t>44835A3Energia horáriaNão se aplicaNão se aplicaNão se aplicaNão se aplicaFora ponta</t>
  </si>
  <si>
    <t>44866A3Energia horáriaNão se aplicaNão se aplicaNão se aplicaNão se aplicaFora ponta</t>
  </si>
  <si>
    <t>44531A3Energia horáriaNão se aplicaNão se aplicaNão se aplicaNão se aplicaPonta</t>
  </si>
  <si>
    <t>44562A3Energia horáriaNão se aplicaNão se aplicaNão se aplicaNão se aplicaPonta</t>
  </si>
  <si>
    <t>44593A3Energia horáriaNão se aplicaNão se aplicaNão se aplicaNão se aplicaPonta</t>
  </si>
  <si>
    <t>44621A3Energia horáriaNão se aplicaNão se aplicaNão se aplicaNão se aplicaPonta</t>
  </si>
  <si>
    <t>44652A3Energia horáriaNão se aplicaNão se aplicaNão se aplicaNão se aplicaPonta</t>
  </si>
  <si>
    <t>44682A3Energia horáriaNão se aplicaNão se aplicaNão se aplicaNão se aplicaPonta</t>
  </si>
  <si>
    <t>44713A3Energia horáriaNão se aplicaNão se aplicaNão se aplicaNão se aplicaPonta</t>
  </si>
  <si>
    <t>44743A3Energia horáriaNão se aplicaNão se aplicaNão se aplicaNão se aplicaPonta</t>
  </si>
  <si>
    <t>44774A3Energia horáriaNão se aplicaNão se aplicaNão se aplicaNão se aplicaPonta</t>
  </si>
  <si>
    <t>44805A3Energia horáriaNão se aplicaNão se aplicaNão se aplicaNão se aplicaPonta</t>
  </si>
  <si>
    <t>44835A3Energia horáriaNão se aplicaNão se aplicaNão se aplicaNão se aplicaPonta</t>
  </si>
  <si>
    <t>44866A3Energia horáriaNão se aplicaNão se aplicaNão se aplicaNão se aplicaPonta</t>
  </si>
  <si>
    <t>44531A3aEnergia horáriaNão se aplicaNão se aplicaNão se aplicaNão se aplicaFora ponta</t>
  </si>
  <si>
    <t>44562A3aEnergia horáriaNão se aplicaNão se aplicaNão se aplicaNão se aplicaFora ponta</t>
  </si>
  <si>
    <t>44593A3aEnergia horáriaNão se aplicaNão se aplicaNão se aplicaNão se aplicaFora ponta</t>
  </si>
  <si>
    <t>44621A3aEnergia horáriaNão se aplicaNão se aplicaNão se aplicaNão se aplicaFora ponta</t>
  </si>
  <si>
    <t>44652A3aEnergia horáriaNão se aplicaNão se aplicaNão se aplicaNão se aplicaFora ponta</t>
  </si>
  <si>
    <t>44682A3aEnergia horáriaNão se aplicaNão se aplicaNão se aplicaNão se aplicaFora ponta</t>
  </si>
  <si>
    <t>44713A3aEnergia horáriaNão se aplicaNão se aplicaNão se aplicaNão se aplicaFora ponta</t>
  </si>
  <si>
    <t>44743A3aEnergia horáriaNão se aplicaNão se aplicaNão se aplicaNão se aplicaFora ponta</t>
  </si>
  <si>
    <t>44774A3aEnergia horáriaNão se aplicaNão se aplicaNão se aplicaNão se aplicaFora ponta</t>
  </si>
  <si>
    <t>44805A3aEnergia horáriaNão se aplicaNão se aplicaNão se aplicaNão se aplicaFora ponta</t>
  </si>
  <si>
    <t>44835A3aEnergia horáriaNão se aplicaNão se aplicaNão se aplicaNão se aplicaFora ponta</t>
  </si>
  <si>
    <t>44866A3aEnergia horáriaNão se aplicaNão se aplicaNão se aplicaNão se aplicaFora ponta</t>
  </si>
  <si>
    <t>CUIDADO</t>
  </si>
  <si>
    <t>Desculpe, mas não foi encontrado posto Não se aplica, modalidade Energia horária, subgrupo A3a no banco de regras.</t>
  </si>
  <si>
    <t>Mercado_Receita</t>
  </si>
  <si>
    <t>S</t>
  </si>
  <si>
    <t>44531A3aEnergia horáriaNão se aplicaNão se aplicaNão se aplicaNão se aplicaPonta</t>
  </si>
  <si>
    <t>44562A3aEnergia horáriaNão se aplicaNão se aplicaNão se aplicaNão se aplicaPonta</t>
  </si>
  <si>
    <t>44593A3aEnergia horáriaNão se aplicaNão se aplicaNão se aplicaNão se aplicaPonta</t>
  </si>
  <si>
    <t>44621A3aEnergia horáriaNão se aplicaNão se aplicaNão se aplicaNão se aplicaPonta</t>
  </si>
  <si>
    <t>44652A3aEnergia horáriaNão se aplicaNão se aplicaNão se aplicaNão se aplicaPonta</t>
  </si>
  <si>
    <t>44682A3aEnergia horáriaNão se aplicaNão se aplicaNão se aplicaNão se aplicaPonta</t>
  </si>
  <si>
    <t>44713A3aEnergia horáriaNão se aplicaNão se aplicaNão se aplicaNão se aplicaPonta</t>
  </si>
  <si>
    <t>44743A3aEnergia horáriaNão se aplicaNão se aplicaNão se aplicaNão se aplicaPonta</t>
  </si>
  <si>
    <t>44774A3aEnergia horáriaNão se aplicaNão se aplicaNão se aplicaNão se aplicaPonta</t>
  </si>
  <si>
    <t>44805A3aEnergia horáriaNão se aplicaNão se aplicaNão se aplicaNão se aplicaPonta</t>
  </si>
  <si>
    <t>44835A3aEnergia horáriaNão se aplicaNão se aplicaNão se aplicaNão se aplicaPonta</t>
  </si>
  <si>
    <t>44866A3aEnergia horáriaNão se aplicaNão se aplicaNão se aplicaNão se aplicaPonta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</si>
  <si>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</si>
  <si>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</si>
  <si>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</si>
  <si>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</si>
  <si>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</si>
  <si>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</si>
  <si>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</si>
  <si>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</si>
  <si>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</si>
  <si>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44805A4Energia horáriaNão se aplicaNão se aplicaNão se aplicaNão se aplicaFora ponta</t>
  </si>
  <si>
    <t>44835A4Energia horáriaNão se aplicaNão se aplicaNão se aplicaNão se aplicaFora ponta</t>
  </si>
  <si>
    <t>44866A4Energia horáriaNão se aplicaNão se aplicaNão se aplicaNão se aplicaFora 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</si>
  <si>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</si>
  <si>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</si>
  <si>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</si>
  <si>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</si>
  <si>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</si>
  <si>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</si>
  <si>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</si>
  <si>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</si>
  <si>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</si>
  <si>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44805A4Energia horáriaNão se aplicaNão se aplicaNão se aplicaNão se aplicaPonta</t>
  </si>
  <si>
    <t>44835A4Energia horáriaNão se aplicaNão se aplicaNão se aplicaNão se aplicaPonta</t>
  </si>
  <si>
    <t>44866A4Energia horáriaNão se aplicaNão se aplicaNão se aplicaNão se aplicaPonta</t>
  </si>
  <si>
    <t>Desculpe, mas não foi encontrado posto Não se aplica, modalidade Energia horária, subgrupo A4 no banco de regras.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</si>
  <si>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</si>
  <si>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</si>
  <si>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</si>
  <si>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</si>
  <si>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</si>
  <si>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</si>
  <si>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</si>
  <si>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</si>
  <si>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</si>
  <si>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44805B1Energia horáriaResidencialResidencialNão se aplicaNão se aplicaFora ponta</t>
  </si>
  <si>
    <t>44835B1Energia horáriaResidencialResidencialNão se aplicaNão se aplicaFora ponta</t>
  </si>
  <si>
    <t>44866B1Energia horáriaResidencialResidencialNão se aplicaNão se aplicaFora ponta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</si>
  <si>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</si>
  <si>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</si>
  <si>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</si>
  <si>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</si>
  <si>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</si>
  <si>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</si>
  <si>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</si>
  <si>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</si>
  <si>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</si>
  <si>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44805B1Energia horáriaResidencialResidencialNão se aplicaNão se aplicaIntermediário</t>
  </si>
  <si>
    <t>44835B1Energia horáriaResidencialResidencialNão se aplicaNão se aplicaIntermediário</t>
  </si>
  <si>
    <t>44866B1Energia horáriaResidencialResidencialNão se aplicaNão se aplicaIntermediário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</si>
  <si>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</si>
  <si>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</si>
  <si>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</si>
  <si>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</si>
  <si>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</si>
  <si>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</si>
  <si>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</si>
  <si>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</si>
  <si>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</si>
  <si>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44805B1Energia horáriaResidencialResidencialNão se aplicaNão se aplicaPonta</t>
  </si>
  <si>
    <t>44835B1Energia horáriaResidencialResidencialNão se aplicaNão se aplicaPonta</t>
  </si>
  <si>
    <t>44866B1Energia horáriaResidencialResidencialNão se aplicaNão se aplicaPonta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</si>
  <si>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</si>
  <si>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</si>
  <si>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</si>
  <si>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</si>
  <si>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</si>
  <si>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</si>
  <si>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</si>
  <si>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</si>
  <si>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</si>
  <si>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44805B1Energia convencionalResidencialResidencialNão se aplicaNão se aplicaNão se aplica</t>
  </si>
  <si>
    <t>44835B1Energia convencionalResidencialResidencialNão se aplicaNão se aplicaNão se aplica</t>
  </si>
  <si>
    <t>44866B1Energia convencionalResidencialResidencialNão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</si>
  <si>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</si>
  <si>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</si>
  <si>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</si>
  <si>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</si>
  <si>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</si>
  <si>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</si>
  <si>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</si>
  <si>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</si>
  <si>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</si>
  <si>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44805B1Energia convencionalResidencialResidencial baixa renda – faixa 01Não se aplicaNão se aplicaNão se aplica</t>
  </si>
  <si>
    <t>44835B1Energia convencionalResidencialResidencial baixa renda – faixa 01Não se aplicaNão se aplicaNão se aplica</t>
  </si>
  <si>
    <t>44866B1Energia convencionalResidencialResidencial baixa renda – faixa 01Não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</si>
  <si>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</si>
  <si>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</si>
  <si>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</si>
  <si>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</si>
  <si>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</si>
  <si>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</si>
  <si>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</si>
  <si>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</si>
  <si>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</si>
  <si>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44805B1Energia convencionalResidencialResidencial baixa renda – faixa 02Não se aplicaNão se aplicaNão se aplica</t>
  </si>
  <si>
    <t>44835B1Energia convencionalResidencialResidencial baixa renda – faixa 02Não se aplicaNão se aplicaNão se aplica</t>
  </si>
  <si>
    <t>44866B1Energia convencionalResidencialResidencial baixa renda – faixa 02Não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</si>
  <si>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</si>
  <si>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</si>
  <si>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</si>
  <si>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</si>
  <si>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</si>
  <si>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</si>
  <si>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</si>
  <si>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</si>
  <si>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</si>
  <si>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44805B1Energia convencionalResidencialResidencial baixa renda – faixa 03Não se aplicaNão se aplicaNão se aplica</t>
  </si>
  <si>
    <t>44835B1Energia convencionalResidencialResidencial baixa renda – faixa 03Não se aplicaNão se aplicaNão se aplica</t>
  </si>
  <si>
    <t>44866B1Energia convencionalResidencialResidencial baixa renda – faixa 03Não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</si>
  <si>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</si>
  <si>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</si>
  <si>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</si>
  <si>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</si>
  <si>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</si>
  <si>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</si>
  <si>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</si>
  <si>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</si>
  <si>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</si>
  <si>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44805B1Energia convencionalResidencialResidencial baixa renda – faixa 04Não se aplicaNão se aplicaNão se aplica</t>
  </si>
  <si>
    <t>44835B1Energia convencionalResidencialResidencial baixa renda – faixa 04Não se aplicaNão se aplicaNão se aplica</t>
  </si>
  <si>
    <t>44866B1Energia convencionalResidencialResidencial baixa renda – faixa 04Não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</si>
  <si>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</si>
  <si>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</si>
  <si>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</si>
  <si>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</si>
  <si>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</si>
  <si>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</si>
  <si>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</si>
  <si>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</si>
  <si>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</si>
  <si>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44805B2Energia convencionalRuralNão se aplicaNão se aplicaNão se aplicaNão se aplica</t>
  </si>
  <si>
    <t>44835B2Energia convencionalRuralNão se aplicaNão se aplicaNão se aplicaNão se aplica</t>
  </si>
  <si>
    <t>44866B2Energia convencionalRuralNão se aplicaNão se aplicaNão se aplicaNão se aplica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</si>
  <si>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</si>
  <si>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</si>
  <si>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</si>
  <si>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</si>
  <si>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</si>
  <si>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</si>
  <si>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</si>
  <si>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</si>
  <si>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</si>
  <si>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44805B3Energia horáriaNão se aplicaNão se aplicaNão se aplicaNão se aplicaFora ponta</t>
  </si>
  <si>
    <t>44835B3Energia horáriaNão se aplicaNão se aplicaNão se aplicaNão se aplicaFora ponta</t>
  </si>
  <si>
    <t>44866B3Energia horáriaNão se aplicaNão se aplicaNão se aplicaNão se aplicaFora ponta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</si>
  <si>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</si>
  <si>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</si>
  <si>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</si>
  <si>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</si>
  <si>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</si>
  <si>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</si>
  <si>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</si>
  <si>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</si>
  <si>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</si>
  <si>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44805B3Energia horáriaNão se aplicaNão se aplicaNão se aplicaNão se aplicaIntermediário</t>
  </si>
  <si>
    <t>44835B3Energia horáriaNão se aplicaNão se aplicaNão se aplicaNão se aplicaIntermediário</t>
  </si>
  <si>
    <t>44866B3Energia horáriaNão se aplicaNão se aplicaNão se aplicaNão se aplicaIntermediário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</si>
  <si>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</si>
  <si>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</si>
  <si>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</si>
  <si>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</si>
  <si>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</si>
  <si>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</si>
  <si>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</si>
  <si>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</si>
  <si>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</si>
  <si>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44805B3Energia horáriaNão se aplicaNão se aplicaNão se aplicaNão se aplicaPonta</t>
  </si>
  <si>
    <t>44835B3Energia horáriaNão se aplicaNão se aplicaNão se aplicaNão se aplicaPonta</t>
  </si>
  <si>
    <t>44866B3Energia horáriaNão se aplicaNão se aplicaNão se aplicaNão se aplicaPonta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</si>
  <si>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</si>
  <si>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</si>
  <si>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</si>
  <si>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</si>
  <si>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</si>
  <si>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</si>
  <si>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</si>
  <si>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</si>
  <si>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</si>
  <si>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44805B3Energia convencionalNão se aplicaNão se aplicaNão se aplicaNão se aplicaNão se aplica</t>
  </si>
  <si>
    <t>44835B3Energia convencionalNão se aplicaNão se aplicaNão se aplicaNão se aplicaNão se aplica</t>
  </si>
  <si>
    <t>44866B3Energia convencionalNão se aplicaNão se aplicaNão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</si>
  <si>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</si>
  <si>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</si>
  <si>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</si>
  <si>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</si>
  <si>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</si>
  <si>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</si>
  <si>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</si>
  <si>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</si>
  <si>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</si>
  <si>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44805B4Energia convencionalIluminação públicaIluminação pública – B4aNão se aplicaNão se aplicaNão se aplica</t>
  </si>
  <si>
    <t>44835B4Energia convencionalIluminação públicaIluminação pública – B4aNão se aplicaNão se aplicaNão se aplica</t>
  </si>
  <si>
    <t>44866B4Energia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</si>
  <si>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</si>
  <si>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</si>
  <si>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</si>
  <si>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</si>
  <si>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</si>
  <si>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</si>
  <si>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</si>
  <si>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</si>
  <si>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</si>
  <si>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</si>
  <si>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</si>
  <si>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</si>
  <si>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</si>
  <si>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</si>
  <si>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</si>
  <si>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</si>
  <si>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</si>
  <si>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</si>
  <si>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</si>
  <si>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</si>
  <si>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</si>
  <si>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</si>
  <si>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</si>
  <si>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</si>
  <si>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</si>
  <si>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</si>
  <si>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</si>
  <si>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</si>
  <si>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</si>
  <si>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</si>
  <si>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</si>
  <si>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</si>
  <si>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</si>
  <si>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</si>
  <si>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</si>
  <si>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</si>
  <si>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</si>
  <si>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</si>
  <si>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</si>
  <si>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</si>
  <si>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</si>
  <si>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</si>
  <si>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</si>
  <si>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</si>
  <si>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</si>
  <si>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</si>
  <si>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</si>
  <si>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</si>
  <si>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</si>
  <si>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</si>
  <si>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</si>
  <si>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</si>
  <si>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</si>
  <si>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</si>
  <si>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</si>
  <si>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</si>
  <si>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</si>
  <si>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</si>
  <si>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</si>
  <si>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</si>
  <si>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</si>
  <si>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</si>
  <si>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</si>
  <si>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</si>
  <si>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</si>
  <si>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</si>
  <si>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</si>
  <si>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</si>
  <si>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</si>
  <si>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</si>
  <si>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</si>
  <si>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</si>
  <si>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</si>
  <si>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</si>
  <si>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</si>
  <si>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</si>
  <si>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</si>
  <si>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</si>
  <si>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</si>
  <si>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</si>
  <si>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</si>
  <si>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</si>
  <si>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</si>
  <si>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</si>
  <si>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</si>
  <si>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</si>
  <si>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</si>
  <si>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</si>
  <si>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</si>
  <si>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</si>
  <si>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</si>
  <si>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</si>
  <si>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</si>
  <si>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</si>
  <si>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</si>
  <si>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</si>
  <si>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</si>
  <si>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</si>
  <si>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</si>
  <si>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</si>
  <si>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</si>
  <si>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</si>
  <si>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</si>
  <si>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</si>
  <si>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</si>
  <si>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</si>
  <si>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</si>
  <si>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</si>
  <si>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</si>
  <si>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</si>
  <si>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</si>
  <si>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</si>
  <si>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</si>
  <si>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</si>
  <si>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</si>
  <si>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</si>
  <si>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</si>
  <si>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</si>
  <si>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</si>
  <si>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</si>
  <si>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</si>
  <si>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</si>
  <si>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</si>
  <si>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</si>
  <si>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</si>
  <si>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</si>
  <si>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</si>
  <si>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</si>
  <si>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</si>
  <si>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</si>
  <si>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</si>
  <si>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</si>
  <si>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</si>
  <si>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</si>
  <si>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</si>
  <si>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</si>
  <si>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</si>
  <si>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</si>
  <si>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</si>
  <si>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</si>
  <si>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</si>
  <si>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</si>
  <si>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</si>
  <si>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</si>
  <si>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</si>
  <si>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</si>
  <si>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</si>
  <si>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</si>
  <si>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</si>
  <si>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</si>
  <si>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</si>
  <si>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</si>
  <si>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</si>
  <si>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</si>
  <si>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</si>
  <si>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</si>
  <si>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</si>
  <si>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</si>
  <si>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</si>
  <si>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</si>
  <si>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</si>
  <si>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</si>
  <si>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</si>
  <si>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</si>
  <si>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</si>
  <si>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</si>
  <si>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</si>
  <si>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</si>
  <si>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</si>
  <si>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</si>
  <si>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</si>
  <si>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</si>
  <si>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</si>
  <si>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</si>
  <si>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</si>
  <si>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</si>
  <si>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</si>
  <si>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</si>
  <si>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</si>
  <si>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</si>
  <si>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</si>
  <si>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</si>
  <si>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</si>
  <si>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</si>
  <si>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</si>
  <si>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</si>
  <si>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</si>
  <si>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</si>
  <si>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</si>
  <si>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</si>
  <si>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</si>
  <si>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</si>
  <si>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</si>
  <si>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</si>
  <si>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</si>
  <si>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</si>
  <si>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</si>
  <si>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</si>
  <si>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</si>
  <si>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ÁGUA, ESGOTO E SANEAMENTO</t>
  </si>
  <si>
    <t>SUBSIDIO CARGA FONTE INCENTIVADA</t>
  </si>
  <si>
    <t>SUBSIDIO BAIXA RENDA</t>
  </si>
  <si>
    <t>SUBSIDIO RURAL</t>
  </si>
  <si>
    <t>R$ (TV)</t>
  </si>
  <si>
    <t>R$ (TN)</t>
  </si>
  <si>
    <t>SUBSIDIO DISTRIBUIÇÃO</t>
  </si>
  <si>
    <t>SUBSIDIO IRRIGANTE/AQUICULTOR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</si>
  <si>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</si>
  <si>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</si>
  <si>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</si>
  <si>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</si>
  <si>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</si>
  <si>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</si>
  <si>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</si>
  <si>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</si>
  <si>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</si>
  <si>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</si>
  <si>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</si>
  <si>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</si>
  <si>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</si>
  <si>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</si>
  <si>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</si>
  <si>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</si>
  <si>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>Branca1RuralNão se aplicaRuralB2</t>
  </si>
  <si>
    <t>Convencional1RuralCooperativa de eletrificação ruralPlanilha CUSTOB2</t>
  </si>
  <si>
    <t>Branca 1RuralCooperativa de eletrificação ruralPlanilha CUSTOB2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</si>
  <si>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</si>
  <si>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</si>
  <si>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</si>
  <si>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</si>
  <si>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</si>
  <si>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</si>
  <si>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</si>
  <si>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</si>
  <si>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</si>
  <si>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</si>
  <si>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</si>
  <si>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</si>
  <si>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</si>
  <si>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</si>
  <si>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</si>
  <si>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</si>
  <si>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</si>
  <si>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</si>
  <si>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</si>
  <si>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</si>
  <si>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</si>
  <si>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</si>
  <si>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</si>
  <si>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</si>
  <si>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</si>
  <si>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</si>
  <si>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</si>
  <si>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</si>
  <si>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</si>
  <si>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</si>
  <si>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</si>
  <si>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</si>
  <si>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</si>
  <si>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</si>
  <si>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</si>
  <si>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</si>
  <si>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</si>
  <si>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</si>
  <si>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</si>
  <si>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</si>
  <si>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</si>
  <si>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</si>
  <si>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</si>
  <si>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</si>
  <si>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</si>
  <si>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</si>
  <si>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</si>
  <si>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</si>
  <si>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Efeito + subsídio</t>
  </si>
  <si>
    <t>Custos</t>
  </si>
  <si>
    <t>Sparta</t>
  </si>
  <si>
    <t>TABELA 1 - TARIFAS DE APLICAÇÃO E BASE ECONÔMICA PARA O GRUPO A</t>
  </si>
  <si>
    <t>ACESSANTE</t>
  </si>
  <si>
    <t>TARIFAS DE APLICAÇÃO</t>
  </si>
  <si>
    <t>R$/kW</t>
  </si>
  <si>
    <t>R$/MWh</t>
  </si>
  <si>
    <t>NA</t>
  </si>
  <si>
    <t>P</t>
  </si>
  <si>
    <t>FP</t>
  </si>
  <si>
    <t>Azul APE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</si>
  <si>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</si>
  <si>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</si>
  <si>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</si>
  <si>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</si>
  <si>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</si>
  <si>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</si>
  <si>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</si>
  <si>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</si>
  <si>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</si>
  <si>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</si>
  <si>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</si>
  <si>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</si>
  <si>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</si>
  <si>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</si>
  <si>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</si>
  <si>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</si>
  <si>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</si>
  <si>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A2Geração</t>
  </si>
  <si>
    <t>A2GeraçãoNão se aplica</t>
  </si>
  <si>
    <t>A2GeraçãoNão se aplicaNão se aplica</t>
  </si>
  <si>
    <t>A2GeraçãoNão se aplicaNão se aplicaNão se aplica</t>
  </si>
  <si>
    <t>A2GeraçãoNão se aplicaNão se aplicaNão se aplicaUHE COARACY NUNES</t>
  </si>
  <si>
    <t>A2GeraçãoNão se aplicaNão se aplicaNão se aplicaUHE COARACY NUNESD</t>
  </si>
  <si>
    <t>A2GeraçãoNão se aplicaNão se aplicaNão se aplicaNOVO GERADOR</t>
  </si>
  <si>
    <t>A2GeraçãoNão se aplicaNão se aplicaNão se aplicaNOVO GERADORD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</si>
  <si>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</si>
  <si>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</si>
  <si>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</si>
  <si>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</si>
  <si>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</si>
  <si>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</si>
  <si>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</si>
  <si>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</si>
  <si>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</si>
  <si>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</si>
  <si>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</si>
  <si>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A3aAzul</t>
  </si>
  <si>
    <t>A3aAzulNão se aplica</t>
  </si>
  <si>
    <t>A3aAzulNão se aplicaNão se aplica</t>
  </si>
  <si>
    <t>A3aAzulNão se aplicaNão se aplicaNão se aplica</t>
  </si>
  <si>
    <t>A3aAzulNão se aplicaNão se aplicaNão se aplicaNão se aplica</t>
  </si>
  <si>
    <t>A3aAzulNão se aplicaNão se aplicaNão se aplicaNão se aplicaDP</t>
  </si>
  <si>
    <t>A3aAzulNão se aplicaNão se aplicaNão se aplicaNão se aplicaDFP</t>
  </si>
  <si>
    <t>A3aAzulNão se aplicaNão se aplicaNão se aplicaNão se aplicaE</t>
  </si>
  <si>
    <t>A3aAzulNão se aplicaNão se aplicaAPE</t>
  </si>
  <si>
    <t>A3aAzulNão se aplicaNão se aplicaAPENão se aplica</t>
  </si>
  <si>
    <t>A3aAzulNão se aplicaNão se aplicaAPENão se aplicaE</t>
  </si>
  <si>
    <t>A3aGeração</t>
  </si>
  <si>
    <t>A3aGeraçãoNão se aplica</t>
  </si>
  <si>
    <t>A3aGeraçãoNão se aplicaNão se aplica</t>
  </si>
  <si>
    <t>A3aGeraçãoNão se aplicaNão se aplicaNão se aplica</t>
  </si>
  <si>
    <t>A3aGeraçãoNão se aplicaNão se aplicaNão se aplicaNão se aplica</t>
  </si>
  <si>
    <t>A3aGeraçãoNão se aplicaNão se aplicaNão se aplicaNão se aplicaD</t>
  </si>
  <si>
    <t>A3aVerde</t>
  </si>
  <si>
    <t>A3aVerdeNão se aplica</t>
  </si>
  <si>
    <t>A3aVerdeNão se aplicaNão se aplica</t>
  </si>
  <si>
    <t>A3aVerdeNão se aplicaNão se aplicaNão se aplica</t>
  </si>
  <si>
    <t>A3aVerdeNão se aplicaNão se aplicaNão se aplicaNão se aplica</t>
  </si>
  <si>
    <t>A3aVerdeNão se aplicaNão se aplicaNão se aplicaNão se aplicaD</t>
  </si>
  <si>
    <t>A3aVerdeNão se aplicaNão se aplicaNão se aplicaNão se aplicaEP</t>
  </si>
  <si>
    <t>A3aVerdeNão se aplicaNão se aplicaNão se aplicaNão se aplicaEFP</t>
  </si>
  <si>
    <t>A3aVerdeNão se aplicaNão se aplicaAPE</t>
  </si>
  <si>
    <t>A3aVerdeNão se aplicaNão se aplicaAPENão se aplica</t>
  </si>
  <si>
    <t>A3aVerdeNão se aplicaNão se aplicaAPENão se aplicaEP</t>
  </si>
  <si>
    <t>A3aVerdeNão se aplicaNão se aplicaAPENão se aplicaEFP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</si>
  <si>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</si>
  <si>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</si>
  <si>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</si>
  <si>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</si>
  <si>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</si>
  <si>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</si>
  <si>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</si>
  <si>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</si>
  <si>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</si>
  <si>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</si>
  <si>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</si>
  <si>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</si>
  <si>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</si>
  <si>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</si>
  <si>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</si>
  <si>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</si>
  <si>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</si>
  <si>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</si>
  <si>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</si>
  <si>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</si>
  <si>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</si>
  <si>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</si>
  <si>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</si>
  <si>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</si>
  <si>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</si>
  <si>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</si>
  <si>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</si>
  <si>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</si>
  <si>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</si>
  <si>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</si>
  <si>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</si>
  <si>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</si>
  <si>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</si>
  <si>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</si>
  <si>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</si>
  <si>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</si>
  <si>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</si>
  <si>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</si>
  <si>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</si>
  <si>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</si>
  <si>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</si>
  <si>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</si>
  <si>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</si>
  <si>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</si>
  <si>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</si>
  <si>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</si>
  <si>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</si>
  <si>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</si>
  <si>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</si>
  <si>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</si>
  <si>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</si>
  <si>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</si>
  <si>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</si>
  <si>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</si>
  <si>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</si>
  <si>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</si>
  <si>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</si>
  <si>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</si>
  <si>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</si>
  <si>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</si>
  <si>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</si>
  <si>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</si>
  <si>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</si>
  <si>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</si>
  <si>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</si>
  <si>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</si>
  <si>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</si>
  <si>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</si>
  <si>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</si>
  <si>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</si>
  <si>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</si>
  <si>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</si>
  <si>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</si>
  <si>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</si>
  <si>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</si>
  <si>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</si>
  <si>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</si>
  <si>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</si>
  <si>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</si>
  <si>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</si>
  <si>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</si>
  <si>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</si>
  <si>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</si>
  <si>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</si>
  <si>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</si>
  <si>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</si>
  <si>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</si>
  <si>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</si>
  <si>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</si>
  <si>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</si>
  <si>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</si>
  <si>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</si>
  <si>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</si>
  <si>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</si>
  <si>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</si>
  <si>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</si>
  <si>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</si>
  <si>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</si>
  <si>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</si>
  <si>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</si>
  <si>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</si>
  <si>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</si>
  <si>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</si>
  <si>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</si>
  <si>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</si>
  <si>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</si>
  <si>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</si>
  <si>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</si>
  <si>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</si>
  <si>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</si>
  <si>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</si>
  <si>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</si>
  <si>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</si>
  <si>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</si>
  <si>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</si>
  <si>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</si>
  <si>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</si>
  <si>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</si>
  <si>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</si>
  <si>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</si>
  <si>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</si>
  <si>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</si>
  <si>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</si>
  <si>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</si>
  <si>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</si>
  <si>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</si>
  <si>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</si>
  <si>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</si>
  <si>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</si>
  <si>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</si>
  <si>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</si>
  <si>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</si>
  <si>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</si>
  <si>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</si>
  <si>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</si>
  <si>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</si>
  <si>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</si>
  <si>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</si>
  <si>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</si>
  <si>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</si>
  <si>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</si>
  <si>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</si>
  <si>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</si>
  <si>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</si>
  <si>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</si>
  <si>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</si>
  <si>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</si>
  <si>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</si>
  <si>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</si>
  <si>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</si>
  <si>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</si>
  <si>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</si>
  <si>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</si>
  <si>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</si>
  <si>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</si>
  <si>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</si>
  <si>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</si>
  <si>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</si>
  <si>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</si>
  <si>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</si>
  <si>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</si>
  <si>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</si>
  <si>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</si>
  <si>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</si>
  <si>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</si>
  <si>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</si>
  <si>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</si>
  <si>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</si>
  <si>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</si>
  <si>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</si>
  <si>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</si>
  <si>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</si>
  <si>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</si>
  <si>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</si>
  <si>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</si>
  <si>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</si>
  <si>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</si>
  <si>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A3aEnergia horária</t>
  </si>
  <si>
    <t>A3aEnergia horáriaNão se aplica</t>
  </si>
  <si>
    <t>A3aEnergia horáriaNão se aplicaNão se aplica</t>
  </si>
  <si>
    <t>A3aEnergia horáriaNão se aplicaNão se aplicaNão se aplica</t>
  </si>
  <si>
    <t>A3aEnergia horáriaNão se aplicaNão se aplicaNão se aplicaNão se aplica</t>
  </si>
  <si>
    <t>A3aEnergia horáriaNão se aplicaNão se aplicaNão se aplicaNão se aplicaEP</t>
  </si>
  <si>
    <t>A3aEnergia horáriaNão se aplicaNão se aplicaNão se aplicaNão se aplicaEFP</t>
  </si>
  <si>
    <t>A3aEnergia convencional</t>
  </si>
  <si>
    <t>A3aEnergia convencionalNão se aplica</t>
  </si>
  <si>
    <t>A3aEnergia convencionalNão se aplicaNão se aplica</t>
  </si>
  <si>
    <t>A3aEnergia convencionalNão se aplicaNão se aplicaNão se aplica</t>
  </si>
  <si>
    <t>A3aEnergia convencionalNão se aplicaNão se aplicaNão se aplicaNão se aplica</t>
  </si>
  <si>
    <t>A3aEnergia convencionalNão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</si>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</sst>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7" fontId="3" fillId="0" borderId="0" xfId="0" applyNumberFormat="1" applyFont="1"/>
    <xf numFmtId="164" fontId="3" fillId="0" borderId="0" xfId="0" applyNumberFormat="1" applyFont="1"/>
    <xf numFmtId="0" fontId="3" fillId="0" borderId="0" xfId="0" applyFont="1" applyAlignment="1">
      <alignment horizontal="center" vertical="center"/>
    </xf>
    <xf numFmtId="10" fontId="3" fillId="0" borderId="0" xfId="0" applyNumberFormat="1" applyFont="1"/>
    <xf numFmtId="2" fontId="8" fillId="3" borderId="14" xfId="0" applyNumberFormat="1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40" fontId="8" fillId="3" borderId="14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0" fontId="3" fillId="0" borderId="13" xfId="0" applyFont="1" applyBorder="1" applyAlignment="1">
      <alignment vertical="center"/>
    </xf>
    <xf numFmtId="164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1" fillId="6" borderId="18" xfId="0" applyNumberFormat="1" applyFont="1" applyFill="1" applyBorder="1"/>
    <xf numFmtId="4" fontId="11" fillId="6" borderId="12" xfId="0" applyNumberFormat="1" applyFont="1" applyFill="1" applyBorder="1"/>
    <xf numFmtId="4" fontId="11" fillId="6" borderId="19" xfId="0" applyNumberFormat="1" applyFont="1" applyFill="1" applyBorder="1"/>
    <xf numFmtId="4" fontId="11" fillId="6" borderId="6" xfId="0" applyNumberFormat="1" applyFont="1" applyFill="1" applyBorder="1"/>
    <xf numFmtId="4" fontId="11" fillId="6" borderId="13" xfId="0" applyNumberFormat="1" applyFont="1" applyFill="1" applyBorder="1"/>
    <xf numFmtId="4" fontId="11" fillId="6" borderId="5" xfId="0" applyNumberFormat="1" applyFont="1" applyFill="1" applyBorder="1"/>
    <xf numFmtId="4" fontId="11" fillId="6" borderId="20" xfId="0" applyNumberFormat="1" applyFont="1" applyFill="1" applyBorder="1"/>
    <xf numFmtId="4" fontId="11" fillId="6" borderId="10" xfId="0" applyNumberFormat="1" applyFont="1" applyFill="1" applyBorder="1"/>
    <xf numFmtId="4" fontId="11" fillId="6" borderId="17" xfId="0" applyNumberFormat="1" applyFont="1" applyFill="1" applyBorder="1"/>
    <xf numFmtId="4" fontId="11" fillId="6" borderId="13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</cellXfs>
  <cellStyles count="1">
    <cellStyle name="Normal" xfId="0" builtinId="0"/>
  </cellStyles>
  <dxfs count="1055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3.0609342268368856E-17</c:v>
                </c:pt>
                <c:pt idx="1">
                  <c:v>-1.6515166178302524E-6</c:v>
                </c:pt>
                <c:pt idx="2">
                  <c:v>-6.1265201204691231E-6</c:v>
                </c:pt>
                <c:pt idx="3">
                  <c:v>0</c:v>
                </c:pt>
                <c:pt idx="4">
                  <c:v>0</c:v>
                </c:pt>
                <c:pt idx="5">
                  <c:v>-1.5304671134184428E-17</c:v>
                </c:pt>
                <c:pt idx="6">
                  <c:v>-2.2957006701276645E-17</c:v>
                </c:pt>
                <c:pt idx="7">
                  <c:v>0</c:v>
                </c:pt>
                <c:pt idx="8">
                  <c:v>-3.0609342268368856E-17</c:v>
                </c:pt>
                <c:pt idx="9">
                  <c:v>3.8261677835461071E-18</c:v>
                </c:pt>
                <c:pt idx="10">
                  <c:v>-3.7779991916672333E-7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-6.576225877969872E-19</c:v>
                </c:pt>
                <c:pt idx="15">
                  <c:v>-4.9775698239941455E-4</c:v>
                </c:pt>
                <c:pt idx="16">
                  <c:v>4.1271517185544623E-6</c:v>
                </c:pt>
                <c:pt idx="17">
                  <c:v>0</c:v>
                </c:pt>
                <c:pt idx="18">
                  <c:v>-3.3741179658500453E-5</c:v>
                </c:pt>
                <c:pt idx="19">
                  <c:v>-2.7281273858456119E-6</c:v>
                </c:pt>
                <c:pt idx="20">
                  <c:v>-6.4279763504900063E-5</c:v>
                </c:pt>
                <c:pt idx="21">
                  <c:v>-1.4384472695003341E-5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A-4C64-AB00-1A451A771760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-5.3040562795403608E-17</c:v>
                </c:pt>
                <c:pt idx="15">
                  <c:v>3.192949201948588E-6</c:v>
                </c:pt>
                <c:pt idx="16">
                  <c:v>-3.7292934241396024E-5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A-4C64-AB00-1A451A771760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-5.3040562795403608E-17</c:v>
                </c:pt>
                <c:pt idx="15">
                  <c:v>3.192949201948588E-6</c:v>
                </c:pt>
                <c:pt idx="16">
                  <c:v>-3.7292934241396024E-5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A-4C64-AB00-1A451A77176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3BA-4C64-AB00-1A451A77176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3BA-4C64-AB00-1A451A77176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3BA-4C64-AB00-1A451A771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676031"/>
        <c:axId val="1977676447"/>
      </c:radarChart>
      <c:catAx>
        <c:axId val="1977676031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77676447"/>
        <c:crosses val="autoZero"/>
        <c:auto val="1"/>
        <c:lblAlgn val="ctr"/>
        <c:lblOffset val="100"/>
        <c:noMultiLvlLbl val="0"/>
      </c:catAx>
      <c:valAx>
        <c:axId val="197767644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7676031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-4.4429394489984894E-6</c:v>
                </c:pt>
                <c:pt idx="1">
                  <c:v>1.3620435104523538E-16</c:v>
                </c:pt>
                <c:pt idx="2">
                  <c:v>0</c:v>
                </c:pt>
                <c:pt idx="3">
                  <c:v>5.5498195259698048E-2</c:v>
                </c:pt>
                <c:pt idx="4">
                  <c:v>-1.5322989492588979E-16</c:v>
                </c:pt>
                <c:pt idx="5">
                  <c:v>-4.2865463207823051E-4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-9.5290957319962012E-6</c:v>
                </c:pt>
                <c:pt idx="10">
                  <c:v>-1.1914899366492937E-5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E-4BEF-B4A5-45D67BDC6A18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-4.4314106382764397E-6</c:v>
                </c:pt>
                <c:pt idx="1">
                  <c:v>1.7915350572368704E-16</c:v>
                </c:pt>
                <c:pt idx="2">
                  <c:v>0</c:v>
                </c:pt>
                <c:pt idx="3">
                  <c:v>5.5354185151964275E-2</c:v>
                </c:pt>
                <c:pt idx="4">
                  <c:v>-1.6422404691337978E-16</c:v>
                </c:pt>
                <c:pt idx="5">
                  <c:v>-4.2905078100036068E-4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-9.5199573936130387E-6</c:v>
                </c:pt>
                <c:pt idx="10">
                  <c:v>-1.1883981857670498E-5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E-4BEF-B4A5-45D67BDC6A18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-4.4314106382764397E-6</c:v>
                </c:pt>
                <c:pt idx="1">
                  <c:v>1.7915350572368704E-16</c:v>
                </c:pt>
                <c:pt idx="2">
                  <c:v>0</c:v>
                </c:pt>
                <c:pt idx="3">
                  <c:v>5.5354185151964275E-2</c:v>
                </c:pt>
                <c:pt idx="4">
                  <c:v>-1.6422404691337978E-16</c:v>
                </c:pt>
                <c:pt idx="5">
                  <c:v>-4.2905078100036068E-4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-9.5199573936130387E-6</c:v>
                </c:pt>
                <c:pt idx="10">
                  <c:v>-1.1883981857670498E-5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E-4BEF-B4A5-45D67BDC6A1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FBBE-4BEF-B4A5-45D67BDC6A1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FBBE-4BEF-B4A5-45D67BDC6A1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FBBE-4BEF-B4A5-45D67BDC6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239327"/>
        <c:axId val="409240575"/>
      </c:radarChart>
      <c:catAx>
        <c:axId val="409239327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09240575"/>
        <c:crosses val="autoZero"/>
        <c:auto val="1"/>
        <c:lblAlgn val="ctr"/>
        <c:lblOffset val="100"/>
        <c:noMultiLvlLbl val="0"/>
      </c:catAx>
      <c:valAx>
        <c:axId val="4092405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9239327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528638</xdr:colOff>
      <xdr:row>16</xdr:row>
      <xdr:rowOff>0</xdr:rowOff>
    </xdr:from>
    <xdr:to>
      <xdr:col>15</xdr:col>
      <xdr:colOff>414338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1EA0CC-B430-4A2A-9BA5-D466073BD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614363</xdr:colOff>
      <xdr:row>16</xdr:row>
      <xdr:rowOff>0</xdr:rowOff>
    </xdr:from>
    <xdr:to>
      <xdr:col>15</xdr:col>
      <xdr:colOff>4763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1034B7-62A3-42D0-83D9-663A2FC17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901.454014583331" createdVersion="5" refreshedVersion="7" minRefreshableVersion="3" recordCount="1038" xr:uid="{86CF2748-2890-45C6-AF05-ECEC17542B00}">
  <cacheSource type="worksheet">
    <worksheetSource name="Efeito"/>
  </cacheSource>
  <cacheFields count="36">
    <cacheField name="TipoMercado" numFmtId="0">
      <sharedItems/>
    </cacheField>
    <cacheField name="Subgrupo" numFmtId="0">
      <sharedItems count="8">
        <s v="A2"/>
        <s v="A3"/>
        <s v="A3a"/>
        <s v="A4"/>
        <s v="B1"/>
        <s v="B2"/>
        <s v="B3"/>
        <s v="B4"/>
      </sharedItems>
    </cacheField>
    <cacheField name="Modalidade" numFmtId="0">
      <sharedItems count="5">
        <s v="Geração"/>
        <s v="Azul"/>
        <s v="Verde"/>
        <s v="Branca"/>
        <s v="Convencional"/>
      </sharedItems>
    </cacheField>
    <cacheField name="Classe" numFmtId="0">
      <sharedItems count="9">
        <s v="Não se aplica"/>
        <s v="Industrial"/>
        <s v="Comercial"/>
        <s v="Poder público"/>
        <s v="Serviço público"/>
        <s v="Consumo próprio"/>
        <s v="Residencial"/>
        <s v="Rural"/>
        <s v="Iluminação pública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2">
        <s v="UHE COARACY NUNES"/>
        <s v="Não se aplica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12-01T00:00:00" maxDate="2022-11-02T00:00:00" count="12"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</sharedItems>
    </cacheField>
    <cacheField name="D" numFmtId="40">
      <sharedItems containsSemiMixedTypes="0" containsString="0" containsNumber="1" containsInteger="1" minValue="-8457" maxValue="77720"/>
    </cacheField>
    <cacheField name="Daj" numFmtId="40">
      <sharedItems containsSemiMixedTypes="0" containsString="0" containsNumber="1" minValue="-8457" maxValue="77720"/>
    </cacheField>
    <cacheField name="TUSD_E" numFmtId="40">
      <sharedItems containsSemiMixedTypes="0" containsString="0" containsNumber="1" minValue="-2946.1880000000001" maxValue="46735.762000000002"/>
    </cacheField>
    <cacheField name="TUSD_Eaj" numFmtId="40">
      <sharedItems containsSemiMixedTypes="0" containsString="0" containsNumber="1" minValue="-2946.1880000000001" maxValue="46735.762000000002"/>
    </cacheField>
    <cacheField name="TE_E" numFmtId="40">
      <sharedItems containsSemiMixedTypes="0" containsString="0" containsNumber="1" minValue="-2946.1880000000001" maxValue="46735.762000000002"/>
    </cacheField>
    <cacheField name="TE_Eaj" numFmtId="40">
      <sharedItems containsSemiMixedTypes="0" containsString="0" containsNumber="1" minValue="-2946.1880000000001" maxValue="46735.762000000002"/>
    </cacheField>
    <cacheField name="UC" numFmtId="40">
      <sharedItems containsSemiMixedTypes="0" containsString="0" containsNumber="1" containsInteger="1" minValue="-7113" maxValue="147531"/>
    </cacheField>
    <cacheField name="OPÇÃO" numFmtId="0">
      <sharedItems count="3">
        <s v="GERAÇÃO"/>
        <s v="CATIVO"/>
        <s v="LIVRE"/>
      </sharedItems>
    </cacheField>
    <cacheField name="CóD. AUX." numFmtId="0">
      <sharedItems containsSemiMixedTypes="0" containsString="0" containsNumber="1" containsInteger="1" minValue="0" maxValue="783"/>
    </cacheField>
    <cacheField name="CóD. AUX. TUSD R$/kW" numFmtId="40">
      <sharedItems containsSemiMixedTypes="0" containsString="0" containsNumber="1" containsInteger="1" minValue="0" maxValue="43"/>
    </cacheField>
    <cacheField name="CóD. AUX. TUSD R$/MWh" numFmtId="40">
      <sharedItems containsSemiMixedTypes="0" containsString="0" containsNumber="1" containsInteger="1" minValue="0" maxValue="68"/>
    </cacheField>
    <cacheField name="CóD. AUX. TE R$/MWh" numFmtId="40">
      <sharedItems containsSemiMixedTypes="0" containsString="0" containsNumber="1" containsInteger="1" minValue="0" maxValue="107"/>
    </cacheField>
    <cacheField name="TUSD (R$/kW)" numFmtId="40">
      <sharedItems containsSemiMixedTypes="0" containsString="0" containsNumber="1" minValue="0" maxValue="55.8"/>
    </cacheField>
    <cacheField name="TUSD (R$/MWh)" numFmtId="40">
      <sharedItems containsSemiMixedTypes="0" containsString="0" containsNumber="1" minValue="0" maxValue="1454.96"/>
    </cacheField>
    <cacheField name="TE (R$/MWh)" numFmtId="40">
      <sharedItems containsSemiMixedTypes="0" containsString="0" containsNumber="1" minValue="0" maxValue="159.43"/>
    </cacheField>
    <cacheField name="TUSD (R$/kW) NOVA" numFmtId="40">
      <sharedItems containsString="0" containsBlank="1" containsNumber="1" minValue="6.4717342487178033" maxValue="54.291596185772413"/>
    </cacheField>
    <cacheField name="TUSD (R$/MWh) NOVA" numFmtId="40">
      <sharedItems containsString="0" containsBlank="1" containsNumber="1" minValue="133.65211299011142" maxValue="1498.9908599166342"/>
    </cacheField>
    <cacheField name="TE (R$/MWh) NOVA" numFmtId="40">
      <sharedItems containsString="0" containsBlank="1" containsNumber="1" minValue="78.601718356605559" maxValue="322.27888250425127"/>
    </cacheField>
    <cacheField name="RA0 ou RV - TUSD (kW)" numFmtId="40">
      <sharedItems containsSemiMixedTypes="0" containsString="0" containsNumber="1" minValue="-180810.66" maxValue="769487.58"/>
    </cacheField>
    <cacheField name="RA0 ou RV - TUSD (MWh)" numFmtId="40">
      <sharedItems containsSemiMixedTypes="0" containsString="0" containsNumber="1" minValue="-1272812.1397599999" maxValue="20190783.899240002"/>
    </cacheField>
    <cacheField name="RA0 ou RV - TE (MWh)" numFmtId="40">
      <sharedItems containsSemiMixedTypes="0" containsString="0" containsNumber="1" minValue="-317569.60452000005" maxValue="5037647.7859800002"/>
    </cacheField>
    <cacheField name="RA1 ou RRD - TUSD (kW)" numFmtId="40">
      <sharedItems containsSemiMixedTypes="0" containsString="0" containsNumber="1" minValue="-179329.74315752403" maxValue="763185.1467402681"/>
    </cacheField>
    <cacheField name="RA1 ou RRD - TUSD (MWh)" numFmtId="40">
      <sharedItems containsSemiMixedTypes="0" containsString="0" containsNumber="1" minValue="-1465751.8184086278" maxValue="23251411.022043686"/>
    </cacheField>
    <cacheField name="RA1 ou RRD - TE (MWh)" numFmtId="40">
      <sharedItems containsSemiMixedTypes="0" containsString="0" containsNumber="1" minValue="-661644.11257603148" maxValue="10495746.2911581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901.454515625002" createdVersion="5" refreshedVersion="7" minRefreshableVersion="3" recordCount="267" xr:uid="{52D58B1C-ADA4-4A01-A87A-F22CD917BAF0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2"/>
        <s v="A4"/>
        <s v="B1"/>
        <s v="B2"/>
        <s v="B3"/>
      </sharedItems>
    </cacheField>
    <cacheField name="Modalidade" numFmtId="0">
      <sharedItems count="4">
        <s v="Geração"/>
        <s v="Azul"/>
        <s v="Verde"/>
        <s v="Convencional"/>
      </sharedItems>
    </cacheField>
    <cacheField name="Classe" numFmtId="0">
      <sharedItems count="5">
        <s v="Não se aplica"/>
        <s v="Serviço público"/>
        <s v="Industrial"/>
        <s v="Residencial"/>
        <s v="Rural"/>
      </sharedItems>
    </cacheField>
    <cacheField name="Subclasse" numFmtId="0">
      <sharedItems count="7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2">
        <s v="UHE COARACY NUNES"/>
        <s v="Não se aplica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12-01T00:00:00" maxDate="2022-11-02T00:00:00" count="12"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</sharedItems>
    </cacheField>
    <cacheField name="D" numFmtId="40">
      <sharedItems containsSemiMixedTypes="0" containsString="0" containsNumber="1" containsInteger="1" minValue="0" maxValue="77720"/>
    </cacheField>
    <cacheField name="Daj" numFmtId="40">
      <sharedItems containsSemiMixedTypes="0" containsString="0" containsNumber="1" minValue="0" maxValue="77720"/>
    </cacheField>
    <cacheField name="TUSD_E" numFmtId="40">
      <sharedItems containsSemiMixedTypes="0" containsString="0" containsNumber="1" minValue="-164.14400000000001" maxValue="40253.358"/>
    </cacheField>
    <cacheField name="TUSD_Eaj" numFmtId="40">
      <sharedItems containsSemiMixedTypes="0" containsString="0" containsNumber="1" minValue="-199.8126656" maxValue="40253.358"/>
    </cacheField>
    <cacheField name="TE_E" numFmtId="40">
      <sharedItems containsSemiMixedTypes="0" containsString="0" containsNumber="1" minValue="-164.14400000000001" maxValue="40253.358"/>
    </cacheField>
    <cacheField name="TE_Eaj" numFmtId="40">
      <sharedItems containsSemiMixedTypes="0" containsString="0" containsNumber="1" minValue="-164.14400000000001" maxValue="40253.358"/>
    </cacheField>
    <cacheField name="UC" numFmtId="40">
      <sharedItems containsSemiMixedTypes="0" containsString="0" containsNumber="1" containsInteger="1" minValue="-228" maxValue="147531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783"/>
    </cacheField>
    <cacheField name="CóD. AUX. TUSD R$/kW" numFmtId="0">
      <sharedItems containsSemiMixedTypes="0" containsString="0" containsNumber="1" containsInteger="1" minValue="0" maxValue="43"/>
    </cacheField>
    <cacheField name="CóD. AUX. TUSD R$/MWh" numFmtId="0">
      <sharedItems containsSemiMixedTypes="0" containsString="0" containsNumber="1" containsInteger="1" minValue="0" maxValue="66"/>
    </cacheField>
    <cacheField name="CóD. AUX. TE R$/MWh" numFmtId="0">
      <sharedItems containsSemiMixedTypes="0" containsString="0" containsNumber="1" containsInteger="1" minValue="0" maxValue="93"/>
    </cacheField>
    <cacheField name="TUSD (R$/kW)" numFmtId="40">
      <sharedItems containsSemiMixedTypes="0" containsString="0" containsNumber="1" minValue="0" maxValue="55.8"/>
    </cacheField>
    <cacheField name="TUSD (R$/MWh)" numFmtId="40">
      <sharedItems containsSemiMixedTypes="0" containsString="0" containsNumber="1" minValue="0" maxValue="1454.96"/>
    </cacheField>
    <cacheField name="TE (R$/MWh)" numFmtId="40">
      <sharedItems containsSemiMixedTypes="0" containsString="0" containsNumber="1" minValue="0" maxValue="159.43"/>
    </cacheField>
    <cacheField name="TUSD (R$/kW) NOVA" numFmtId="40">
      <sharedItems containsString="0" containsBlank="1" containsNumber="1" minValue="6.4717342487178033" maxValue="54.291596185772413"/>
    </cacheField>
    <cacheField name="TUSD (R$/MWh) NOVA" numFmtId="40">
      <sharedItems containsString="0" containsBlank="1" containsNumber="1" minValue="139.20836400191462" maxValue="1498.9908599166342"/>
    </cacheField>
    <cacheField name="TE (R$/MWh) NOVA" numFmtId="40">
      <sharedItems containsString="0" containsBlank="1" containsNumber="1" minValue="78.601718356605559" maxValue="322.27888250425127"/>
    </cacheField>
    <cacheField name="SUBSIDIO kW - TV" numFmtId="40">
      <sharedItems containsSemiMixedTypes="0" containsString="0" containsNumber="1" minValue="0" maxValue="62660.929795314201"/>
    </cacheField>
    <cacheField name="SUBSIDIO MWh - TV" numFmtId="40">
      <sharedItems containsSemiMixedTypes="0" containsString="0" containsNumber="1" minValue="-3811.1307000000002" maxValue="2265715.604021376"/>
    </cacheField>
    <cacheField name="SUBSIDIO kW - TN" numFmtId="40">
      <sharedItems containsSemiMixedTypes="0" containsString="0" containsNumber="1" minValue="0" maxValue="62147.709909389974"/>
    </cacheField>
    <cacheField name="SUBSIDIO MWh - TN" numFmtId="40">
      <sharedItems containsSemiMixedTypes="0" containsString="0" containsNumber="1" minValue="-4890.4586634698016" maxValue="2334282.029470596"/>
    </cacheField>
    <cacheField name="TIPO" numFmtId="0">
      <sharedItems containsBlank="1" count="6">
        <s v="SUBSIDIO GERAÇÃO FONTE INCENTIVADA"/>
        <s v="SUBSIDIO ÁGUA, ESGOTO E SANEAMENTO"/>
        <s v="SUBSIDIO CARGA FONTE INCENTIVADA"/>
        <m/>
        <s v="SUBSIDIO BAIXA RENDA"/>
        <s v="SUBSIDIO RURAL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8">
  <r>
    <s v="Regular"/>
    <x v="0"/>
    <x v="0"/>
    <x v="0"/>
    <x v="0"/>
    <x v="0"/>
    <x v="0"/>
    <x v="0"/>
    <x v="0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1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2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3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4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5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6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7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8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9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0"/>
    <x v="0"/>
    <x v="0"/>
    <x v="0"/>
    <x v="0"/>
    <x v="0"/>
    <x v="0"/>
    <x v="10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PROJETADO"/>
    <x v="0"/>
    <x v="0"/>
    <x v="0"/>
    <x v="0"/>
    <x v="0"/>
    <x v="0"/>
    <x v="0"/>
    <x v="11"/>
    <n v="77720"/>
    <n v="77720"/>
    <n v="0"/>
    <n v="0"/>
    <n v="0"/>
    <n v="0"/>
    <n v="0"/>
    <x v="0"/>
    <n v="783"/>
    <n v="1"/>
    <n v="0"/>
    <n v="0"/>
    <n v="6.92"/>
    <n v="0"/>
    <n v="0"/>
    <n v="6.4717342487178033"/>
    <m/>
    <m/>
    <n v="537822.4"/>
    <n v="0"/>
    <n v="0"/>
    <n v="502983.18581034767"/>
    <n v="0"/>
    <n v="0"/>
  </r>
  <r>
    <s v="Regular"/>
    <x v="1"/>
    <x v="1"/>
    <x v="1"/>
    <x v="0"/>
    <x v="0"/>
    <x v="1"/>
    <x v="1"/>
    <x v="0"/>
    <n v="10500"/>
    <n v="10500"/>
    <n v="5845"/>
    <n v="5845"/>
    <n v="5845"/>
    <n v="5845"/>
    <n v="0"/>
    <x v="1"/>
    <n v="0"/>
    <n v="10"/>
    <n v="13"/>
    <n v="71"/>
    <n v="13.73"/>
    <n v="78.44"/>
    <n v="103.1"/>
    <n v="15.507414158737259"/>
    <n v="133.65211299011142"/>
    <n v="215.6942886760464"/>
    <n v="144165"/>
    <n v="458481.8"/>
    <n v="602619.5"/>
    <n v="162827.84866674122"/>
    <n v="781196.60042720125"/>
    <n v="1260733.1173114912"/>
  </r>
  <r>
    <s v="Regular"/>
    <x v="1"/>
    <x v="1"/>
    <x v="1"/>
    <x v="0"/>
    <x v="0"/>
    <x v="1"/>
    <x v="1"/>
    <x v="1"/>
    <n v="10920"/>
    <n v="10920"/>
    <n v="6008.0209999999997"/>
    <n v="6008.0209999999997"/>
    <n v="6008.0209999999997"/>
    <n v="6008.0209999999997"/>
    <n v="0"/>
    <x v="1"/>
    <n v="0"/>
    <n v="10"/>
    <n v="13"/>
    <n v="71"/>
    <n v="13.73"/>
    <n v="78.44"/>
    <n v="103.1"/>
    <n v="15.507414158737259"/>
    <n v="133.65211299011142"/>
    <n v="215.6942886760464"/>
    <n v="149931.6"/>
    <n v="471269.16723999998"/>
    <n v="619426.96509999991"/>
    <n v="169340.96261341087"/>
    <n v="802984.7015389622"/>
    <n v="1295895.8159457489"/>
  </r>
  <r>
    <s v="Regular"/>
    <x v="1"/>
    <x v="1"/>
    <x v="1"/>
    <x v="0"/>
    <x v="0"/>
    <x v="1"/>
    <x v="1"/>
    <x v="2"/>
    <n v="11088"/>
    <n v="11088"/>
    <n v="5600.4"/>
    <n v="5600.4"/>
    <n v="5600.4"/>
    <n v="5600.4"/>
    <n v="0"/>
    <x v="1"/>
    <n v="0"/>
    <n v="10"/>
    <n v="13"/>
    <n v="71"/>
    <n v="13.73"/>
    <n v="78.44"/>
    <n v="103.1"/>
    <n v="15.507414158737259"/>
    <n v="133.65211299011142"/>
    <n v="215.6942886760464"/>
    <n v="152238.24"/>
    <n v="439295.37599999993"/>
    <n v="577401.23999999987"/>
    <n v="171946.20819207872"/>
    <n v="748505.29358981992"/>
    <n v="1207974.2943013301"/>
  </r>
  <r>
    <s v="Regular"/>
    <x v="1"/>
    <x v="1"/>
    <x v="1"/>
    <x v="0"/>
    <x v="0"/>
    <x v="1"/>
    <x v="1"/>
    <x v="3"/>
    <n v="10941"/>
    <n v="10941"/>
    <n v="3532.3310000000001"/>
    <n v="3532.3310000000001"/>
    <n v="3532.3310000000001"/>
    <n v="3532.3310000000001"/>
    <n v="0"/>
    <x v="1"/>
    <n v="0"/>
    <n v="10"/>
    <n v="13"/>
    <n v="71"/>
    <n v="13.73"/>
    <n v="78.44"/>
    <n v="103.1"/>
    <n v="15.507414158737259"/>
    <n v="133.65211299011142"/>
    <n v="215.6942886760464"/>
    <n v="150219.93"/>
    <n v="277076.04363999999"/>
    <n v="364183.32610000001"/>
    <n v="169666.61831074435"/>
    <n v="472103.50193047326"/>
    <n v="761903.62241334771"/>
  </r>
  <r>
    <s v="Regular"/>
    <x v="1"/>
    <x v="1"/>
    <x v="1"/>
    <x v="0"/>
    <x v="0"/>
    <x v="1"/>
    <x v="1"/>
    <x v="4"/>
    <n v="10983"/>
    <n v="10983"/>
    <n v="5630.4669999999996"/>
    <n v="5630.4669999999996"/>
    <n v="5630.4669999999996"/>
    <n v="5630.4669999999996"/>
    <n v="0"/>
    <x v="1"/>
    <n v="0"/>
    <n v="10"/>
    <n v="13"/>
    <n v="71"/>
    <n v="13.73"/>
    <n v="78.44"/>
    <n v="103.1"/>
    <n v="15.507414158737259"/>
    <n v="133.65211299011142"/>
    <n v="215.6942886760464"/>
    <n v="150796.59"/>
    <n v="441653.83147999994"/>
    <n v="580501.14769999997"/>
    <n v="170317.92970541131"/>
    <n v="752523.81167109357"/>
    <n v="1214459.5744789529"/>
  </r>
  <r>
    <s v="Refaturamento - Regular"/>
    <x v="1"/>
    <x v="1"/>
    <x v="1"/>
    <x v="0"/>
    <x v="0"/>
    <x v="1"/>
    <x v="1"/>
    <x v="4"/>
    <n v="0"/>
    <n v="0"/>
    <n v="2744.8049999999998"/>
    <n v="2744.8049999999998"/>
    <n v="2744.8049999999998"/>
    <n v="2744.8049999999998"/>
    <n v="0"/>
    <x v="1"/>
    <n v="0"/>
    <n v="0"/>
    <n v="13"/>
    <n v="71"/>
    <n v="0"/>
    <n v="78.44"/>
    <n v="103.1"/>
    <n v="15.507414158737259"/>
    <n v="133.65211299011142"/>
    <n v="215.6942886760464"/>
    <n v="0"/>
    <n v="215302.50419999997"/>
    <n v="282989.39549999998"/>
    <n v="0"/>
    <n v="366848.98799582274"/>
    <n v="592038.76202945551"/>
  </r>
  <r>
    <s v="Regular"/>
    <x v="1"/>
    <x v="1"/>
    <x v="1"/>
    <x v="0"/>
    <x v="0"/>
    <x v="1"/>
    <x v="1"/>
    <x v="5"/>
    <n v="11130"/>
    <n v="11130"/>
    <n v="6445.393"/>
    <n v="6445.393"/>
    <n v="6445.393"/>
    <n v="6445.393"/>
    <n v="0"/>
    <x v="1"/>
    <n v="0"/>
    <n v="10"/>
    <n v="13"/>
    <n v="71"/>
    <n v="13.73"/>
    <n v="78.44"/>
    <n v="103.1"/>
    <n v="15.507414158737259"/>
    <n v="133.65211299011142"/>
    <n v="215.6942886760464"/>
    <n v="152814.9"/>
    <n v="505576.62692000001"/>
    <n v="664520.0183"/>
    <n v="172597.51958674568"/>
    <n v="861440.39350167324"/>
    <n v="1390234.4583725687"/>
  </r>
  <r>
    <s v="Regular"/>
    <x v="1"/>
    <x v="1"/>
    <x v="1"/>
    <x v="0"/>
    <x v="0"/>
    <x v="1"/>
    <x v="1"/>
    <x v="6"/>
    <n v="11004"/>
    <n v="11004"/>
    <n v="6118.0709999999999"/>
    <n v="6118.0709999999999"/>
    <n v="6118.0709999999999"/>
    <n v="6118.0709999999999"/>
    <n v="0"/>
    <x v="1"/>
    <n v="0"/>
    <n v="10"/>
    <n v="13"/>
    <n v="71"/>
    <n v="13.73"/>
    <n v="78.44"/>
    <n v="103.1"/>
    <n v="15.507414158737259"/>
    <n v="133.65211299011142"/>
    <n v="215.6942886760464"/>
    <n v="151084.92000000001"/>
    <n v="479901.48923999997"/>
    <n v="630773.12009999994"/>
    <n v="170643.58540274479"/>
    <n v="817693.11657352396"/>
    <n v="1319632.9724145478"/>
  </r>
  <r>
    <s v="Regular"/>
    <x v="1"/>
    <x v="1"/>
    <x v="1"/>
    <x v="0"/>
    <x v="0"/>
    <x v="1"/>
    <x v="1"/>
    <x v="7"/>
    <n v="10640"/>
    <n v="10640"/>
    <n v="5872.4219999999996"/>
    <n v="5872.4219999999996"/>
    <n v="5872.4219999999996"/>
    <n v="5872.4219999999996"/>
    <n v="0"/>
    <x v="1"/>
    <n v="0"/>
    <n v="10"/>
    <n v="13"/>
    <n v="71"/>
    <n v="13.73"/>
    <n v="78.44"/>
    <n v="103.1"/>
    <n v="15.507414158737259"/>
    <n v="133.65211299011142"/>
    <n v="215.6942886760464"/>
    <n v="146087.20000000001"/>
    <n v="460632.78167999996"/>
    <n v="605446.70819999988"/>
    <n v="164998.88664896443"/>
    <n v="784861.60866961605"/>
    <n v="1266647.8860955657"/>
  </r>
  <r>
    <s v="Regular"/>
    <x v="1"/>
    <x v="1"/>
    <x v="1"/>
    <x v="0"/>
    <x v="0"/>
    <x v="1"/>
    <x v="1"/>
    <x v="8"/>
    <n v="10500"/>
    <n v="10500"/>
    <n v="5692.1369999999997"/>
    <n v="5692.1369999999997"/>
    <n v="5692.1369999999997"/>
    <n v="5692.1369999999997"/>
    <n v="0"/>
    <x v="1"/>
    <n v="0"/>
    <n v="10"/>
    <n v="13"/>
    <n v="71"/>
    <n v="13.73"/>
    <n v="78.44"/>
    <n v="103.1"/>
    <n v="15.507414158737259"/>
    <n v="133.65211299011142"/>
    <n v="215.6942886760464"/>
    <n v="144165"/>
    <n v="446491.22627999994"/>
    <n v="586859.32469999988"/>
    <n v="162827.84866674122"/>
    <n v="760766.13747919386"/>
    <n v="1227761.4412616047"/>
  </r>
  <r>
    <s v="Regular"/>
    <x v="1"/>
    <x v="1"/>
    <x v="1"/>
    <x v="0"/>
    <x v="0"/>
    <x v="1"/>
    <x v="1"/>
    <x v="9"/>
    <n v="10500"/>
    <n v="10500"/>
    <n v="2291.52"/>
    <n v="2291.52"/>
    <n v="2291.52"/>
    <n v="2291.52"/>
    <n v="0"/>
    <x v="1"/>
    <n v="0"/>
    <n v="10"/>
    <n v="13"/>
    <n v="71"/>
    <n v="13.73"/>
    <n v="78.44"/>
    <n v="103.1"/>
    <n v="15.507414158737259"/>
    <n v="133.65211299011142"/>
    <n v="215.6942886760464"/>
    <n v="144165"/>
    <n v="179746.82879999999"/>
    <n v="236255.712"/>
    <n v="162827.84866674122"/>
    <n v="306266.48995910014"/>
    <n v="494267.77638693381"/>
  </r>
  <r>
    <s v="Regular"/>
    <x v="1"/>
    <x v="1"/>
    <x v="1"/>
    <x v="0"/>
    <x v="0"/>
    <x v="1"/>
    <x v="1"/>
    <x v="10"/>
    <n v="10570"/>
    <n v="10570"/>
    <n v="5468.7669999999998"/>
    <n v="5468.7669999999998"/>
    <n v="5468.7669999999998"/>
    <n v="5468.7669999999998"/>
    <n v="0"/>
    <x v="1"/>
    <n v="0"/>
    <n v="10"/>
    <n v="13"/>
    <n v="71"/>
    <n v="13.73"/>
    <n v="78.44"/>
    <n v="103.1"/>
    <n v="15.507414158737259"/>
    <n v="133.65211299011142"/>
    <n v="215.6942886760464"/>
    <n v="145126.1"/>
    <n v="428970.08347999997"/>
    <n v="563829.87769999995"/>
    <n v="163913.36765785282"/>
    <n v="730912.26500059268"/>
    <n v="1179581.8080000363"/>
  </r>
  <r>
    <s v="PROJETADO"/>
    <x v="1"/>
    <x v="1"/>
    <x v="1"/>
    <x v="0"/>
    <x v="0"/>
    <x v="1"/>
    <x v="1"/>
    <x v="11"/>
    <n v="10570"/>
    <n v="10570"/>
    <n v="5468.7669999999998"/>
    <n v="5468.7669999999998"/>
    <n v="5468.7669999999998"/>
    <n v="5468.7669999999998"/>
    <n v="0"/>
    <x v="1"/>
    <n v="0"/>
    <n v="10"/>
    <n v="13"/>
    <n v="71"/>
    <n v="13.73"/>
    <n v="78.44"/>
    <n v="103.1"/>
    <n v="15.507414158737259"/>
    <n v="133.65211299011142"/>
    <n v="215.6942886760464"/>
    <n v="145126.1"/>
    <n v="428970.08347999997"/>
    <n v="563829.87769999995"/>
    <n v="163913.36765785282"/>
    <n v="730912.26500059268"/>
    <n v="1179581.8080000363"/>
  </r>
  <r>
    <s v="Regular"/>
    <x v="1"/>
    <x v="1"/>
    <x v="1"/>
    <x v="0"/>
    <x v="0"/>
    <x v="1"/>
    <x v="2"/>
    <x v="0"/>
    <n v="10500"/>
    <n v="10500"/>
    <n v="560"/>
    <n v="560"/>
    <n v="560"/>
    <n v="560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3926.400000000001"/>
    <n v="89280.8"/>
    <n v="487178.24864333106"/>
    <n v="74845.183274462397"/>
    <n v="180476.1742023807"/>
  </r>
  <r>
    <s v="Regular"/>
    <x v="1"/>
    <x v="1"/>
    <x v="1"/>
    <x v="0"/>
    <x v="0"/>
    <x v="1"/>
    <x v="2"/>
    <x v="1"/>
    <n v="10500"/>
    <n v="10500"/>
    <n v="593.94100000000003"/>
    <n v="593.94100000000003"/>
    <n v="593.94100000000003"/>
    <n v="593.94100000000003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6588.732040000003"/>
    <n v="94692.013630000016"/>
    <n v="487178.24864333106"/>
    <n v="79381.469641459771"/>
    <n v="191414.64175345752"/>
  </r>
  <r>
    <s v="Regular"/>
    <x v="1"/>
    <x v="1"/>
    <x v="1"/>
    <x v="0"/>
    <x v="0"/>
    <x v="1"/>
    <x v="2"/>
    <x v="2"/>
    <n v="10773"/>
    <n v="10773"/>
    <n v="564.43799999999999"/>
    <n v="564.43799999999999"/>
    <n v="564.43799999999999"/>
    <n v="564.43799999999999"/>
    <n v="0"/>
    <x v="1"/>
    <n v="0"/>
    <n v="9"/>
    <n v="13"/>
    <n v="70"/>
    <n v="47.32"/>
    <n v="78.44"/>
    <n v="159.43"/>
    <n v="46.397928442222003"/>
    <n v="133.65211299011142"/>
    <n v="322.27888250425127"/>
    <n v="509778.36"/>
    <n v="44274.51672"/>
    <n v="89988.350340000005"/>
    <n v="499844.88310805766"/>
    <n v="75438.331351912508"/>
    <n v="181906.44788293456"/>
  </r>
  <r>
    <s v="Regular"/>
    <x v="1"/>
    <x v="1"/>
    <x v="1"/>
    <x v="0"/>
    <x v="0"/>
    <x v="1"/>
    <x v="2"/>
    <x v="3"/>
    <n v="10500"/>
    <n v="10500"/>
    <n v="319.24200000000002"/>
    <n v="319.24200000000002"/>
    <n v="319.24200000000002"/>
    <n v="319.24200000000002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25041.342479999999"/>
    <n v="50896.752060000006"/>
    <n v="487178.24864333106"/>
    <n v="42667.36785518915"/>
    <n v="102884.95500842218"/>
  </r>
  <r>
    <s v="Regular"/>
    <x v="1"/>
    <x v="1"/>
    <x v="1"/>
    <x v="0"/>
    <x v="0"/>
    <x v="1"/>
    <x v="2"/>
    <x v="4"/>
    <n v="10500"/>
    <n v="10500"/>
    <n v="463.32799999999997"/>
    <n v="463.32799999999997"/>
    <n v="463.32799999999997"/>
    <n v="463.32799999999997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36343.448319999996"/>
    <n v="73868.383040000001"/>
    <n v="487178.24864333106"/>
    <n v="61924.766207482338"/>
    <n v="149320.83007292973"/>
  </r>
  <r>
    <s v="Refaturamento - Regular"/>
    <x v="1"/>
    <x v="1"/>
    <x v="1"/>
    <x v="0"/>
    <x v="0"/>
    <x v="1"/>
    <x v="2"/>
    <x v="4"/>
    <n v="0"/>
    <n v="0"/>
    <n v="300.89299999999997"/>
    <n v="300.89299999999997"/>
    <n v="300.89299999999997"/>
    <n v="300.89299999999997"/>
    <n v="0"/>
    <x v="1"/>
    <n v="0"/>
    <n v="0"/>
    <n v="13"/>
    <n v="70"/>
    <n v="0"/>
    <n v="78.44"/>
    <n v="159.43"/>
    <n v="46.397928442222003"/>
    <n v="133.65211299011142"/>
    <n v="322.27888250425127"/>
    <n v="0"/>
    <n v="23602.046919999997"/>
    <n v="47971.370989999996"/>
    <n v="0"/>
    <n v="40214.985233933592"/>
    <n v="96971.459793351663"/>
  </r>
  <r>
    <s v="Regular"/>
    <x v="1"/>
    <x v="1"/>
    <x v="1"/>
    <x v="0"/>
    <x v="0"/>
    <x v="1"/>
    <x v="2"/>
    <x v="5"/>
    <n v="10605"/>
    <n v="10605"/>
    <n v="615.19500000000005"/>
    <n v="615.19500000000005"/>
    <n v="615.19500000000005"/>
    <n v="615.19500000000005"/>
    <n v="0"/>
    <x v="1"/>
    <n v="0"/>
    <n v="9"/>
    <n v="13"/>
    <n v="70"/>
    <n v="47.32"/>
    <n v="78.44"/>
    <n v="159.43"/>
    <n v="46.397928442222003"/>
    <n v="133.65211299011142"/>
    <n v="322.27888250425127"/>
    <n v="501828.6"/>
    <n v="48255.895800000006"/>
    <n v="98080.538850000012"/>
    <n v="492050.03112976433"/>
    <n v="82222.1116509516"/>
    <n v="198264.35712220287"/>
  </r>
  <r>
    <s v="Regular"/>
    <x v="1"/>
    <x v="1"/>
    <x v="1"/>
    <x v="0"/>
    <x v="0"/>
    <x v="1"/>
    <x v="2"/>
    <x v="6"/>
    <n v="10500"/>
    <n v="10500"/>
    <n v="582.03"/>
    <n v="582.03"/>
    <n v="582.03"/>
    <n v="582.03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5654.433199999999"/>
    <n v="92793.0429"/>
    <n v="487178.24864333106"/>
    <n v="77789.539323634541"/>
    <n v="187575.97798394936"/>
  </r>
  <r>
    <s v="Regular"/>
    <x v="1"/>
    <x v="1"/>
    <x v="1"/>
    <x v="0"/>
    <x v="0"/>
    <x v="1"/>
    <x v="2"/>
    <x v="7"/>
    <n v="10500"/>
    <n v="10500"/>
    <n v="517.55899999999997"/>
    <n v="517.55899999999997"/>
    <n v="517.55899999999997"/>
    <n v="517.55899999999997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0597.327959999995"/>
    <n v="82514.431370000006"/>
    <n v="487178.24864333106"/>
    <n v="69172.853947049065"/>
    <n v="166798.33615001777"/>
  </r>
  <r>
    <s v="Regular"/>
    <x v="1"/>
    <x v="1"/>
    <x v="1"/>
    <x v="0"/>
    <x v="0"/>
    <x v="1"/>
    <x v="2"/>
    <x v="8"/>
    <n v="10500"/>
    <n v="10500"/>
    <n v="603.452"/>
    <n v="603.452"/>
    <n v="603.452"/>
    <n v="603.452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7334.774879999997"/>
    <n v="96208.352360000004"/>
    <n v="487178.24864333106"/>
    <n v="80652.634888108718"/>
    <n v="194479.83620495544"/>
  </r>
  <r>
    <s v="Regular"/>
    <x v="1"/>
    <x v="1"/>
    <x v="1"/>
    <x v="0"/>
    <x v="0"/>
    <x v="1"/>
    <x v="2"/>
    <x v="9"/>
    <n v="10500"/>
    <n v="10500"/>
    <n v="201.11"/>
    <n v="201.11"/>
    <n v="201.11"/>
    <n v="201.11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15775.0684"/>
    <n v="32062.967300000004"/>
    <n v="487178.24864333106"/>
    <n v="26878.776443441311"/>
    <n v="64813.50606042998"/>
  </r>
  <r>
    <s v="Regular"/>
    <x v="1"/>
    <x v="1"/>
    <x v="1"/>
    <x v="0"/>
    <x v="0"/>
    <x v="1"/>
    <x v="2"/>
    <x v="10"/>
    <n v="10500"/>
    <n v="10500"/>
    <n v="547.71500000000003"/>
    <n v="547.71500000000003"/>
    <n v="547.71500000000003"/>
    <n v="547.71500000000003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2962.764600000002"/>
    <n v="87322.202450000012"/>
    <n v="487178.24864333106"/>
    <n v="73203.267066378874"/>
    <n v="176516.97813081599"/>
  </r>
  <r>
    <s v="PROJETADO"/>
    <x v="1"/>
    <x v="1"/>
    <x v="1"/>
    <x v="0"/>
    <x v="0"/>
    <x v="1"/>
    <x v="2"/>
    <x v="11"/>
    <n v="10500"/>
    <n v="10500"/>
    <n v="547.71500000000003"/>
    <n v="547.71500000000003"/>
    <n v="547.71500000000003"/>
    <n v="547.71500000000003"/>
    <n v="0"/>
    <x v="1"/>
    <n v="0"/>
    <n v="9"/>
    <n v="13"/>
    <n v="70"/>
    <n v="47.32"/>
    <n v="78.44"/>
    <n v="159.43"/>
    <n v="46.397928442222003"/>
    <n v="133.65211299011142"/>
    <n v="322.27888250425127"/>
    <n v="496860"/>
    <n v="42962.764600000002"/>
    <n v="87322.202450000012"/>
    <n v="487178.24864333106"/>
    <n v="73203.267066378874"/>
    <n v="176516.97813081599"/>
  </r>
  <r>
    <s v="Regular"/>
    <x v="2"/>
    <x v="2"/>
    <x v="1"/>
    <x v="0"/>
    <x v="0"/>
    <x v="1"/>
    <x v="1"/>
    <x v="0"/>
    <n v="0"/>
    <n v="0"/>
    <n v="23.1"/>
    <n v="23.1"/>
    <n v="23.1"/>
    <n v="23.1"/>
    <n v="0"/>
    <x v="1"/>
    <n v="0"/>
    <n v="0"/>
    <n v="31"/>
    <n v="73"/>
    <n v="0"/>
    <n v="102.62"/>
    <n v="103.1"/>
    <m/>
    <n v="181.53179145831209"/>
    <n v="215.6942886760464"/>
    <n v="0"/>
    <n v="2370.5220000000004"/>
    <n v="2381.61"/>
    <n v="0"/>
    <n v="4193.3843826870097"/>
    <n v="4982.5380684166721"/>
  </r>
  <r>
    <s v="Regular"/>
    <x v="2"/>
    <x v="2"/>
    <x v="1"/>
    <x v="0"/>
    <x v="0"/>
    <x v="1"/>
    <x v="1"/>
    <x v="1"/>
    <n v="0"/>
    <n v="0"/>
    <n v="15.75"/>
    <n v="15.75"/>
    <n v="15.75"/>
    <n v="15.75"/>
    <n v="0"/>
    <x v="1"/>
    <n v="0"/>
    <n v="0"/>
    <n v="31"/>
    <n v="73"/>
    <n v="0"/>
    <n v="102.62"/>
    <n v="103.1"/>
    <m/>
    <n v="181.53179145831209"/>
    <n v="215.6942886760464"/>
    <n v="0"/>
    <n v="1616.2650000000001"/>
    <n v="1623.8249999999998"/>
    <n v="0"/>
    <n v="2859.1257154684154"/>
    <n v="3397.1850466477308"/>
  </r>
  <r>
    <s v="Regular"/>
    <x v="2"/>
    <x v="2"/>
    <x v="1"/>
    <x v="0"/>
    <x v="0"/>
    <x v="1"/>
    <x v="1"/>
    <x v="2"/>
    <n v="0"/>
    <n v="0"/>
    <n v="13.124000000000001"/>
    <n v="13.124000000000001"/>
    <n v="13.124000000000001"/>
    <n v="13.124000000000001"/>
    <n v="0"/>
    <x v="1"/>
    <n v="0"/>
    <n v="0"/>
    <n v="31"/>
    <n v="73"/>
    <n v="0"/>
    <n v="102.62"/>
    <n v="103.1"/>
    <m/>
    <n v="181.53179145831209"/>
    <n v="215.6942886760464"/>
    <n v="0"/>
    <n v="1346.7848800000002"/>
    <n v="1353.0844"/>
    <n v="0"/>
    <n v="2382.4232310988878"/>
    <n v="2830.771844584433"/>
  </r>
  <r>
    <s v="Regular"/>
    <x v="2"/>
    <x v="2"/>
    <x v="1"/>
    <x v="0"/>
    <x v="0"/>
    <x v="1"/>
    <x v="1"/>
    <x v="3"/>
    <n v="0"/>
    <n v="0"/>
    <n v="15.225"/>
    <n v="15.225"/>
    <n v="15.225"/>
    <n v="15.225"/>
    <n v="0"/>
    <x v="1"/>
    <n v="0"/>
    <n v="0"/>
    <n v="31"/>
    <n v="73"/>
    <n v="0"/>
    <n v="102.62"/>
    <n v="103.1"/>
    <m/>
    <n v="181.53179145831209"/>
    <n v="215.6942886760464"/>
    <n v="0"/>
    <n v="1562.3895"/>
    <n v="1569.6974999999998"/>
    <n v="0"/>
    <n v="2763.8215249528016"/>
    <n v="3283.9455450928062"/>
  </r>
  <r>
    <s v="Regular"/>
    <x v="2"/>
    <x v="2"/>
    <x v="1"/>
    <x v="0"/>
    <x v="0"/>
    <x v="1"/>
    <x v="1"/>
    <x v="4"/>
    <n v="0"/>
    <n v="0"/>
    <n v="12.074"/>
    <n v="12.074"/>
    <n v="12.074"/>
    <n v="12.074"/>
    <n v="0"/>
    <x v="1"/>
    <n v="0"/>
    <n v="0"/>
    <n v="31"/>
    <n v="73"/>
    <n v="0"/>
    <n v="102.62"/>
    <n v="103.1"/>
    <m/>
    <n v="181.53179145831209"/>
    <n v="215.6942886760464"/>
    <n v="0"/>
    <n v="1239.03388"/>
    <n v="1244.8293999999999"/>
    <n v="0"/>
    <n v="2191.8148500676602"/>
    <n v="2604.2928414745843"/>
  </r>
  <r>
    <s v="Regular"/>
    <x v="2"/>
    <x v="2"/>
    <x v="1"/>
    <x v="0"/>
    <x v="0"/>
    <x v="1"/>
    <x v="1"/>
    <x v="5"/>
    <n v="0"/>
    <n v="0"/>
    <n v="18.375"/>
    <n v="18.375"/>
    <n v="18.375"/>
    <n v="18.375"/>
    <n v="0"/>
    <x v="1"/>
    <n v="0"/>
    <n v="0"/>
    <n v="31"/>
    <n v="73"/>
    <n v="0"/>
    <n v="102.62"/>
    <n v="103.1"/>
    <m/>
    <n v="181.53179145831209"/>
    <n v="215.6942886760464"/>
    <n v="0"/>
    <n v="1885.6425000000002"/>
    <n v="1894.4624999999999"/>
    <n v="0"/>
    <n v="3335.6466680464846"/>
    <n v="3963.3825544223528"/>
  </r>
  <r>
    <s v="Regular"/>
    <x v="2"/>
    <x v="2"/>
    <x v="1"/>
    <x v="0"/>
    <x v="0"/>
    <x v="1"/>
    <x v="1"/>
    <x v="6"/>
    <n v="0"/>
    <n v="0"/>
    <n v="15.797000000000001"/>
    <n v="15.797000000000001"/>
    <n v="15.797000000000001"/>
    <n v="15.797000000000001"/>
    <n v="0"/>
    <x v="1"/>
    <n v="0"/>
    <n v="0"/>
    <n v="31"/>
    <n v="73"/>
    <n v="0"/>
    <n v="102.62"/>
    <n v="103.1"/>
    <m/>
    <n v="181.53179145831209"/>
    <n v="215.6942886760464"/>
    <n v="0"/>
    <n v="1621.0881400000001"/>
    <n v="1628.6706999999999"/>
    <n v="0"/>
    <n v="2867.6577096669562"/>
    <n v="3407.3226782155052"/>
  </r>
  <r>
    <s v="Regular"/>
    <x v="2"/>
    <x v="2"/>
    <x v="1"/>
    <x v="0"/>
    <x v="0"/>
    <x v="1"/>
    <x v="1"/>
    <x v="7"/>
    <n v="0"/>
    <n v="0"/>
    <n v="18.327000000000002"/>
    <n v="18.327000000000002"/>
    <n v="18.327000000000002"/>
    <n v="18.327000000000002"/>
    <n v="0"/>
    <x v="1"/>
    <n v="0"/>
    <n v="0"/>
    <n v="31"/>
    <n v="73"/>
    <n v="0"/>
    <n v="102.62"/>
    <n v="103.1"/>
    <m/>
    <n v="181.53179145831209"/>
    <n v="215.6942886760464"/>
    <n v="0"/>
    <n v="1880.7167400000003"/>
    <n v="1889.5137"/>
    <n v="0"/>
    <n v="3326.9331420564858"/>
    <n v="3953.0292285659025"/>
  </r>
  <r>
    <s v="Regular"/>
    <x v="2"/>
    <x v="2"/>
    <x v="1"/>
    <x v="0"/>
    <x v="0"/>
    <x v="1"/>
    <x v="1"/>
    <x v="8"/>
    <n v="0"/>
    <n v="0"/>
    <n v="17.324999999999999"/>
    <n v="17.324999999999999"/>
    <n v="17.324999999999999"/>
    <n v="17.324999999999999"/>
    <n v="0"/>
    <x v="1"/>
    <n v="0"/>
    <n v="0"/>
    <n v="31"/>
    <n v="73"/>
    <n v="0"/>
    <n v="102.62"/>
    <n v="103.1"/>
    <m/>
    <n v="181.53179145831209"/>
    <n v="215.6942886760464"/>
    <n v="0"/>
    <n v="1777.8915"/>
    <n v="1786.2074999999998"/>
    <n v="0"/>
    <n v="3145.0382870152566"/>
    <n v="3736.9035513125036"/>
  </r>
  <r>
    <s v="Regular"/>
    <x v="2"/>
    <x v="2"/>
    <x v="1"/>
    <x v="0"/>
    <x v="0"/>
    <x v="1"/>
    <x v="1"/>
    <x v="9"/>
    <n v="0"/>
    <n v="0"/>
    <n v="14.699"/>
    <n v="14.699"/>
    <n v="14.699"/>
    <n v="14.699"/>
    <n v="0"/>
    <x v="1"/>
    <n v="0"/>
    <n v="0"/>
    <n v="31"/>
    <n v="73"/>
    <n v="0"/>
    <n v="102.62"/>
    <n v="103.1"/>
    <m/>
    <n v="181.53179145831209"/>
    <n v="215.6942886760464"/>
    <n v="0"/>
    <n v="1508.41138"/>
    <n v="1515.4668999999999"/>
    <n v="0"/>
    <n v="2668.3358026457295"/>
    <n v="3170.4903492492058"/>
  </r>
  <r>
    <s v="Regular"/>
    <x v="2"/>
    <x v="2"/>
    <x v="1"/>
    <x v="0"/>
    <x v="0"/>
    <x v="1"/>
    <x v="1"/>
    <x v="10"/>
    <n v="0"/>
    <n v="0"/>
    <n v="13.042"/>
    <n v="13.042"/>
    <n v="13.042"/>
    <n v="13.042"/>
    <n v="0"/>
    <x v="1"/>
    <n v="0"/>
    <n v="0"/>
    <n v="31"/>
    <n v="73"/>
    <n v="0"/>
    <n v="102.62"/>
    <n v="103.1"/>
    <m/>
    <n v="181.53179145831209"/>
    <n v="215.6942886760464"/>
    <n v="0"/>
    <n v="1338.37004"/>
    <n v="1344.6301999999998"/>
    <n v="0"/>
    <n v="2367.5376241993063"/>
    <n v="2813.084912912997"/>
  </r>
  <r>
    <s v="PROJETADO"/>
    <x v="2"/>
    <x v="2"/>
    <x v="1"/>
    <x v="0"/>
    <x v="0"/>
    <x v="1"/>
    <x v="1"/>
    <x v="11"/>
    <n v="0"/>
    <n v="0"/>
    <n v="13.042"/>
    <n v="13.042"/>
    <n v="13.042"/>
    <n v="13.042"/>
    <n v="0"/>
    <x v="1"/>
    <n v="0"/>
    <n v="0"/>
    <n v="31"/>
    <n v="73"/>
    <n v="0"/>
    <n v="102.62"/>
    <n v="103.1"/>
    <m/>
    <n v="181.53179145831209"/>
    <n v="215.6942886760464"/>
    <n v="0"/>
    <n v="1338.37004"/>
    <n v="1344.6301999999998"/>
    <n v="0"/>
    <n v="2367.5376241993063"/>
    <n v="2813.084912912997"/>
  </r>
  <r>
    <s v="Regular"/>
    <x v="2"/>
    <x v="2"/>
    <x v="1"/>
    <x v="0"/>
    <x v="0"/>
    <x v="1"/>
    <x v="0"/>
    <x v="0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1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2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3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4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5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6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7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8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9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0"/>
    <x v="10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PROJETADO"/>
    <x v="2"/>
    <x v="2"/>
    <x v="1"/>
    <x v="0"/>
    <x v="0"/>
    <x v="1"/>
    <x v="0"/>
    <x v="11"/>
    <n v="155"/>
    <n v="155"/>
    <n v="0"/>
    <n v="0"/>
    <n v="0"/>
    <n v="0"/>
    <n v="1"/>
    <x v="1"/>
    <n v="0"/>
    <n v="27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2"/>
    <x v="2"/>
    <x v="1"/>
    <x v="0"/>
    <x v="0"/>
    <x v="1"/>
    <x v="2"/>
    <x v="0"/>
    <n v="0"/>
    <n v="0"/>
    <n v="3.15"/>
    <n v="3.15"/>
    <n v="3.15"/>
    <n v="3.15"/>
    <n v="0"/>
    <x v="1"/>
    <n v="0"/>
    <n v="0"/>
    <n v="30"/>
    <n v="72"/>
    <n v="0"/>
    <n v="1454.96"/>
    <n v="159.43"/>
    <m/>
    <n v="1498.9908599166342"/>
    <n v="322.27888250425127"/>
    <n v="0"/>
    <n v="4583.1239999999998"/>
    <n v="502.2045"/>
    <n v="0"/>
    <n v="4721.8212087373977"/>
    <n v="1015.1784798883915"/>
  </r>
  <r>
    <s v="Regular"/>
    <x v="2"/>
    <x v="2"/>
    <x v="1"/>
    <x v="0"/>
    <x v="0"/>
    <x v="1"/>
    <x v="2"/>
    <x v="1"/>
    <n v="0"/>
    <n v="0"/>
    <n v="2.625"/>
    <n v="2.625"/>
    <n v="2.625"/>
    <n v="2.625"/>
    <n v="0"/>
    <x v="1"/>
    <n v="0"/>
    <n v="0"/>
    <n v="30"/>
    <n v="72"/>
    <n v="0"/>
    <n v="1454.96"/>
    <n v="159.43"/>
    <m/>
    <n v="1498.9908599166342"/>
    <n v="322.27888250425127"/>
    <n v="0"/>
    <n v="3819.27"/>
    <n v="418.50375000000003"/>
    <n v="0"/>
    <n v="3934.851007281165"/>
    <n v="845.98206657365961"/>
  </r>
  <r>
    <s v="Regular"/>
    <x v="2"/>
    <x v="2"/>
    <x v="1"/>
    <x v="0"/>
    <x v="0"/>
    <x v="1"/>
    <x v="2"/>
    <x v="2"/>
    <n v="0"/>
    <n v="0"/>
    <n v="2.6240000000000001"/>
    <n v="2.6240000000000001"/>
    <n v="2.6240000000000001"/>
    <n v="2.6240000000000001"/>
    <n v="0"/>
    <x v="1"/>
    <n v="0"/>
    <n v="0"/>
    <n v="30"/>
    <n v="72"/>
    <n v="0"/>
    <n v="1454.96"/>
    <n v="159.43"/>
    <m/>
    <n v="1498.9908599166342"/>
    <n v="322.27888250425127"/>
    <n v="0"/>
    <n v="3817.8150400000004"/>
    <n v="418.34432000000004"/>
    <n v="0"/>
    <n v="3933.3520164212482"/>
    <n v="845.65978769115532"/>
  </r>
  <r>
    <s v="Regular"/>
    <x v="2"/>
    <x v="2"/>
    <x v="1"/>
    <x v="0"/>
    <x v="0"/>
    <x v="1"/>
    <x v="2"/>
    <x v="3"/>
    <n v="0"/>
    <n v="0"/>
    <n v="2.625"/>
    <n v="2.625"/>
    <n v="2.625"/>
    <n v="2.625"/>
    <n v="0"/>
    <x v="1"/>
    <n v="0"/>
    <n v="0"/>
    <n v="30"/>
    <n v="72"/>
    <n v="0"/>
    <n v="1454.96"/>
    <n v="159.43"/>
    <m/>
    <n v="1498.9908599166342"/>
    <n v="322.27888250425127"/>
    <n v="0"/>
    <n v="3819.27"/>
    <n v="418.50375000000003"/>
    <n v="0"/>
    <n v="3934.851007281165"/>
    <n v="845.98206657365961"/>
  </r>
  <r>
    <s v="Regular"/>
    <x v="2"/>
    <x v="2"/>
    <x v="1"/>
    <x v="0"/>
    <x v="0"/>
    <x v="1"/>
    <x v="2"/>
    <x v="4"/>
    <n v="0"/>
    <n v="0"/>
    <n v="2.0990000000000002"/>
    <n v="2.0990000000000002"/>
    <n v="2.0990000000000002"/>
    <n v="2.0990000000000002"/>
    <n v="0"/>
    <x v="1"/>
    <n v="0"/>
    <n v="0"/>
    <n v="30"/>
    <n v="72"/>
    <n v="0"/>
    <n v="1454.96"/>
    <n v="159.43"/>
    <m/>
    <n v="1498.9908599166342"/>
    <n v="322.27888250425127"/>
    <n v="0"/>
    <n v="3053.9610400000001"/>
    <n v="334.64357000000007"/>
    <n v="0"/>
    <n v="3146.3818149650156"/>
    <n v="676.46337437642353"/>
  </r>
  <r>
    <s v="Regular"/>
    <x v="2"/>
    <x v="2"/>
    <x v="1"/>
    <x v="0"/>
    <x v="0"/>
    <x v="1"/>
    <x v="2"/>
    <x v="5"/>
    <n v="0"/>
    <n v="0"/>
    <n v="2.625"/>
    <n v="2.625"/>
    <n v="2.625"/>
    <n v="2.625"/>
    <n v="0"/>
    <x v="1"/>
    <n v="0"/>
    <n v="0"/>
    <n v="30"/>
    <n v="72"/>
    <n v="0"/>
    <n v="1454.96"/>
    <n v="159.43"/>
    <m/>
    <n v="1498.9908599166342"/>
    <n v="322.27888250425127"/>
    <n v="0"/>
    <n v="3819.27"/>
    <n v="418.50375000000003"/>
    <n v="0"/>
    <n v="3934.851007281165"/>
    <n v="845.98206657365961"/>
  </r>
  <r>
    <s v="Regular"/>
    <x v="2"/>
    <x v="2"/>
    <x v="1"/>
    <x v="0"/>
    <x v="0"/>
    <x v="1"/>
    <x v="2"/>
    <x v="6"/>
    <n v="0"/>
    <n v="0"/>
    <n v="3.15"/>
    <n v="3.15"/>
    <n v="3.15"/>
    <n v="3.15"/>
    <n v="0"/>
    <x v="1"/>
    <n v="0"/>
    <n v="0"/>
    <n v="30"/>
    <n v="72"/>
    <n v="0"/>
    <n v="1454.96"/>
    <n v="159.43"/>
    <m/>
    <n v="1498.9908599166342"/>
    <n v="322.27888250425127"/>
    <n v="0"/>
    <n v="4583.1239999999998"/>
    <n v="502.2045"/>
    <n v="0"/>
    <n v="4721.8212087373977"/>
    <n v="1015.1784798883915"/>
  </r>
  <r>
    <s v="Regular"/>
    <x v="2"/>
    <x v="2"/>
    <x v="1"/>
    <x v="0"/>
    <x v="0"/>
    <x v="1"/>
    <x v="2"/>
    <x v="7"/>
    <n v="0"/>
    <n v="0"/>
    <n v="2.625"/>
    <n v="2.625"/>
    <n v="2.625"/>
    <n v="2.625"/>
    <n v="0"/>
    <x v="1"/>
    <n v="0"/>
    <n v="0"/>
    <n v="30"/>
    <n v="72"/>
    <n v="0"/>
    <n v="1454.96"/>
    <n v="159.43"/>
    <m/>
    <n v="1498.9908599166342"/>
    <n v="322.27888250425127"/>
    <n v="0"/>
    <n v="3819.27"/>
    <n v="418.50375000000003"/>
    <n v="0"/>
    <n v="3934.851007281165"/>
    <n v="845.98206657365961"/>
  </r>
  <r>
    <s v="Regular"/>
    <x v="2"/>
    <x v="2"/>
    <x v="1"/>
    <x v="0"/>
    <x v="0"/>
    <x v="1"/>
    <x v="2"/>
    <x v="8"/>
    <n v="0"/>
    <n v="0"/>
    <n v="2.625"/>
    <n v="2.625"/>
    <n v="2.625"/>
    <n v="2.625"/>
    <n v="0"/>
    <x v="1"/>
    <n v="0"/>
    <n v="0"/>
    <n v="30"/>
    <n v="72"/>
    <n v="0"/>
    <n v="1454.96"/>
    <n v="159.43"/>
    <m/>
    <n v="1498.9908599166342"/>
    <n v="322.27888250425127"/>
    <n v="0"/>
    <n v="3819.27"/>
    <n v="418.50375000000003"/>
    <n v="0"/>
    <n v="3934.851007281165"/>
    <n v="845.98206657365961"/>
  </r>
  <r>
    <s v="Regular"/>
    <x v="2"/>
    <x v="2"/>
    <x v="1"/>
    <x v="0"/>
    <x v="0"/>
    <x v="1"/>
    <x v="2"/>
    <x v="9"/>
    <n v="0"/>
    <n v="0"/>
    <n v="2.0990000000000002"/>
    <n v="2.0990000000000002"/>
    <n v="2.0990000000000002"/>
    <n v="2.0990000000000002"/>
    <n v="0"/>
    <x v="1"/>
    <n v="0"/>
    <n v="0"/>
    <n v="30"/>
    <n v="72"/>
    <n v="0"/>
    <n v="1454.96"/>
    <n v="159.43"/>
    <m/>
    <n v="1498.9908599166342"/>
    <n v="322.27888250425127"/>
    <n v="0"/>
    <n v="3053.9610400000001"/>
    <n v="334.64357000000007"/>
    <n v="0"/>
    <n v="3146.3818149650156"/>
    <n v="676.46337437642353"/>
  </r>
  <r>
    <s v="Regular"/>
    <x v="2"/>
    <x v="2"/>
    <x v="1"/>
    <x v="0"/>
    <x v="0"/>
    <x v="1"/>
    <x v="2"/>
    <x v="10"/>
    <n v="0"/>
    <n v="0"/>
    <n v="2.3090000000000002"/>
    <n v="2.3090000000000002"/>
    <n v="2.3090000000000002"/>
    <n v="2.3090000000000002"/>
    <n v="0"/>
    <x v="1"/>
    <n v="0"/>
    <n v="0"/>
    <n v="30"/>
    <n v="72"/>
    <n v="0"/>
    <n v="1454.96"/>
    <n v="159.43"/>
    <m/>
    <n v="1498.9908599166342"/>
    <n v="322.27888250425127"/>
    <n v="0"/>
    <n v="3359.5026400000002"/>
    <n v="368.12387000000007"/>
    <n v="0"/>
    <n v="3461.1698955475085"/>
    <n v="744.14193970231622"/>
  </r>
  <r>
    <s v="PROJETADO"/>
    <x v="2"/>
    <x v="2"/>
    <x v="1"/>
    <x v="0"/>
    <x v="0"/>
    <x v="1"/>
    <x v="2"/>
    <x v="11"/>
    <n v="0"/>
    <n v="0"/>
    <n v="2.3090000000000002"/>
    <n v="2.3090000000000002"/>
    <n v="2.3090000000000002"/>
    <n v="2.3090000000000002"/>
    <n v="0"/>
    <x v="1"/>
    <n v="0"/>
    <n v="0"/>
    <n v="30"/>
    <n v="72"/>
    <n v="0"/>
    <n v="1454.96"/>
    <n v="159.43"/>
    <m/>
    <n v="1498.9908599166342"/>
    <n v="322.27888250425127"/>
    <n v="0"/>
    <n v="3359.5026400000002"/>
    <n v="368.12387000000007"/>
    <n v="0"/>
    <n v="3461.1698955475085"/>
    <n v="744.14193970231622"/>
  </r>
  <r>
    <s v="Regular"/>
    <x v="3"/>
    <x v="1"/>
    <x v="2"/>
    <x v="0"/>
    <x v="0"/>
    <x v="1"/>
    <x v="1"/>
    <x v="0"/>
    <n v="6858"/>
    <n v="6858"/>
    <n v="1881.0440000000001"/>
    <n v="1881.0440000000001"/>
    <n v="1881.0440000000001"/>
    <n v="1881.0440000000001"/>
    <n v="0"/>
    <x v="1"/>
    <n v="0"/>
    <n v="43"/>
    <n v="46"/>
    <n v="76"/>
    <n v="21.38"/>
    <n v="102.62"/>
    <n v="103.1"/>
    <n v="21.204888631609794"/>
    <n v="181.53179145831209"/>
    <n v="215.6942886760464"/>
    <n v="146624.03999999998"/>
    <n v="193032.73528000002"/>
    <n v="193935.63639999999"/>
    <n v="145423.12623557996"/>
    <n v="341469.28713190922"/>
    <n v="405730.44754834502"/>
  </r>
  <r>
    <s v="Regular"/>
    <x v="3"/>
    <x v="1"/>
    <x v="2"/>
    <x v="0"/>
    <x v="0"/>
    <x v="1"/>
    <x v="1"/>
    <x v="1"/>
    <n v="6832"/>
    <n v="6832"/>
    <n v="1716.9649999999999"/>
    <n v="1716.9649999999999"/>
    <n v="1716.9649999999999"/>
    <n v="1716.9649999999999"/>
    <n v="0"/>
    <x v="1"/>
    <n v="0"/>
    <n v="43"/>
    <n v="46"/>
    <n v="76"/>
    <n v="21.38"/>
    <n v="102.62"/>
    <n v="103.1"/>
    <n v="21.204888631609794"/>
    <n v="181.53179145831209"/>
    <n v="215.6942886760464"/>
    <n v="146068.16"/>
    <n v="176194.94829999999"/>
    <n v="177019.09149999998"/>
    <n v="144871.79913115813"/>
    <n v="311683.7323212208"/>
    <n v="370339.54435666796"/>
  </r>
  <r>
    <s v="Regular"/>
    <x v="3"/>
    <x v="1"/>
    <x v="2"/>
    <x v="0"/>
    <x v="0"/>
    <x v="1"/>
    <x v="1"/>
    <x v="2"/>
    <n v="6854"/>
    <n v="6854"/>
    <n v="1622.1579999999999"/>
    <n v="1622.1579999999999"/>
    <n v="1622.1579999999999"/>
    <n v="1622.1579999999999"/>
    <n v="0"/>
    <x v="1"/>
    <n v="0"/>
    <n v="43"/>
    <n v="46"/>
    <n v="76"/>
    <n v="21.38"/>
    <n v="102.62"/>
    <n v="103.1"/>
    <n v="21.204888631609794"/>
    <n v="181.53179145831209"/>
    <n v="215.6942886760464"/>
    <n v="146538.51999999999"/>
    <n v="166465.85396000001"/>
    <n v="167244.48979999998"/>
    <n v="145338.30668105354"/>
    <n v="294473.2477684326"/>
    <n v="349890.21593015804"/>
  </r>
  <r>
    <s v="Regular"/>
    <x v="3"/>
    <x v="1"/>
    <x v="2"/>
    <x v="0"/>
    <x v="0"/>
    <x v="1"/>
    <x v="1"/>
    <x v="3"/>
    <n v="6888"/>
    <n v="6888"/>
    <n v="1732.5830000000001"/>
    <n v="1732.5830000000001"/>
    <n v="1732.5830000000001"/>
    <n v="1732.5830000000001"/>
    <n v="0"/>
    <x v="1"/>
    <n v="0"/>
    <n v="43"/>
    <n v="46"/>
    <n v="76"/>
    <n v="21.38"/>
    <n v="102.62"/>
    <n v="103.1"/>
    <n v="21.204888631609794"/>
    <n v="181.53179145831209"/>
    <n v="215.6942886760464"/>
    <n v="147265.44"/>
    <n v="177797.66746000003"/>
    <n v="178629.30729999999"/>
    <n v="146059.27289452826"/>
    <n v="314518.89584021672"/>
    <n v="373708.25775721052"/>
  </r>
  <r>
    <s v="Regular"/>
    <x v="3"/>
    <x v="1"/>
    <x v="2"/>
    <x v="0"/>
    <x v="0"/>
    <x v="1"/>
    <x v="1"/>
    <x v="4"/>
    <n v="6877"/>
    <n v="6877"/>
    <n v="1705.7470000000001"/>
    <n v="1705.7470000000001"/>
    <n v="1705.7470000000001"/>
    <n v="1705.7470000000001"/>
    <n v="0"/>
    <x v="1"/>
    <n v="0"/>
    <n v="43"/>
    <n v="46"/>
    <n v="76"/>
    <n v="21.38"/>
    <n v="102.62"/>
    <n v="103.1"/>
    <n v="21.204888631609794"/>
    <n v="181.53179145831209"/>
    <n v="215.6942886760464"/>
    <n v="147030.25999999998"/>
    <n v="175043.75714"/>
    <n v="175862.51569999999"/>
    <n v="145826.01911958057"/>
    <n v="309647.3086846415"/>
    <n v="367919.88582630013"/>
  </r>
  <r>
    <s v="Regular"/>
    <x v="3"/>
    <x v="1"/>
    <x v="2"/>
    <x v="0"/>
    <x v="0"/>
    <x v="1"/>
    <x v="1"/>
    <x v="5"/>
    <n v="6905"/>
    <n v="6905"/>
    <n v="1773.489"/>
    <n v="1773.489"/>
    <n v="1773.489"/>
    <n v="1773.489"/>
    <n v="0"/>
    <x v="1"/>
    <n v="0"/>
    <n v="43"/>
    <n v="46"/>
    <n v="76"/>
    <n v="21.38"/>
    <n v="102.62"/>
    <n v="103.1"/>
    <n v="21.204888631609794"/>
    <n v="181.53179145831209"/>
    <n v="215.6942886760464"/>
    <n v="147628.9"/>
    <n v="181995.44118000002"/>
    <n v="182846.71589999998"/>
    <n v="146419.75600126563"/>
    <n v="321944.63530161045"/>
    <n v="382531.44832979288"/>
  </r>
  <r>
    <s v="Regular"/>
    <x v="3"/>
    <x v="1"/>
    <x v="2"/>
    <x v="0"/>
    <x v="0"/>
    <x v="1"/>
    <x v="1"/>
    <x v="6"/>
    <n v="6900"/>
    <n v="6900"/>
    <n v="1809.3530000000001"/>
    <n v="1809.3530000000001"/>
    <n v="1809.3530000000001"/>
    <n v="1809.3530000000001"/>
    <n v="0"/>
    <x v="1"/>
    <n v="0"/>
    <n v="43"/>
    <n v="46"/>
    <n v="76"/>
    <n v="21.38"/>
    <n v="102.62"/>
    <n v="103.1"/>
    <n v="21.204888631609794"/>
    <n v="181.53179145831209"/>
    <n v="215.6942886760464"/>
    <n v="147522"/>
    <n v="185675.80486"/>
    <n v="186544.29430000001"/>
    <n v="146313.73155810757"/>
    <n v="328455.09147047135"/>
    <n v="390267.10829887062"/>
  </r>
  <r>
    <s v="Refaturamento - Regular"/>
    <x v="3"/>
    <x v="1"/>
    <x v="2"/>
    <x v="0"/>
    <x v="0"/>
    <x v="1"/>
    <x v="1"/>
    <x v="6"/>
    <n v="0"/>
    <n v="0"/>
    <n v="-7.5549999999999997"/>
    <n v="-7.5549999999999997"/>
    <n v="-7.5549999999999997"/>
    <n v="-7.5549999999999997"/>
    <n v="0"/>
    <x v="1"/>
    <n v="0"/>
    <n v="0"/>
    <n v="46"/>
    <n v="76"/>
    <n v="0"/>
    <n v="102.62"/>
    <n v="103.1"/>
    <n v="21.204888631609794"/>
    <n v="181.53179145831209"/>
    <n v="215.6942886760464"/>
    <n v="0"/>
    <n v="-775.29409999999996"/>
    <n v="-778.92049999999995"/>
    <n v="0"/>
    <n v="-1371.4726844675477"/>
    <n v="-1629.5703509475304"/>
  </r>
  <r>
    <s v="Regular"/>
    <x v="3"/>
    <x v="1"/>
    <x v="2"/>
    <x v="0"/>
    <x v="0"/>
    <x v="1"/>
    <x v="1"/>
    <x v="7"/>
    <n v="7559"/>
    <n v="7559"/>
    <n v="1933.979"/>
    <n v="1933.979"/>
    <n v="1933.979"/>
    <n v="1933.979"/>
    <n v="0"/>
    <x v="1"/>
    <n v="0"/>
    <n v="43"/>
    <n v="46"/>
    <n v="76"/>
    <n v="21.38"/>
    <n v="102.62"/>
    <n v="103.1"/>
    <n v="21.204888631609794"/>
    <n v="181.53179145831209"/>
    <n v="215.6942886760464"/>
    <n v="161611.41999999998"/>
    <n v="198464.92498000001"/>
    <n v="199393.23489999998"/>
    <n v="160287.75316633843"/>
    <n v="351078.67251275497"/>
    <n v="417148.22471941152"/>
  </r>
  <r>
    <s v="Regular"/>
    <x v="3"/>
    <x v="1"/>
    <x v="2"/>
    <x v="0"/>
    <x v="0"/>
    <x v="1"/>
    <x v="1"/>
    <x v="8"/>
    <n v="7342"/>
    <n v="7342"/>
    <n v="2016.7239999999999"/>
    <n v="2016.7239999999999"/>
    <n v="2016.7239999999999"/>
    <n v="2016.7239999999999"/>
    <n v="0"/>
    <x v="1"/>
    <n v="0"/>
    <n v="43"/>
    <n v="46"/>
    <n v="76"/>
    <n v="21.38"/>
    <n v="102.62"/>
    <n v="103.1"/>
    <n v="21.204888631609794"/>
    <n v="181.53179145831209"/>
    <n v="215.6942886760464"/>
    <n v="156971.96"/>
    <n v="206956.21687999999"/>
    <n v="207924.2444"/>
    <n v="155686.2923332791"/>
    <n v="366099.52059697296"/>
    <n v="434995.84863591095"/>
  </r>
  <r>
    <s v="Refaturamento - Regular"/>
    <x v="3"/>
    <x v="1"/>
    <x v="2"/>
    <x v="0"/>
    <x v="0"/>
    <x v="1"/>
    <x v="1"/>
    <x v="8"/>
    <n v="-281"/>
    <n v="-281"/>
    <n v="-1E-3"/>
    <n v="-1E-3"/>
    <n v="-1E-3"/>
    <n v="-1E-3"/>
    <n v="0"/>
    <x v="1"/>
    <n v="0"/>
    <n v="43"/>
    <n v="46"/>
    <n v="76"/>
    <n v="21.38"/>
    <n v="102.62"/>
    <n v="103.1"/>
    <n v="21.204888631609794"/>
    <n v="181.53179145831209"/>
    <n v="215.6942886760464"/>
    <n v="-6007.78"/>
    <n v="-0.10262"/>
    <n v="-0.1031"/>
    <n v="-5958.5737054823521"/>
    <n v="-0.18153179145831208"/>
    <n v="-0.2156942886760464"/>
  </r>
  <r>
    <s v="Regular"/>
    <x v="3"/>
    <x v="1"/>
    <x v="2"/>
    <x v="0"/>
    <x v="0"/>
    <x v="1"/>
    <x v="1"/>
    <x v="9"/>
    <n v="7368"/>
    <n v="7368"/>
    <n v="2046.203"/>
    <n v="2046.203"/>
    <n v="2046.203"/>
    <n v="2046.203"/>
    <n v="0"/>
    <x v="1"/>
    <n v="0"/>
    <n v="43"/>
    <n v="46"/>
    <n v="76"/>
    <n v="21.38"/>
    <n v="102.62"/>
    <n v="103.1"/>
    <n v="21.204888631609794"/>
    <n v="181.53179145831209"/>
    <n v="215.6942886760464"/>
    <n v="157527.84"/>
    <n v="209981.35186"/>
    <n v="210963.52929999999"/>
    <n v="156237.61943770095"/>
    <n v="371450.89627737255"/>
    <n v="441354.30057179218"/>
  </r>
  <r>
    <s v="Refaturamento - Regular"/>
    <x v="3"/>
    <x v="1"/>
    <x v="2"/>
    <x v="0"/>
    <x v="0"/>
    <x v="1"/>
    <x v="1"/>
    <x v="9"/>
    <n v="-7"/>
    <n v="-7"/>
    <n v="-18.960999999999999"/>
    <n v="-18.960999999999999"/>
    <n v="-18.960999999999999"/>
    <n v="-18.960999999999999"/>
    <n v="0"/>
    <x v="1"/>
    <n v="0"/>
    <n v="43"/>
    <n v="46"/>
    <n v="76"/>
    <n v="21.38"/>
    <n v="102.62"/>
    <n v="103.1"/>
    <n v="21.204888631609794"/>
    <n v="181.53179145831209"/>
    <n v="215.6942886760464"/>
    <n v="-149.66"/>
    <n v="-1945.77782"/>
    <n v="-1954.8790999999997"/>
    <n v="-148.43422042126855"/>
    <n v="-3442.0242978410552"/>
    <n v="-4089.7794075865154"/>
  </r>
  <r>
    <s v="Regular"/>
    <x v="3"/>
    <x v="1"/>
    <x v="2"/>
    <x v="0"/>
    <x v="0"/>
    <x v="1"/>
    <x v="1"/>
    <x v="10"/>
    <n v="7289"/>
    <n v="7289"/>
    <n v="2137.2919999999999"/>
    <n v="2137.2919999999999"/>
    <n v="2137.2919999999999"/>
    <n v="2137.2919999999999"/>
    <n v="0"/>
    <x v="1"/>
    <n v="0"/>
    <n v="43"/>
    <n v="46"/>
    <n v="76"/>
    <n v="21.38"/>
    <n v="102.62"/>
    <n v="103.1"/>
    <n v="21.204888631609794"/>
    <n v="181.53179145831209"/>
    <n v="215.6942886760464"/>
    <n v="155838.82"/>
    <n v="219328.90504000001"/>
    <n v="220354.80519999997"/>
    <n v="154562.43323580379"/>
    <n v="387986.44562951871"/>
    <n v="461001.67763300455"/>
  </r>
  <r>
    <s v="PROJETADO"/>
    <x v="3"/>
    <x v="1"/>
    <x v="2"/>
    <x v="0"/>
    <x v="0"/>
    <x v="1"/>
    <x v="1"/>
    <x v="11"/>
    <n v="7289"/>
    <n v="7289"/>
    <n v="2137.2919999999999"/>
    <n v="2137.2919999999999"/>
    <n v="2137.2919999999999"/>
    <n v="2137.2919999999999"/>
    <n v="0"/>
    <x v="1"/>
    <n v="0"/>
    <n v="43"/>
    <n v="46"/>
    <n v="76"/>
    <n v="21.38"/>
    <n v="102.62"/>
    <n v="103.1"/>
    <n v="21.204888631609794"/>
    <n v="181.53179145831209"/>
    <n v="215.6942886760464"/>
    <n v="155838.82"/>
    <n v="219328.90504000001"/>
    <n v="220354.80519999997"/>
    <n v="154562.43323580379"/>
    <n v="387986.44562951871"/>
    <n v="461001.67763300455"/>
  </r>
  <r>
    <s v="Regular"/>
    <x v="3"/>
    <x v="1"/>
    <x v="2"/>
    <x v="0"/>
    <x v="0"/>
    <x v="1"/>
    <x v="2"/>
    <x v="0"/>
    <n v="5619"/>
    <n v="5619"/>
    <n v="250.221"/>
    <n v="250.221"/>
    <n v="250.221"/>
    <n v="250.221"/>
    <n v="0"/>
    <x v="1"/>
    <n v="0"/>
    <n v="42"/>
    <n v="46"/>
    <n v="75"/>
    <n v="55.8"/>
    <n v="102.62"/>
    <n v="159.43"/>
    <n v="54.291596185772413"/>
    <n v="181.53179145831209"/>
    <n v="322.27888250425127"/>
    <n v="313540.2"/>
    <n v="25677.679020000003"/>
    <n v="39892.73403"/>
    <n v="305064.47896785516"/>
    <n v="45423.066390490312"/>
    <n v="80640.944259096257"/>
  </r>
  <r>
    <s v="Regular"/>
    <x v="3"/>
    <x v="1"/>
    <x v="2"/>
    <x v="0"/>
    <x v="0"/>
    <x v="1"/>
    <x v="2"/>
    <x v="1"/>
    <n v="5587"/>
    <n v="5587"/>
    <n v="215.37200000000001"/>
    <n v="215.37200000000001"/>
    <n v="215.37200000000001"/>
    <n v="215.37200000000001"/>
    <n v="0"/>
    <x v="1"/>
    <n v="0"/>
    <n v="42"/>
    <n v="46"/>
    <n v="75"/>
    <n v="55.8"/>
    <n v="102.62"/>
    <n v="159.43"/>
    <n v="54.291596185772413"/>
    <n v="181.53179145831209"/>
    <n v="322.27888250425127"/>
    <n v="311754.59999999998"/>
    <n v="22101.474640000004"/>
    <n v="34336.757960000003"/>
    <n v="303327.1478899105"/>
    <n v="39096.864989959591"/>
    <n v="69409.847482705605"/>
  </r>
  <r>
    <s v="Regular"/>
    <x v="3"/>
    <x v="1"/>
    <x v="2"/>
    <x v="0"/>
    <x v="0"/>
    <x v="1"/>
    <x v="2"/>
    <x v="2"/>
    <n v="5609"/>
    <n v="5609"/>
    <n v="206.74299999999999"/>
    <n v="206.74299999999999"/>
    <n v="206.74299999999999"/>
    <n v="206.74299999999999"/>
    <n v="0"/>
    <x v="1"/>
    <n v="0"/>
    <n v="42"/>
    <n v="46"/>
    <n v="75"/>
    <n v="55.8"/>
    <n v="102.62"/>
    <n v="159.43"/>
    <n v="54.291596185772413"/>
    <n v="181.53179145831209"/>
    <n v="322.27888250425127"/>
    <n v="312982.2"/>
    <n v="21215.966660000002"/>
    <n v="32961.036489999999"/>
    <n v="304521.56300599745"/>
    <n v="37530.427161465814"/>
    <n v="66628.903005576416"/>
  </r>
  <r>
    <s v="Regular"/>
    <x v="3"/>
    <x v="1"/>
    <x v="2"/>
    <x v="0"/>
    <x v="0"/>
    <x v="1"/>
    <x v="2"/>
    <x v="3"/>
    <n v="5597"/>
    <n v="5597"/>
    <n v="220.89099999999999"/>
    <n v="220.89099999999999"/>
    <n v="220.89099999999999"/>
    <n v="220.89099999999999"/>
    <n v="0"/>
    <x v="1"/>
    <n v="0"/>
    <n v="42"/>
    <n v="46"/>
    <n v="75"/>
    <n v="55.8"/>
    <n v="102.62"/>
    <n v="159.43"/>
    <n v="54.291596185772413"/>
    <n v="181.53179145831209"/>
    <n v="322.27888250425127"/>
    <n v="312312.59999999998"/>
    <n v="22667.834419999999"/>
    <n v="35216.652130000002"/>
    <n v="303870.06385176821"/>
    <n v="40098.738947018013"/>
    <n v="71188.504635246558"/>
  </r>
  <r>
    <s v="Regular"/>
    <x v="3"/>
    <x v="1"/>
    <x v="2"/>
    <x v="0"/>
    <x v="0"/>
    <x v="1"/>
    <x v="2"/>
    <x v="4"/>
    <n v="5601"/>
    <n v="5601"/>
    <n v="199.571"/>
    <n v="199.571"/>
    <n v="199.571"/>
    <n v="199.571"/>
    <n v="0"/>
    <x v="1"/>
    <n v="0"/>
    <n v="42"/>
    <n v="46"/>
    <n v="75"/>
    <n v="55.8"/>
    <n v="102.62"/>
    <n v="159.43"/>
    <n v="54.291596185772413"/>
    <n v="181.53179145831209"/>
    <n v="322.27888250425127"/>
    <n v="312535.8"/>
    <n v="20479.976020000002"/>
    <n v="31817.604530000001"/>
    <n v="304087.23023651127"/>
    <n v="36228.481153126799"/>
    <n v="64317.518860255928"/>
  </r>
  <r>
    <s v="Regular"/>
    <x v="3"/>
    <x v="1"/>
    <x v="2"/>
    <x v="0"/>
    <x v="0"/>
    <x v="1"/>
    <x v="2"/>
    <x v="5"/>
    <n v="5616"/>
    <n v="5616"/>
    <n v="221.392"/>
    <n v="221.392"/>
    <n v="221.392"/>
    <n v="221.392"/>
    <n v="0"/>
    <x v="1"/>
    <n v="0"/>
    <n v="42"/>
    <n v="46"/>
    <n v="75"/>
    <n v="55.8"/>
    <n v="102.62"/>
    <n v="159.43"/>
    <n v="54.291596185772413"/>
    <n v="181.53179145831209"/>
    <n v="322.27888250425127"/>
    <n v="313372.79999999999"/>
    <n v="22719.247040000002"/>
    <n v="35296.526559999998"/>
    <n v="304901.60417929786"/>
    <n v="40189.686374538629"/>
    <n v="71349.966355381199"/>
  </r>
  <r>
    <s v="Regular"/>
    <x v="3"/>
    <x v="1"/>
    <x v="2"/>
    <x v="0"/>
    <x v="0"/>
    <x v="1"/>
    <x v="2"/>
    <x v="6"/>
    <n v="5617"/>
    <n v="5617"/>
    <n v="224.91399999999999"/>
    <n v="224.91399999999999"/>
    <n v="224.91399999999999"/>
    <n v="224.91399999999999"/>
    <n v="0"/>
    <x v="1"/>
    <n v="0"/>
    <n v="42"/>
    <n v="46"/>
    <n v="75"/>
    <n v="55.8"/>
    <n v="102.62"/>
    <n v="159.43"/>
    <n v="54.291596185772413"/>
    <n v="181.53179145831209"/>
    <n v="322.27888250425127"/>
    <n v="313428.59999999998"/>
    <n v="23080.67468"/>
    <n v="35858.039019999997"/>
    <n v="304955.89577548363"/>
    <n v="40829.0413440548"/>
    <n v="72485.032579561172"/>
  </r>
  <r>
    <s v="Regular"/>
    <x v="3"/>
    <x v="1"/>
    <x v="2"/>
    <x v="0"/>
    <x v="0"/>
    <x v="1"/>
    <x v="2"/>
    <x v="7"/>
    <n v="6056"/>
    <n v="6056"/>
    <n v="231.04400000000001"/>
    <n v="231.04400000000001"/>
    <n v="231.04400000000001"/>
    <n v="231.04400000000001"/>
    <n v="0"/>
    <x v="1"/>
    <n v="0"/>
    <n v="42"/>
    <n v="46"/>
    <n v="75"/>
    <n v="55.8"/>
    <n v="102.62"/>
    <n v="159.43"/>
    <n v="54.291596185772413"/>
    <n v="181.53179145831209"/>
    <n v="322.27888250425127"/>
    <n v="337924.8"/>
    <n v="23709.735280000001"/>
    <n v="36835.344920000003"/>
    <n v="328789.90650103771"/>
    <n v="41941.831225694259"/>
    <n v="74460.602129312232"/>
  </r>
  <r>
    <s v="Regular"/>
    <x v="3"/>
    <x v="1"/>
    <x v="2"/>
    <x v="0"/>
    <x v="0"/>
    <x v="1"/>
    <x v="2"/>
    <x v="8"/>
    <n v="6004"/>
    <n v="6004"/>
    <n v="263.37200000000001"/>
    <n v="263.37200000000001"/>
    <n v="263.37200000000001"/>
    <n v="263.37200000000001"/>
    <n v="0"/>
    <x v="1"/>
    <n v="0"/>
    <n v="42"/>
    <n v="46"/>
    <n v="75"/>
    <n v="55.8"/>
    <n v="102.62"/>
    <n v="159.43"/>
    <n v="54.291596185772413"/>
    <n v="181.53179145831209"/>
    <n v="322.27888250425127"/>
    <n v="335023.2"/>
    <n v="27027.234640000002"/>
    <n v="41989.397960000002"/>
    <n v="325966.74349937757"/>
    <n v="47810.390979958574"/>
    <n v="84879.233842909671"/>
  </r>
  <r>
    <s v="Refaturamento - Regular"/>
    <x v="3"/>
    <x v="1"/>
    <x v="2"/>
    <x v="0"/>
    <x v="0"/>
    <x v="1"/>
    <x v="2"/>
    <x v="8"/>
    <n v="-64"/>
    <n v="-64"/>
    <n v="-1E-3"/>
    <n v="-1E-3"/>
    <n v="-1E-3"/>
    <n v="-1E-3"/>
    <n v="0"/>
    <x v="1"/>
    <n v="0"/>
    <n v="42"/>
    <n v="46"/>
    <n v="75"/>
    <n v="55.8"/>
    <n v="102.62"/>
    <n v="159.43"/>
    <n v="54.291596185772413"/>
    <n v="181.53179145831209"/>
    <n v="322.27888250425127"/>
    <n v="-3571.2"/>
    <n v="-0.10262"/>
    <n v="-0.15943000000000002"/>
    <n v="-3474.6621558894344"/>
    <n v="-0.18153179145831208"/>
    <n v="-0.3222788825042513"/>
  </r>
  <r>
    <s v="Regular"/>
    <x v="3"/>
    <x v="1"/>
    <x v="2"/>
    <x v="0"/>
    <x v="0"/>
    <x v="1"/>
    <x v="2"/>
    <x v="9"/>
    <n v="6005"/>
    <n v="6005"/>
    <n v="258.09500000000003"/>
    <n v="258.09500000000003"/>
    <n v="258.09500000000003"/>
    <n v="258.09500000000003"/>
    <n v="0"/>
    <x v="1"/>
    <n v="0"/>
    <n v="42"/>
    <n v="46"/>
    <n v="75"/>
    <n v="55.8"/>
    <n v="102.62"/>
    <n v="159.43"/>
    <n v="54.291596185772413"/>
    <n v="181.53179145831209"/>
    <n v="322.27888250425127"/>
    <n v="335079"/>
    <n v="26485.708900000005"/>
    <n v="41148.085850000003"/>
    <n v="326021.03509556333"/>
    <n v="46852.44771643306"/>
    <n v="83178.568179934737"/>
  </r>
  <r>
    <s v="Refaturamento - Regular"/>
    <x v="3"/>
    <x v="1"/>
    <x v="2"/>
    <x v="0"/>
    <x v="0"/>
    <x v="1"/>
    <x v="2"/>
    <x v="9"/>
    <n v="-2"/>
    <n v="-2"/>
    <n v="-1.2"/>
    <n v="-1.2"/>
    <n v="-1.2"/>
    <n v="-1.2"/>
    <n v="0"/>
    <x v="1"/>
    <n v="0"/>
    <n v="42"/>
    <n v="46"/>
    <n v="75"/>
    <n v="55.8"/>
    <n v="102.62"/>
    <n v="159.43"/>
    <n v="54.291596185772413"/>
    <n v="181.53179145831209"/>
    <n v="322.27888250425127"/>
    <n v="-111.6"/>
    <n v="-123.14400000000001"/>
    <n v="-191.316"/>
    <n v="-108.58319237154483"/>
    <n v="-217.83814974997449"/>
    <n v="-386.73465900510149"/>
  </r>
  <r>
    <s v="Regular"/>
    <x v="3"/>
    <x v="1"/>
    <x v="2"/>
    <x v="0"/>
    <x v="0"/>
    <x v="1"/>
    <x v="2"/>
    <x v="10"/>
    <n v="5938"/>
    <n v="5938"/>
    <n v="248.38200000000001"/>
    <n v="248.38200000000001"/>
    <n v="248.38200000000001"/>
    <n v="248.38200000000001"/>
    <n v="0"/>
    <x v="1"/>
    <n v="0"/>
    <n v="42"/>
    <n v="46"/>
    <n v="75"/>
    <n v="55.8"/>
    <n v="102.62"/>
    <n v="159.43"/>
    <n v="54.291596185772413"/>
    <n v="181.53179145831209"/>
    <n v="322.27888250425127"/>
    <n v="331340.39999999997"/>
    <n v="25488.960840000003"/>
    <n v="39599.542260000002"/>
    <n v="322383.4981511166"/>
    <n v="45089.22942599847"/>
    <n v="80048.273394170945"/>
  </r>
  <r>
    <s v="PROJETADO"/>
    <x v="3"/>
    <x v="1"/>
    <x v="2"/>
    <x v="0"/>
    <x v="0"/>
    <x v="1"/>
    <x v="2"/>
    <x v="11"/>
    <n v="5938"/>
    <n v="5938"/>
    <n v="248.38200000000001"/>
    <n v="248.38200000000001"/>
    <n v="248.38200000000001"/>
    <n v="248.38200000000001"/>
    <n v="0"/>
    <x v="1"/>
    <n v="0"/>
    <n v="42"/>
    <n v="46"/>
    <n v="75"/>
    <n v="55.8"/>
    <n v="102.62"/>
    <n v="159.43"/>
    <n v="54.291596185772413"/>
    <n v="181.53179145831209"/>
    <n v="322.27888250425127"/>
    <n v="331340.39999999997"/>
    <n v="25488.960840000003"/>
    <n v="39599.542260000002"/>
    <n v="322383.4981511166"/>
    <n v="45089.22942599847"/>
    <n v="80048.273394170945"/>
  </r>
  <r>
    <s v="Regular"/>
    <x v="3"/>
    <x v="1"/>
    <x v="1"/>
    <x v="0"/>
    <x v="0"/>
    <x v="1"/>
    <x v="1"/>
    <x v="0"/>
    <n v="2410"/>
    <n v="2410"/>
    <n v="688.51"/>
    <n v="688.51"/>
    <n v="688.51"/>
    <n v="688.51"/>
    <n v="0"/>
    <x v="1"/>
    <n v="0"/>
    <n v="43"/>
    <n v="46"/>
    <n v="76"/>
    <n v="21.38"/>
    <n v="102.62"/>
    <n v="103.1"/>
    <n v="21.204888631609794"/>
    <n v="181.53179145831209"/>
    <n v="215.6942886760464"/>
    <n v="51525.799999999996"/>
    <n v="70654.896200000003"/>
    <n v="70985.380999999994"/>
    <n v="51103.781602179602"/>
    <n v="124986.45373696244"/>
    <n v="148507.67469634471"/>
  </r>
  <r>
    <s v="Regular"/>
    <x v="3"/>
    <x v="1"/>
    <x v="1"/>
    <x v="0"/>
    <x v="0"/>
    <x v="1"/>
    <x v="1"/>
    <x v="1"/>
    <n v="2410"/>
    <n v="2410"/>
    <n v="677.81700000000001"/>
    <n v="677.81700000000001"/>
    <n v="677.81700000000001"/>
    <n v="677.81700000000001"/>
    <n v="0"/>
    <x v="1"/>
    <n v="0"/>
    <n v="43"/>
    <n v="46"/>
    <n v="76"/>
    <n v="21.38"/>
    <n v="102.62"/>
    <n v="103.1"/>
    <n v="21.204888631609794"/>
    <n v="181.53179145831209"/>
    <n v="215.6942886760464"/>
    <n v="51525.799999999996"/>
    <n v="69557.58054000001"/>
    <n v="69882.93269999999"/>
    <n v="51103.781602179602"/>
    <n v="123045.33429089873"/>
    <n v="146201.25566753175"/>
  </r>
  <r>
    <s v="Regular"/>
    <x v="3"/>
    <x v="1"/>
    <x v="1"/>
    <x v="0"/>
    <x v="0"/>
    <x v="1"/>
    <x v="1"/>
    <x v="2"/>
    <n v="2412"/>
    <n v="2412"/>
    <n v="605.72199999999998"/>
    <n v="605.72199999999998"/>
    <n v="605.72199999999998"/>
    <n v="605.72199999999998"/>
    <n v="0"/>
    <x v="1"/>
    <n v="0"/>
    <n v="43"/>
    <n v="46"/>
    <n v="76"/>
    <n v="21.38"/>
    <n v="102.62"/>
    <n v="103.1"/>
    <n v="21.204888631609794"/>
    <n v="181.53179145831209"/>
    <n v="215.6942886760464"/>
    <n v="51568.56"/>
    <n v="62159.191639999997"/>
    <n v="62449.938199999997"/>
    <n v="51146.191379442826"/>
    <n v="109957.79978571172"/>
    <n v="130650.77592543217"/>
  </r>
  <r>
    <s v="Regular"/>
    <x v="3"/>
    <x v="1"/>
    <x v="1"/>
    <x v="0"/>
    <x v="0"/>
    <x v="1"/>
    <x v="1"/>
    <x v="3"/>
    <n v="2470"/>
    <n v="2470"/>
    <n v="741.66700000000003"/>
    <n v="741.66700000000003"/>
    <n v="741.66700000000003"/>
    <n v="741.66700000000003"/>
    <n v="0"/>
    <x v="1"/>
    <n v="0"/>
    <n v="43"/>
    <n v="46"/>
    <n v="76"/>
    <n v="21.38"/>
    <n v="102.62"/>
    <n v="103.1"/>
    <n v="21.204888631609794"/>
    <n v="181.53179145831209"/>
    <n v="215.6942886760464"/>
    <n v="52808.6"/>
    <n v="76109.867540000007"/>
    <n v="76465.867700000003"/>
    <n v="52376.074920076193"/>
    <n v="134636.13917551195"/>
    <n v="159973.3359994973"/>
  </r>
  <r>
    <s v="Regular"/>
    <x v="3"/>
    <x v="1"/>
    <x v="1"/>
    <x v="0"/>
    <x v="0"/>
    <x v="1"/>
    <x v="1"/>
    <x v="4"/>
    <n v="2418"/>
    <n v="2418"/>
    <n v="513.02499999999998"/>
    <n v="513.02499999999998"/>
    <n v="513.02499999999998"/>
    <n v="513.02499999999998"/>
    <n v="0"/>
    <x v="1"/>
    <n v="0"/>
    <n v="43"/>
    <n v="46"/>
    <n v="76"/>
    <n v="21.38"/>
    <n v="102.62"/>
    <n v="103.1"/>
    <n v="21.204888631609794"/>
    <n v="181.53179145831209"/>
    <n v="215.6942886760464"/>
    <n v="51696.84"/>
    <n v="52646.625500000002"/>
    <n v="52892.877499999995"/>
    <n v="51273.42071123248"/>
    <n v="93130.347312900558"/>
    <n v="110656.56244802869"/>
  </r>
  <r>
    <s v="Regular"/>
    <x v="3"/>
    <x v="1"/>
    <x v="1"/>
    <x v="0"/>
    <x v="0"/>
    <x v="1"/>
    <x v="1"/>
    <x v="5"/>
    <n v="2216"/>
    <n v="2216"/>
    <n v="606.37099999999998"/>
    <n v="606.37099999999998"/>
    <n v="606.37099999999998"/>
    <n v="606.37099999999998"/>
    <n v="0"/>
    <x v="1"/>
    <n v="0"/>
    <n v="43"/>
    <n v="46"/>
    <n v="76"/>
    <n v="21.38"/>
    <n v="102.62"/>
    <n v="103.1"/>
    <n v="21.204888631609794"/>
    <n v="181.53179145831209"/>
    <n v="215.6942886760464"/>
    <n v="47378.079999999994"/>
    <n v="62225.792020000001"/>
    <n v="62516.850099999996"/>
    <n v="46990.033207647306"/>
    <n v="110075.61391836815"/>
    <n v="130790.76151878292"/>
  </r>
  <r>
    <s v="Regular"/>
    <x v="3"/>
    <x v="1"/>
    <x v="1"/>
    <x v="0"/>
    <x v="0"/>
    <x v="1"/>
    <x v="1"/>
    <x v="6"/>
    <n v="2236"/>
    <n v="2236"/>
    <n v="618.26400000000001"/>
    <n v="618.26400000000001"/>
    <n v="618.26400000000001"/>
    <n v="618.26400000000001"/>
    <n v="0"/>
    <x v="1"/>
    <n v="0"/>
    <n v="43"/>
    <n v="46"/>
    <n v="76"/>
    <n v="21.38"/>
    <n v="102.62"/>
    <n v="103.1"/>
    <n v="21.204888631609794"/>
    <n v="181.53179145831209"/>
    <n v="215.6942886760464"/>
    <n v="47805.68"/>
    <n v="63446.251680000001"/>
    <n v="63743.018400000001"/>
    <n v="47414.1309802795"/>
    <n v="112234.57151418187"/>
    <n v="133356.01369400715"/>
  </r>
  <r>
    <s v="Regular"/>
    <x v="3"/>
    <x v="1"/>
    <x v="1"/>
    <x v="0"/>
    <x v="0"/>
    <x v="1"/>
    <x v="1"/>
    <x v="7"/>
    <n v="3249"/>
    <n v="3249"/>
    <n v="584.62"/>
    <n v="584.62"/>
    <n v="584.62"/>
    <n v="584.62"/>
    <n v="0"/>
    <x v="1"/>
    <n v="0"/>
    <n v="43"/>
    <n v="46"/>
    <n v="76"/>
    <n v="21.38"/>
    <n v="102.62"/>
    <n v="103.1"/>
    <n v="21.204888631609794"/>
    <n v="181.53179145831209"/>
    <n v="215.6942886760464"/>
    <n v="69463.62"/>
    <n v="59993.704400000002"/>
    <n v="60274.322"/>
    <n v="68894.683164100221"/>
    <n v="106127.11592235841"/>
    <n v="126099.19504579024"/>
  </r>
  <r>
    <s v="Regular"/>
    <x v="3"/>
    <x v="1"/>
    <x v="1"/>
    <x v="0"/>
    <x v="0"/>
    <x v="1"/>
    <x v="1"/>
    <x v="8"/>
    <n v="2121"/>
    <n v="2121"/>
    <n v="567.95899999999995"/>
    <n v="567.95899999999995"/>
    <n v="567.95899999999995"/>
    <n v="567.95899999999995"/>
    <n v="0"/>
    <x v="1"/>
    <n v="0"/>
    <n v="43"/>
    <n v="46"/>
    <n v="76"/>
    <n v="21.38"/>
    <n v="102.62"/>
    <n v="103.1"/>
    <n v="21.204888631609794"/>
    <n v="181.53179145831209"/>
    <n v="215.6942886760464"/>
    <n v="45346.979999999996"/>
    <n v="58283.952579999997"/>
    <n v="58556.572899999992"/>
    <n v="44975.56878764437"/>
    <n v="103102.61474487146"/>
    <n v="122505.51250215863"/>
  </r>
  <r>
    <s v="Refaturamento - Regular"/>
    <x v="3"/>
    <x v="1"/>
    <x v="1"/>
    <x v="0"/>
    <x v="0"/>
    <x v="1"/>
    <x v="1"/>
    <x v="8"/>
    <n v="-1169"/>
    <n v="-1169"/>
    <n v="1E-3"/>
    <n v="1E-3"/>
    <n v="1E-3"/>
    <n v="1E-3"/>
    <n v="0"/>
    <x v="1"/>
    <n v="0"/>
    <n v="43"/>
    <n v="46"/>
    <n v="76"/>
    <n v="21.38"/>
    <n v="102.62"/>
    <n v="103.1"/>
    <n v="21.204888631609794"/>
    <n v="181.53179145831209"/>
    <n v="215.6942886760464"/>
    <n v="-24993.219999999998"/>
    <n v="0.10262"/>
    <n v="0.1031"/>
    <n v="-24788.514810351848"/>
    <n v="0.18153179145831208"/>
    <n v="0.2156942886760464"/>
  </r>
  <r>
    <s v="Regular"/>
    <x v="3"/>
    <x v="1"/>
    <x v="1"/>
    <x v="0"/>
    <x v="0"/>
    <x v="1"/>
    <x v="1"/>
    <x v="9"/>
    <n v="2124"/>
    <n v="2124"/>
    <n v="658.255"/>
    <n v="658.255"/>
    <n v="658.255"/>
    <n v="658.255"/>
    <n v="0"/>
    <x v="1"/>
    <n v="0"/>
    <n v="43"/>
    <n v="46"/>
    <n v="76"/>
    <n v="21.38"/>
    <n v="102.62"/>
    <n v="103.1"/>
    <n v="21.204888631609794"/>
    <n v="181.53179145831209"/>
    <n v="215.6942886760464"/>
    <n v="45411.119999999995"/>
    <n v="67550.128100000002"/>
    <n v="67866.090499999991"/>
    <n v="45039.183453539204"/>
    <n v="119494.20938639122"/>
    <n v="141981.84399245091"/>
  </r>
  <r>
    <s v="Regular"/>
    <x v="3"/>
    <x v="1"/>
    <x v="1"/>
    <x v="0"/>
    <x v="0"/>
    <x v="1"/>
    <x v="1"/>
    <x v="10"/>
    <n v="2253"/>
    <n v="2253"/>
    <n v="632.38499999999999"/>
    <n v="632.38499999999999"/>
    <n v="632.38499999999999"/>
    <n v="632.38499999999999"/>
    <n v="0"/>
    <x v="1"/>
    <n v="0"/>
    <n v="43"/>
    <n v="46"/>
    <n v="76"/>
    <n v="21.38"/>
    <n v="102.62"/>
    <n v="103.1"/>
    <n v="21.204888631609794"/>
    <n v="181.53179145831209"/>
    <n v="215.6942886760464"/>
    <n v="48169.14"/>
    <n v="64895.348700000002"/>
    <n v="65198.893499999998"/>
    <n v="47774.614087016867"/>
    <n v="114797.98194136469"/>
    <n v="136401.83274440159"/>
  </r>
  <r>
    <s v="Refaturamento - Regular"/>
    <x v="3"/>
    <x v="1"/>
    <x v="1"/>
    <x v="0"/>
    <x v="0"/>
    <x v="1"/>
    <x v="1"/>
    <x v="10"/>
    <n v="0"/>
    <n v="0"/>
    <n v="4.8550000000000004"/>
    <n v="4.8550000000000004"/>
    <n v="4.8550000000000004"/>
    <n v="4.8550000000000004"/>
    <n v="0"/>
    <x v="1"/>
    <n v="0"/>
    <n v="0"/>
    <n v="46"/>
    <n v="76"/>
    <n v="0"/>
    <n v="102.62"/>
    <n v="103.1"/>
    <n v="21.204888631609794"/>
    <n v="181.53179145831209"/>
    <n v="215.6942886760464"/>
    <n v="0"/>
    <n v="498.22010000000006"/>
    <n v="500.5505"/>
    <n v="0"/>
    <n v="881.33684753010527"/>
    <n v="1047.1957715222054"/>
  </r>
  <r>
    <s v="PROJETADO"/>
    <x v="3"/>
    <x v="1"/>
    <x v="1"/>
    <x v="0"/>
    <x v="0"/>
    <x v="1"/>
    <x v="1"/>
    <x v="11"/>
    <n v="2253"/>
    <n v="2253"/>
    <n v="632.38499999999999"/>
    <n v="632.38499999999999"/>
    <n v="632.38499999999999"/>
    <n v="632.38499999999999"/>
    <n v="0"/>
    <x v="1"/>
    <n v="0"/>
    <n v="43"/>
    <n v="46"/>
    <n v="76"/>
    <n v="21.38"/>
    <n v="102.62"/>
    <n v="103.1"/>
    <n v="21.204888631609794"/>
    <n v="181.53179145831209"/>
    <n v="215.6942886760464"/>
    <n v="48169.14"/>
    <n v="64895.348700000002"/>
    <n v="65198.893499999998"/>
    <n v="47774.614087016867"/>
    <n v="114797.98194136469"/>
    <n v="136401.83274440159"/>
  </r>
  <r>
    <s v="PROJETADO"/>
    <x v="3"/>
    <x v="1"/>
    <x v="1"/>
    <x v="0"/>
    <x v="0"/>
    <x v="1"/>
    <x v="1"/>
    <x v="11"/>
    <n v="0"/>
    <n v="0"/>
    <n v="4.8550000000000004"/>
    <n v="4.8550000000000004"/>
    <n v="4.8550000000000004"/>
    <n v="4.8550000000000004"/>
    <n v="0"/>
    <x v="1"/>
    <n v="0"/>
    <n v="0"/>
    <n v="46"/>
    <n v="76"/>
    <n v="0"/>
    <n v="102.62"/>
    <n v="103.1"/>
    <n v="21.204888631609794"/>
    <n v="181.53179145831209"/>
    <n v="215.6942886760464"/>
    <n v="0"/>
    <n v="498.22010000000006"/>
    <n v="500.5505"/>
    <n v="0"/>
    <n v="881.33684753010527"/>
    <n v="1047.1957715222054"/>
  </r>
  <r>
    <s v="Regular"/>
    <x v="3"/>
    <x v="1"/>
    <x v="1"/>
    <x v="0"/>
    <x v="0"/>
    <x v="1"/>
    <x v="2"/>
    <x v="0"/>
    <n v="722"/>
    <n v="722"/>
    <n v="30.855"/>
    <n v="30.855"/>
    <n v="30.855"/>
    <n v="30.855"/>
    <n v="0"/>
    <x v="1"/>
    <n v="0"/>
    <n v="42"/>
    <n v="46"/>
    <n v="75"/>
    <n v="55.8"/>
    <n v="102.62"/>
    <n v="159.43"/>
    <n v="54.291596185772413"/>
    <n v="181.53179145831209"/>
    <n v="322.27888250425127"/>
    <n v="40287.599999999999"/>
    <n v="3166.3401000000003"/>
    <n v="4919.2126500000004"/>
    <n v="39198.532446127683"/>
    <n v="5601.1634254462197"/>
    <n v="9943.914919668674"/>
  </r>
  <r>
    <s v="Regular"/>
    <x v="3"/>
    <x v="1"/>
    <x v="1"/>
    <x v="0"/>
    <x v="0"/>
    <x v="1"/>
    <x v="2"/>
    <x v="1"/>
    <n v="727"/>
    <n v="727"/>
    <n v="29.178000000000001"/>
    <n v="29.178000000000001"/>
    <n v="29.178000000000001"/>
    <n v="29.178000000000001"/>
    <n v="0"/>
    <x v="1"/>
    <n v="0"/>
    <n v="42"/>
    <n v="46"/>
    <n v="75"/>
    <n v="55.8"/>
    <n v="102.62"/>
    <n v="159.43"/>
    <n v="54.291596185772413"/>
    <n v="181.53179145831209"/>
    <n v="322.27888250425127"/>
    <n v="40566.6"/>
    <n v="2994.2463600000001"/>
    <n v="4651.84854"/>
    <n v="39469.990427056546"/>
    <n v="5296.7346111706302"/>
    <n v="9403.4532337090441"/>
  </r>
  <r>
    <s v="Regular"/>
    <x v="3"/>
    <x v="1"/>
    <x v="1"/>
    <x v="0"/>
    <x v="0"/>
    <x v="1"/>
    <x v="2"/>
    <x v="2"/>
    <n v="729"/>
    <n v="729"/>
    <n v="26.395"/>
    <n v="26.395"/>
    <n v="26.395"/>
    <n v="26.395"/>
    <n v="0"/>
    <x v="1"/>
    <n v="0"/>
    <n v="42"/>
    <n v="46"/>
    <n v="75"/>
    <n v="55.8"/>
    <n v="102.62"/>
    <n v="159.43"/>
    <n v="54.291596185772413"/>
    <n v="181.53179145831209"/>
    <n v="322.27888250425127"/>
    <n v="40678.199999999997"/>
    <n v="2708.6549"/>
    <n v="4208.1548499999999"/>
    <n v="39578.573619428091"/>
    <n v="4791.5316355421473"/>
    <n v="8506.5511036997123"/>
  </r>
  <r>
    <s v="Regular"/>
    <x v="3"/>
    <x v="1"/>
    <x v="1"/>
    <x v="0"/>
    <x v="0"/>
    <x v="1"/>
    <x v="2"/>
    <x v="3"/>
    <n v="865"/>
    <n v="865"/>
    <n v="31.888999999999999"/>
    <n v="31.888999999999999"/>
    <n v="31.888999999999999"/>
    <n v="31.888999999999999"/>
    <n v="0"/>
    <x v="1"/>
    <n v="0"/>
    <n v="42"/>
    <n v="46"/>
    <n v="75"/>
    <n v="55.8"/>
    <n v="102.62"/>
    <n v="159.43"/>
    <n v="54.291596185772413"/>
    <n v="181.53179145831209"/>
    <n v="322.27888250425127"/>
    <n v="48267"/>
    <n v="3272.4491800000001"/>
    <n v="5084.0632700000006"/>
    <n v="46962.230700693137"/>
    <n v="5788.867297814114"/>
    <n v="10277.151284178068"/>
  </r>
  <r>
    <s v="Regular"/>
    <x v="3"/>
    <x v="1"/>
    <x v="1"/>
    <x v="0"/>
    <x v="0"/>
    <x v="1"/>
    <x v="2"/>
    <x v="4"/>
    <n v="853"/>
    <n v="853"/>
    <n v="20.617000000000001"/>
    <n v="20.617000000000001"/>
    <n v="20.617000000000001"/>
    <n v="20.617000000000001"/>
    <n v="0"/>
    <x v="1"/>
    <n v="0"/>
    <n v="42"/>
    <n v="46"/>
    <n v="75"/>
    <n v="55.8"/>
    <n v="102.62"/>
    <n v="159.43"/>
    <n v="54.291596185772413"/>
    <n v="181.53179145831209"/>
    <n v="322.27888250425127"/>
    <n v="47597.399999999994"/>
    <n v="2115.7165400000004"/>
    <n v="3286.9683100000002"/>
    <n v="46310.731546463867"/>
    <n v="3742.6409444960204"/>
    <n v="6644.4237205901491"/>
  </r>
  <r>
    <s v="Regular"/>
    <x v="3"/>
    <x v="1"/>
    <x v="1"/>
    <x v="0"/>
    <x v="0"/>
    <x v="1"/>
    <x v="2"/>
    <x v="5"/>
    <n v="694"/>
    <n v="694"/>
    <n v="25.818000000000001"/>
    <n v="25.818000000000001"/>
    <n v="25.818000000000001"/>
    <n v="25.818000000000001"/>
    <n v="0"/>
    <x v="1"/>
    <n v="0"/>
    <n v="42"/>
    <n v="46"/>
    <n v="75"/>
    <n v="55.8"/>
    <n v="102.62"/>
    <n v="159.43"/>
    <n v="54.291596185772413"/>
    <n v="181.53179145831209"/>
    <n v="322.27888250425127"/>
    <n v="38725.199999999997"/>
    <n v="2649.4431600000003"/>
    <n v="4116.16374"/>
    <n v="37678.367752926053"/>
    <n v="4686.7877918707018"/>
    <n v="8320.5961884947592"/>
  </r>
  <r>
    <s v="Regular"/>
    <x v="3"/>
    <x v="1"/>
    <x v="1"/>
    <x v="0"/>
    <x v="0"/>
    <x v="1"/>
    <x v="2"/>
    <x v="6"/>
    <n v="767"/>
    <n v="767"/>
    <n v="25.221"/>
    <n v="25.221"/>
    <n v="25.221"/>
    <n v="25.221"/>
    <n v="0"/>
    <x v="1"/>
    <n v="0"/>
    <n v="42"/>
    <n v="46"/>
    <n v="75"/>
    <n v="55.8"/>
    <n v="102.62"/>
    <n v="159.43"/>
    <n v="54.291596185772413"/>
    <n v="181.53179145831209"/>
    <n v="322.27888250425127"/>
    <n v="42798.6"/>
    <n v="2588.17902"/>
    <n v="4020.9840300000001"/>
    <n v="41641.654274487439"/>
    <n v="4578.4133123700894"/>
    <n v="8128.1956956397216"/>
  </r>
  <r>
    <s v="Regular"/>
    <x v="3"/>
    <x v="1"/>
    <x v="1"/>
    <x v="0"/>
    <x v="0"/>
    <x v="1"/>
    <x v="2"/>
    <x v="7"/>
    <n v="1713"/>
    <n v="1713"/>
    <n v="24.952999999999999"/>
    <n v="24.952999999999999"/>
    <n v="24.952999999999999"/>
    <n v="24.952999999999999"/>
    <n v="0"/>
    <x v="1"/>
    <n v="0"/>
    <n v="42"/>
    <n v="46"/>
    <n v="75"/>
    <n v="55.8"/>
    <n v="102.62"/>
    <n v="159.43"/>
    <n v="54.291596185772413"/>
    <n v="181.53179145831209"/>
    <n v="322.27888250425127"/>
    <n v="95585.4"/>
    <n v="2560.67686"/>
    <n v="3978.2567899999999"/>
    <n v="93001.504266228148"/>
    <n v="4529.762792259261"/>
    <n v="8041.8249551285817"/>
  </r>
  <r>
    <s v="Regular"/>
    <x v="3"/>
    <x v="1"/>
    <x v="1"/>
    <x v="0"/>
    <x v="0"/>
    <x v="1"/>
    <x v="2"/>
    <x v="8"/>
    <n v="888"/>
    <n v="888"/>
    <n v="28.64"/>
    <n v="28.64"/>
    <n v="28.64"/>
    <n v="28.64"/>
    <n v="0"/>
    <x v="1"/>
    <n v="0"/>
    <n v="42"/>
    <n v="46"/>
    <n v="75"/>
    <n v="55.8"/>
    <n v="102.62"/>
    <n v="159.43"/>
    <n v="54.291596185772413"/>
    <n v="181.53179145831209"/>
    <n v="322.27888250425127"/>
    <n v="49550.399999999994"/>
    <n v="2939.0368000000003"/>
    <n v="4566.0752000000002"/>
    <n v="48210.937412965905"/>
    <n v="5199.0705073660583"/>
    <n v="9230.0671949217558"/>
  </r>
  <r>
    <s v="Refaturamento - Regular"/>
    <x v="3"/>
    <x v="1"/>
    <x v="1"/>
    <x v="0"/>
    <x v="0"/>
    <x v="1"/>
    <x v="2"/>
    <x v="8"/>
    <n v="-890"/>
    <n v="-890"/>
    <n v="1E-3"/>
    <n v="1E-3"/>
    <n v="1E-3"/>
    <n v="1E-3"/>
    <n v="0"/>
    <x v="1"/>
    <n v="0"/>
    <n v="42"/>
    <n v="46"/>
    <n v="75"/>
    <n v="55.8"/>
    <n v="102.62"/>
    <n v="159.43"/>
    <n v="54.291596185772413"/>
    <n v="181.53179145831209"/>
    <n v="322.27888250425127"/>
    <n v="-49662"/>
    <n v="0.10262"/>
    <n v="0.15943000000000002"/>
    <n v="-48319.52060533745"/>
    <n v="0.18153179145831208"/>
    <n v="0.3222788825042513"/>
  </r>
  <r>
    <s v="Regular"/>
    <x v="3"/>
    <x v="1"/>
    <x v="1"/>
    <x v="0"/>
    <x v="0"/>
    <x v="1"/>
    <x v="2"/>
    <x v="9"/>
    <n v="654"/>
    <n v="654"/>
    <n v="24.792000000000002"/>
    <n v="24.792000000000002"/>
    <n v="24.792000000000002"/>
    <n v="24.792000000000002"/>
    <n v="0"/>
    <x v="1"/>
    <n v="0"/>
    <n v="42"/>
    <n v="46"/>
    <n v="75"/>
    <n v="55.8"/>
    <n v="102.62"/>
    <n v="159.43"/>
    <n v="54.291596185772413"/>
    <n v="181.53179145831209"/>
    <n v="322.27888250425127"/>
    <n v="36493.199999999997"/>
    <n v="2544.1550400000001"/>
    <n v="3952.5885600000006"/>
    <n v="35506.70390549516"/>
    <n v="4500.5361738344736"/>
    <n v="7989.938055045398"/>
  </r>
  <r>
    <s v="Regular"/>
    <x v="3"/>
    <x v="1"/>
    <x v="1"/>
    <x v="0"/>
    <x v="0"/>
    <x v="1"/>
    <x v="2"/>
    <x v="10"/>
    <n v="813"/>
    <n v="813"/>
    <n v="22.390999999999998"/>
    <n v="22.390999999999998"/>
    <n v="22.390999999999998"/>
    <n v="22.390999999999998"/>
    <n v="0"/>
    <x v="1"/>
    <n v="0"/>
    <n v="42"/>
    <n v="46"/>
    <n v="75"/>
    <n v="55.8"/>
    <n v="102.62"/>
    <n v="159.43"/>
    <n v="54.291596185772413"/>
    <n v="181.53179145831209"/>
    <n v="322.27888250425127"/>
    <n v="45365.399999999994"/>
    <n v="2297.76442"/>
    <n v="3569.7971299999999"/>
    <n v="44139.067699032974"/>
    <n v="4064.6783425430654"/>
    <n v="7216.1464581526898"/>
  </r>
  <r>
    <s v="Refaturamento - Regular"/>
    <x v="3"/>
    <x v="1"/>
    <x v="1"/>
    <x v="0"/>
    <x v="0"/>
    <x v="1"/>
    <x v="2"/>
    <x v="10"/>
    <n v="-430"/>
    <n v="-430"/>
    <n v="-4.9459999999999997"/>
    <n v="-4.9459999999999997"/>
    <n v="-4.9459999999999997"/>
    <n v="-4.9459999999999997"/>
    <n v="0"/>
    <x v="1"/>
    <n v="0"/>
    <n v="42"/>
    <n v="46"/>
    <n v="75"/>
    <n v="55.8"/>
    <n v="102.62"/>
    <n v="159.43"/>
    <n v="54.291596185772413"/>
    <n v="181.53179145831209"/>
    <n v="322.27888250425127"/>
    <n v="-23994"/>
    <n v="-507.55851999999999"/>
    <n v="-788.54078000000004"/>
    <n v="-23345.386359882137"/>
    <n v="-897.85624055281153"/>
    <n v="-1593.9913528660268"/>
  </r>
  <r>
    <s v="PROJETADO"/>
    <x v="3"/>
    <x v="1"/>
    <x v="1"/>
    <x v="0"/>
    <x v="0"/>
    <x v="1"/>
    <x v="2"/>
    <x v="11"/>
    <n v="813"/>
    <n v="813"/>
    <n v="22.390999999999998"/>
    <n v="22.390999999999998"/>
    <n v="22.390999999999998"/>
    <n v="22.390999999999998"/>
    <n v="0"/>
    <x v="1"/>
    <n v="0"/>
    <n v="42"/>
    <n v="46"/>
    <n v="75"/>
    <n v="55.8"/>
    <n v="102.62"/>
    <n v="159.43"/>
    <n v="54.291596185772413"/>
    <n v="181.53179145831209"/>
    <n v="322.27888250425127"/>
    <n v="45365.399999999994"/>
    <n v="2297.76442"/>
    <n v="3569.7971299999999"/>
    <n v="44139.067699032974"/>
    <n v="4064.6783425430654"/>
    <n v="7216.1464581526898"/>
  </r>
  <r>
    <s v="PROJETADO"/>
    <x v="3"/>
    <x v="1"/>
    <x v="1"/>
    <x v="0"/>
    <x v="0"/>
    <x v="1"/>
    <x v="2"/>
    <x v="11"/>
    <n v="-430"/>
    <n v="-430"/>
    <n v="-4.9459999999999997"/>
    <n v="-4.9459999999999997"/>
    <n v="-4.9459999999999997"/>
    <n v="-4.9459999999999997"/>
    <n v="0"/>
    <x v="1"/>
    <n v="0"/>
    <n v="42"/>
    <n v="46"/>
    <n v="75"/>
    <n v="55.8"/>
    <n v="102.62"/>
    <n v="159.43"/>
    <n v="54.291596185772413"/>
    <n v="181.53179145831209"/>
    <n v="322.27888250425127"/>
    <n v="-23994"/>
    <n v="-507.55851999999999"/>
    <n v="-788.54078000000004"/>
    <n v="-23345.386359882137"/>
    <n v="-897.85624055281153"/>
    <n v="-1593.9913528660268"/>
  </r>
  <r>
    <s v="Regular"/>
    <x v="3"/>
    <x v="1"/>
    <x v="3"/>
    <x v="0"/>
    <x v="0"/>
    <x v="1"/>
    <x v="1"/>
    <x v="0"/>
    <n v="3142"/>
    <n v="3142"/>
    <n v="707.06"/>
    <n v="707.06"/>
    <n v="707.06"/>
    <n v="707.06"/>
    <n v="0"/>
    <x v="1"/>
    <n v="0"/>
    <n v="43"/>
    <n v="46"/>
    <n v="76"/>
    <n v="21.38"/>
    <n v="102.62"/>
    <n v="103.1"/>
    <n v="21.204888631609794"/>
    <n v="181.53179145831209"/>
    <n v="215.6942886760464"/>
    <n v="67175.959999999992"/>
    <n v="72558.497199999998"/>
    <n v="72897.885999999984"/>
    <n v="66625.760080517968"/>
    <n v="128353.86846851413"/>
    <n v="152508.80375128536"/>
  </r>
  <r>
    <s v="Sistema de Compensação"/>
    <x v="3"/>
    <x v="1"/>
    <x v="3"/>
    <x v="0"/>
    <x v="0"/>
    <x v="1"/>
    <x v="1"/>
    <x v="0"/>
    <n v="356"/>
    <n v="356"/>
    <n v="6.2439999999999998"/>
    <n v="6.2439999999999998"/>
    <n v="6.2439999999999998"/>
    <n v="6.2439999999999998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640.75927999999999"/>
    <n v="643.75639999999999"/>
    <n v="7548.9403528530866"/>
    <n v="1133.4845058657006"/>
    <n v="1346.7951384932337"/>
  </r>
  <r>
    <s v="Regular"/>
    <x v="3"/>
    <x v="1"/>
    <x v="3"/>
    <x v="0"/>
    <x v="0"/>
    <x v="1"/>
    <x v="1"/>
    <x v="1"/>
    <n v="3032"/>
    <n v="3032"/>
    <n v="641.07899999999995"/>
    <n v="641.07899999999995"/>
    <n v="641.07899999999995"/>
    <n v="641.07899999999995"/>
    <n v="0"/>
    <x v="1"/>
    <n v="0"/>
    <n v="43"/>
    <n v="46"/>
    <n v="76"/>
    <n v="21.38"/>
    <n v="102.62"/>
    <n v="103.1"/>
    <n v="21.204888631609794"/>
    <n v="181.53179145831209"/>
    <n v="215.6942886760464"/>
    <n v="64824.159999999996"/>
    <n v="65787.526979999995"/>
    <n v="66095.244899999991"/>
    <n v="64293.222331040895"/>
    <n v="116376.21933630324"/>
    <n v="138277.07889015114"/>
  </r>
  <r>
    <s v="Sistema de Compensação"/>
    <x v="3"/>
    <x v="1"/>
    <x v="3"/>
    <x v="0"/>
    <x v="0"/>
    <x v="1"/>
    <x v="1"/>
    <x v="1"/>
    <n v="356"/>
    <n v="356"/>
    <n v="6.952"/>
    <n v="6.952"/>
    <n v="6.952"/>
    <n v="6.952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713.41424000000006"/>
    <n v="716.75119999999993"/>
    <n v="7548.9403528530866"/>
    <n v="1262.0090142181857"/>
    <n v="1499.5066948758745"/>
  </r>
  <r>
    <s v="Regular"/>
    <x v="3"/>
    <x v="1"/>
    <x v="3"/>
    <x v="0"/>
    <x v="0"/>
    <x v="1"/>
    <x v="1"/>
    <x v="2"/>
    <n v="3052"/>
    <n v="3052"/>
    <n v="592.10599999999999"/>
    <n v="592.10599999999999"/>
    <n v="592.10599999999999"/>
    <n v="592.10599999999999"/>
    <n v="0"/>
    <x v="1"/>
    <n v="0"/>
    <n v="43"/>
    <n v="46"/>
    <n v="76"/>
    <n v="21.38"/>
    <n v="102.62"/>
    <n v="103.1"/>
    <n v="21.204888631609794"/>
    <n v="181.53179145831209"/>
    <n v="215.6942886760464"/>
    <n v="65251.759999999995"/>
    <n v="60761.917720000005"/>
    <n v="61046.128599999996"/>
    <n v="64717.32010367309"/>
    <n v="107486.06291321534"/>
    <n v="127713.88249081913"/>
  </r>
  <r>
    <s v="Sistema de Compensação"/>
    <x v="3"/>
    <x v="1"/>
    <x v="3"/>
    <x v="0"/>
    <x v="0"/>
    <x v="1"/>
    <x v="1"/>
    <x v="2"/>
    <n v="356"/>
    <n v="356"/>
    <n v="8.8140000000000001"/>
    <n v="8.8140000000000001"/>
    <n v="8.8140000000000001"/>
    <n v="8.8140000000000001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904.49268000000006"/>
    <n v="908.72339999999997"/>
    <n v="7548.9403528530866"/>
    <n v="1600.0212099135626"/>
    <n v="1901.1294603906729"/>
  </r>
  <r>
    <s v="Regular"/>
    <x v="3"/>
    <x v="1"/>
    <x v="3"/>
    <x v="0"/>
    <x v="0"/>
    <x v="1"/>
    <x v="1"/>
    <x v="3"/>
    <n v="3050"/>
    <n v="3050"/>
    <n v="654.10299999999995"/>
    <n v="654.10299999999995"/>
    <n v="654.10299999999995"/>
    <n v="654.10299999999995"/>
    <n v="0"/>
    <x v="1"/>
    <n v="0"/>
    <n v="43"/>
    <n v="46"/>
    <n v="76"/>
    <n v="21.38"/>
    <n v="102.62"/>
    <n v="103.1"/>
    <n v="21.204888631609794"/>
    <n v="181.53179145831209"/>
    <n v="215.6942886760464"/>
    <n v="65209"/>
    <n v="67124.049859999999"/>
    <n v="67438.019299999985"/>
    <n v="64674.910326409874"/>
    <n v="118740.4893882563"/>
    <n v="141086.28130586797"/>
  </r>
  <r>
    <s v="Sistema de Compensação"/>
    <x v="3"/>
    <x v="1"/>
    <x v="3"/>
    <x v="0"/>
    <x v="0"/>
    <x v="1"/>
    <x v="1"/>
    <x v="3"/>
    <n v="356"/>
    <n v="356"/>
    <n v="12.58"/>
    <n v="12.58"/>
    <n v="12.58"/>
    <n v="12.58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1290.9596000000001"/>
    <n v="1296.998"/>
    <n v="7548.9403528530866"/>
    <n v="2283.6699365455661"/>
    <n v="2713.4341515446636"/>
  </r>
  <r>
    <s v="Regular"/>
    <x v="3"/>
    <x v="1"/>
    <x v="3"/>
    <x v="0"/>
    <x v="0"/>
    <x v="1"/>
    <x v="1"/>
    <x v="4"/>
    <n v="3077"/>
    <n v="3077"/>
    <n v="682.10199999999998"/>
    <n v="682.10199999999998"/>
    <n v="682.10199999999998"/>
    <n v="682.10199999999998"/>
    <n v="0"/>
    <x v="1"/>
    <n v="0"/>
    <n v="43"/>
    <n v="46"/>
    <n v="76"/>
    <n v="21.38"/>
    <n v="102.62"/>
    <n v="103.1"/>
    <n v="21.204888631609794"/>
    <n v="181.53179145831209"/>
    <n v="215.6942886760464"/>
    <n v="65786.259999999995"/>
    <n v="69997.307239999995"/>
    <n v="70324.716199999995"/>
    <n v="65247.442319463335"/>
    <n v="123823.19801729759"/>
    <n v="147125.50569450858"/>
  </r>
  <r>
    <s v="Sistema de Compensação"/>
    <x v="3"/>
    <x v="1"/>
    <x v="3"/>
    <x v="0"/>
    <x v="0"/>
    <x v="1"/>
    <x v="1"/>
    <x v="4"/>
    <n v="356"/>
    <n v="356"/>
    <n v="11.393000000000001"/>
    <n v="11.393000000000001"/>
    <n v="11.393000000000001"/>
    <n v="11.393000000000001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1169.14966"/>
    <n v="1174.6183000000001"/>
    <n v="7548.9403528530866"/>
    <n v="2068.1917000845497"/>
    <n v="2457.405030886197"/>
  </r>
  <r>
    <s v="Regular"/>
    <x v="3"/>
    <x v="1"/>
    <x v="3"/>
    <x v="0"/>
    <x v="0"/>
    <x v="1"/>
    <x v="1"/>
    <x v="5"/>
    <n v="3085"/>
    <n v="3085"/>
    <n v="741.96600000000001"/>
    <n v="741.96600000000001"/>
    <n v="741.96600000000001"/>
    <n v="741.96600000000001"/>
    <n v="0"/>
    <x v="1"/>
    <n v="0"/>
    <n v="43"/>
    <n v="46"/>
    <n v="76"/>
    <n v="21.38"/>
    <n v="102.62"/>
    <n v="103.1"/>
    <n v="21.204888631609794"/>
    <n v="181.53179145831209"/>
    <n v="215.6942886760464"/>
    <n v="65957.3"/>
    <n v="76140.550920000009"/>
    <n v="76496.694600000003"/>
    <n v="65417.081428516212"/>
    <n v="134690.41718115797"/>
    <n v="160037.82859181144"/>
  </r>
  <r>
    <s v="Sistema de Compensação"/>
    <x v="3"/>
    <x v="1"/>
    <x v="3"/>
    <x v="0"/>
    <x v="0"/>
    <x v="1"/>
    <x v="1"/>
    <x v="5"/>
    <n v="356"/>
    <n v="356"/>
    <n v="15.393000000000001"/>
    <n v="15.393000000000001"/>
    <n v="15.393000000000001"/>
    <n v="15.393000000000001"/>
    <n v="0"/>
    <x v="1"/>
    <n v="0"/>
    <n v="43"/>
    <n v="46"/>
    <n v="76"/>
    <n v="21.38"/>
    <n v="102.62"/>
    <n v="103.1"/>
    <n v="21.204888631609794"/>
    <n v="181.53179145831209"/>
    <n v="215.6942886760464"/>
    <n v="7611.28"/>
    <n v="1579.6296600000001"/>
    <n v="1587.0183"/>
    <n v="7548.9403528530866"/>
    <n v="2794.3188659177981"/>
    <n v="3320.1821855903822"/>
  </r>
  <r>
    <s v="Regular"/>
    <x v="3"/>
    <x v="1"/>
    <x v="3"/>
    <x v="0"/>
    <x v="0"/>
    <x v="1"/>
    <x v="1"/>
    <x v="6"/>
    <n v="3144"/>
    <n v="3144"/>
    <n v="774.99900000000002"/>
    <n v="774.99900000000002"/>
    <n v="774.99900000000002"/>
    <n v="774.99900000000002"/>
    <n v="0"/>
    <x v="1"/>
    <n v="0"/>
    <n v="43"/>
    <n v="46"/>
    <n v="76"/>
    <n v="21.38"/>
    <n v="102.62"/>
    <n v="103.1"/>
    <n v="21.204888631609794"/>
    <n v="181.53179145831209"/>
    <n v="215.6942886760464"/>
    <n v="67218.720000000001"/>
    <n v="79530.397380000009"/>
    <n v="79902.396899999992"/>
    <n v="66668.169857781191"/>
    <n v="140686.95684840041"/>
    <n v="167162.85802964729"/>
  </r>
  <r>
    <s v="Sistema de Compensação"/>
    <x v="3"/>
    <x v="1"/>
    <x v="3"/>
    <x v="0"/>
    <x v="0"/>
    <x v="1"/>
    <x v="1"/>
    <x v="6"/>
    <n v="299"/>
    <n v="299"/>
    <n v="7.8929999999999998"/>
    <n v="7.8929999999999998"/>
    <n v="7.8929999999999998"/>
    <n v="7.8929999999999998"/>
    <n v="0"/>
    <x v="1"/>
    <n v="0"/>
    <n v="43"/>
    <n v="46"/>
    <n v="76"/>
    <n v="21.38"/>
    <n v="102.62"/>
    <n v="103.1"/>
    <n v="21.204888631609794"/>
    <n v="181.53179145831209"/>
    <n v="215.6942886760464"/>
    <n v="6392.62"/>
    <n v="809.97965999999997"/>
    <n v="813.76829999999995"/>
    <n v="6340.2617008513289"/>
    <n v="1432.8304299804572"/>
    <n v="1702.4750205200341"/>
  </r>
  <r>
    <s v="Regular"/>
    <x v="3"/>
    <x v="1"/>
    <x v="3"/>
    <x v="0"/>
    <x v="0"/>
    <x v="1"/>
    <x v="1"/>
    <x v="7"/>
    <n v="2981"/>
    <n v="2981"/>
    <n v="700.17100000000005"/>
    <n v="700.17100000000005"/>
    <n v="700.17100000000005"/>
    <n v="700.17100000000005"/>
    <n v="0"/>
    <x v="1"/>
    <n v="0"/>
    <n v="43"/>
    <n v="46"/>
    <n v="76"/>
    <n v="21.38"/>
    <n v="102.62"/>
    <n v="103.1"/>
    <n v="21.204888631609794"/>
    <n v="181.53179145831209"/>
    <n v="215.6942886760464"/>
    <n v="63733.78"/>
    <n v="71851.548020000002"/>
    <n v="72187.630099999995"/>
    <n v="63211.773010828794"/>
    <n v="127103.29595715784"/>
    <n v="151022.88579659609"/>
  </r>
  <r>
    <s v="Sistema de Compensação"/>
    <x v="3"/>
    <x v="1"/>
    <x v="3"/>
    <x v="0"/>
    <x v="0"/>
    <x v="1"/>
    <x v="1"/>
    <x v="7"/>
    <n v="404"/>
    <n v="404"/>
    <n v="6.2919999999999998"/>
    <n v="6.2919999999999998"/>
    <n v="6.2919999999999998"/>
    <n v="6.2919999999999998"/>
    <n v="0"/>
    <x v="1"/>
    <n v="0"/>
    <n v="43"/>
    <n v="46"/>
    <n v="76"/>
    <n v="21.38"/>
    <n v="102.62"/>
    <n v="103.1"/>
    <n v="21.204888631609794"/>
    <n v="181.53179145831209"/>
    <n v="215.6942886760464"/>
    <n v="8637.52"/>
    <n v="645.68503999999996"/>
    <n v="648.70519999999999"/>
    <n v="8566.7750071703576"/>
    <n v="1142.1980318556996"/>
    <n v="1357.148464349684"/>
  </r>
  <r>
    <s v="Sistema de Compensação"/>
    <x v="3"/>
    <x v="1"/>
    <x v="3"/>
    <x v="0"/>
    <x v="0"/>
    <x v="1"/>
    <x v="1"/>
    <x v="7"/>
    <n v="0"/>
    <n v="0"/>
    <n v="2.6429999999999998"/>
    <n v="2.6429999999999998"/>
    <n v="2.6429999999999998"/>
    <n v="2.6429999999999998"/>
    <n v="0"/>
    <x v="1"/>
    <n v="0"/>
    <n v="0"/>
    <n v="46"/>
    <n v="76"/>
    <n v="0"/>
    <n v="102.62"/>
    <n v="103.1"/>
    <n v="21.204888631609794"/>
    <n v="181.53179145831209"/>
    <n v="215.6942886760464"/>
    <n v="0"/>
    <n v="271.22465999999997"/>
    <n v="272.49329999999998"/>
    <n v="0"/>
    <n v="479.78852482431881"/>
    <n v="570.08000497079058"/>
  </r>
  <r>
    <s v="Regular"/>
    <x v="3"/>
    <x v="1"/>
    <x v="3"/>
    <x v="0"/>
    <x v="0"/>
    <x v="1"/>
    <x v="1"/>
    <x v="8"/>
    <n v="2993"/>
    <n v="2993"/>
    <n v="841.69100000000003"/>
    <n v="841.69100000000003"/>
    <n v="841.69100000000003"/>
    <n v="841.69100000000003"/>
    <n v="0"/>
    <x v="1"/>
    <n v="0"/>
    <n v="43"/>
    <n v="46"/>
    <n v="76"/>
    <n v="21.38"/>
    <n v="102.62"/>
    <n v="103.1"/>
    <n v="21.204888631609794"/>
    <n v="181.53179145831209"/>
    <n v="215.6942886760464"/>
    <n v="63990.34"/>
    <n v="86374.330420000013"/>
    <n v="86778.342099999994"/>
    <n v="63466.231674408111"/>
    <n v="152793.67508433817"/>
    <n v="181547.94153003016"/>
  </r>
  <r>
    <s v="Sistema de Compensação"/>
    <x v="3"/>
    <x v="1"/>
    <x v="3"/>
    <x v="0"/>
    <x v="0"/>
    <x v="1"/>
    <x v="1"/>
    <x v="8"/>
    <n v="394"/>
    <n v="394"/>
    <n v="12.497999999999999"/>
    <n v="12.497999999999999"/>
    <n v="12.497999999999999"/>
    <n v="12.497999999999999"/>
    <n v="0"/>
    <x v="1"/>
    <n v="0"/>
    <n v="43"/>
    <n v="46"/>
    <n v="76"/>
    <n v="21.38"/>
    <n v="102.62"/>
    <n v="103.1"/>
    <n v="21.204888631609794"/>
    <n v="181.53179145831209"/>
    <n v="215.6942886760464"/>
    <n v="8423.7199999999993"/>
    <n v="1282.54476"/>
    <n v="1288.5437999999999"/>
    <n v="8354.7261208542586"/>
    <n v="2268.7843296459841"/>
    <n v="2695.7472198732276"/>
  </r>
  <r>
    <s v="Regular"/>
    <x v="3"/>
    <x v="1"/>
    <x v="3"/>
    <x v="0"/>
    <x v="0"/>
    <x v="1"/>
    <x v="1"/>
    <x v="9"/>
    <n v="2998"/>
    <n v="2998"/>
    <n v="852.65099999999995"/>
    <n v="852.65099999999995"/>
    <n v="852.65099999999995"/>
    <n v="852.65099999999995"/>
    <n v="0"/>
    <x v="1"/>
    <n v="0"/>
    <n v="43"/>
    <n v="46"/>
    <n v="76"/>
    <n v="21.38"/>
    <n v="102.62"/>
    <n v="103.1"/>
    <n v="21.204888631609794"/>
    <n v="181.53179145831209"/>
    <n v="215.6942886760464"/>
    <n v="64097.24"/>
    <n v="87499.045620000004"/>
    <n v="87908.318099999989"/>
    <n v="63572.256117566161"/>
    <n v="154783.26351872124"/>
    <n v="183911.95093391964"/>
  </r>
  <r>
    <s v="Sistema de Compensação"/>
    <x v="3"/>
    <x v="1"/>
    <x v="3"/>
    <x v="0"/>
    <x v="0"/>
    <x v="1"/>
    <x v="1"/>
    <x v="9"/>
    <n v="476"/>
    <n v="476"/>
    <n v="7.0780000000000003"/>
    <n v="7.0780000000000003"/>
    <n v="7.0780000000000003"/>
    <n v="7.0780000000000003"/>
    <n v="0"/>
    <x v="1"/>
    <n v="0"/>
    <n v="43"/>
    <n v="46"/>
    <n v="76"/>
    <n v="21.38"/>
    <n v="102.62"/>
    <n v="103.1"/>
    <n v="21.204888631609794"/>
    <n v="181.53179145831209"/>
    <n v="215.6942886760464"/>
    <n v="10176.879999999999"/>
    <n v="726.34436000000005"/>
    <n v="729.74180000000001"/>
    <n v="10093.526988646263"/>
    <n v="1284.8820199419331"/>
    <n v="1526.6841752490566"/>
  </r>
  <r>
    <s v="Regular"/>
    <x v="3"/>
    <x v="1"/>
    <x v="3"/>
    <x v="0"/>
    <x v="0"/>
    <x v="1"/>
    <x v="1"/>
    <x v="10"/>
    <n v="2997"/>
    <n v="2997"/>
    <n v="876.89400000000001"/>
    <n v="876.89400000000001"/>
    <n v="876.89400000000001"/>
    <n v="876.89400000000001"/>
    <n v="0"/>
    <x v="1"/>
    <n v="0"/>
    <n v="43"/>
    <n v="46"/>
    <n v="76"/>
    <n v="21.38"/>
    <n v="102.62"/>
    <n v="103.1"/>
    <n v="21.204888631609794"/>
    <n v="181.53179145831209"/>
    <n v="215.6942886760464"/>
    <n v="64075.86"/>
    <n v="89986.862280000001"/>
    <n v="90407.771399999998"/>
    <n v="63551.05122893455"/>
    <n v="159184.13873904513"/>
    <n v="189141.02757429302"/>
  </r>
  <r>
    <s v="Sistema de Compensação"/>
    <x v="3"/>
    <x v="1"/>
    <x v="3"/>
    <x v="0"/>
    <x v="0"/>
    <x v="1"/>
    <x v="1"/>
    <x v="10"/>
    <n v="200"/>
    <n v="200"/>
    <n v="4.3490000000000002"/>
    <n v="4.3490000000000002"/>
    <n v="4.3490000000000002"/>
    <n v="4.3490000000000002"/>
    <n v="0"/>
    <x v="1"/>
    <n v="0"/>
    <n v="43"/>
    <n v="46"/>
    <n v="76"/>
    <n v="21.38"/>
    <n v="102.62"/>
    <n v="103.1"/>
    <n v="21.204888631609794"/>
    <n v="181.53179145831209"/>
    <n v="215.6942886760464"/>
    <n v="4276"/>
    <n v="446.29438000000005"/>
    <n v="448.38189999999997"/>
    <n v="4240.9777263219585"/>
    <n v="789.48176105219932"/>
    <n v="938.05446145212579"/>
  </r>
  <r>
    <s v="Sistema de Compensação"/>
    <x v="3"/>
    <x v="1"/>
    <x v="3"/>
    <x v="0"/>
    <x v="0"/>
    <x v="1"/>
    <x v="1"/>
    <x v="10"/>
    <n v="-470"/>
    <n v="-470"/>
    <n v="-18.387"/>
    <n v="-18.387"/>
    <n v="-18.387"/>
    <n v="-18.387"/>
    <n v="0"/>
    <x v="1"/>
    <n v="0"/>
    <n v="43"/>
    <n v="46"/>
    <n v="76"/>
    <n v="21.38"/>
    <n v="102.62"/>
    <n v="103.1"/>
    <n v="21.204888631609794"/>
    <n v="181.53179145831209"/>
    <n v="215.6942886760464"/>
    <n v="-10048.6"/>
    <n v="-1886.8739400000002"/>
    <n v="-1895.6996999999999"/>
    <n v="-9966.2976568566028"/>
    <n v="-3337.8250495439843"/>
    <n v="-3965.9708858864651"/>
  </r>
  <r>
    <s v="PROJETADO"/>
    <x v="3"/>
    <x v="1"/>
    <x v="3"/>
    <x v="0"/>
    <x v="0"/>
    <x v="1"/>
    <x v="1"/>
    <x v="11"/>
    <n v="2997"/>
    <n v="2997"/>
    <n v="876.89400000000001"/>
    <n v="876.89400000000001"/>
    <n v="876.89400000000001"/>
    <n v="876.89400000000001"/>
    <n v="0"/>
    <x v="1"/>
    <n v="0"/>
    <n v="43"/>
    <n v="46"/>
    <n v="76"/>
    <n v="21.38"/>
    <n v="102.62"/>
    <n v="103.1"/>
    <n v="21.204888631609794"/>
    <n v="181.53179145831209"/>
    <n v="215.6942886760464"/>
    <n v="64075.86"/>
    <n v="89986.862280000001"/>
    <n v="90407.771399999998"/>
    <n v="63551.05122893455"/>
    <n v="159184.13873904513"/>
    <n v="189141.02757429302"/>
  </r>
  <r>
    <s v="PROJETADO"/>
    <x v="3"/>
    <x v="1"/>
    <x v="3"/>
    <x v="0"/>
    <x v="0"/>
    <x v="1"/>
    <x v="1"/>
    <x v="11"/>
    <n v="200"/>
    <n v="200"/>
    <n v="4.3490000000000002"/>
    <n v="4.3490000000000002"/>
    <n v="4.3490000000000002"/>
    <n v="4.3490000000000002"/>
    <n v="0"/>
    <x v="1"/>
    <n v="0"/>
    <n v="43"/>
    <n v="46"/>
    <n v="76"/>
    <n v="21.38"/>
    <n v="102.62"/>
    <n v="103.1"/>
    <n v="21.204888631609794"/>
    <n v="181.53179145831209"/>
    <n v="215.6942886760464"/>
    <n v="4276"/>
    <n v="446.29438000000005"/>
    <n v="448.38189999999997"/>
    <n v="4240.9777263219585"/>
    <n v="789.48176105219932"/>
    <n v="938.05446145212579"/>
  </r>
  <r>
    <s v="PROJETADO"/>
    <x v="3"/>
    <x v="1"/>
    <x v="3"/>
    <x v="0"/>
    <x v="0"/>
    <x v="1"/>
    <x v="1"/>
    <x v="11"/>
    <n v="-470"/>
    <n v="-470"/>
    <n v="-18.387"/>
    <n v="-18.387"/>
    <n v="-18.387"/>
    <n v="-18.387"/>
    <n v="0"/>
    <x v="1"/>
    <n v="0"/>
    <n v="43"/>
    <n v="46"/>
    <n v="76"/>
    <n v="21.38"/>
    <n v="102.62"/>
    <n v="103.1"/>
    <n v="21.204888631609794"/>
    <n v="181.53179145831209"/>
    <n v="215.6942886760464"/>
    <n v="-10048.6"/>
    <n v="-1886.8739400000002"/>
    <n v="-1895.6996999999999"/>
    <n v="-9966.2976568566028"/>
    <n v="-3337.8250495439843"/>
    <n v="-3965.9708858864651"/>
  </r>
  <r>
    <s v="Regular"/>
    <x v="3"/>
    <x v="1"/>
    <x v="3"/>
    <x v="0"/>
    <x v="0"/>
    <x v="1"/>
    <x v="2"/>
    <x v="0"/>
    <n v="2391"/>
    <n v="2391"/>
    <n v="61.837000000000003"/>
    <n v="61.837000000000003"/>
    <n v="61.837000000000003"/>
    <n v="61.837000000000003"/>
    <n v="0"/>
    <x v="1"/>
    <n v="0"/>
    <n v="42"/>
    <n v="46"/>
    <n v="75"/>
    <n v="55.8"/>
    <n v="102.62"/>
    <n v="159.43"/>
    <n v="54.291596185772413"/>
    <n v="181.53179145831209"/>
    <n v="322.27888250425127"/>
    <n v="133417.79999999999"/>
    <n v="6345.7129400000003"/>
    <n v="9858.6729100000011"/>
    <n v="129811.20648018183"/>
    <n v="11225.381388407644"/>
    <n v="19928.759257415386"/>
  </r>
  <r>
    <s v="Sistema de Compensação"/>
    <x v="3"/>
    <x v="1"/>
    <x v="3"/>
    <x v="0"/>
    <x v="0"/>
    <x v="1"/>
    <x v="2"/>
    <x v="0"/>
    <n v="336"/>
    <n v="336"/>
    <n v="1.292"/>
    <n v="1.292"/>
    <n v="1.292"/>
    <n v="1.292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132.58504000000002"/>
    <n v="205.98356000000001"/>
    <n v="18241.976318419529"/>
    <n v="234.53907456413921"/>
    <n v="416.38431619549266"/>
  </r>
  <r>
    <s v="Regular"/>
    <x v="3"/>
    <x v="1"/>
    <x v="3"/>
    <x v="0"/>
    <x v="0"/>
    <x v="1"/>
    <x v="2"/>
    <x v="1"/>
    <n v="2323"/>
    <n v="2323"/>
    <n v="54.597000000000001"/>
    <n v="54.597000000000001"/>
    <n v="54.597000000000001"/>
    <n v="54.597000000000001"/>
    <n v="0"/>
    <x v="1"/>
    <n v="0"/>
    <n v="42"/>
    <n v="46"/>
    <n v="75"/>
    <n v="55.8"/>
    <n v="102.62"/>
    <n v="159.43"/>
    <n v="54.291596185772413"/>
    <n v="181.53179145831209"/>
    <n v="322.27888250425127"/>
    <n v="129623.4"/>
    <n v="5602.7441400000007"/>
    <n v="8704.3997099999997"/>
    <n v="126119.37793954932"/>
    <n v="9911.0912182494649"/>
    <n v="17595.460148084607"/>
  </r>
  <r>
    <s v="Sistema de Compensação"/>
    <x v="3"/>
    <x v="1"/>
    <x v="3"/>
    <x v="0"/>
    <x v="0"/>
    <x v="1"/>
    <x v="2"/>
    <x v="1"/>
    <n v="336"/>
    <n v="336"/>
    <n v="1.466"/>
    <n v="1.466"/>
    <n v="1.466"/>
    <n v="1.466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150.44092000000001"/>
    <n v="233.72438"/>
    <n v="18241.976318419529"/>
    <n v="266.12560627788554"/>
    <n v="472.46084175123235"/>
  </r>
  <r>
    <s v="Regular"/>
    <x v="3"/>
    <x v="1"/>
    <x v="3"/>
    <x v="0"/>
    <x v="0"/>
    <x v="1"/>
    <x v="2"/>
    <x v="2"/>
    <n v="2318"/>
    <n v="2318"/>
    <n v="52.118000000000002"/>
    <n v="52.118000000000002"/>
    <n v="52.118000000000002"/>
    <n v="52.118000000000002"/>
    <n v="0"/>
    <x v="1"/>
    <n v="0"/>
    <n v="42"/>
    <n v="46"/>
    <n v="75"/>
    <n v="55.8"/>
    <n v="102.62"/>
    <n v="159.43"/>
    <n v="54.291596185772413"/>
    <n v="181.53179145831209"/>
    <n v="322.27888250425127"/>
    <n v="129344.4"/>
    <n v="5348.3491600000007"/>
    <n v="8309.17274"/>
    <n v="125847.91995862045"/>
    <n v="9461.0739072243105"/>
    <n v="16796.530798356569"/>
  </r>
  <r>
    <s v="Sistema de Compensação"/>
    <x v="3"/>
    <x v="1"/>
    <x v="3"/>
    <x v="0"/>
    <x v="0"/>
    <x v="1"/>
    <x v="2"/>
    <x v="2"/>
    <n v="336"/>
    <n v="336"/>
    <n v="2.097"/>
    <n v="2.097"/>
    <n v="2.097"/>
    <n v="2.097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215.19414"/>
    <n v="334.32471000000004"/>
    <n v="18241.976318419529"/>
    <n v="380.67216668808044"/>
    <n v="675.81881661141495"/>
  </r>
  <r>
    <s v="Regular"/>
    <x v="3"/>
    <x v="1"/>
    <x v="3"/>
    <x v="0"/>
    <x v="0"/>
    <x v="1"/>
    <x v="2"/>
    <x v="3"/>
    <n v="2304"/>
    <n v="2304"/>
    <n v="58.037999999999997"/>
    <n v="58.037999999999997"/>
    <n v="58.037999999999997"/>
    <n v="58.037999999999997"/>
    <n v="0"/>
    <x v="1"/>
    <n v="0"/>
    <n v="42"/>
    <n v="46"/>
    <n v="75"/>
    <n v="55.8"/>
    <n v="102.62"/>
    <n v="159.43"/>
    <n v="54.291596185772413"/>
    <n v="181.53179145831209"/>
    <n v="322.27888250425127"/>
    <n v="128563.2"/>
    <n v="5955.8595599999999"/>
    <n v="9252.9983400000001"/>
    <n v="125087.83761201963"/>
    <n v="10535.742112657515"/>
    <n v="18704.421782781734"/>
  </r>
  <r>
    <s v="Sistema de Compensação"/>
    <x v="3"/>
    <x v="1"/>
    <x v="3"/>
    <x v="0"/>
    <x v="0"/>
    <x v="1"/>
    <x v="2"/>
    <x v="3"/>
    <n v="336"/>
    <n v="336"/>
    <n v="2.87"/>
    <n v="2.87"/>
    <n v="2.87"/>
    <n v="2.87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294.51940000000002"/>
    <n v="457.56410000000005"/>
    <n v="18241.976318419529"/>
    <n v="520.99624148535565"/>
    <n v="924.94039278720118"/>
  </r>
  <r>
    <s v="Regular"/>
    <x v="3"/>
    <x v="1"/>
    <x v="3"/>
    <x v="0"/>
    <x v="0"/>
    <x v="1"/>
    <x v="2"/>
    <x v="4"/>
    <n v="2329"/>
    <n v="2329"/>
    <n v="55.3"/>
    <n v="55.3"/>
    <n v="55.3"/>
    <n v="55.3"/>
    <n v="0"/>
    <x v="1"/>
    <n v="0"/>
    <n v="42"/>
    <n v="46"/>
    <n v="75"/>
    <n v="55.8"/>
    <n v="102.62"/>
    <n v="159.43"/>
    <n v="54.291596185772413"/>
    <n v="181.53179145831209"/>
    <n v="322.27888250425127"/>
    <n v="129958.2"/>
    <n v="5674.8859999999995"/>
    <n v="8816.4789999999994"/>
    <n v="126445.12751666395"/>
    <n v="10038.708067644659"/>
    <n v="17822.022202485095"/>
  </r>
  <r>
    <s v="Sistema de Compensação"/>
    <x v="3"/>
    <x v="1"/>
    <x v="3"/>
    <x v="0"/>
    <x v="0"/>
    <x v="1"/>
    <x v="2"/>
    <x v="4"/>
    <n v="336"/>
    <n v="336"/>
    <n v="2.734"/>
    <n v="2.734"/>
    <n v="2.734"/>
    <n v="2.734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280.56308000000001"/>
    <n v="435.88162"/>
    <n v="18241.976318419529"/>
    <n v="496.30791784702524"/>
    <n v="881.11046476662295"/>
  </r>
  <r>
    <s v="Regular"/>
    <x v="3"/>
    <x v="1"/>
    <x v="3"/>
    <x v="0"/>
    <x v="0"/>
    <x v="1"/>
    <x v="2"/>
    <x v="5"/>
    <n v="2347"/>
    <n v="2347"/>
    <n v="64.900000000000006"/>
    <n v="64.900000000000006"/>
    <n v="64.900000000000006"/>
    <n v="64.900000000000006"/>
    <n v="0"/>
    <x v="1"/>
    <n v="0"/>
    <n v="42"/>
    <n v="46"/>
    <n v="75"/>
    <n v="55.8"/>
    <n v="102.62"/>
    <n v="159.43"/>
    <n v="54.291596185772413"/>
    <n v="181.53179145831209"/>
    <n v="322.27888250425127"/>
    <n v="130962.59999999999"/>
    <n v="6660.0380000000005"/>
    <n v="10347.007000000001"/>
    <n v="127422.37624800786"/>
    <n v="11781.413265644456"/>
    <n v="20915.899474525908"/>
  </r>
  <r>
    <s v="Sistema de Compensação"/>
    <x v="3"/>
    <x v="1"/>
    <x v="3"/>
    <x v="0"/>
    <x v="0"/>
    <x v="1"/>
    <x v="2"/>
    <x v="5"/>
    <n v="336"/>
    <n v="336"/>
    <n v="3.415"/>
    <n v="3.415"/>
    <n v="3.415"/>
    <n v="3.415"/>
    <n v="0"/>
    <x v="1"/>
    <n v="0"/>
    <n v="42"/>
    <n v="46"/>
    <n v="75"/>
    <n v="55.8"/>
    <n v="102.62"/>
    <n v="159.43"/>
    <n v="54.291596185772413"/>
    <n v="181.53179145831209"/>
    <n v="322.27888250425127"/>
    <n v="18748.8"/>
    <n v="350.44730000000004"/>
    <n v="544.45344999999998"/>
    <n v="18241.976318419529"/>
    <n v="619.93106783013582"/>
    <n v="1100.5823837520181"/>
  </r>
  <r>
    <s v="Regular"/>
    <x v="3"/>
    <x v="1"/>
    <x v="3"/>
    <x v="0"/>
    <x v="0"/>
    <x v="1"/>
    <x v="2"/>
    <x v="6"/>
    <n v="2480"/>
    <n v="2480"/>
    <n v="73.786000000000001"/>
    <n v="73.786000000000001"/>
    <n v="73.786000000000001"/>
    <n v="73.786000000000001"/>
    <n v="0"/>
    <x v="1"/>
    <n v="0"/>
    <n v="42"/>
    <n v="46"/>
    <n v="75"/>
    <n v="55.8"/>
    <n v="102.62"/>
    <n v="159.43"/>
    <n v="54.291596185772413"/>
    <n v="181.53179145831209"/>
    <n v="322.27888250425127"/>
    <n v="138384"/>
    <n v="7571.9193200000009"/>
    <n v="11763.70198"/>
    <n v="134643.15854071558"/>
    <n v="13394.504764543015"/>
    <n v="23779.669624458686"/>
  </r>
  <r>
    <s v="Sistema de Compensação"/>
    <x v="3"/>
    <x v="1"/>
    <x v="3"/>
    <x v="0"/>
    <x v="0"/>
    <x v="1"/>
    <x v="2"/>
    <x v="6"/>
    <n v="272"/>
    <n v="272"/>
    <n v="1.901"/>
    <n v="1.901"/>
    <n v="1.901"/>
    <n v="1.901"/>
    <n v="0"/>
    <x v="1"/>
    <n v="0"/>
    <n v="42"/>
    <n v="46"/>
    <n v="75"/>
    <n v="55.8"/>
    <n v="102.62"/>
    <n v="159.43"/>
    <n v="54.291596185772413"/>
    <n v="181.53179145831209"/>
    <n v="322.27888250425127"/>
    <n v="15177.599999999999"/>
    <n v="195.08062000000001"/>
    <n v="303.07643000000002"/>
    <n v="14767.314162530096"/>
    <n v="345.09193556225125"/>
    <n v="612.65215564058167"/>
  </r>
  <r>
    <s v="Regular"/>
    <x v="3"/>
    <x v="1"/>
    <x v="3"/>
    <x v="0"/>
    <x v="0"/>
    <x v="1"/>
    <x v="2"/>
    <x v="7"/>
    <n v="2337"/>
    <n v="2337"/>
    <n v="57.081000000000003"/>
    <n v="57.081000000000003"/>
    <n v="57.081000000000003"/>
    <n v="57.081000000000003"/>
    <n v="0"/>
    <x v="1"/>
    <n v="0"/>
    <n v="42"/>
    <n v="46"/>
    <n v="75"/>
    <n v="55.8"/>
    <n v="102.62"/>
    <n v="159.43"/>
    <n v="54.291596185772413"/>
    <n v="181.53179145831209"/>
    <n v="322.27888250425127"/>
    <n v="130404.59999999999"/>
    <n v="5857.6522200000009"/>
    <n v="9100.4238300000015"/>
    <n v="126879.46028615013"/>
    <n v="10362.016188231913"/>
    <n v="18396.000892225169"/>
  </r>
  <r>
    <s v="Sistema de Compensação"/>
    <x v="3"/>
    <x v="1"/>
    <x v="3"/>
    <x v="0"/>
    <x v="0"/>
    <x v="1"/>
    <x v="2"/>
    <x v="7"/>
    <n v="232"/>
    <n v="232"/>
    <n v="1.857"/>
    <n v="1.857"/>
    <n v="1.857"/>
    <n v="1.857"/>
    <n v="0"/>
    <x v="1"/>
    <n v="0"/>
    <n v="42"/>
    <n v="46"/>
    <n v="75"/>
    <n v="55.8"/>
    <n v="102.62"/>
    <n v="159.43"/>
    <n v="54.291596185772413"/>
    <n v="181.53179145831209"/>
    <n v="322.27888250425127"/>
    <n v="12945.599999999999"/>
    <n v="190.56534000000002"/>
    <n v="296.06151"/>
    <n v="12595.650315099199"/>
    <n v="337.10453673808553"/>
    <n v="598.47188481039461"/>
  </r>
  <r>
    <s v="Sistema de Compensação"/>
    <x v="3"/>
    <x v="1"/>
    <x v="3"/>
    <x v="0"/>
    <x v="0"/>
    <x v="1"/>
    <x v="2"/>
    <x v="7"/>
    <n v="0"/>
    <n v="0"/>
    <n v="0.48599999999999999"/>
    <n v="0.48599999999999999"/>
    <n v="0.48599999999999999"/>
    <n v="0.48599999999999999"/>
    <n v="0"/>
    <x v="1"/>
    <n v="0"/>
    <n v="0"/>
    <n v="46"/>
    <n v="75"/>
    <n v="0"/>
    <n v="102.62"/>
    <n v="159.43"/>
    <n v="54.291596185772413"/>
    <n v="181.53179145831209"/>
    <n v="322.27888250425127"/>
    <n v="0"/>
    <n v="49.87332"/>
    <n v="77.482979999999998"/>
    <n v="0"/>
    <n v="88.224450648739676"/>
    <n v="156.62753689706611"/>
  </r>
  <r>
    <s v="Regular"/>
    <x v="3"/>
    <x v="1"/>
    <x v="3"/>
    <x v="0"/>
    <x v="0"/>
    <x v="1"/>
    <x v="2"/>
    <x v="8"/>
    <n v="2371"/>
    <n v="2371"/>
    <n v="79.658000000000001"/>
    <n v="79.658000000000001"/>
    <n v="79.658000000000001"/>
    <n v="79.658000000000001"/>
    <n v="0"/>
    <x v="1"/>
    <n v="0"/>
    <n v="42"/>
    <n v="46"/>
    <n v="75"/>
    <n v="55.8"/>
    <n v="102.62"/>
    <n v="159.43"/>
    <n v="54.291596185772413"/>
    <n v="181.53179145831209"/>
    <n v="322.27888250425127"/>
    <n v="132301.79999999999"/>
    <n v="8174.5039600000009"/>
    <n v="12699.874940000002"/>
    <n v="128725.37455646638"/>
    <n v="14460.459443986225"/>
    <n v="25672.09122252365"/>
  </r>
  <r>
    <s v="Sistema de Compensação"/>
    <x v="3"/>
    <x v="1"/>
    <x v="3"/>
    <x v="0"/>
    <x v="0"/>
    <x v="1"/>
    <x v="2"/>
    <x v="8"/>
    <n v="282"/>
    <n v="282"/>
    <n v="3.887"/>
    <n v="3.887"/>
    <n v="3.887"/>
    <n v="3.887"/>
    <n v="0"/>
    <x v="1"/>
    <n v="0"/>
    <n v="42"/>
    <n v="46"/>
    <n v="75"/>
    <n v="55.8"/>
    <n v="102.62"/>
    <n v="159.43"/>
    <n v="54.291596185772413"/>
    <n v="181.53179145831209"/>
    <n v="322.27888250425127"/>
    <n v="15735.599999999999"/>
    <n v="398.88394"/>
    <n v="619.70441000000005"/>
    <n v="15310.230124387821"/>
    <n v="705.61407339845903"/>
    <n v="1252.6980162940247"/>
  </r>
  <r>
    <s v="Regular"/>
    <x v="3"/>
    <x v="1"/>
    <x v="3"/>
    <x v="0"/>
    <x v="0"/>
    <x v="1"/>
    <x v="2"/>
    <x v="9"/>
    <n v="2394"/>
    <n v="2394"/>
    <n v="73.813999999999993"/>
    <n v="73.813999999999993"/>
    <n v="73.813999999999993"/>
    <n v="73.813999999999993"/>
    <n v="0"/>
    <x v="1"/>
    <n v="0"/>
    <n v="42"/>
    <n v="46"/>
    <n v="75"/>
    <n v="55.8"/>
    <n v="102.62"/>
    <n v="159.43"/>
    <n v="54.291596185772413"/>
    <n v="181.53179145831209"/>
    <n v="322.27888250425127"/>
    <n v="133585.19999999998"/>
    <n v="7574.7926799999996"/>
    <n v="11768.166019999999"/>
    <n v="129974.08126873916"/>
    <n v="13399.587654703848"/>
    <n v="23788.693433168803"/>
  </r>
  <r>
    <s v="Sistema de Compensação"/>
    <x v="3"/>
    <x v="1"/>
    <x v="3"/>
    <x v="0"/>
    <x v="0"/>
    <x v="1"/>
    <x v="2"/>
    <x v="9"/>
    <n v="456"/>
    <n v="456"/>
    <n v="2.181"/>
    <n v="2.181"/>
    <n v="2.181"/>
    <n v="2.181"/>
    <n v="0"/>
    <x v="1"/>
    <n v="0"/>
    <n v="42"/>
    <n v="46"/>
    <n v="75"/>
    <n v="55.8"/>
    <n v="102.62"/>
    <n v="159.43"/>
    <n v="54.291596185772413"/>
    <n v="181.53179145831209"/>
    <n v="322.27888250425127"/>
    <n v="25444.799999999999"/>
    <n v="223.81422000000001"/>
    <n v="347.71683000000002"/>
    <n v="24756.967860712219"/>
    <n v="395.92083717057869"/>
    <n v="702.890242741772"/>
  </r>
  <r>
    <s v="Regular"/>
    <x v="3"/>
    <x v="1"/>
    <x v="3"/>
    <x v="0"/>
    <x v="0"/>
    <x v="1"/>
    <x v="2"/>
    <x v="10"/>
    <n v="2262"/>
    <n v="2262"/>
    <n v="74.406999999999996"/>
    <n v="74.406999999999996"/>
    <n v="74.406999999999996"/>
    <n v="74.406999999999996"/>
    <n v="0"/>
    <x v="1"/>
    <n v="0"/>
    <n v="42"/>
    <n v="46"/>
    <n v="75"/>
    <n v="55.8"/>
    <n v="102.62"/>
    <n v="159.43"/>
    <n v="54.291596185772413"/>
    <n v="181.53179145831209"/>
    <n v="322.27888250425127"/>
    <n v="126219.59999999999"/>
    <n v="7635.6463400000002"/>
    <n v="11862.70801"/>
    <n v="122807.5905722172"/>
    <n v="13507.236007038628"/>
    <n v="23979.804810493824"/>
  </r>
  <r>
    <s v="Sistema de Compensação"/>
    <x v="3"/>
    <x v="1"/>
    <x v="3"/>
    <x v="0"/>
    <x v="0"/>
    <x v="1"/>
    <x v="2"/>
    <x v="10"/>
    <n v="180"/>
    <n v="180"/>
    <n v="0.871"/>
    <n v="0.871"/>
    <n v="0.871"/>
    <n v="0.871"/>
    <n v="0"/>
    <x v="1"/>
    <n v="0"/>
    <n v="42"/>
    <n v="46"/>
    <n v="75"/>
    <n v="55.8"/>
    <n v="102.62"/>
    <n v="159.43"/>
    <n v="54.291596185772413"/>
    <n v="181.53179145831209"/>
    <n v="322.27888250425127"/>
    <n v="10044"/>
    <n v="89.382019999999997"/>
    <n v="138.86353"/>
    <n v="9772.4873134390346"/>
    <n v="158.11419036018984"/>
    <n v="280.70490666120287"/>
  </r>
  <r>
    <s v="Sistema de Compensação"/>
    <x v="3"/>
    <x v="1"/>
    <x v="3"/>
    <x v="0"/>
    <x v="0"/>
    <x v="1"/>
    <x v="2"/>
    <x v="10"/>
    <n v="-378"/>
    <n v="-378"/>
    <n v="-7.8170000000000002"/>
    <n v="-7.8170000000000002"/>
    <n v="-7.8170000000000002"/>
    <n v="-7.8170000000000002"/>
    <n v="0"/>
    <x v="1"/>
    <n v="0"/>
    <n v="42"/>
    <n v="46"/>
    <n v="75"/>
    <n v="55.8"/>
    <n v="102.62"/>
    <n v="159.43"/>
    <n v="54.291596185772413"/>
    <n v="181.53179145831209"/>
    <n v="322.27888250425127"/>
    <n v="-21092.399999999998"/>
    <n v="-802.18054000000006"/>
    <n v="-1246.26431"/>
    <n v="-20522.223358221971"/>
    <n v="-1419.0340138296256"/>
    <n v="-2519.2540245357322"/>
  </r>
  <r>
    <s v="PROJETADO"/>
    <x v="3"/>
    <x v="1"/>
    <x v="3"/>
    <x v="0"/>
    <x v="0"/>
    <x v="1"/>
    <x v="2"/>
    <x v="11"/>
    <n v="2262"/>
    <n v="2262"/>
    <n v="74.406999999999996"/>
    <n v="74.406999999999996"/>
    <n v="74.406999999999996"/>
    <n v="74.406999999999996"/>
    <n v="0"/>
    <x v="1"/>
    <n v="0"/>
    <n v="42"/>
    <n v="46"/>
    <n v="75"/>
    <n v="55.8"/>
    <n v="102.62"/>
    <n v="159.43"/>
    <n v="54.291596185772413"/>
    <n v="181.53179145831209"/>
    <n v="322.27888250425127"/>
    <n v="126219.59999999999"/>
    <n v="7635.6463400000002"/>
    <n v="11862.70801"/>
    <n v="122807.5905722172"/>
    <n v="13507.236007038628"/>
    <n v="23979.804810493824"/>
  </r>
  <r>
    <s v="PROJETADO"/>
    <x v="3"/>
    <x v="1"/>
    <x v="3"/>
    <x v="0"/>
    <x v="0"/>
    <x v="1"/>
    <x v="2"/>
    <x v="11"/>
    <n v="180"/>
    <n v="180"/>
    <n v="0.871"/>
    <n v="0.871"/>
    <n v="0.871"/>
    <n v="0.871"/>
    <n v="0"/>
    <x v="1"/>
    <n v="0"/>
    <n v="42"/>
    <n v="46"/>
    <n v="75"/>
    <n v="55.8"/>
    <n v="102.62"/>
    <n v="159.43"/>
    <n v="54.291596185772413"/>
    <n v="181.53179145831209"/>
    <n v="322.27888250425127"/>
    <n v="10044"/>
    <n v="89.382019999999997"/>
    <n v="138.86353"/>
    <n v="9772.4873134390346"/>
    <n v="158.11419036018984"/>
    <n v="280.70490666120287"/>
  </r>
  <r>
    <s v="PROJETADO"/>
    <x v="3"/>
    <x v="1"/>
    <x v="3"/>
    <x v="0"/>
    <x v="0"/>
    <x v="1"/>
    <x v="2"/>
    <x v="11"/>
    <n v="-378"/>
    <n v="-378"/>
    <n v="-7.8170000000000002"/>
    <n v="-7.8170000000000002"/>
    <n v="-7.8170000000000002"/>
    <n v="-7.8170000000000002"/>
    <n v="0"/>
    <x v="1"/>
    <n v="0"/>
    <n v="42"/>
    <n v="46"/>
    <n v="75"/>
    <n v="55.8"/>
    <n v="102.62"/>
    <n v="159.43"/>
    <n v="54.291596185772413"/>
    <n v="181.53179145831209"/>
    <n v="322.27888250425127"/>
    <n v="-21092.399999999998"/>
    <n v="-802.18054000000006"/>
    <n v="-1246.26431"/>
    <n v="-20522.223358221971"/>
    <n v="-1419.0340138296256"/>
    <n v="-2519.2540245357322"/>
  </r>
  <r>
    <s v="Regular"/>
    <x v="3"/>
    <x v="1"/>
    <x v="4"/>
    <x v="1"/>
    <x v="0"/>
    <x v="1"/>
    <x v="1"/>
    <x v="0"/>
    <n v="1440"/>
    <n v="1224"/>
    <n v="758.4"/>
    <n v="712.89599999999996"/>
    <n v="758.4"/>
    <n v="712.89599999999996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73157.387520000004"/>
    <n v="73499.57759999999"/>
    <n v="25954.783685090388"/>
    <n v="129413.28800346484"/>
    <n v="153767.59561999876"/>
  </r>
  <r>
    <s v="Regular"/>
    <x v="3"/>
    <x v="1"/>
    <x v="4"/>
    <x v="1"/>
    <x v="0"/>
    <x v="1"/>
    <x v="1"/>
    <x v="1"/>
    <n v="1440"/>
    <n v="1224"/>
    <n v="745.9"/>
    <n v="701.14599999999996"/>
    <n v="745.9"/>
    <n v="701.14599999999996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71951.60252"/>
    <n v="72288.152599999987"/>
    <n v="25954.783685090388"/>
    <n v="127280.28945382968"/>
    <n v="151233.18772805523"/>
  </r>
  <r>
    <s v="Regular"/>
    <x v="3"/>
    <x v="1"/>
    <x v="4"/>
    <x v="1"/>
    <x v="0"/>
    <x v="1"/>
    <x v="1"/>
    <x v="2"/>
    <n v="1440"/>
    <n v="1224"/>
    <n v="805.87199999999996"/>
    <n v="757.51967999999988"/>
    <n v="805.87199999999996"/>
    <n v="757.51967999999988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77736.669561599992"/>
    <n v="78100.279007999983"/>
    <n v="25954.783685090388"/>
    <n v="137513.90457532729"/>
    <n v="163392.66853570627"/>
  </r>
  <r>
    <s v="Regular"/>
    <x v="3"/>
    <x v="1"/>
    <x v="4"/>
    <x v="1"/>
    <x v="0"/>
    <x v="1"/>
    <x v="1"/>
    <x v="3"/>
    <n v="1440"/>
    <n v="1224"/>
    <n v="769.41099999999994"/>
    <n v="723.24633999999992"/>
    <n v="769.41099999999994"/>
    <n v="723.24633999999992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74219.539410799989"/>
    <n v="74566.697653999989"/>
    <n v="25954.783685090388"/>
    <n v="131292.20376586745"/>
    <n v="156000.10484385397"/>
  </r>
  <r>
    <s v="Regular"/>
    <x v="3"/>
    <x v="1"/>
    <x v="4"/>
    <x v="1"/>
    <x v="0"/>
    <x v="1"/>
    <x v="1"/>
    <x v="4"/>
    <n v="1440"/>
    <n v="1224"/>
    <n v="755.971"/>
    <n v="710.61273999999992"/>
    <n v="755.971"/>
    <n v="710.61273999999992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72923.079378800001"/>
    <n v="73264.173493999988"/>
    <n v="25954.783685090388"/>
    <n v="128998.80372529973"/>
    <n v="153275.10947843629"/>
  </r>
  <r>
    <s v="Regular"/>
    <x v="3"/>
    <x v="1"/>
    <x v="4"/>
    <x v="1"/>
    <x v="0"/>
    <x v="1"/>
    <x v="1"/>
    <x v="5"/>
    <n v="1440"/>
    <n v="1224"/>
    <n v="719.404"/>
    <n v="676.23975999999993"/>
    <n v="719.404"/>
    <n v="676.23975999999993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69395.724171199996"/>
    <n v="69720.319255999988"/>
    <n v="25954.783685090388"/>
    <n v="122759.015088139"/>
    <n v="145861.05400766031"/>
  </r>
  <r>
    <s v="Regular"/>
    <x v="3"/>
    <x v="1"/>
    <x v="4"/>
    <x v="1"/>
    <x v="0"/>
    <x v="1"/>
    <x v="1"/>
    <x v="6"/>
    <n v="1440"/>
    <n v="1224"/>
    <n v="664.29100000000005"/>
    <n v="624.43353999999999"/>
    <n v="664.29100000000005"/>
    <n v="624.43353999999999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64079.369874800002"/>
    <n v="64379.097973999997"/>
    <n v="25954.783685090388"/>
    <n v="113354.53916285558"/>
    <n v="134686.74823576555"/>
  </r>
  <r>
    <s v="Refaturamento - Regular"/>
    <x v="3"/>
    <x v="1"/>
    <x v="4"/>
    <x v="1"/>
    <x v="0"/>
    <x v="1"/>
    <x v="1"/>
    <x v="7"/>
    <n v="1440"/>
    <n v="1224"/>
    <n v="260.39999999999998"/>
    <n v="244.77599999999995"/>
    <n v="260.39999999999998"/>
    <n v="244.77599999999995"/>
    <n v="0"/>
    <x v="1"/>
    <n v="0"/>
    <n v="43"/>
    <n v="46"/>
    <n v="76"/>
    <n v="21.38"/>
    <n v="102.62"/>
    <n v="103.1"/>
    <n v="21.204888631609794"/>
    <n v="181.53179145831209"/>
    <n v="215.6942886760464"/>
    <n v="26169.119999999999"/>
    <n v="25118.913119999997"/>
    <n v="25236.405599999995"/>
    <n v="25954.783685090388"/>
    <n v="44434.625785999793"/>
    <n v="52796.78520496792"/>
  </r>
  <r>
    <s v="Regular"/>
    <x v="3"/>
    <x v="1"/>
    <x v="4"/>
    <x v="1"/>
    <x v="0"/>
    <x v="1"/>
    <x v="1"/>
    <x v="8"/>
    <n v="1075"/>
    <n v="913.75"/>
    <n v="579.24400000000003"/>
    <n v="544.48936000000003"/>
    <n v="579.24400000000003"/>
    <n v="544.48936000000003"/>
    <n v="0"/>
    <x v="1"/>
    <n v="0"/>
    <n v="43"/>
    <n v="46"/>
    <n v="76"/>
    <n v="21.38"/>
    <n v="102.62"/>
    <n v="103.1"/>
    <n v="21.204888631609794"/>
    <n v="181.53179145831209"/>
    <n v="215.6942886760464"/>
    <n v="19535.974999999999"/>
    <n v="55875.498123200006"/>
    <n v="56136.853016000001"/>
    <n v="19375.966987133448"/>
    <n v="98842.128950789818"/>
    <n v="117443.24519687575"/>
  </r>
  <r>
    <s v="Refaturamento - Regular"/>
    <x v="3"/>
    <x v="1"/>
    <x v="4"/>
    <x v="1"/>
    <x v="0"/>
    <x v="1"/>
    <x v="1"/>
    <x v="8"/>
    <n v="0"/>
    <n v="0"/>
    <n v="414.90199999999999"/>
    <n v="390.00787999999994"/>
    <n v="414.90199999999999"/>
    <n v="390.00787999999994"/>
    <n v="0"/>
    <x v="1"/>
    <n v="0"/>
    <n v="0"/>
    <n v="46"/>
    <n v="76"/>
    <n v="0"/>
    <n v="102.62"/>
    <n v="103.1"/>
    <n v="21.204888631609794"/>
    <n v="181.53179145831209"/>
    <n v="215.6942886760464"/>
    <n v="0"/>
    <n v="40022.608645599998"/>
    <n v="40209.81242799999"/>
    <n v="0"/>
    <n v="70798.829139258392"/>
    <n v="84122.47225465285"/>
  </r>
  <r>
    <s v="Regular"/>
    <x v="3"/>
    <x v="1"/>
    <x v="4"/>
    <x v="1"/>
    <x v="0"/>
    <x v="1"/>
    <x v="1"/>
    <x v="9"/>
    <n v="1113"/>
    <n v="946.05"/>
    <n v="551.00099999999998"/>
    <n v="517.94093999999996"/>
    <n v="551.00099999999998"/>
    <n v="517.94093999999996"/>
    <n v="0"/>
    <x v="1"/>
    <n v="0"/>
    <n v="43"/>
    <n v="46"/>
    <n v="76"/>
    <n v="21.38"/>
    <n v="102.62"/>
    <n v="103.1"/>
    <n v="21.204888631609794"/>
    <n v="181.53179145831209"/>
    <n v="215.6942886760464"/>
    <n v="20226.548999999999"/>
    <n v="53151.099262799995"/>
    <n v="53399.710913999996"/>
    <n v="20060.884889934445"/>
    <n v="94022.746707802129"/>
    <n v="111716.90262950282"/>
  </r>
  <r>
    <s v="Regular"/>
    <x v="3"/>
    <x v="1"/>
    <x v="4"/>
    <x v="1"/>
    <x v="0"/>
    <x v="1"/>
    <x v="1"/>
    <x v="10"/>
    <n v="1113"/>
    <n v="946.05"/>
    <n v="617.971"/>
    <n v="580.89274"/>
    <n v="617.971"/>
    <n v="580.89274"/>
    <n v="0"/>
    <x v="1"/>
    <n v="0"/>
    <n v="43"/>
    <n v="46"/>
    <n v="76"/>
    <n v="21.38"/>
    <n v="102.62"/>
    <n v="103.1"/>
    <n v="21.204888631609794"/>
    <n v="181.53179145831209"/>
    <n v="215.6942886760464"/>
    <n v="20226.548999999999"/>
    <n v="59611.212978800002"/>
    <n v="59890.041493999997"/>
    <n v="20060.884889934445"/>
    <n v="105450.4997373275"/>
    <n v="125295.24635137957"/>
  </r>
  <r>
    <s v="PROJETADO"/>
    <x v="3"/>
    <x v="1"/>
    <x v="4"/>
    <x v="1"/>
    <x v="0"/>
    <x v="1"/>
    <x v="1"/>
    <x v="11"/>
    <n v="1113"/>
    <n v="946.05"/>
    <n v="617.971"/>
    <n v="580.89274"/>
    <n v="617.971"/>
    <n v="580.89274"/>
    <n v="0"/>
    <x v="1"/>
    <n v="0"/>
    <n v="43"/>
    <n v="46"/>
    <n v="76"/>
    <n v="21.38"/>
    <n v="102.62"/>
    <n v="103.1"/>
    <n v="21.204888631609794"/>
    <n v="181.53179145831209"/>
    <n v="215.6942886760464"/>
    <n v="20226.548999999999"/>
    <n v="59611.212978800002"/>
    <n v="59890.041493999997"/>
    <n v="20060.884889934445"/>
    <n v="105450.4997373275"/>
    <n v="125295.24635137957"/>
  </r>
  <r>
    <s v="Regular"/>
    <x v="3"/>
    <x v="1"/>
    <x v="4"/>
    <x v="1"/>
    <x v="0"/>
    <x v="1"/>
    <x v="2"/>
    <x v="0"/>
    <n v="1344"/>
    <n v="1142.3999999999999"/>
    <n v="76.8"/>
    <n v="72.191999999999993"/>
    <n v="76.8"/>
    <n v="72.191999999999993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7408.3430399999997"/>
    <n v="11509.57056"/>
    <n v="62022.719482626395"/>
    <n v="13105.143088958464"/>
    <n v="23265.957085746904"/>
  </r>
  <r>
    <s v="Regular"/>
    <x v="3"/>
    <x v="1"/>
    <x v="4"/>
    <x v="1"/>
    <x v="0"/>
    <x v="1"/>
    <x v="2"/>
    <x v="1"/>
    <n v="1344"/>
    <n v="1142.3999999999999"/>
    <n v="74.236000000000004"/>
    <n v="69.781840000000003"/>
    <n v="74.236000000000004"/>
    <n v="69.781840000000003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7161.0124208000007"/>
    <n v="11125.3187512"/>
    <n v="62022.719482626395"/>
    <n v="12667.622426457301"/>
    <n v="22489.213414290462"/>
  </r>
  <r>
    <s v="Regular"/>
    <x v="3"/>
    <x v="1"/>
    <x v="4"/>
    <x v="1"/>
    <x v="0"/>
    <x v="1"/>
    <x v="2"/>
    <x v="2"/>
    <n v="1344"/>
    <n v="1142.3999999999999"/>
    <n v="82.531000000000006"/>
    <n v="77.579139999999995"/>
    <n v="82.531000000000006"/>
    <n v="77.579139999999995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7961.1713467999998"/>
    <n v="12368.442290200001"/>
    <n v="62022.719482626395"/>
    <n v="14083.080263995196"/>
    <n v="25002.118544840858"/>
  </r>
  <r>
    <s v="Regular"/>
    <x v="3"/>
    <x v="1"/>
    <x v="4"/>
    <x v="1"/>
    <x v="0"/>
    <x v="1"/>
    <x v="2"/>
    <x v="3"/>
    <n v="1344"/>
    <n v="1142.3999999999999"/>
    <n v="76.837999999999994"/>
    <n v="72.227719999999991"/>
    <n v="76.837999999999994"/>
    <n v="72.227719999999991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7412.0086263999992"/>
    <n v="11515.265399599999"/>
    <n v="62022.719482626395"/>
    <n v="13111.627404549356"/>
    <n v="23277.468887429957"/>
  </r>
  <r>
    <s v="Regular"/>
    <x v="3"/>
    <x v="1"/>
    <x v="4"/>
    <x v="1"/>
    <x v="0"/>
    <x v="1"/>
    <x v="2"/>
    <x v="4"/>
    <n v="1344"/>
    <n v="1142.3999999999999"/>
    <n v="65.721000000000004"/>
    <n v="61.777740000000001"/>
    <n v="65.721000000000004"/>
    <n v="61.777740000000001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6339.6316788000004"/>
    <n v="9849.2250882000008"/>
    <n v="62022.719482626395"/>
    <n v="11214.623814445826"/>
    <n v="19909.661010838183"/>
  </r>
  <r>
    <s v="Regular"/>
    <x v="3"/>
    <x v="1"/>
    <x v="4"/>
    <x v="1"/>
    <x v="0"/>
    <x v="1"/>
    <x v="2"/>
    <x v="5"/>
    <n v="1344"/>
    <n v="1142.3999999999999"/>
    <n v="69.638000000000005"/>
    <n v="65.459720000000004"/>
    <n v="69.638000000000005"/>
    <n v="65.459720000000004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6717.4764664000004"/>
    <n v="10436.243159600001"/>
    <n v="62022.719482626395"/>
    <n v="11883.020239959502"/>
    <n v="21096.285410641187"/>
  </r>
  <r>
    <s v="Regular"/>
    <x v="3"/>
    <x v="1"/>
    <x v="4"/>
    <x v="1"/>
    <x v="0"/>
    <x v="1"/>
    <x v="2"/>
    <x v="6"/>
    <n v="1344"/>
    <n v="1142.3999999999999"/>
    <n v="65.289000000000001"/>
    <n v="61.371659999999999"/>
    <n v="65.289000000000001"/>
    <n v="61.371659999999999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6297.9597492000003"/>
    <n v="9784.4837538000011"/>
    <n v="62022.719482626395"/>
    <n v="11140.907384570433"/>
    <n v="19778.790002230857"/>
  </r>
  <r>
    <s v="Refaturamento - Regular"/>
    <x v="3"/>
    <x v="1"/>
    <x v="4"/>
    <x v="1"/>
    <x v="0"/>
    <x v="1"/>
    <x v="2"/>
    <x v="7"/>
    <n v="1344"/>
    <n v="1142.3999999999999"/>
    <n v="23.366"/>
    <n v="21.964039999999997"/>
    <n v="23.366"/>
    <n v="21.964039999999997"/>
    <n v="0"/>
    <x v="1"/>
    <n v="0"/>
    <n v="42"/>
    <n v="46"/>
    <n v="75"/>
    <n v="55.8"/>
    <n v="102.62"/>
    <n v="159.43"/>
    <n v="54.291596185772413"/>
    <n v="181.53179145831209"/>
    <n v="322.27888250425127"/>
    <n v="63745.919999999991"/>
    <n v="2253.9497847999996"/>
    <n v="3501.7268971999997"/>
    <n v="62022.719482626395"/>
    <n v="3987.1715288620244"/>
    <n v="7078.5462664786737"/>
  </r>
  <r>
    <s v="Regular"/>
    <x v="3"/>
    <x v="1"/>
    <x v="4"/>
    <x v="1"/>
    <x v="0"/>
    <x v="1"/>
    <x v="2"/>
    <x v="8"/>
    <n v="1075"/>
    <n v="913.75"/>
    <n v="62.908000000000001"/>
    <n v="59.133519999999997"/>
    <n v="62.908000000000001"/>
    <n v="59.133519999999997"/>
    <n v="0"/>
    <x v="1"/>
    <n v="0"/>
    <n v="42"/>
    <n v="46"/>
    <n v="75"/>
    <n v="55.8"/>
    <n v="102.62"/>
    <n v="159.43"/>
    <n v="54.291596185772413"/>
    <n v="181.53179145831209"/>
    <n v="322.27888250425127"/>
    <n v="50987.25"/>
    <n v="6068.2818224000002"/>
    <n v="9427.6570936000007"/>
    <n v="49608.946014749541"/>
    <n v="10734.613820835926"/>
    <n v="19057.484744142792"/>
  </r>
  <r>
    <s v="Refaturamento - Regular"/>
    <x v="3"/>
    <x v="1"/>
    <x v="4"/>
    <x v="1"/>
    <x v="0"/>
    <x v="1"/>
    <x v="2"/>
    <x v="8"/>
    <n v="0"/>
    <n v="0"/>
    <n v="39.014000000000003"/>
    <n v="36.673160000000003"/>
    <n v="39.014000000000003"/>
    <n v="36.673160000000003"/>
    <n v="0"/>
    <x v="1"/>
    <n v="0"/>
    <n v="0"/>
    <n v="46"/>
    <n v="75"/>
    <n v="0"/>
    <n v="102.62"/>
    <n v="159.43"/>
    <n v="54.291596185772413"/>
    <n v="181.53179145831209"/>
    <n v="322.27888250425127"/>
    <n v="0"/>
    <n v="3763.3996792000003"/>
    <n v="5846.8018988000003"/>
    <n v="0"/>
    <n v="6657.3444332373128"/>
    <n v="11818.985022699608"/>
  </r>
  <r>
    <s v="Regular"/>
    <x v="3"/>
    <x v="1"/>
    <x v="4"/>
    <x v="1"/>
    <x v="0"/>
    <x v="1"/>
    <x v="2"/>
    <x v="9"/>
    <n v="1075"/>
    <n v="913.75"/>
    <n v="54.47"/>
    <n v="51.201799999999999"/>
    <n v="54.47"/>
    <n v="51.201799999999999"/>
    <n v="0"/>
    <x v="1"/>
    <n v="0"/>
    <n v="42"/>
    <n v="46"/>
    <n v="75"/>
    <n v="55.8"/>
    <n v="102.62"/>
    <n v="159.43"/>
    <n v="54.291596185772413"/>
    <n v="181.53179145831209"/>
    <n v="322.27888250425127"/>
    <n v="50987.25"/>
    <n v="5254.328716"/>
    <n v="8163.1029740000004"/>
    <n v="49608.946014749541"/>
    <n v="9294.7544798902036"/>
    <n v="16501.258886206171"/>
  </r>
  <r>
    <s v="Regular"/>
    <x v="3"/>
    <x v="1"/>
    <x v="4"/>
    <x v="1"/>
    <x v="0"/>
    <x v="1"/>
    <x v="2"/>
    <x v="10"/>
    <n v="1075"/>
    <n v="913.75"/>
    <n v="54.71"/>
    <n v="51.427399999999999"/>
    <n v="54.71"/>
    <n v="51.427399999999999"/>
    <n v="0"/>
    <x v="1"/>
    <n v="0"/>
    <n v="42"/>
    <n v="46"/>
    <n v="75"/>
    <n v="55.8"/>
    <n v="102.62"/>
    <n v="159.43"/>
    <n v="54.291596185772413"/>
    <n v="181.53179145831209"/>
    <n v="322.27888250425127"/>
    <n v="50987.25"/>
    <n v="5277.4797879999996"/>
    <n v="8199.0703819999999"/>
    <n v="49608.946014749541"/>
    <n v="9335.7080520431991"/>
    <n v="16573.965002099132"/>
  </r>
  <r>
    <s v="PROJETADO"/>
    <x v="3"/>
    <x v="1"/>
    <x v="4"/>
    <x v="1"/>
    <x v="0"/>
    <x v="1"/>
    <x v="2"/>
    <x v="11"/>
    <n v="1075"/>
    <n v="913.75"/>
    <n v="54.71"/>
    <n v="51.427399999999999"/>
    <n v="54.71"/>
    <n v="51.427399999999999"/>
    <n v="0"/>
    <x v="1"/>
    <n v="0"/>
    <n v="42"/>
    <n v="46"/>
    <n v="75"/>
    <n v="55.8"/>
    <n v="102.62"/>
    <n v="159.43"/>
    <n v="54.291596185772413"/>
    <n v="181.53179145831209"/>
    <n v="322.27888250425127"/>
    <n v="50987.25"/>
    <n v="5277.4797879999996"/>
    <n v="8199.0703819999999"/>
    <n v="49608.946014749541"/>
    <n v="9335.7080520431991"/>
    <n v="16573.965002099132"/>
  </r>
  <r>
    <s v="Regular"/>
    <x v="3"/>
    <x v="2"/>
    <x v="2"/>
    <x v="0"/>
    <x v="0"/>
    <x v="1"/>
    <x v="1"/>
    <x v="0"/>
    <n v="0"/>
    <n v="0"/>
    <n v="6876.8010000000004"/>
    <n v="6876.8010000000004"/>
    <n v="6876.8010000000004"/>
    <n v="6876.8010000000004"/>
    <n v="0"/>
    <x v="1"/>
    <n v="0"/>
    <n v="0"/>
    <n v="7"/>
    <n v="76"/>
    <n v="0"/>
    <n v="102.62"/>
    <n v="103.1"/>
    <m/>
    <n v="181.53179145831209"/>
    <n v="215.6942886760464"/>
    <n v="0"/>
    <n v="705697.31862000003"/>
    <n v="708998.18310000002"/>
    <n v="0"/>
    <n v="1248358.0050323121"/>
    <n v="1483286.7000617245"/>
  </r>
  <r>
    <s v="Sistema de Compensação"/>
    <x v="3"/>
    <x v="2"/>
    <x v="2"/>
    <x v="0"/>
    <x v="0"/>
    <x v="1"/>
    <x v="1"/>
    <x v="0"/>
    <n v="0"/>
    <n v="0"/>
    <n v="51.869"/>
    <n v="51.869"/>
    <n v="51.869"/>
    <n v="51.869"/>
    <n v="0"/>
    <x v="1"/>
    <n v="0"/>
    <n v="0"/>
    <n v="7"/>
    <n v="76"/>
    <n v="0"/>
    <n v="102.62"/>
    <n v="103.1"/>
    <m/>
    <n v="181.53179145831209"/>
    <n v="215.6942886760464"/>
    <n v="0"/>
    <n v="5322.7967800000006"/>
    <n v="5347.6938999999993"/>
    <n v="0"/>
    <n v="9415.872491151189"/>
    <n v="11187.84705933785"/>
  </r>
  <r>
    <s v="Regular"/>
    <x v="3"/>
    <x v="2"/>
    <x v="2"/>
    <x v="0"/>
    <x v="0"/>
    <x v="1"/>
    <x v="1"/>
    <x v="1"/>
    <n v="0"/>
    <n v="0"/>
    <n v="6060.0330000000004"/>
    <n v="6060.0330000000004"/>
    <n v="6060.0330000000004"/>
    <n v="6060.0330000000004"/>
    <n v="0"/>
    <x v="1"/>
    <n v="0"/>
    <n v="0"/>
    <n v="7"/>
    <n v="76"/>
    <n v="0"/>
    <n v="102.62"/>
    <n v="103.1"/>
    <m/>
    <n v="181.53179145831209"/>
    <n v="215.6942886760464"/>
    <n v="0"/>
    <n v="621880.58646000002"/>
    <n v="624789.40229999996"/>
    <n v="0"/>
    <n v="1100088.6467864895"/>
    <n v="1307114.5072883675"/>
  </r>
  <r>
    <s v="Refaturamento - Regular"/>
    <x v="3"/>
    <x v="2"/>
    <x v="2"/>
    <x v="0"/>
    <x v="0"/>
    <x v="1"/>
    <x v="1"/>
    <x v="1"/>
    <n v="0"/>
    <n v="0"/>
    <n v="-40.671999999999997"/>
    <n v="-40.671999999999997"/>
    <n v="-40.671999999999997"/>
    <n v="-40.671999999999997"/>
    <n v="0"/>
    <x v="1"/>
    <n v="0"/>
    <n v="0"/>
    <n v="7"/>
    <n v="76"/>
    <n v="0"/>
    <n v="102.62"/>
    <n v="103.1"/>
    <m/>
    <n v="181.53179145831209"/>
    <n v="215.6942886760464"/>
    <n v="0"/>
    <n v="-4173.7606399999995"/>
    <n v="-4193.2831999999999"/>
    <n v="0"/>
    <n v="-7383.2610221924688"/>
    <n v="-8772.7181090321592"/>
  </r>
  <r>
    <s v="Sistema de Compensação"/>
    <x v="3"/>
    <x v="2"/>
    <x v="2"/>
    <x v="0"/>
    <x v="0"/>
    <x v="1"/>
    <x v="1"/>
    <x v="1"/>
    <n v="0"/>
    <n v="0"/>
    <n v="61.966000000000001"/>
    <n v="61.966000000000001"/>
    <n v="61.966000000000001"/>
    <n v="61.966000000000001"/>
    <n v="0"/>
    <x v="1"/>
    <n v="0"/>
    <n v="0"/>
    <n v="7"/>
    <n v="76"/>
    <n v="0"/>
    <n v="102.62"/>
    <n v="103.1"/>
    <m/>
    <n v="181.53179145831209"/>
    <n v="215.6942886760464"/>
    <n v="0"/>
    <n v="6358.9509200000002"/>
    <n v="6388.6945999999998"/>
    <n v="0"/>
    <n v="11248.798989505767"/>
    <n v="13365.712292099892"/>
  </r>
  <r>
    <s v="Regular"/>
    <x v="3"/>
    <x v="2"/>
    <x v="2"/>
    <x v="0"/>
    <x v="0"/>
    <x v="1"/>
    <x v="1"/>
    <x v="2"/>
    <n v="0"/>
    <n v="0"/>
    <n v="6104.1469999999999"/>
    <n v="6104.1469999999999"/>
    <n v="6104.1469999999999"/>
    <n v="6104.1469999999999"/>
    <n v="0"/>
    <x v="1"/>
    <n v="0"/>
    <n v="0"/>
    <n v="7"/>
    <n v="76"/>
    <n v="0"/>
    <n v="102.62"/>
    <n v="103.1"/>
    <m/>
    <n v="181.53179145831209"/>
    <n v="215.6942886760464"/>
    <n v="0"/>
    <n v="626407.56514000008"/>
    <n v="629337.55569999991"/>
    <n v="0"/>
    <n v="1108096.7402348814"/>
    <n v="1316629.6451390225"/>
  </r>
  <r>
    <s v="Refaturamento - Regular"/>
    <x v="3"/>
    <x v="2"/>
    <x v="2"/>
    <x v="0"/>
    <x v="0"/>
    <x v="1"/>
    <x v="1"/>
    <x v="2"/>
    <n v="0"/>
    <n v="0"/>
    <n v="-0.82"/>
    <n v="-0.82"/>
    <n v="-0.82"/>
    <n v="-0.82"/>
    <n v="0"/>
    <x v="1"/>
    <n v="0"/>
    <n v="0"/>
    <n v="7"/>
    <n v="76"/>
    <n v="0"/>
    <n v="102.62"/>
    <n v="103.1"/>
    <m/>
    <n v="181.53179145831209"/>
    <n v="215.6942886760464"/>
    <n v="0"/>
    <n v="-84.148399999999995"/>
    <n v="-84.541999999999987"/>
    <n v="0"/>
    <n v="-148.85606899581589"/>
    <n v="-176.86931671435804"/>
  </r>
  <r>
    <s v="Sistema de Compensação"/>
    <x v="3"/>
    <x v="2"/>
    <x v="2"/>
    <x v="0"/>
    <x v="0"/>
    <x v="1"/>
    <x v="1"/>
    <x v="2"/>
    <n v="0"/>
    <n v="0"/>
    <n v="32.055999999999997"/>
    <n v="32.055999999999997"/>
    <n v="32.055999999999997"/>
    <n v="32.055999999999997"/>
    <n v="0"/>
    <x v="1"/>
    <n v="0"/>
    <n v="0"/>
    <n v="7"/>
    <n v="76"/>
    <n v="0"/>
    <n v="102.62"/>
    <n v="103.1"/>
    <m/>
    <n v="181.53179145831209"/>
    <n v="215.6942886760464"/>
    <n v="0"/>
    <n v="3289.5867199999998"/>
    <n v="3304.9735999999994"/>
    <n v="0"/>
    <n v="5819.1831069876516"/>
    <n v="6914.2961177993429"/>
  </r>
  <r>
    <s v="Regular"/>
    <x v="3"/>
    <x v="2"/>
    <x v="2"/>
    <x v="0"/>
    <x v="0"/>
    <x v="1"/>
    <x v="1"/>
    <x v="3"/>
    <n v="0"/>
    <n v="0"/>
    <n v="6523.6549999999997"/>
    <n v="6523.6549999999997"/>
    <n v="6523.6549999999997"/>
    <n v="6523.6549999999997"/>
    <n v="0"/>
    <x v="1"/>
    <n v="0"/>
    <n v="0"/>
    <n v="7"/>
    <n v="76"/>
    <n v="0"/>
    <n v="102.62"/>
    <n v="103.1"/>
    <m/>
    <n v="181.53179145831209"/>
    <n v="215.6942886760464"/>
    <n v="0"/>
    <n v="669457.47609999997"/>
    <n v="672588.83049999992"/>
    <n v="0"/>
    <n v="1184250.779005975"/>
    <n v="1407115.1247929335"/>
  </r>
  <r>
    <s v="Sistema de Compensação"/>
    <x v="3"/>
    <x v="2"/>
    <x v="2"/>
    <x v="0"/>
    <x v="0"/>
    <x v="1"/>
    <x v="1"/>
    <x v="3"/>
    <n v="0"/>
    <n v="0"/>
    <n v="62.746000000000002"/>
    <n v="62.746000000000002"/>
    <n v="62.746000000000002"/>
    <n v="62.746000000000002"/>
    <n v="0"/>
    <x v="1"/>
    <n v="0"/>
    <n v="0"/>
    <n v="7"/>
    <n v="76"/>
    <n v="0"/>
    <n v="102.62"/>
    <n v="103.1"/>
    <m/>
    <n v="181.53179145831209"/>
    <n v="215.6942886760464"/>
    <n v="0"/>
    <n v="6438.9945200000002"/>
    <n v="6469.1125999999995"/>
    <n v="0"/>
    <n v="11390.393786843251"/>
    <n v="13533.953837267209"/>
  </r>
  <r>
    <s v="Regular"/>
    <x v="3"/>
    <x v="2"/>
    <x v="2"/>
    <x v="0"/>
    <x v="0"/>
    <x v="1"/>
    <x v="1"/>
    <x v="4"/>
    <n v="0"/>
    <n v="0"/>
    <n v="6406.4489999999996"/>
    <n v="6406.4489999999996"/>
    <n v="6406.4489999999996"/>
    <n v="6406.4489999999996"/>
    <n v="0"/>
    <x v="1"/>
    <n v="0"/>
    <n v="0"/>
    <n v="7"/>
    <n v="76"/>
    <n v="0"/>
    <n v="102.62"/>
    <n v="103.1"/>
    <m/>
    <n v="181.53179145831209"/>
    <n v="215.6942886760464"/>
    <n v="0"/>
    <n v="657429.79637999996"/>
    <n v="660504.89189999993"/>
    <n v="0"/>
    <n v="1162974.1638563119"/>
    <n v="1381834.4599943687"/>
  </r>
  <r>
    <s v="Sistema de Compensação"/>
    <x v="3"/>
    <x v="2"/>
    <x v="2"/>
    <x v="0"/>
    <x v="0"/>
    <x v="1"/>
    <x v="1"/>
    <x v="4"/>
    <n v="0"/>
    <n v="0"/>
    <n v="73.569000000000003"/>
    <n v="73.569000000000003"/>
    <n v="73.569000000000003"/>
    <n v="73.569000000000003"/>
    <n v="0"/>
    <x v="1"/>
    <n v="0"/>
    <n v="0"/>
    <n v="7"/>
    <n v="76"/>
    <n v="0"/>
    <n v="102.62"/>
    <n v="103.1"/>
    <m/>
    <n v="181.53179145831209"/>
    <n v="215.6942886760464"/>
    <n v="0"/>
    <n v="7549.6507800000009"/>
    <n v="7584.9638999999997"/>
    <n v="0"/>
    <n v="13355.112365796562"/>
    <n v="15868.413123608058"/>
  </r>
  <r>
    <s v="Regular"/>
    <x v="3"/>
    <x v="2"/>
    <x v="2"/>
    <x v="0"/>
    <x v="0"/>
    <x v="1"/>
    <x v="1"/>
    <x v="5"/>
    <n v="0"/>
    <n v="0"/>
    <n v="6844.4290000000001"/>
    <n v="6844.4290000000001"/>
    <n v="6844.4290000000001"/>
    <n v="6844.4290000000001"/>
    <n v="0"/>
    <x v="1"/>
    <n v="0"/>
    <n v="0"/>
    <n v="7"/>
    <n v="76"/>
    <n v="0"/>
    <n v="102.62"/>
    <n v="103.1"/>
    <m/>
    <n v="181.53179145831209"/>
    <n v="215.6942886760464"/>
    <n v="0"/>
    <n v="702375.30398000008"/>
    <n v="705660.62989999994"/>
    <n v="0"/>
    <n v="1242481.4578792236"/>
    <n v="1476304.2445487035"/>
  </r>
  <r>
    <s v="Sistema de Compensação"/>
    <x v="3"/>
    <x v="2"/>
    <x v="2"/>
    <x v="0"/>
    <x v="0"/>
    <x v="1"/>
    <x v="1"/>
    <x v="5"/>
    <n v="0"/>
    <n v="0"/>
    <n v="88.394999999999996"/>
    <n v="88.394999999999996"/>
    <n v="88.394999999999996"/>
    <n v="88.394999999999996"/>
    <n v="0"/>
    <x v="1"/>
    <n v="0"/>
    <n v="0"/>
    <n v="7"/>
    <n v="76"/>
    <n v="0"/>
    <n v="102.62"/>
    <n v="103.1"/>
    <m/>
    <n v="181.53179145831209"/>
    <n v="215.6942886760464"/>
    <n v="0"/>
    <n v="9071.0949000000001"/>
    <n v="9113.5244999999995"/>
    <n v="0"/>
    <n v="16046.502705957497"/>
    <n v="19066.296647519121"/>
  </r>
  <r>
    <s v="Regular"/>
    <x v="3"/>
    <x v="2"/>
    <x v="2"/>
    <x v="0"/>
    <x v="0"/>
    <x v="1"/>
    <x v="1"/>
    <x v="6"/>
    <n v="0"/>
    <n v="0"/>
    <n v="6787.0309999999999"/>
    <n v="6787.0309999999999"/>
    <n v="6787.0309999999999"/>
    <n v="6787.0309999999999"/>
    <n v="0"/>
    <x v="1"/>
    <n v="0"/>
    <n v="0"/>
    <n v="7"/>
    <n v="76"/>
    <n v="0"/>
    <n v="102.62"/>
    <n v="103.1"/>
    <m/>
    <n v="181.53179145831209"/>
    <n v="215.6942886760464"/>
    <n v="0"/>
    <n v="696485.12121999997"/>
    <n v="699742.89610000001"/>
    <n v="0"/>
    <n v="1232061.8961130993"/>
    <n v="1463923.8237672758"/>
  </r>
  <r>
    <s v="Refaturamento - Regular"/>
    <x v="3"/>
    <x v="2"/>
    <x v="2"/>
    <x v="0"/>
    <x v="0"/>
    <x v="1"/>
    <x v="1"/>
    <x v="6"/>
    <n v="0"/>
    <n v="0"/>
    <n v="-5.1369999999999996"/>
    <n v="-5.1369999999999996"/>
    <n v="-5.1369999999999996"/>
    <n v="-5.1369999999999996"/>
    <n v="0"/>
    <x v="1"/>
    <n v="0"/>
    <n v="0"/>
    <n v="7"/>
    <n v="76"/>
    <n v="0"/>
    <n v="102.62"/>
    <n v="103.1"/>
    <m/>
    <n v="181.53179145831209"/>
    <n v="215.6942886760464"/>
    <n v="0"/>
    <n v="-527.15894000000003"/>
    <n v="-529.62469999999996"/>
    <n v="0"/>
    <n v="-932.52881272134914"/>
    <n v="-1108.0215609288502"/>
  </r>
  <r>
    <s v="Sistema de Compensação"/>
    <x v="3"/>
    <x v="2"/>
    <x v="2"/>
    <x v="0"/>
    <x v="0"/>
    <x v="1"/>
    <x v="1"/>
    <x v="6"/>
    <n v="0"/>
    <n v="0"/>
    <n v="57.066000000000003"/>
    <n v="57.066000000000003"/>
    <n v="57.066000000000003"/>
    <n v="57.066000000000003"/>
    <n v="0"/>
    <x v="1"/>
    <n v="0"/>
    <n v="0"/>
    <n v="7"/>
    <n v="76"/>
    <n v="0"/>
    <n v="102.62"/>
    <n v="103.1"/>
    <m/>
    <n v="181.53179145831209"/>
    <n v="215.6942886760464"/>
    <n v="0"/>
    <n v="5856.1129200000005"/>
    <n v="5883.5046000000002"/>
    <n v="0"/>
    <n v="10359.293211360038"/>
    <n v="12308.810277587265"/>
  </r>
  <r>
    <s v="Regular"/>
    <x v="3"/>
    <x v="2"/>
    <x v="2"/>
    <x v="0"/>
    <x v="0"/>
    <x v="1"/>
    <x v="1"/>
    <x v="7"/>
    <n v="0"/>
    <n v="0"/>
    <n v="7576.576"/>
    <n v="7576.576"/>
    <n v="7576.576"/>
    <n v="7576.576"/>
    <n v="0"/>
    <x v="1"/>
    <n v="0"/>
    <n v="0"/>
    <n v="7"/>
    <n v="76"/>
    <n v="0"/>
    <n v="102.62"/>
    <n v="103.1"/>
    <m/>
    <n v="181.53179145831209"/>
    <n v="215.6942886760464"/>
    <n v="0"/>
    <n v="777508.22912000003"/>
    <n v="781144.98560000001"/>
    <n v="0"/>
    <n v="1375389.4144000523"/>
    <n v="1634224.1709200048"/>
  </r>
  <r>
    <s v="Sistema de Compensação"/>
    <x v="3"/>
    <x v="2"/>
    <x v="2"/>
    <x v="0"/>
    <x v="0"/>
    <x v="1"/>
    <x v="1"/>
    <x v="7"/>
    <n v="0"/>
    <n v="0"/>
    <n v="53.305"/>
    <n v="53.305"/>
    <n v="53.305"/>
    <n v="53.305"/>
    <n v="0"/>
    <x v="1"/>
    <n v="0"/>
    <n v="0"/>
    <n v="7"/>
    <n v="76"/>
    <n v="0"/>
    <n v="102.62"/>
    <n v="103.1"/>
    <m/>
    <n v="181.53179145831209"/>
    <n v="215.6942886760464"/>
    <n v="0"/>
    <n v="5470.1590999999999"/>
    <n v="5495.7455"/>
    <n v="0"/>
    <n v="9676.5521436853251"/>
    <n v="11497.584057876653"/>
  </r>
  <r>
    <s v="Regular"/>
    <x v="3"/>
    <x v="2"/>
    <x v="2"/>
    <x v="0"/>
    <x v="0"/>
    <x v="1"/>
    <x v="1"/>
    <x v="8"/>
    <n v="0"/>
    <n v="0"/>
    <n v="7741.8609999999999"/>
    <n v="7741.8609999999999"/>
    <n v="7741.8609999999999"/>
    <n v="7741.8609999999999"/>
    <n v="0"/>
    <x v="1"/>
    <n v="0"/>
    <n v="0"/>
    <n v="7"/>
    <n v="76"/>
    <n v="0"/>
    <n v="102.62"/>
    <n v="103.1"/>
    <m/>
    <n v="181.53179145831209"/>
    <n v="215.6942886760464"/>
    <n v="0"/>
    <n v="794469.77581999998"/>
    <n v="798185.86909999989"/>
    <n v="0"/>
    <n v="1405393.8965512395"/>
    <n v="1669875.2014238252"/>
  </r>
  <r>
    <s v="Refaturamento - Regular"/>
    <x v="3"/>
    <x v="2"/>
    <x v="2"/>
    <x v="0"/>
    <x v="0"/>
    <x v="1"/>
    <x v="1"/>
    <x v="8"/>
    <n v="0"/>
    <n v="0"/>
    <n v="-662.27700000000004"/>
    <n v="-662.27700000000004"/>
    <n v="-662.27700000000004"/>
    <n v="-662.27700000000004"/>
    <n v="0"/>
    <x v="1"/>
    <n v="0"/>
    <n v="0"/>
    <n v="7"/>
    <n v="76"/>
    <n v="0"/>
    <n v="102.62"/>
    <n v="103.1"/>
    <m/>
    <n v="181.53179145831209"/>
    <n v="215.6942886760464"/>
    <n v="0"/>
    <n v="-67962.865740000008"/>
    <n v="-68280.758700000006"/>
    <n v="0"/>
    <n v="-120224.33025163657"/>
    <n v="-142849.36642150598"/>
  </r>
  <r>
    <s v="Sistema de Compensação"/>
    <x v="3"/>
    <x v="2"/>
    <x v="2"/>
    <x v="0"/>
    <x v="0"/>
    <x v="1"/>
    <x v="1"/>
    <x v="8"/>
    <n v="0"/>
    <n v="0"/>
    <n v="47.619"/>
    <n v="47.619"/>
    <n v="47.619"/>
    <n v="47.619"/>
    <n v="0"/>
    <x v="1"/>
    <n v="0"/>
    <n v="0"/>
    <n v="7"/>
    <n v="76"/>
    <n v="0"/>
    <n v="102.62"/>
    <n v="103.1"/>
    <m/>
    <n v="181.53179145831209"/>
    <n v="215.6942886760464"/>
    <n v="0"/>
    <n v="4886.6617800000004"/>
    <n v="4909.5189"/>
    <n v="0"/>
    <n v="8644.3623774533626"/>
    <n v="10271.146332464654"/>
  </r>
  <r>
    <s v="Regular"/>
    <x v="3"/>
    <x v="2"/>
    <x v="2"/>
    <x v="0"/>
    <x v="0"/>
    <x v="1"/>
    <x v="1"/>
    <x v="9"/>
    <n v="0"/>
    <n v="0"/>
    <n v="7759.0110000000004"/>
    <n v="7759.0110000000004"/>
    <n v="7759.0110000000004"/>
    <n v="7759.0110000000004"/>
    <n v="0"/>
    <x v="1"/>
    <n v="0"/>
    <n v="0"/>
    <n v="7"/>
    <n v="76"/>
    <n v="0"/>
    <n v="102.62"/>
    <n v="103.1"/>
    <m/>
    <n v="181.53179145831209"/>
    <n v="215.6942886760464"/>
    <n v="0"/>
    <n v="796229.70882000006"/>
    <n v="799954.03410000005"/>
    <n v="0"/>
    <n v="1408507.1667747495"/>
    <n v="1673574.3584746195"/>
  </r>
  <r>
    <s v="Refaturamento - Regular"/>
    <x v="3"/>
    <x v="2"/>
    <x v="2"/>
    <x v="0"/>
    <x v="0"/>
    <x v="1"/>
    <x v="1"/>
    <x v="9"/>
    <n v="0"/>
    <n v="0"/>
    <n v="106.202"/>
    <n v="106.202"/>
    <n v="106.202"/>
    <n v="106.202"/>
    <n v="0"/>
    <x v="1"/>
    <n v="0"/>
    <n v="0"/>
    <n v="7"/>
    <n v="76"/>
    <n v="0"/>
    <n v="102.62"/>
    <n v="103.1"/>
    <m/>
    <n v="181.53179145831209"/>
    <n v="215.6942886760464"/>
    <n v="0"/>
    <n v="10898.44924"/>
    <n v="10949.4262"/>
    <n v="0"/>
    <n v="19279.039316455659"/>
    <n v="22907.164845973479"/>
  </r>
  <r>
    <s v="Sistema de Compensação"/>
    <x v="3"/>
    <x v="2"/>
    <x v="2"/>
    <x v="0"/>
    <x v="0"/>
    <x v="1"/>
    <x v="1"/>
    <x v="9"/>
    <n v="0"/>
    <n v="0"/>
    <n v="37.768000000000001"/>
    <n v="37.768000000000001"/>
    <n v="37.768000000000001"/>
    <n v="37.768000000000001"/>
    <n v="0"/>
    <x v="1"/>
    <n v="0"/>
    <n v="0"/>
    <n v="7"/>
    <n v="76"/>
    <n v="0"/>
    <n v="102.62"/>
    <n v="103.1"/>
    <m/>
    <n v="181.53179145831209"/>
    <n v="215.6942886760464"/>
    <n v="0"/>
    <n v="3875.7521600000005"/>
    <n v="3893.8807999999999"/>
    <n v="0"/>
    <n v="6856.0926997975312"/>
    <n v="8146.3418947169203"/>
  </r>
  <r>
    <s v="Regular"/>
    <x v="3"/>
    <x v="2"/>
    <x v="2"/>
    <x v="0"/>
    <x v="0"/>
    <x v="1"/>
    <x v="1"/>
    <x v="10"/>
    <n v="0"/>
    <n v="0"/>
    <n v="8114.3739999999998"/>
    <n v="8114.3739999999998"/>
    <n v="8114.3739999999998"/>
    <n v="8114.3739999999998"/>
    <n v="0"/>
    <x v="1"/>
    <n v="0"/>
    <n v="0"/>
    <n v="7"/>
    <n v="76"/>
    <n v="0"/>
    <n v="102.62"/>
    <n v="103.1"/>
    <m/>
    <n v="181.53179145831209"/>
    <n v="215.6942886760464"/>
    <n v="0"/>
    <n v="832697.05988000007"/>
    <n v="836591.95939999993"/>
    <n v="0"/>
    <n v="1473016.8487827496"/>
    <n v="1750224.1279814052"/>
  </r>
  <r>
    <s v="Refaturamento - Regular"/>
    <x v="3"/>
    <x v="2"/>
    <x v="2"/>
    <x v="0"/>
    <x v="0"/>
    <x v="1"/>
    <x v="1"/>
    <x v="10"/>
    <n v="0"/>
    <n v="0"/>
    <n v="12.051"/>
    <n v="12.051"/>
    <n v="12.051"/>
    <n v="12.051"/>
    <n v="0"/>
    <x v="1"/>
    <n v="0"/>
    <n v="0"/>
    <n v="7"/>
    <n v="76"/>
    <n v="0"/>
    <n v="102.62"/>
    <n v="103.1"/>
    <m/>
    <n v="181.53179145831209"/>
    <n v="215.6942886760464"/>
    <n v="0"/>
    <n v="1236.67362"/>
    <n v="1242.4581000000001"/>
    <n v="0"/>
    <n v="2187.6396188641188"/>
    <n v="2599.331872835035"/>
  </r>
  <r>
    <s v="Sistema de Compensação"/>
    <x v="3"/>
    <x v="2"/>
    <x v="2"/>
    <x v="0"/>
    <x v="0"/>
    <x v="1"/>
    <x v="1"/>
    <x v="10"/>
    <n v="0"/>
    <n v="0"/>
    <n v="99.346000000000004"/>
    <n v="99.346000000000004"/>
    <n v="99.346000000000004"/>
    <n v="99.346000000000004"/>
    <n v="0"/>
    <x v="1"/>
    <n v="0"/>
    <n v="0"/>
    <n v="7"/>
    <n v="76"/>
    <n v="0"/>
    <n v="102.62"/>
    <n v="103.1"/>
    <m/>
    <n v="181.53179145831209"/>
    <n v="215.6942886760464"/>
    <n v="0"/>
    <n v="10194.88652"/>
    <n v="10242.5726"/>
    <n v="0"/>
    <n v="18034.457354217473"/>
    <n v="21428.364802810505"/>
  </r>
  <r>
    <s v="PROJETADO"/>
    <x v="3"/>
    <x v="2"/>
    <x v="2"/>
    <x v="0"/>
    <x v="0"/>
    <x v="1"/>
    <x v="1"/>
    <x v="11"/>
    <n v="0"/>
    <n v="0"/>
    <n v="8114.3739999999998"/>
    <n v="8114.3739999999998"/>
    <n v="8114.3739999999998"/>
    <n v="8114.3739999999998"/>
    <n v="0"/>
    <x v="1"/>
    <n v="0"/>
    <n v="0"/>
    <n v="7"/>
    <n v="76"/>
    <n v="0"/>
    <n v="102.62"/>
    <n v="103.1"/>
    <m/>
    <n v="181.53179145831209"/>
    <n v="215.6942886760464"/>
    <n v="0"/>
    <n v="832697.05988000007"/>
    <n v="836591.95939999993"/>
    <n v="0"/>
    <n v="1473016.8487827496"/>
    <n v="1750224.1279814052"/>
  </r>
  <r>
    <s v="PROJETADO"/>
    <x v="3"/>
    <x v="2"/>
    <x v="2"/>
    <x v="0"/>
    <x v="0"/>
    <x v="1"/>
    <x v="1"/>
    <x v="11"/>
    <n v="0"/>
    <n v="0"/>
    <n v="12.051"/>
    <n v="12.051"/>
    <n v="12.051"/>
    <n v="12.051"/>
    <n v="0"/>
    <x v="1"/>
    <n v="0"/>
    <n v="0"/>
    <n v="7"/>
    <n v="76"/>
    <n v="0"/>
    <n v="102.62"/>
    <n v="103.1"/>
    <m/>
    <n v="181.53179145831209"/>
    <n v="215.6942886760464"/>
    <n v="0"/>
    <n v="1236.67362"/>
    <n v="1242.4581000000001"/>
    <n v="0"/>
    <n v="2187.6396188641188"/>
    <n v="2599.331872835035"/>
  </r>
  <r>
    <s v="PROJETADO"/>
    <x v="3"/>
    <x v="2"/>
    <x v="2"/>
    <x v="0"/>
    <x v="0"/>
    <x v="1"/>
    <x v="1"/>
    <x v="11"/>
    <n v="0"/>
    <n v="0"/>
    <n v="99.346000000000004"/>
    <n v="99.346000000000004"/>
    <n v="99.346000000000004"/>
    <n v="99.346000000000004"/>
    <n v="0"/>
    <x v="1"/>
    <n v="0"/>
    <n v="0"/>
    <n v="7"/>
    <n v="76"/>
    <n v="0"/>
    <n v="102.62"/>
    <n v="103.1"/>
    <m/>
    <n v="181.53179145831209"/>
    <n v="215.6942886760464"/>
    <n v="0"/>
    <n v="10194.88652"/>
    <n v="10242.5726"/>
    <n v="0"/>
    <n v="18034.457354217473"/>
    <n v="21428.364802810505"/>
  </r>
  <r>
    <s v="Regular"/>
    <x v="3"/>
    <x v="2"/>
    <x v="2"/>
    <x v="0"/>
    <x v="0"/>
    <x v="1"/>
    <x v="0"/>
    <x v="0"/>
    <n v="34614"/>
    <n v="34614"/>
    <n v="0"/>
    <n v="0"/>
    <n v="0"/>
    <n v="0"/>
    <n v="266"/>
    <x v="1"/>
    <n v="0"/>
    <n v="2"/>
    <n v="0"/>
    <n v="0"/>
    <n v="21.38"/>
    <n v="0"/>
    <n v="0"/>
    <n v="21.204888631609794"/>
    <m/>
    <m/>
    <n v="740047.32"/>
    <n v="0"/>
    <n v="0"/>
    <n v="733986.01509454136"/>
    <n v="0"/>
    <n v="0"/>
  </r>
  <r>
    <s v="Sistema de Compensação"/>
    <x v="3"/>
    <x v="2"/>
    <x v="2"/>
    <x v="0"/>
    <x v="0"/>
    <x v="1"/>
    <x v="0"/>
    <x v="0"/>
    <n v="2609"/>
    <n v="2609"/>
    <n v="0"/>
    <n v="0"/>
    <n v="0"/>
    <n v="0"/>
    <n v="11"/>
    <x v="1"/>
    <n v="0"/>
    <n v="2"/>
    <n v="0"/>
    <n v="0"/>
    <n v="21.38"/>
    <n v="0"/>
    <n v="0"/>
    <n v="21.204888631609794"/>
    <m/>
    <m/>
    <n v="55780.42"/>
    <n v="0"/>
    <n v="0"/>
    <n v="55323.554439869957"/>
    <n v="0"/>
    <n v="0"/>
  </r>
  <r>
    <s v="Regular"/>
    <x v="3"/>
    <x v="2"/>
    <x v="2"/>
    <x v="0"/>
    <x v="0"/>
    <x v="1"/>
    <x v="0"/>
    <x v="1"/>
    <n v="34281"/>
    <n v="34281"/>
    <n v="0"/>
    <n v="0"/>
    <n v="0"/>
    <n v="0"/>
    <n v="266"/>
    <x v="1"/>
    <n v="0"/>
    <n v="2"/>
    <n v="0"/>
    <n v="0"/>
    <n v="21.38"/>
    <n v="0"/>
    <n v="0"/>
    <n v="21.204888631609794"/>
    <m/>
    <m/>
    <n v="732927.77999999991"/>
    <n v="0"/>
    <n v="0"/>
    <n v="726924.78718021535"/>
    <n v="0"/>
    <n v="0"/>
  </r>
  <r>
    <s v="Refaturamento - Regular"/>
    <x v="3"/>
    <x v="2"/>
    <x v="2"/>
    <x v="0"/>
    <x v="0"/>
    <x v="1"/>
    <x v="0"/>
    <x v="1"/>
    <n v="-8457"/>
    <n v="-8457"/>
    <n v="0"/>
    <n v="0"/>
    <n v="0"/>
    <n v="0"/>
    <n v="-93"/>
    <x v="1"/>
    <n v="0"/>
    <n v="2"/>
    <n v="0"/>
    <n v="0"/>
    <n v="21.38"/>
    <n v="0"/>
    <n v="0"/>
    <n v="21.204888631609794"/>
    <m/>
    <m/>
    <n v="-180810.66"/>
    <n v="0"/>
    <n v="0"/>
    <n v="-179329.74315752403"/>
    <n v="0"/>
    <n v="0"/>
  </r>
  <r>
    <s v="Sistema de Compensação"/>
    <x v="3"/>
    <x v="2"/>
    <x v="2"/>
    <x v="0"/>
    <x v="0"/>
    <x v="1"/>
    <x v="0"/>
    <x v="1"/>
    <n v="2595"/>
    <n v="2595"/>
    <n v="0"/>
    <n v="0"/>
    <n v="0"/>
    <n v="0"/>
    <n v="11"/>
    <x v="1"/>
    <n v="0"/>
    <n v="2"/>
    <n v="0"/>
    <n v="0"/>
    <n v="21.38"/>
    <n v="0"/>
    <n v="0"/>
    <n v="21.204888631609794"/>
    <m/>
    <m/>
    <n v="55481.1"/>
    <n v="0"/>
    <n v="0"/>
    <n v="55026.685999027417"/>
    <n v="0"/>
    <n v="0"/>
  </r>
  <r>
    <s v="Regular"/>
    <x v="3"/>
    <x v="2"/>
    <x v="2"/>
    <x v="0"/>
    <x v="0"/>
    <x v="1"/>
    <x v="0"/>
    <x v="2"/>
    <n v="34487"/>
    <n v="34487"/>
    <n v="0"/>
    <n v="0"/>
    <n v="0"/>
    <n v="0"/>
    <n v="267"/>
    <x v="1"/>
    <n v="0"/>
    <n v="2"/>
    <n v="0"/>
    <n v="0"/>
    <n v="21.38"/>
    <n v="0"/>
    <n v="0"/>
    <n v="21.204888631609794"/>
    <m/>
    <m/>
    <n v="737332.05999999994"/>
    <n v="0"/>
    <n v="0"/>
    <n v="731292.99423832702"/>
    <n v="0"/>
    <n v="0"/>
  </r>
  <r>
    <s v="Refaturamento - Regular"/>
    <x v="3"/>
    <x v="2"/>
    <x v="2"/>
    <x v="0"/>
    <x v="0"/>
    <x v="1"/>
    <x v="0"/>
    <x v="2"/>
    <n v="-380"/>
    <n v="-380"/>
    <n v="0"/>
    <n v="0"/>
    <n v="0"/>
    <n v="0"/>
    <n v="-4"/>
    <x v="1"/>
    <n v="0"/>
    <n v="2"/>
    <n v="0"/>
    <n v="0"/>
    <n v="21.38"/>
    <n v="0"/>
    <n v="0"/>
    <n v="21.204888631609794"/>
    <m/>
    <m/>
    <n v="-8124.4"/>
    <n v="0"/>
    <n v="0"/>
    <n v="-8057.8576800117216"/>
    <n v="0"/>
    <n v="0"/>
  </r>
  <r>
    <s v="Sistema de Compensação"/>
    <x v="3"/>
    <x v="2"/>
    <x v="2"/>
    <x v="0"/>
    <x v="0"/>
    <x v="1"/>
    <x v="0"/>
    <x v="2"/>
    <n v="2625"/>
    <n v="2625"/>
    <n v="0"/>
    <n v="0"/>
    <n v="0"/>
    <n v="0"/>
    <n v="12"/>
    <x v="1"/>
    <n v="0"/>
    <n v="2"/>
    <n v="0"/>
    <n v="0"/>
    <n v="21.38"/>
    <n v="0"/>
    <n v="0"/>
    <n v="21.204888631609794"/>
    <m/>
    <m/>
    <n v="56122.5"/>
    <n v="0"/>
    <n v="0"/>
    <n v="55662.832657975712"/>
    <n v="0"/>
    <n v="0"/>
  </r>
  <r>
    <s v="Regular"/>
    <x v="3"/>
    <x v="2"/>
    <x v="2"/>
    <x v="0"/>
    <x v="0"/>
    <x v="1"/>
    <x v="0"/>
    <x v="3"/>
    <n v="34359"/>
    <n v="34359"/>
    <n v="0"/>
    <n v="0"/>
    <n v="0"/>
    <n v="0"/>
    <n v="266"/>
    <x v="1"/>
    <n v="0"/>
    <n v="2"/>
    <n v="0"/>
    <n v="0"/>
    <n v="21.38"/>
    <n v="0"/>
    <n v="0"/>
    <n v="21.204888631609794"/>
    <m/>
    <m/>
    <n v="734595.41999999993"/>
    <n v="0"/>
    <n v="0"/>
    <n v="728578.76849348086"/>
    <n v="0"/>
    <n v="0"/>
  </r>
  <r>
    <s v="Refaturamento - Regular"/>
    <x v="3"/>
    <x v="2"/>
    <x v="2"/>
    <x v="0"/>
    <x v="0"/>
    <x v="1"/>
    <x v="0"/>
    <x v="3"/>
    <n v="-1979"/>
    <n v="-1979"/>
    <n v="0"/>
    <n v="0"/>
    <n v="0"/>
    <n v="0"/>
    <n v="-13"/>
    <x v="1"/>
    <n v="0"/>
    <n v="2"/>
    <n v="0"/>
    <n v="0"/>
    <n v="21.38"/>
    <n v="0"/>
    <n v="0"/>
    <n v="21.204888631609794"/>
    <m/>
    <m/>
    <n v="-42311.02"/>
    <n v="0"/>
    <n v="0"/>
    <n v="-41964.474601955786"/>
    <n v="0"/>
    <n v="0"/>
  </r>
  <r>
    <s v="Sistema de Compensação"/>
    <x v="3"/>
    <x v="2"/>
    <x v="2"/>
    <x v="0"/>
    <x v="0"/>
    <x v="1"/>
    <x v="0"/>
    <x v="3"/>
    <n v="2674"/>
    <n v="2674"/>
    <n v="0"/>
    <n v="0"/>
    <n v="0"/>
    <n v="0"/>
    <n v="13"/>
    <x v="1"/>
    <n v="0"/>
    <n v="2"/>
    <n v="0"/>
    <n v="0"/>
    <n v="21.38"/>
    <n v="0"/>
    <n v="0"/>
    <n v="21.204888631609794"/>
    <m/>
    <m/>
    <n v="57170.119999999995"/>
    <n v="0"/>
    <n v="0"/>
    <n v="56701.87220092459"/>
    <n v="0"/>
    <n v="0"/>
  </r>
  <r>
    <s v="Regular"/>
    <x v="3"/>
    <x v="2"/>
    <x v="2"/>
    <x v="0"/>
    <x v="0"/>
    <x v="1"/>
    <x v="0"/>
    <x v="4"/>
    <n v="34377"/>
    <n v="34377"/>
    <n v="0"/>
    <n v="0"/>
    <n v="0"/>
    <n v="0"/>
    <n v="267"/>
    <x v="1"/>
    <n v="0"/>
    <n v="2"/>
    <n v="0"/>
    <n v="0"/>
    <n v="21.38"/>
    <n v="0"/>
    <n v="0"/>
    <n v="21.204888631609794"/>
    <m/>
    <m/>
    <n v="734980.26"/>
    <n v="0"/>
    <n v="0"/>
    <n v="728960.45648884994"/>
    <n v="0"/>
    <n v="0"/>
  </r>
  <r>
    <s v="Refaturamento - Regular"/>
    <x v="3"/>
    <x v="2"/>
    <x v="2"/>
    <x v="0"/>
    <x v="0"/>
    <x v="1"/>
    <x v="0"/>
    <x v="4"/>
    <n v="-75"/>
    <n v="-75"/>
    <n v="0"/>
    <n v="0"/>
    <n v="0"/>
    <n v="0"/>
    <n v="-1"/>
    <x v="1"/>
    <n v="0"/>
    <n v="2"/>
    <n v="0"/>
    <n v="0"/>
    <n v="21.38"/>
    <n v="0"/>
    <n v="0"/>
    <n v="21.204888631609794"/>
    <m/>
    <m/>
    <n v="-1603.5"/>
    <n v="0"/>
    <n v="0"/>
    <n v="-1590.3666473707347"/>
    <n v="0"/>
    <n v="0"/>
  </r>
  <r>
    <s v="Sistema de Compensação"/>
    <x v="3"/>
    <x v="2"/>
    <x v="2"/>
    <x v="0"/>
    <x v="0"/>
    <x v="1"/>
    <x v="0"/>
    <x v="4"/>
    <n v="2666"/>
    <n v="2666"/>
    <n v="0"/>
    <n v="0"/>
    <n v="0"/>
    <n v="0"/>
    <n v="13"/>
    <x v="1"/>
    <n v="0"/>
    <n v="2"/>
    <n v="0"/>
    <n v="0"/>
    <n v="21.38"/>
    <n v="0"/>
    <n v="0"/>
    <n v="21.204888631609794"/>
    <m/>
    <m/>
    <n v="56999.079999999994"/>
    <n v="0"/>
    <n v="0"/>
    <n v="56532.233091871713"/>
    <n v="0"/>
    <n v="0"/>
  </r>
  <r>
    <s v="Regular"/>
    <x v="3"/>
    <x v="2"/>
    <x v="2"/>
    <x v="0"/>
    <x v="0"/>
    <x v="1"/>
    <x v="0"/>
    <x v="5"/>
    <n v="35545"/>
    <n v="35545"/>
    <n v="0"/>
    <n v="0"/>
    <n v="0"/>
    <n v="0"/>
    <n v="275"/>
    <x v="1"/>
    <n v="0"/>
    <n v="2"/>
    <n v="0"/>
    <n v="0"/>
    <n v="21.38"/>
    <n v="0"/>
    <n v="0"/>
    <n v="21.204888631609794"/>
    <m/>
    <m/>
    <n v="759952.1"/>
    <n v="0"/>
    <n v="0"/>
    <n v="753727.76641057013"/>
    <n v="0"/>
    <n v="0"/>
  </r>
  <r>
    <s v="Sistema de Compensação"/>
    <x v="3"/>
    <x v="2"/>
    <x v="2"/>
    <x v="0"/>
    <x v="0"/>
    <x v="1"/>
    <x v="0"/>
    <x v="5"/>
    <n v="2687"/>
    <n v="2687"/>
    <n v="0"/>
    <n v="0"/>
    <n v="0"/>
    <n v="0"/>
    <n v="13"/>
    <x v="1"/>
    <n v="0"/>
    <n v="2"/>
    <n v="0"/>
    <n v="0"/>
    <n v="21.38"/>
    <n v="0"/>
    <n v="0"/>
    <n v="21.204888631609794"/>
    <m/>
    <m/>
    <n v="57448.06"/>
    <n v="0"/>
    <n v="0"/>
    <n v="56977.535753135518"/>
    <n v="0"/>
    <n v="0"/>
  </r>
  <r>
    <s v="Regular"/>
    <x v="3"/>
    <x v="2"/>
    <x v="2"/>
    <x v="0"/>
    <x v="0"/>
    <x v="1"/>
    <x v="0"/>
    <x v="6"/>
    <n v="34892"/>
    <n v="34892"/>
    <n v="0"/>
    <n v="0"/>
    <n v="0"/>
    <n v="0"/>
    <n v="272"/>
    <x v="1"/>
    <n v="0"/>
    <n v="2"/>
    <n v="0"/>
    <n v="0"/>
    <n v="21.38"/>
    <n v="0"/>
    <n v="0"/>
    <n v="21.204888631609794"/>
    <m/>
    <m/>
    <n v="745990.96"/>
    <n v="0"/>
    <n v="0"/>
    <n v="739880.97413412889"/>
    <n v="0"/>
    <n v="0"/>
  </r>
  <r>
    <s v="Sistema de Compensação"/>
    <x v="3"/>
    <x v="2"/>
    <x v="2"/>
    <x v="0"/>
    <x v="0"/>
    <x v="1"/>
    <x v="0"/>
    <x v="6"/>
    <n v="2679"/>
    <n v="2679"/>
    <n v="0"/>
    <n v="0"/>
    <n v="0"/>
    <n v="0"/>
    <n v="13"/>
    <x v="1"/>
    <n v="0"/>
    <n v="2"/>
    <n v="0"/>
    <n v="0"/>
    <n v="21.38"/>
    <n v="0"/>
    <n v="0"/>
    <n v="21.204888631609794"/>
    <m/>
    <m/>
    <n v="57277.02"/>
    <n v="0"/>
    <n v="0"/>
    <n v="56807.896644082641"/>
    <n v="0"/>
    <n v="0"/>
  </r>
  <r>
    <s v="Regular"/>
    <x v="3"/>
    <x v="2"/>
    <x v="2"/>
    <x v="0"/>
    <x v="0"/>
    <x v="1"/>
    <x v="0"/>
    <x v="7"/>
    <n v="35617"/>
    <n v="35617"/>
    <n v="0"/>
    <n v="0"/>
    <n v="0"/>
    <n v="0"/>
    <n v="278"/>
    <x v="1"/>
    <n v="0"/>
    <n v="2"/>
    <n v="0"/>
    <n v="0"/>
    <n v="21.38"/>
    <n v="0"/>
    <n v="0"/>
    <n v="21.204888631609794"/>
    <m/>
    <m/>
    <n v="761491.46"/>
    <n v="0"/>
    <n v="0"/>
    <n v="755254.51839204598"/>
    <n v="0"/>
    <n v="0"/>
  </r>
  <r>
    <s v="Sistema de Compensação"/>
    <x v="3"/>
    <x v="2"/>
    <x v="2"/>
    <x v="0"/>
    <x v="0"/>
    <x v="1"/>
    <x v="0"/>
    <x v="7"/>
    <n v="2715"/>
    <n v="2715"/>
    <n v="0"/>
    <n v="0"/>
    <n v="0"/>
    <n v="0"/>
    <n v="13"/>
    <x v="1"/>
    <n v="0"/>
    <n v="2"/>
    <n v="0"/>
    <n v="0"/>
    <n v="21.38"/>
    <n v="0"/>
    <n v="0"/>
    <n v="21.204888631609794"/>
    <m/>
    <m/>
    <n v="58046.7"/>
    <n v="0"/>
    <n v="0"/>
    <n v="57571.272634820591"/>
    <n v="0"/>
    <n v="0"/>
  </r>
  <r>
    <s v="Regular"/>
    <x v="3"/>
    <x v="2"/>
    <x v="2"/>
    <x v="0"/>
    <x v="0"/>
    <x v="1"/>
    <x v="0"/>
    <x v="8"/>
    <n v="34579"/>
    <n v="34579"/>
    <n v="0"/>
    <n v="0"/>
    <n v="0"/>
    <n v="0"/>
    <n v="275"/>
    <x v="1"/>
    <n v="0"/>
    <n v="2"/>
    <n v="0"/>
    <n v="0"/>
    <n v="21.38"/>
    <n v="0"/>
    <n v="0"/>
    <n v="21.204888631609794"/>
    <m/>
    <m/>
    <n v="739299.02"/>
    <n v="0"/>
    <n v="0"/>
    <n v="733243.84399243502"/>
    <n v="0"/>
    <n v="0"/>
  </r>
  <r>
    <s v="Refaturamento - Regular"/>
    <x v="3"/>
    <x v="2"/>
    <x v="2"/>
    <x v="0"/>
    <x v="0"/>
    <x v="1"/>
    <x v="0"/>
    <x v="8"/>
    <n v="-954"/>
    <n v="-954"/>
    <n v="0"/>
    <n v="0"/>
    <n v="0"/>
    <n v="0"/>
    <n v="0"/>
    <x v="1"/>
    <n v="0"/>
    <n v="2"/>
    <n v="0"/>
    <n v="0"/>
    <n v="21.38"/>
    <n v="0"/>
    <n v="0"/>
    <n v="21.204888631609794"/>
    <m/>
    <m/>
    <n v="-20396.52"/>
    <n v="0"/>
    <n v="0"/>
    <n v="-20229.463754555745"/>
    <n v="0"/>
    <n v="0"/>
  </r>
  <r>
    <s v="Sistema de Compensação"/>
    <x v="3"/>
    <x v="2"/>
    <x v="2"/>
    <x v="0"/>
    <x v="0"/>
    <x v="1"/>
    <x v="0"/>
    <x v="8"/>
    <n v="2770"/>
    <n v="2770"/>
    <n v="0"/>
    <n v="0"/>
    <n v="0"/>
    <n v="0"/>
    <n v="14"/>
    <x v="1"/>
    <n v="0"/>
    <n v="2"/>
    <n v="0"/>
    <n v="0"/>
    <n v="21.38"/>
    <n v="0"/>
    <n v="0"/>
    <n v="21.204888631609794"/>
    <m/>
    <m/>
    <n v="59222.6"/>
    <n v="0"/>
    <n v="0"/>
    <n v="58737.541509559131"/>
    <n v="0"/>
    <n v="0"/>
  </r>
  <r>
    <s v="Regular"/>
    <x v="3"/>
    <x v="2"/>
    <x v="2"/>
    <x v="0"/>
    <x v="0"/>
    <x v="1"/>
    <x v="0"/>
    <x v="9"/>
    <n v="35625"/>
    <n v="35625"/>
    <n v="0"/>
    <n v="0"/>
    <n v="0"/>
    <n v="0"/>
    <n v="284"/>
    <x v="1"/>
    <n v="0"/>
    <n v="2"/>
    <n v="0"/>
    <n v="0"/>
    <n v="21.38"/>
    <n v="0"/>
    <n v="0"/>
    <n v="21.204888631609794"/>
    <m/>
    <m/>
    <n v="761662.5"/>
    <n v="0"/>
    <n v="0"/>
    <n v="755424.15750109893"/>
    <n v="0"/>
    <n v="0"/>
  </r>
  <r>
    <s v="Refaturamento - Regular"/>
    <x v="3"/>
    <x v="2"/>
    <x v="2"/>
    <x v="0"/>
    <x v="0"/>
    <x v="1"/>
    <x v="0"/>
    <x v="9"/>
    <n v="129"/>
    <n v="129"/>
    <n v="0"/>
    <n v="0"/>
    <n v="0"/>
    <n v="0"/>
    <n v="5"/>
    <x v="1"/>
    <n v="0"/>
    <n v="2"/>
    <n v="0"/>
    <n v="0"/>
    <n v="21.38"/>
    <n v="0"/>
    <n v="0"/>
    <n v="21.204888631609794"/>
    <m/>
    <m/>
    <n v="2758.02"/>
    <n v="0"/>
    <n v="0"/>
    <n v="2735.4306334776634"/>
    <n v="0"/>
    <n v="0"/>
  </r>
  <r>
    <s v="Sistema de Compensação"/>
    <x v="3"/>
    <x v="2"/>
    <x v="2"/>
    <x v="0"/>
    <x v="0"/>
    <x v="1"/>
    <x v="0"/>
    <x v="9"/>
    <n v="2888"/>
    <n v="2888"/>
    <n v="0"/>
    <n v="0"/>
    <n v="0"/>
    <n v="0"/>
    <n v="15"/>
    <x v="1"/>
    <n v="0"/>
    <n v="2"/>
    <n v="0"/>
    <n v="0"/>
    <n v="21.38"/>
    <n v="0"/>
    <n v="0"/>
    <n v="21.204888631609794"/>
    <m/>
    <m/>
    <n v="61745.439999999995"/>
    <n v="0"/>
    <n v="0"/>
    <n v="61239.718368089088"/>
    <n v="0"/>
    <n v="0"/>
  </r>
  <r>
    <s v="Regular"/>
    <x v="3"/>
    <x v="2"/>
    <x v="2"/>
    <x v="0"/>
    <x v="0"/>
    <x v="1"/>
    <x v="0"/>
    <x v="10"/>
    <n v="35991"/>
    <n v="35991"/>
    <n v="0"/>
    <n v="0"/>
    <n v="0"/>
    <n v="0"/>
    <n v="286"/>
    <x v="1"/>
    <n v="0"/>
    <n v="2"/>
    <n v="0"/>
    <n v="0"/>
    <n v="21.38"/>
    <n v="0"/>
    <n v="0"/>
    <n v="21.204888631609794"/>
    <m/>
    <m/>
    <n v="769487.58"/>
    <n v="0"/>
    <n v="0"/>
    <n v="763185.1467402681"/>
    <n v="0"/>
    <n v="0"/>
  </r>
  <r>
    <s v="Sistema de Compensação"/>
    <x v="3"/>
    <x v="2"/>
    <x v="2"/>
    <x v="0"/>
    <x v="0"/>
    <x v="1"/>
    <x v="0"/>
    <x v="10"/>
    <n v="3162"/>
    <n v="3162"/>
    <n v="0"/>
    <n v="0"/>
    <n v="0"/>
    <n v="0"/>
    <n v="16"/>
    <x v="1"/>
    <n v="0"/>
    <n v="2"/>
    <n v="0"/>
    <n v="0"/>
    <n v="21.38"/>
    <n v="0"/>
    <n v="0"/>
    <n v="21.204888631609794"/>
    <m/>
    <m/>
    <n v="67603.56"/>
    <n v="0"/>
    <n v="0"/>
    <n v="67049.85785315017"/>
    <n v="0"/>
    <n v="0"/>
  </r>
  <r>
    <s v="PROJETADO"/>
    <x v="3"/>
    <x v="2"/>
    <x v="2"/>
    <x v="0"/>
    <x v="0"/>
    <x v="1"/>
    <x v="0"/>
    <x v="11"/>
    <n v="35991"/>
    <n v="35991"/>
    <n v="0"/>
    <n v="0"/>
    <n v="0"/>
    <n v="0"/>
    <n v="286"/>
    <x v="1"/>
    <n v="0"/>
    <n v="2"/>
    <n v="0"/>
    <n v="0"/>
    <n v="21.38"/>
    <n v="0"/>
    <n v="0"/>
    <n v="21.204888631609794"/>
    <m/>
    <m/>
    <n v="769487.58"/>
    <n v="0"/>
    <n v="0"/>
    <n v="763185.1467402681"/>
    <n v="0"/>
    <n v="0"/>
  </r>
  <r>
    <s v="PROJETADO"/>
    <x v="3"/>
    <x v="2"/>
    <x v="2"/>
    <x v="0"/>
    <x v="0"/>
    <x v="1"/>
    <x v="0"/>
    <x v="11"/>
    <n v="3162"/>
    <n v="3162"/>
    <n v="0"/>
    <n v="0"/>
    <n v="0"/>
    <n v="0"/>
    <n v="16"/>
    <x v="1"/>
    <n v="0"/>
    <n v="2"/>
    <n v="0"/>
    <n v="0"/>
    <n v="21.38"/>
    <n v="0"/>
    <n v="0"/>
    <n v="21.204888631609794"/>
    <m/>
    <m/>
    <n v="67603.56"/>
    <n v="0"/>
    <n v="0"/>
    <n v="67049.85785315017"/>
    <n v="0"/>
    <n v="0"/>
  </r>
  <r>
    <s v="Regular"/>
    <x v="3"/>
    <x v="2"/>
    <x v="2"/>
    <x v="0"/>
    <x v="0"/>
    <x v="1"/>
    <x v="2"/>
    <x v="0"/>
    <n v="0"/>
    <n v="0"/>
    <n v="566.19600000000003"/>
    <n v="566.19600000000003"/>
    <n v="566.19600000000003"/>
    <n v="566.19600000000003"/>
    <n v="0"/>
    <x v="1"/>
    <n v="0"/>
    <n v="0"/>
    <n v="5"/>
    <n v="75"/>
    <n v="0"/>
    <n v="1454.96"/>
    <n v="159.43"/>
    <m/>
    <n v="1498.9908599166342"/>
    <n v="322.27888250425127"/>
    <n v="0"/>
    <n v="823792.53216000006"/>
    <n v="90268.628280000004"/>
    <n v="0"/>
    <n v="848722.62892135873"/>
    <n v="182473.01415837707"/>
  </r>
  <r>
    <s v="Sistema de Compensação"/>
    <x v="3"/>
    <x v="2"/>
    <x v="2"/>
    <x v="0"/>
    <x v="0"/>
    <x v="1"/>
    <x v="2"/>
    <x v="0"/>
    <n v="0"/>
    <n v="0"/>
    <n v="6.758"/>
    <n v="6.758"/>
    <n v="6.758"/>
    <n v="6.758"/>
    <n v="0"/>
    <x v="1"/>
    <n v="0"/>
    <n v="0"/>
    <n v="5"/>
    <n v="75"/>
    <n v="0"/>
    <n v="1454.96"/>
    <n v="159.43"/>
    <m/>
    <n v="1498.9908599166342"/>
    <n v="322.27888250425127"/>
    <n v="0"/>
    <n v="9832.6196799999998"/>
    <n v="1077.42794"/>
    <n v="0"/>
    <n v="10130.180231316614"/>
    <n v="2177.9606879637299"/>
  </r>
  <r>
    <s v="Regular"/>
    <x v="3"/>
    <x v="2"/>
    <x v="2"/>
    <x v="0"/>
    <x v="0"/>
    <x v="1"/>
    <x v="2"/>
    <x v="1"/>
    <n v="0"/>
    <n v="0"/>
    <n v="452.99900000000002"/>
    <n v="452.99900000000002"/>
    <n v="452.99900000000002"/>
    <n v="452.99900000000002"/>
    <n v="0"/>
    <x v="1"/>
    <n v="0"/>
    <n v="0"/>
    <n v="5"/>
    <n v="75"/>
    <n v="0"/>
    <n v="1454.96"/>
    <n v="159.43"/>
    <m/>
    <n v="1498.9908599166342"/>
    <n v="322.27888250425127"/>
    <n v="0"/>
    <n v="659095.42504"/>
    <n v="72221.630570000008"/>
    <n v="0"/>
    <n v="679041.36055137543"/>
    <n v="145992.01149554332"/>
  </r>
  <r>
    <s v="Refaturamento - Regular"/>
    <x v="3"/>
    <x v="2"/>
    <x v="2"/>
    <x v="0"/>
    <x v="0"/>
    <x v="1"/>
    <x v="2"/>
    <x v="1"/>
    <n v="0"/>
    <n v="0"/>
    <n v="-5.4119999999999999"/>
    <n v="-5.4119999999999999"/>
    <n v="-5.4119999999999999"/>
    <n v="-5.4119999999999999"/>
    <n v="0"/>
    <x v="1"/>
    <n v="0"/>
    <n v="0"/>
    <n v="5"/>
    <n v="75"/>
    <n v="0"/>
    <n v="1454.96"/>
    <n v="159.43"/>
    <m/>
    <n v="1498.9908599166342"/>
    <n v="322.27888250425127"/>
    <n v="0"/>
    <n v="-7874.24352"/>
    <n v="-862.83515999999997"/>
    <n v="0"/>
    <n v="-8112.5385338688247"/>
    <n v="-1744.1733121130078"/>
  </r>
  <r>
    <s v="Sistema de Compensação"/>
    <x v="3"/>
    <x v="2"/>
    <x v="2"/>
    <x v="0"/>
    <x v="0"/>
    <x v="1"/>
    <x v="2"/>
    <x v="1"/>
    <n v="0"/>
    <n v="0"/>
    <n v="7.9669999999999996"/>
    <n v="7.9669999999999996"/>
    <n v="7.9669999999999996"/>
    <n v="7.9669999999999996"/>
    <n v="0"/>
    <x v="1"/>
    <n v="0"/>
    <n v="0"/>
    <n v="5"/>
    <n v="75"/>
    <n v="0"/>
    <n v="1454.96"/>
    <n v="159.43"/>
    <m/>
    <n v="1498.9908599166342"/>
    <n v="322.27888250425127"/>
    <n v="0"/>
    <n v="11591.66632"/>
    <n v="1270.1788099999999"/>
    <n v="0"/>
    <n v="11942.460180955824"/>
    <n v="2567.5958569113695"/>
  </r>
  <r>
    <s v="Regular"/>
    <x v="3"/>
    <x v="2"/>
    <x v="2"/>
    <x v="0"/>
    <x v="0"/>
    <x v="1"/>
    <x v="2"/>
    <x v="2"/>
    <n v="0"/>
    <n v="0"/>
    <n v="467.32"/>
    <n v="467.32"/>
    <n v="467.32"/>
    <n v="467.32"/>
    <n v="0"/>
    <x v="1"/>
    <n v="0"/>
    <n v="0"/>
    <n v="5"/>
    <n v="75"/>
    <n v="0"/>
    <n v="1454.96"/>
    <n v="159.43"/>
    <m/>
    <n v="1498.9908599166342"/>
    <n v="322.27888250425127"/>
    <n v="0"/>
    <n v="679931.90720000002"/>
    <n v="74504.827600000004"/>
    <n v="0"/>
    <n v="700508.40865624149"/>
    <n v="150607.36737188671"/>
  </r>
  <r>
    <s v="Refaturamento - Regular"/>
    <x v="3"/>
    <x v="2"/>
    <x v="2"/>
    <x v="0"/>
    <x v="0"/>
    <x v="1"/>
    <x v="2"/>
    <x v="2"/>
    <n v="0"/>
    <n v="0"/>
    <n v="-8.2000000000000003E-2"/>
    <n v="-8.2000000000000003E-2"/>
    <n v="-8.2000000000000003E-2"/>
    <n v="-8.2000000000000003E-2"/>
    <n v="0"/>
    <x v="1"/>
    <n v="0"/>
    <n v="0"/>
    <n v="5"/>
    <n v="75"/>
    <n v="0"/>
    <n v="1454.96"/>
    <n v="159.43"/>
    <m/>
    <n v="1498.9908599166342"/>
    <n v="322.27888250425127"/>
    <n v="0"/>
    <n v="-119.30672000000001"/>
    <n v="-13.073260000000001"/>
    <n v="0"/>
    <n v="-122.91725051316401"/>
    <n v="-26.426868365348604"/>
  </r>
  <r>
    <s v="Sistema de Compensação"/>
    <x v="3"/>
    <x v="2"/>
    <x v="2"/>
    <x v="0"/>
    <x v="0"/>
    <x v="1"/>
    <x v="2"/>
    <x v="2"/>
    <n v="0"/>
    <n v="0"/>
    <n v="3.9769999999999999"/>
    <n v="3.9769999999999999"/>
    <n v="3.9769999999999999"/>
    <n v="3.9769999999999999"/>
    <n v="0"/>
    <x v="1"/>
    <n v="0"/>
    <n v="0"/>
    <n v="5"/>
    <n v="75"/>
    <n v="0"/>
    <n v="1454.96"/>
    <n v="159.43"/>
    <m/>
    <n v="1498.9908599166342"/>
    <n v="322.27888250425127"/>
    <n v="0"/>
    <n v="5786.3759200000004"/>
    <n v="634.05311000000006"/>
    <n v="0"/>
    <n v="5961.4866498884539"/>
    <n v="1281.7031157194072"/>
  </r>
  <r>
    <s v="Regular"/>
    <x v="3"/>
    <x v="2"/>
    <x v="2"/>
    <x v="0"/>
    <x v="0"/>
    <x v="1"/>
    <x v="2"/>
    <x v="3"/>
    <n v="0"/>
    <n v="0"/>
    <n v="503.93299999999999"/>
    <n v="503.93299999999999"/>
    <n v="503.93299999999999"/>
    <n v="503.93299999999999"/>
    <n v="0"/>
    <x v="1"/>
    <n v="0"/>
    <n v="0"/>
    <n v="5"/>
    <n v="75"/>
    <n v="0"/>
    <n v="1454.96"/>
    <n v="159.43"/>
    <m/>
    <n v="1498.9908599166342"/>
    <n v="322.27888250425127"/>
    <n v="0"/>
    <n v="733202.35768000002"/>
    <n v="80342.038190000007"/>
    <n v="0"/>
    <n v="755390.96101036924"/>
    <n v="162406.96409701486"/>
  </r>
  <r>
    <s v="Sistema de Compensação"/>
    <x v="3"/>
    <x v="2"/>
    <x v="2"/>
    <x v="0"/>
    <x v="0"/>
    <x v="1"/>
    <x v="2"/>
    <x v="3"/>
    <n v="0"/>
    <n v="0"/>
    <n v="7.6749999999999998"/>
    <n v="7.6749999999999998"/>
    <n v="7.6749999999999998"/>
    <n v="7.6749999999999998"/>
    <n v="0"/>
    <x v="1"/>
    <n v="0"/>
    <n v="0"/>
    <n v="5"/>
    <n v="75"/>
    <n v="0"/>
    <n v="1454.96"/>
    <n v="159.43"/>
    <m/>
    <n v="1498.9908599166342"/>
    <n v="322.27888250425127"/>
    <n v="0"/>
    <n v="11166.817999999999"/>
    <n v="1223.6252500000001"/>
    <n v="0"/>
    <n v="11504.754849860168"/>
    <n v="2473.4904232201284"/>
  </r>
  <r>
    <s v="Regular"/>
    <x v="3"/>
    <x v="2"/>
    <x v="2"/>
    <x v="0"/>
    <x v="0"/>
    <x v="1"/>
    <x v="2"/>
    <x v="4"/>
    <n v="0"/>
    <n v="0"/>
    <n v="475.54500000000002"/>
    <n v="475.54500000000002"/>
    <n v="475.54500000000002"/>
    <n v="475.54500000000002"/>
    <n v="0"/>
    <x v="1"/>
    <n v="0"/>
    <n v="0"/>
    <n v="5"/>
    <n v="75"/>
    <n v="0"/>
    <n v="1454.96"/>
    <n v="159.43"/>
    <m/>
    <n v="1498.9908599166342"/>
    <n v="322.27888250425127"/>
    <n v="0"/>
    <n v="691898.95319999999"/>
    <n v="75816.139350000012"/>
    <n v="0"/>
    <n v="712837.60847905581"/>
    <n v="153258.11118048418"/>
  </r>
  <r>
    <s v="Sistema de Compensação"/>
    <x v="3"/>
    <x v="2"/>
    <x v="2"/>
    <x v="0"/>
    <x v="0"/>
    <x v="1"/>
    <x v="2"/>
    <x v="4"/>
    <n v="0"/>
    <n v="0"/>
    <n v="9.2379999999999995"/>
    <n v="9.2379999999999995"/>
    <n v="9.2379999999999995"/>
    <n v="9.2379999999999995"/>
    <n v="0"/>
    <x v="1"/>
    <n v="0"/>
    <n v="0"/>
    <n v="5"/>
    <n v="75"/>
    <n v="0"/>
    <n v="1454.96"/>
    <n v="159.43"/>
    <m/>
    <n v="1498.9908599166342"/>
    <n v="322.27888250425127"/>
    <n v="0"/>
    <n v="13440.920479999999"/>
    <n v="1472.8143399999999"/>
    <n v="0"/>
    <n v="13847.677563909867"/>
    <n v="2977.2123165742732"/>
  </r>
  <r>
    <s v="Regular"/>
    <x v="3"/>
    <x v="2"/>
    <x v="2"/>
    <x v="0"/>
    <x v="0"/>
    <x v="1"/>
    <x v="2"/>
    <x v="5"/>
    <n v="0"/>
    <n v="0"/>
    <n v="535.92899999999997"/>
    <n v="535.92899999999997"/>
    <n v="535.92899999999997"/>
    <n v="535.92899999999997"/>
    <n v="0"/>
    <x v="1"/>
    <n v="0"/>
    <n v="0"/>
    <n v="5"/>
    <n v="75"/>
    <n v="0"/>
    <n v="1454.96"/>
    <n v="159.43"/>
    <m/>
    <n v="1498.9908599166342"/>
    <n v="322.27888250425127"/>
    <n v="0"/>
    <n v="779755.25783999998"/>
    <n v="85443.160470000003"/>
    <n v="0"/>
    <n v="803352.67256426183"/>
    <n v="172718.59922162088"/>
  </r>
  <r>
    <s v="Sistema de Compensação"/>
    <x v="3"/>
    <x v="2"/>
    <x v="2"/>
    <x v="0"/>
    <x v="0"/>
    <x v="1"/>
    <x v="2"/>
    <x v="5"/>
    <n v="0"/>
    <n v="0"/>
    <n v="11.457000000000001"/>
    <n v="11.457000000000001"/>
    <n v="11.457000000000001"/>
    <n v="11.457000000000001"/>
    <n v="0"/>
    <x v="1"/>
    <n v="0"/>
    <n v="0"/>
    <n v="5"/>
    <n v="75"/>
    <n v="0"/>
    <n v="1454.96"/>
    <n v="159.43"/>
    <m/>
    <n v="1498.9908599166342"/>
    <n v="322.27888250425127"/>
    <n v="0"/>
    <n v="16669.476720000002"/>
    <n v="1826.5895100000002"/>
    <n v="0"/>
    <n v="17173.938282064879"/>
    <n v="3692.3491568512072"/>
  </r>
  <r>
    <s v="Regular"/>
    <x v="3"/>
    <x v="2"/>
    <x v="2"/>
    <x v="0"/>
    <x v="0"/>
    <x v="1"/>
    <x v="2"/>
    <x v="6"/>
    <n v="0"/>
    <n v="0"/>
    <n v="542.22500000000002"/>
    <n v="542.22500000000002"/>
    <n v="542.22500000000002"/>
    <n v="542.22500000000002"/>
    <n v="0"/>
    <x v="1"/>
    <n v="0"/>
    <n v="0"/>
    <n v="5"/>
    <n v="75"/>
    <n v="0"/>
    <n v="1454.96"/>
    <n v="159.43"/>
    <m/>
    <n v="1498.9908599166342"/>
    <n v="322.27888250425127"/>
    <n v="0"/>
    <n v="788915.6860000001"/>
    <n v="86446.931750000003"/>
    <n v="0"/>
    <n v="812790.31901829701"/>
    <n v="174747.66706586766"/>
  </r>
  <r>
    <s v="Refaturamento - Regular"/>
    <x v="3"/>
    <x v="2"/>
    <x v="2"/>
    <x v="0"/>
    <x v="0"/>
    <x v="1"/>
    <x v="2"/>
    <x v="6"/>
    <n v="0"/>
    <n v="0"/>
    <n v="-0.20799999999999999"/>
    <n v="-0.20799999999999999"/>
    <n v="-0.20799999999999999"/>
    <n v="-0.20799999999999999"/>
    <n v="0"/>
    <x v="1"/>
    <n v="0"/>
    <n v="0"/>
    <n v="5"/>
    <n v="75"/>
    <n v="0"/>
    <n v="1454.96"/>
    <n v="159.43"/>
    <m/>
    <n v="1498.9908599166342"/>
    <n v="322.27888250425127"/>
    <n v="0"/>
    <n v="-302.63168000000002"/>
    <n v="-33.161439999999999"/>
    <n v="0"/>
    <n v="-311.79009886265993"/>
    <n v="-67.034007560884262"/>
  </r>
  <r>
    <s v="Sistema de Compensação"/>
    <x v="3"/>
    <x v="2"/>
    <x v="2"/>
    <x v="0"/>
    <x v="0"/>
    <x v="1"/>
    <x v="2"/>
    <x v="6"/>
    <n v="0"/>
    <n v="0"/>
    <n v="8.0050000000000008"/>
    <n v="8.0050000000000008"/>
    <n v="8.0050000000000008"/>
    <n v="8.0050000000000008"/>
    <n v="0"/>
    <x v="1"/>
    <n v="0"/>
    <n v="0"/>
    <n v="5"/>
    <n v="75"/>
    <n v="0"/>
    <n v="1454.96"/>
    <n v="159.43"/>
    <m/>
    <n v="1498.9908599166342"/>
    <n v="322.27888250425127"/>
    <n v="0"/>
    <n v="11646.954800000001"/>
    <n v="1276.2371500000002"/>
    <n v="0"/>
    <n v="11999.421833632658"/>
    <n v="2579.8424544465315"/>
  </r>
  <r>
    <s v="Regular"/>
    <x v="3"/>
    <x v="2"/>
    <x v="2"/>
    <x v="0"/>
    <x v="0"/>
    <x v="1"/>
    <x v="2"/>
    <x v="7"/>
    <n v="0"/>
    <n v="0"/>
    <n v="564.05899999999997"/>
    <n v="564.05899999999997"/>
    <n v="564.05899999999997"/>
    <n v="564.05899999999997"/>
    <n v="0"/>
    <x v="1"/>
    <n v="0"/>
    <n v="0"/>
    <n v="5"/>
    <n v="75"/>
    <n v="0"/>
    <n v="1454.96"/>
    <n v="159.43"/>
    <m/>
    <n v="1498.9908599166342"/>
    <n v="322.27888250425127"/>
    <n v="0"/>
    <n v="820683.28263999999"/>
    <n v="89927.926370000001"/>
    <n v="0"/>
    <n v="845519.28545371676"/>
    <n v="181784.30418646545"/>
  </r>
  <r>
    <s v="Sistema de Compensação"/>
    <x v="3"/>
    <x v="2"/>
    <x v="2"/>
    <x v="0"/>
    <x v="0"/>
    <x v="1"/>
    <x v="2"/>
    <x v="7"/>
    <n v="0"/>
    <n v="0"/>
    <n v="7.3079999999999998"/>
    <n v="7.3079999999999998"/>
    <n v="7.3079999999999998"/>
    <n v="7.3079999999999998"/>
    <n v="0"/>
    <x v="1"/>
    <n v="0"/>
    <n v="0"/>
    <n v="5"/>
    <n v="75"/>
    <n v="0"/>
    <n v="1454.96"/>
    <n v="159.43"/>
    <m/>
    <n v="1498.9908599166342"/>
    <n v="322.27888250425127"/>
    <n v="0"/>
    <n v="10632.847680000001"/>
    <n v="1165.1144400000001"/>
    <n v="0"/>
    <n v="10954.625204270762"/>
    <n v="2355.2140733410683"/>
  </r>
  <r>
    <s v="Regular"/>
    <x v="3"/>
    <x v="2"/>
    <x v="2"/>
    <x v="0"/>
    <x v="0"/>
    <x v="1"/>
    <x v="2"/>
    <x v="8"/>
    <n v="0"/>
    <n v="0"/>
    <n v="676.577"/>
    <n v="676.577"/>
    <n v="676.577"/>
    <n v="676.577"/>
    <n v="0"/>
    <x v="1"/>
    <n v="0"/>
    <n v="0"/>
    <n v="5"/>
    <n v="75"/>
    <n v="0"/>
    <n v="1454.96"/>
    <n v="159.43"/>
    <m/>
    <n v="1498.9908599166342"/>
    <n v="322.27888250425127"/>
    <n v="0"/>
    <n v="984392.47192000004"/>
    <n v="107866.67111000001"/>
    <n v="0"/>
    <n v="1014182.7390298166"/>
    <n v="218046.47948807882"/>
  </r>
  <r>
    <s v="Refaturamento - Regular"/>
    <x v="3"/>
    <x v="2"/>
    <x v="2"/>
    <x v="0"/>
    <x v="0"/>
    <x v="1"/>
    <x v="2"/>
    <x v="8"/>
    <n v="0"/>
    <n v="0"/>
    <n v="-34.831000000000003"/>
    <n v="-34.831000000000003"/>
    <n v="-34.831000000000003"/>
    <n v="-34.831000000000003"/>
    <n v="0"/>
    <x v="1"/>
    <n v="0"/>
    <n v="0"/>
    <n v="5"/>
    <n v="75"/>
    <n v="0"/>
    <n v="1454.96"/>
    <n v="159.43"/>
    <m/>
    <n v="1498.9908599166342"/>
    <n v="322.27888250425127"/>
    <n v="0"/>
    <n v="-50677.711760000006"/>
    <n v="-5553.1063300000005"/>
    <n v="0"/>
    <n v="-52211.350641756289"/>
    <n v="-11225.295756505577"/>
  </r>
  <r>
    <s v="Sistema de Compensação"/>
    <x v="3"/>
    <x v="2"/>
    <x v="2"/>
    <x v="0"/>
    <x v="0"/>
    <x v="1"/>
    <x v="2"/>
    <x v="8"/>
    <n v="0"/>
    <n v="0"/>
    <n v="7.0030000000000001"/>
    <n v="7.0030000000000001"/>
    <n v="7.0030000000000001"/>
    <n v="7.0030000000000001"/>
    <n v="0"/>
    <x v="1"/>
    <n v="0"/>
    <n v="0"/>
    <n v="5"/>
    <n v="75"/>
    <n v="0"/>
    <n v="1454.96"/>
    <n v="159.43"/>
    <m/>
    <n v="1498.9908599166342"/>
    <n v="322.27888250425127"/>
    <n v="0"/>
    <n v="10189.08488"/>
    <n v="1116.48829"/>
    <n v="0"/>
    <n v="10497.432991996189"/>
    <n v="2256.9190141772715"/>
  </r>
  <r>
    <s v="Regular"/>
    <x v="3"/>
    <x v="2"/>
    <x v="2"/>
    <x v="0"/>
    <x v="0"/>
    <x v="1"/>
    <x v="2"/>
    <x v="9"/>
    <n v="0"/>
    <n v="0"/>
    <n v="639.61699999999996"/>
    <n v="639.61699999999996"/>
    <n v="639.61699999999996"/>
    <n v="639.61699999999996"/>
    <n v="0"/>
    <x v="1"/>
    <n v="0"/>
    <n v="0"/>
    <n v="5"/>
    <n v="75"/>
    <n v="0"/>
    <n v="1454.96"/>
    <n v="159.43"/>
    <m/>
    <n v="1498.9908599166342"/>
    <n v="322.27888250425127"/>
    <n v="0"/>
    <n v="930617.15032000002"/>
    <n v="101974.13830999999"/>
    <n v="0"/>
    <n v="958780.0368472978"/>
    <n v="206135.05199072167"/>
  </r>
  <r>
    <s v="Refaturamento - Regular"/>
    <x v="3"/>
    <x v="2"/>
    <x v="2"/>
    <x v="0"/>
    <x v="0"/>
    <x v="1"/>
    <x v="2"/>
    <x v="9"/>
    <n v="0"/>
    <n v="0"/>
    <n v="8.4489999999999998"/>
    <n v="8.4489999999999998"/>
    <n v="8.4489999999999998"/>
    <n v="8.4489999999999998"/>
    <n v="0"/>
    <x v="1"/>
    <n v="0"/>
    <n v="0"/>
    <n v="5"/>
    <n v="75"/>
    <n v="0"/>
    <n v="1454.96"/>
    <n v="159.43"/>
    <m/>
    <n v="1498.9908599166342"/>
    <n v="322.27888250425127"/>
    <n v="0"/>
    <n v="12292.957039999999"/>
    <n v="1347.0240699999999"/>
    <n v="0"/>
    <n v="12664.973775435643"/>
    <n v="2722.9342782784188"/>
  </r>
  <r>
    <s v="Sistema de Compensação"/>
    <x v="3"/>
    <x v="2"/>
    <x v="2"/>
    <x v="0"/>
    <x v="0"/>
    <x v="1"/>
    <x v="2"/>
    <x v="9"/>
    <n v="0"/>
    <n v="0"/>
    <n v="5.0990000000000002"/>
    <n v="5.0990000000000002"/>
    <n v="5.0990000000000002"/>
    <n v="5.0990000000000002"/>
    <n v="0"/>
    <x v="1"/>
    <n v="0"/>
    <n v="0"/>
    <n v="5"/>
    <n v="75"/>
    <n v="0"/>
    <n v="1454.96"/>
    <n v="159.43"/>
    <m/>
    <n v="1498.9908599166342"/>
    <n v="322.27888250425127"/>
    <n v="0"/>
    <n v="7418.8410400000002"/>
    <n v="812.93357000000003"/>
    <n v="0"/>
    <n v="7643.3543947149183"/>
    <n v="1643.3000218891773"/>
  </r>
  <r>
    <s v="Regular"/>
    <x v="3"/>
    <x v="2"/>
    <x v="2"/>
    <x v="0"/>
    <x v="0"/>
    <x v="1"/>
    <x v="2"/>
    <x v="10"/>
    <n v="0"/>
    <n v="0"/>
    <n v="620.55999999999995"/>
    <n v="620.55999999999995"/>
    <n v="620.55999999999995"/>
    <n v="620.55999999999995"/>
    <n v="0"/>
    <x v="1"/>
    <n v="0"/>
    <n v="0"/>
    <n v="5"/>
    <n v="75"/>
    <n v="0"/>
    <n v="1454.96"/>
    <n v="159.43"/>
    <m/>
    <n v="1498.9908599166342"/>
    <n v="322.27888250425127"/>
    <n v="0"/>
    <n v="902889.97759999998"/>
    <n v="98935.880799999999"/>
    <n v="0"/>
    <n v="930213.76802986651"/>
    <n v="199993.38332683814"/>
  </r>
  <r>
    <s v="Refaturamento - Regular"/>
    <x v="3"/>
    <x v="2"/>
    <x v="2"/>
    <x v="0"/>
    <x v="0"/>
    <x v="1"/>
    <x v="2"/>
    <x v="10"/>
    <n v="0"/>
    <n v="0"/>
    <n v="-12.052"/>
    <n v="-12.052"/>
    <n v="-12.052"/>
    <n v="-12.052"/>
    <n v="0"/>
    <x v="1"/>
    <n v="0"/>
    <n v="0"/>
    <n v="5"/>
    <n v="75"/>
    <n v="0"/>
    <n v="1454.96"/>
    <n v="159.43"/>
    <m/>
    <n v="1498.9908599166342"/>
    <n v="322.27888250425127"/>
    <n v="0"/>
    <n v="-17535.177919999998"/>
    <n v="-1921.45036"/>
    <n v="0"/>
    <n v="-18065.837843715275"/>
    <n v="-3884.105091941236"/>
  </r>
  <r>
    <s v="Sistema de Compensação"/>
    <x v="3"/>
    <x v="2"/>
    <x v="2"/>
    <x v="0"/>
    <x v="0"/>
    <x v="1"/>
    <x v="2"/>
    <x v="10"/>
    <n v="0"/>
    <n v="0"/>
    <n v="12.87"/>
    <n v="12.87"/>
    <n v="12.87"/>
    <n v="12.87"/>
    <n v="0"/>
    <x v="1"/>
    <n v="0"/>
    <n v="0"/>
    <n v="5"/>
    <n v="75"/>
    <n v="0"/>
    <n v="1454.96"/>
    <n v="159.43"/>
    <m/>
    <n v="1498.9908599166342"/>
    <n v="322.27888250425127"/>
    <n v="0"/>
    <n v="18725.335199999998"/>
    <n v="2051.8640999999998"/>
    <n v="0"/>
    <n v="19292.012367127081"/>
    <n v="4147.7292178297139"/>
  </r>
  <r>
    <s v="PROJETADO"/>
    <x v="3"/>
    <x v="2"/>
    <x v="2"/>
    <x v="0"/>
    <x v="0"/>
    <x v="1"/>
    <x v="2"/>
    <x v="11"/>
    <n v="0"/>
    <n v="0"/>
    <n v="620.55999999999995"/>
    <n v="620.55999999999995"/>
    <n v="620.55999999999995"/>
    <n v="620.55999999999995"/>
    <n v="0"/>
    <x v="1"/>
    <n v="0"/>
    <n v="0"/>
    <n v="5"/>
    <n v="75"/>
    <n v="0"/>
    <n v="1454.96"/>
    <n v="159.43"/>
    <m/>
    <n v="1498.9908599166342"/>
    <n v="322.27888250425127"/>
    <n v="0"/>
    <n v="902889.97759999998"/>
    <n v="98935.880799999999"/>
    <n v="0"/>
    <n v="930213.76802986651"/>
    <n v="199993.38332683814"/>
  </r>
  <r>
    <s v="PROJETADO"/>
    <x v="3"/>
    <x v="2"/>
    <x v="2"/>
    <x v="0"/>
    <x v="0"/>
    <x v="1"/>
    <x v="2"/>
    <x v="11"/>
    <n v="0"/>
    <n v="0"/>
    <n v="-12.052"/>
    <n v="-12.052"/>
    <n v="-12.052"/>
    <n v="-12.052"/>
    <n v="0"/>
    <x v="1"/>
    <n v="0"/>
    <n v="0"/>
    <n v="5"/>
    <n v="75"/>
    <n v="0"/>
    <n v="1454.96"/>
    <n v="159.43"/>
    <m/>
    <n v="1498.9908599166342"/>
    <n v="322.27888250425127"/>
    <n v="0"/>
    <n v="-17535.177919999998"/>
    <n v="-1921.45036"/>
    <n v="0"/>
    <n v="-18065.837843715275"/>
    <n v="-3884.105091941236"/>
  </r>
  <r>
    <s v="PROJETADO"/>
    <x v="3"/>
    <x v="2"/>
    <x v="2"/>
    <x v="0"/>
    <x v="0"/>
    <x v="1"/>
    <x v="2"/>
    <x v="11"/>
    <n v="0"/>
    <n v="0"/>
    <n v="12.87"/>
    <n v="12.87"/>
    <n v="12.87"/>
    <n v="12.87"/>
    <n v="0"/>
    <x v="1"/>
    <n v="0"/>
    <n v="0"/>
    <n v="5"/>
    <n v="75"/>
    <n v="0"/>
    <n v="1454.96"/>
    <n v="159.43"/>
    <m/>
    <n v="1498.9908599166342"/>
    <n v="322.27888250425127"/>
    <n v="0"/>
    <n v="18725.335199999998"/>
    <n v="2051.8640999999998"/>
    <n v="0"/>
    <n v="19292.012367127081"/>
    <n v="4147.7292178297139"/>
  </r>
  <r>
    <s v="Regular"/>
    <x v="3"/>
    <x v="2"/>
    <x v="5"/>
    <x v="0"/>
    <x v="0"/>
    <x v="1"/>
    <x v="1"/>
    <x v="0"/>
    <n v="0"/>
    <n v="0"/>
    <n v="10.906000000000001"/>
    <n v="10.906000000000001"/>
    <n v="10.906000000000001"/>
    <n v="10.906000000000001"/>
    <n v="0"/>
    <x v="1"/>
    <n v="0"/>
    <n v="0"/>
    <n v="7"/>
    <n v="76"/>
    <n v="0"/>
    <n v="102.62"/>
    <n v="103.1"/>
    <m/>
    <n v="181.53179145831209"/>
    <n v="215.6942886760464"/>
    <n v="0"/>
    <n v="1119.17372"/>
    <n v="1124.4086"/>
    <n v="0"/>
    <n v="1979.7857176443517"/>
    <n v="2352.3619123009621"/>
  </r>
  <r>
    <s v="Regular"/>
    <x v="3"/>
    <x v="2"/>
    <x v="5"/>
    <x v="0"/>
    <x v="0"/>
    <x v="1"/>
    <x v="1"/>
    <x v="1"/>
    <n v="0"/>
    <n v="0"/>
    <n v="9.2889999999999997"/>
    <n v="9.2889999999999997"/>
    <n v="9.2889999999999997"/>
    <n v="9.2889999999999997"/>
    <n v="0"/>
    <x v="1"/>
    <n v="0"/>
    <n v="0"/>
    <n v="7"/>
    <n v="76"/>
    <n v="0"/>
    <n v="102.62"/>
    <n v="103.1"/>
    <m/>
    <n v="181.53179145831209"/>
    <n v="215.6942886760464"/>
    <n v="0"/>
    <n v="953.23717999999997"/>
    <n v="957.69589999999994"/>
    <n v="0"/>
    <n v="1686.2488108562609"/>
    <n v="2003.584247511795"/>
  </r>
  <r>
    <s v="Regular"/>
    <x v="3"/>
    <x v="2"/>
    <x v="5"/>
    <x v="0"/>
    <x v="0"/>
    <x v="1"/>
    <x v="1"/>
    <x v="2"/>
    <n v="0"/>
    <n v="0"/>
    <n v="11.365"/>
    <n v="11.365"/>
    <n v="11.365"/>
    <n v="11.365"/>
    <n v="0"/>
    <x v="1"/>
    <n v="0"/>
    <n v="0"/>
    <n v="7"/>
    <n v="76"/>
    <n v="0"/>
    <n v="102.62"/>
    <n v="103.1"/>
    <m/>
    <n v="181.53179145831209"/>
    <n v="215.6942886760464"/>
    <n v="0"/>
    <n v="1166.2763"/>
    <n v="1171.7314999999999"/>
    <n v="0"/>
    <n v="2063.1088099237168"/>
    <n v="2451.3655908032674"/>
  </r>
  <r>
    <s v="Regular"/>
    <x v="3"/>
    <x v="2"/>
    <x v="5"/>
    <x v="0"/>
    <x v="0"/>
    <x v="1"/>
    <x v="1"/>
    <x v="3"/>
    <n v="0"/>
    <n v="0"/>
    <n v="12.824999999999999"/>
    <n v="12.824999999999999"/>
    <n v="12.824999999999999"/>
    <n v="12.824999999999999"/>
    <n v="0"/>
    <x v="1"/>
    <n v="0"/>
    <n v="0"/>
    <n v="7"/>
    <n v="76"/>
    <n v="0"/>
    <n v="102.62"/>
    <n v="103.1"/>
    <m/>
    <n v="181.53179145831209"/>
    <n v="215.6942886760464"/>
    <n v="0"/>
    <n v="1316.1015"/>
    <n v="1322.2574999999999"/>
    <n v="0"/>
    <n v="2328.1452254528522"/>
    <n v="2766.2792522702948"/>
  </r>
  <r>
    <s v="Regular"/>
    <x v="3"/>
    <x v="2"/>
    <x v="5"/>
    <x v="0"/>
    <x v="0"/>
    <x v="1"/>
    <x v="1"/>
    <x v="4"/>
    <n v="0"/>
    <n v="0"/>
    <n v="11.499000000000001"/>
    <n v="11.499000000000001"/>
    <n v="11.499000000000001"/>
    <n v="11.499000000000001"/>
    <n v="0"/>
    <x v="1"/>
    <n v="0"/>
    <n v="0"/>
    <n v="7"/>
    <n v="76"/>
    <n v="0"/>
    <n v="102.62"/>
    <n v="103.1"/>
    <m/>
    <n v="181.53179145831209"/>
    <n v="215.6942886760464"/>
    <n v="0"/>
    <n v="1180.0273800000002"/>
    <n v="1185.5469000000001"/>
    <n v="0"/>
    <n v="2087.434069979131"/>
    <n v="2480.2686254858577"/>
  </r>
  <r>
    <s v="Regular"/>
    <x v="3"/>
    <x v="2"/>
    <x v="5"/>
    <x v="0"/>
    <x v="0"/>
    <x v="1"/>
    <x v="1"/>
    <x v="5"/>
    <n v="0"/>
    <n v="0"/>
    <n v="14.749000000000001"/>
    <n v="14.749000000000001"/>
    <n v="14.749000000000001"/>
    <n v="14.749000000000001"/>
    <n v="0"/>
    <x v="1"/>
    <n v="0"/>
    <n v="0"/>
    <n v="7"/>
    <n v="76"/>
    <n v="0"/>
    <n v="102.62"/>
    <n v="103.1"/>
    <m/>
    <n v="181.53179145831209"/>
    <n v="215.6942886760464"/>
    <n v="0"/>
    <n v="1513.5423800000001"/>
    <n v="1520.6218999999999"/>
    <n v="0"/>
    <n v="2677.412392218645"/>
    <n v="3181.2750636830083"/>
  </r>
  <r>
    <s v="Regular"/>
    <x v="3"/>
    <x v="2"/>
    <x v="5"/>
    <x v="0"/>
    <x v="0"/>
    <x v="1"/>
    <x v="1"/>
    <x v="6"/>
    <n v="0"/>
    <n v="0"/>
    <n v="15.952999999999999"/>
    <n v="15.952999999999999"/>
    <n v="15.952999999999999"/>
    <n v="15.952999999999999"/>
    <n v="0"/>
    <x v="1"/>
    <n v="0"/>
    <n v="0"/>
    <n v="7"/>
    <n v="76"/>
    <n v="0"/>
    <n v="102.62"/>
    <n v="103.1"/>
    <m/>
    <n v="181.53179145831209"/>
    <n v="215.6942886760464"/>
    <n v="0"/>
    <n v="1637.0968600000001"/>
    <n v="1644.7542999999998"/>
    <n v="0"/>
    <n v="2895.9766691344525"/>
    <n v="3440.970987248968"/>
  </r>
  <r>
    <s v="Regular"/>
    <x v="3"/>
    <x v="2"/>
    <x v="5"/>
    <x v="0"/>
    <x v="0"/>
    <x v="1"/>
    <x v="1"/>
    <x v="7"/>
    <n v="0"/>
    <n v="0"/>
    <n v="7.33"/>
    <n v="7.33"/>
    <n v="7.33"/>
    <n v="7.33"/>
    <n v="0"/>
    <x v="1"/>
    <n v="0"/>
    <n v="0"/>
    <n v="7"/>
    <n v="76"/>
    <n v="0"/>
    <n v="102.62"/>
    <n v="103.1"/>
    <m/>
    <n v="181.53179145831209"/>
    <n v="215.6942886760464"/>
    <n v="0"/>
    <n v="752.20460000000003"/>
    <n v="755.72299999999996"/>
    <n v="0"/>
    <n v="1330.6280313894276"/>
    <n v="1581.0391359954201"/>
  </r>
  <r>
    <s v="Regular"/>
    <x v="3"/>
    <x v="2"/>
    <x v="5"/>
    <x v="0"/>
    <x v="0"/>
    <x v="1"/>
    <x v="1"/>
    <x v="8"/>
    <n v="0"/>
    <n v="0"/>
    <n v="8.3680000000000003"/>
    <n v="8.3680000000000003"/>
    <n v="8.3680000000000003"/>
    <n v="8.3680000000000003"/>
    <n v="0"/>
    <x v="1"/>
    <n v="0"/>
    <n v="0"/>
    <n v="7"/>
    <n v="76"/>
    <n v="0"/>
    <n v="102.62"/>
    <n v="103.1"/>
    <m/>
    <n v="181.53179145831209"/>
    <n v="215.6942886760464"/>
    <n v="0"/>
    <n v="858.7241600000001"/>
    <n v="862.74080000000004"/>
    <n v="0"/>
    <n v="1519.0580309231557"/>
    <n v="1804.9298076411562"/>
  </r>
  <r>
    <s v="Regular"/>
    <x v="3"/>
    <x v="2"/>
    <x v="5"/>
    <x v="0"/>
    <x v="0"/>
    <x v="1"/>
    <x v="1"/>
    <x v="9"/>
    <n v="0"/>
    <n v="0"/>
    <n v="7.6829999999999998"/>
    <n v="7.6829999999999998"/>
    <n v="7.6829999999999998"/>
    <n v="7.6829999999999998"/>
    <n v="0"/>
    <x v="1"/>
    <n v="0"/>
    <n v="0"/>
    <n v="7"/>
    <n v="76"/>
    <n v="0"/>
    <n v="102.62"/>
    <n v="103.1"/>
    <m/>
    <n v="181.53179145831209"/>
    <n v="215.6942886760464"/>
    <n v="0"/>
    <n v="788.42946000000006"/>
    <n v="792.11729999999989"/>
    <n v="0"/>
    <n v="1394.7087537742118"/>
    <n v="1657.1792198980645"/>
  </r>
  <r>
    <s v="Regular"/>
    <x v="3"/>
    <x v="2"/>
    <x v="5"/>
    <x v="0"/>
    <x v="0"/>
    <x v="1"/>
    <x v="1"/>
    <x v="10"/>
    <n v="0"/>
    <n v="0"/>
    <n v="13.304"/>
    <n v="13.304"/>
    <n v="13.304"/>
    <n v="13.304"/>
    <n v="0"/>
    <x v="1"/>
    <n v="0"/>
    <n v="0"/>
    <n v="7"/>
    <n v="76"/>
    <n v="0"/>
    <n v="102.62"/>
    <n v="103.1"/>
    <m/>
    <n v="181.53179145831209"/>
    <n v="215.6942886760464"/>
    <n v="0"/>
    <n v="1365.25648"/>
    <n v="1371.6424"/>
    <n v="0"/>
    <n v="2415.098953561384"/>
    <n v="2869.5968165461213"/>
  </r>
  <r>
    <s v="PROJETADO"/>
    <x v="3"/>
    <x v="2"/>
    <x v="5"/>
    <x v="0"/>
    <x v="0"/>
    <x v="1"/>
    <x v="1"/>
    <x v="11"/>
    <n v="0"/>
    <n v="0"/>
    <n v="13.304"/>
    <n v="13.304"/>
    <n v="13.304"/>
    <n v="13.304"/>
    <n v="0"/>
    <x v="1"/>
    <n v="0"/>
    <n v="0"/>
    <n v="7"/>
    <n v="76"/>
    <n v="0"/>
    <n v="102.62"/>
    <n v="103.1"/>
    <m/>
    <n v="181.53179145831209"/>
    <n v="215.6942886760464"/>
    <n v="0"/>
    <n v="1365.25648"/>
    <n v="1371.6424"/>
    <n v="0"/>
    <n v="2415.098953561384"/>
    <n v="2869.5968165461213"/>
  </r>
  <r>
    <s v="Regular"/>
    <x v="3"/>
    <x v="2"/>
    <x v="5"/>
    <x v="0"/>
    <x v="0"/>
    <x v="1"/>
    <x v="0"/>
    <x v="0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1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2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3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4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5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6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7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8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9"/>
    <n v="155"/>
    <n v="155"/>
    <n v="0"/>
    <n v="0"/>
    <n v="0"/>
    <n v="0"/>
    <n v="1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0"/>
    <x v="10"/>
    <n v="155"/>
    <n v="155"/>
    <n v="0"/>
    <n v="0"/>
    <n v="0"/>
    <n v="0"/>
    <n v="2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PROJETADO"/>
    <x v="3"/>
    <x v="2"/>
    <x v="5"/>
    <x v="0"/>
    <x v="0"/>
    <x v="1"/>
    <x v="0"/>
    <x v="11"/>
    <n v="155"/>
    <n v="155"/>
    <n v="0"/>
    <n v="0"/>
    <n v="0"/>
    <n v="0"/>
    <n v="2"/>
    <x v="1"/>
    <n v="0"/>
    <n v="2"/>
    <n v="0"/>
    <n v="0"/>
    <n v="21.38"/>
    <n v="0"/>
    <n v="0"/>
    <n v="21.204888631609794"/>
    <m/>
    <m/>
    <n v="3313.8999999999996"/>
    <n v="0"/>
    <n v="0"/>
    <n v="3286.7577378995179"/>
    <n v="0"/>
    <n v="0"/>
  </r>
  <r>
    <s v="Regular"/>
    <x v="3"/>
    <x v="2"/>
    <x v="5"/>
    <x v="0"/>
    <x v="0"/>
    <x v="1"/>
    <x v="2"/>
    <x v="0"/>
    <n v="0"/>
    <n v="0"/>
    <n v="0.41"/>
    <n v="0.41"/>
    <n v="0.41"/>
    <n v="0.41"/>
    <n v="0"/>
    <x v="1"/>
    <n v="0"/>
    <n v="0"/>
    <n v="5"/>
    <n v="75"/>
    <n v="0"/>
    <n v="1454.96"/>
    <n v="159.43"/>
    <m/>
    <n v="1498.9908599166342"/>
    <n v="322.27888250425127"/>
    <n v="0"/>
    <n v="596.53359999999998"/>
    <n v="65.366299999999995"/>
    <n v="0"/>
    <n v="614.58625256582002"/>
    <n v="132.13434182674303"/>
  </r>
  <r>
    <s v="Regular"/>
    <x v="3"/>
    <x v="2"/>
    <x v="5"/>
    <x v="0"/>
    <x v="0"/>
    <x v="1"/>
    <x v="2"/>
    <x v="1"/>
    <n v="0"/>
    <n v="0"/>
    <n v="0.52500000000000002"/>
    <n v="0.52500000000000002"/>
    <n v="0.52500000000000002"/>
    <n v="0.52500000000000002"/>
    <n v="0"/>
    <x v="1"/>
    <n v="0"/>
    <n v="0"/>
    <n v="5"/>
    <n v="75"/>
    <n v="0"/>
    <n v="1454.96"/>
    <n v="159.43"/>
    <m/>
    <n v="1498.9908599166342"/>
    <n v="322.27888250425127"/>
    <n v="0"/>
    <n v="763.85400000000004"/>
    <n v="83.700750000000014"/>
    <n v="0"/>
    <n v="786.97020145623299"/>
    <n v="169.19641331473193"/>
  </r>
  <r>
    <s v="Regular"/>
    <x v="3"/>
    <x v="2"/>
    <x v="5"/>
    <x v="0"/>
    <x v="0"/>
    <x v="1"/>
    <x v="2"/>
    <x v="2"/>
    <n v="0"/>
    <n v="0"/>
    <n v="0.63900000000000001"/>
    <n v="0.63900000000000001"/>
    <n v="0.63900000000000001"/>
    <n v="0.63900000000000001"/>
    <n v="0"/>
    <x v="1"/>
    <n v="0"/>
    <n v="0"/>
    <n v="5"/>
    <n v="75"/>
    <n v="0"/>
    <n v="1454.96"/>
    <n v="159.43"/>
    <m/>
    <n v="1498.9908599166342"/>
    <n v="322.27888250425127"/>
    <n v="0"/>
    <n v="929.71944000000008"/>
    <n v="101.87577"/>
    <n v="0"/>
    <n v="957.85515948672935"/>
    <n v="205.93620592021657"/>
  </r>
  <r>
    <s v="Regular"/>
    <x v="3"/>
    <x v="2"/>
    <x v="5"/>
    <x v="0"/>
    <x v="0"/>
    <x v="1"/>
    <x v="2"/>
    <x v="3"/>
    <n v="0"/>
    <n v="0"/>
    <n v="0.81"/>
    <n v="0.81"/>
    <n v="0.81"/>
    <n v="0.81"/>
    <n v="0"/>
    <x v="1"/>
    <n v="0"/>
    <n v="0"/>
    <n v="5"/>
    <n v="75"/>
    <n v="0"/>
    <n v="1454.96"/>
    <n v="159.43"/>
    <m/>
    <n v="1498.9908599166342"/>
    <n v="322.27888250425127"/>
    <n v="0"/>
    <n v="1178.5176000000001"/>
    <n v="129.13830000000002"/>
    <n v="0"/>
    <n v="1214.1825965324738"/>
    <n v="261.04589482844352"/>
  </r>
  <r>
    <s v="Regular"/>
    <x v="3"/>
    <x v="2"/>
    <x v="5"/>
    <x v="0"/>
    <x v="0"/>
    <x v="1"/>
    <x v="2"/>
    <x v="4"/>
    <n v="0"/>
    <n v="0"/>
    <n v="0.69399999999999995"/>
    <n v="0.69399999999999995"/>
    <n v="0.69399999999999995"/>
    <n v="0.69399999999999995"/>
    <n v="0"/>
    <x v="1"/>
    <n v="0"/>
    <n v="0"/>
    <n v="5"/>
    <n v="75"/>
    <n v="0"/>
    <n v="1454.96"/>
    <n v="159.43"/>
    <m/>
    <n v="1498.9908599166342"/>
    <n v="322.27888250425127"/>
    <n v="0"/>
    <n v="1009.7422399999999"/>
    <n v="110.64442"/>
    <n v="0"/>
    <n v="1040.299656782144"/>
    <n v="223.66154445795036"/>
  </r>
  <r>
    <s v="Regular"/>
    <x v="3"/>
    <x v="2"/>
    <x v="5"/>
    <x v="0"/>
    <x v="0"/>
    <x v="1"/>
    <x v="2"/>
    <x v="5"/>
    <n v="0"/>
    <n v="0"/>
    <n v="0.88600000000000001"/>
    <n v="0.88600000000000001"/>
    <n v="0.88600000000000001"/>
    <n v="0.88600000000000001"/>
    <n v="0"/>
    <x v="1"/>
    <n v="0"/>
    <n v="0"/>
    <n v="5"/>
    <n v="75"/>
    <n v="0"/>
    <n v="1454.96"/>
    <n v="159.43"/>
    <m/>
    <n v="1498.9908599166342"/>
    <n v="322.27888250425127"/>
    <n v="0"/>
    <n v="1289.09456"/>
    <n v="141.25498000000002"/>
    <n v="0"/>
    <n v="1328.1059018861379"/>
    <n v="285.53908989876663"/>
  </r>
  <r>
    <s v="Regular"/>
    <x v="3"/>
    <x v="2"/>
    <x v="5"/>
    <x v="0"/>
    <x v="0"/>
    <x v="1"/>
    <x v="2"/>
    <x v="6"/>
    <n v="0"/>
    <n v="0"/>
    <n v="0.999"/>
    <n v="0.999"/>
    <n v="0.999"/>
    <n v="0.999"/>
    <n v="0"/>
    <x v="1"/>
    <n v="0"/>
    <n v="0"/>
    <n v="5"/>
    <n v="75"/>
    <n v="0"/>
    <n v="1454.96"/>
    <n v="159.43"/>
    <m/>
    <n v="1498.9908599166342"/>
    <n v="322.27888250425127"/>
    <n v="0"/>
    <n v="1453.50504"/>
    <n v="159.27057000000002"/>
    <n v="0"/>
    <n v="1497.4918690567176"/>
    <n v="321.95660362174704"/>
  </r>
  <r>
    <s v="Regular"/>
    <x v="3"/>
    <x v="2"/>
    <x v="5"/>
    <x v="0"/>
    <x v="0"/>
    <x v="1"/>
    <x v="2"/>
    <x v="7"/>
    <n v="0"/>
    <n v="0"/>
    <n v="0.441"/>
    <n v="0.441"/>
    <n v="0.441"/>
    <n v="0.441"/>
    <n v="0"/>
    <x v="1"/>
    <n v="0"/>
    <n v="0"/>
    <n v="5"/>
    <n v="75"/>
    <n v="0"/>
    <n v="1454.96"/>
    <n v="159.43"/>
    <m/>
    <n v="1498.9908599166342"/>
    <n v="322.27888250425127"/>
    <n v="0"/>
    <n v="641.63736000000006"/>
    <n v="70.308630000000008"/>
    <n v="0"/>
    <n v="661.05496922323573"/>
    <n v="142.12498718437482"/>
  </r>
  <r>
    <s v="Regular"/>
    <x v="3"/>
    <x v="2"/>
    <x v="5"/>
    <x v="0"/>
    <x v="0"/>
    <x v="1"/>
    <x v="2"/>
    <x v="8"/>
    <n v="0"/>
    <n v="0"/>
    <n v="0.57899999999999996"/>
    <n v="0.57899999999999996"/>
    <n v="0.57899999999999996"/>
    <n v="0.57899999999999996"/>
    <n v="0"/>
    <x v="1"/>
    <n v="0"/>
    <n v="0"/>
    <n v="5"/>
    <n v="75"/>
    <n v="0"/>
    <n v="1454.96"/>
    <n v="159.43"/>
    <m/>
    <n v="1498.9908599166342"/>
    <n v="322.27888250425127"/>
    <n v="0"/>
    <n v="842.42183999999997"/>
    <n v="92.309969999999993"/>
    <n v="0"/>
    <n v="867.91570789173113"/>
    <n v="186.59947296996148"/>
  </r>
  <r>
    <s v="Regular"/>
    <x v="3"/>
    <x v="2"/>
    <x v="5"/>
    <x v="0"/>
    <x v="0"/>
    <x v="1"/>
    <x v="2"/>
    <x v="9"/>
    <n v="0"/>
    <n v="0"/>
    <n v="0.45400000000000001"/>
    <n v="0.45400000000000001"/>
    <n v="0.45400000000000001"/>
    <n v="0.45400000000000001"/>
    <n v="0"/>
    <x v="1"/>
    <n v="0"/>
    <n v="0"/>
    <n v="5"/>
    <n v="75"/>
    <n v="0"/>
    <n v="1454.96"/>
    <n v="159.43"/>
    <m/>
    <n v="1498.9908599166342"/>
    <n v="322.27888250425127"/>
    <n v="0"/>
    <n v="660.55184000000008"/>
    <n v="72.381219999999999"/>
    <n v="0"/>
    <n v="680.54185040215191"/>
    <n v="146.31461265693008"/>
  </r>
  <r>
    <s v="Regular"/>
    <x v="3"/>
    <x v="2"/>
    <x v="5"/>
    <x v="0"/>
    <x v="0"/>
    <x v="1"/>
    <x v="2"/>
    <x v="10"/>
    <n v="0"/>
    <n v="0"/>
    <n v="0.51500000000000001"/>
    <n v="0.51500000000000001"/>
    <n v="0.51500000000000001"/>
    <n v="0.51500000000000001"/>
    <n v="0"/>
    <x v="1"/>
    <n v="0"/>
    <n v="0"/>
    <n v="5"/>
    <n v="75"/>
    <n v="0"/>
    <n v="1454.96"/>
    <n v="159.43"/>
    <m/>
    <n v="1498.9908599166342"/>
    <n v="322.27888250425127"/>
    <n v="0"/>
    <n v="749.30439999999999"/>
    <n v="82.106450000000009"/>
    <n v="0"/>
    <n v="771.98029285706662"/>
    <n v="165.9736244896894"/>
  </r>
  <r>
    <s v="PROJETADO"/>
    <x v="3"/>
    <x v="2"/>
    <x v="5"/>
    <x v="0"/>
    <x v="0"/>
    <x v="1"/>
    <x v="2"/>
    <x v="11"/>
    <n v="0"/>
    <n v="0"/>
    <n v="0.51500000000000001"/>
    <n v="0.51500000000000001"/>
    <n v="0.51500000000000001"/>
    <n v="0.51500000000000001"/>
    <n v="0"/>
    <x v="1"/>
    <n v="0"/>
    <n v="0"/>
    <n v="5"/>
    <n v="75"/>
    <n v="0"/>
    <n v="1454.96"/>
    <n v="159.43"/>
    <m/>
    <n v="1498.9908599166342"/>
    <n v="322.27888250425127"/>
    <n v="0"/>
    <n v="749.30439999999999"/>
    <n v="82.106450000000009"/>
    <n v="0"/>
    <n v="771.98029285706662"/>
    <n v="165.9736244896894"/>
  </r>
  <r>
    <s v="Regular"/>
    <x v="3"/>
    <x v="2"/>
    <x v="1"/>
    <x v="0"/>
    <x v="1"/>
    <x v="1"/>
    <x v="1"/>
    <x v="0"/>
    <n v="0"/>
    <n v="0"/>
    <n v="705.88300000000004"/>
    <n v="705.88300000000004"/>
    <n v="0"/>
    <n v="0"/>
    <n v="0"/>
    <x v="2"/>
    <n v="0"/>
    <n v="0"/>
    <n v="7"/>
    <n v="0"/>
    <n v="0"/>
    <n v="102.62"/>
    <n v="0"/>
    <m/>
    <n v="181.53179145831209"/>
    <m/>
    <n v="0"/>
    <n v="72437.713460000014"/>
    <n v="0"/>
    <n v="0"/>
    <n v="128140.20554996772"/>
    <n v="0"/>
  </r>
  <r>
    <s v="Regular"/>
    <x v="3"/>
    <x v="2"/>
    <x v="1"/>
    <x v="0"/>
    <x v="1"/>
    <x v="1"/>
    <x v="1"/>
    <x v="1"/>
    <n v="0"/>
    <n v="0"/>
    <n v="66.093000000000004"/>
    <n v="66.093000000000004"/>
    <n v="0"/>
    <n v="0"/>
    <n v="0"/>
    <x v="2"/>
    <n v="0"/>
    <n v="0"/>
    <n v="7"/>
    <n v="0"/>
    <n v="0"/>
    <n v="102.62"/>
    <n v="0"/>
    <m/>
    <n v="181.53179145831209"/>
    <m/>
    <n v="0"/>
    <n v="6782.4636600000003"/>
    <n v="0"/>
    <n v="0"/>
    <n v="11997.980692854222"/>
    <n v="0"/>
  </r>
  <r>
    <s v="Regular"/>
    <x v="3"/>
    <x v="2"/>
    <x v="1"/>
    <x v="0"/>
    <x v="1"/>
    <x v="1"/>
    <x v="1"/>
    <x v="2"/>
    <n v="0"/>
    <n v="0"/>
    <n v="71.325999999999993"/>
    <n v="71.325999999999993"/>
    <n v="0"/>
    <n v="0"/>
    <n v="0"/>
    <x v="2"/>
    <n v="0"/>
    <n v="0"/>
    <n v="7"/>
    <n v="0"/>
    <n v="0"/>
    <n v="102.62"/>
    <n v="0"/>
    <m/>
    <n v="181.53179145831209"/>
    <m/>
    <n v="0"/>
    <n v="7319.4741199999999"/>
    <n v="0"/>
    <n v="0"/>
    <n v="12947.936557555566"/>
    <n v="0"/>
  </r>
  <r>
    <s v="Regular"/>
    <x v="3"/>
    <x v="2"/>
    <x v="1"/>
    <x v="0"/>
    <x v="1"/>
    <x v="1"/>
    <x v="1"/>
    <x v="3"/>
    <n v="0"/>
    <n v="0"/>
    <n v="87.573999999999998"/>
    <n v="87.573999999999998"/>
    <n v="0"/>
    <n v="0"/>
    <n v="0"/>
    <x v="2"/>
    <n v="0"/>
    <n v="0"/>
    <n v="7"/>
    <n v="0"/>
    <n v="0"/>
    <n v="102.62"/>
    <n v="0"/>
    <m/>
    <n v="181.53179145831209"/>
    <m/>
    <n v="0"/>
    <n v="8986.8438800000004"/>
    <n v="0"/>
    <n v="0"/>
    <n v="15897.465105170222"/>
    <n v="0"/>
  </r>
  <r>
    <s v="Regular"/>
    <x v="3"/>
    <x v="2"/>
    <x v="1"/>
    <x v="0"/>
    <x v="1"/>
    <x v="1"/>
    <x v="1"/>
    <x v="4"/>
    <n v="0"/>
    <n v="0"/>
    <n v="112.223"/>
    <n v="112.223"/>
    <n v="0"/>
    <n v="0"/>
    <n v="0"/>
    <x v="2"/>
    <n v="0"/>
    <n v="0"/>
    <n v="7"/>
    <n v="0"/>
    <n v="0"/>
    <n v="102.62"/>
    <n v="0"/>
    <m/>
    <n v="181.53179145831209"/>
    <m/>
    <n v="0"/>
    <n v="11516.324260000001"/>
    <n v="0"/>
    <n v="0"/>
    <n v="20372.042232826156"/>
    <n v="0"/>
  </r>
  <r>
    <s v="Regular"/>
    <x v="3"/>
    <x v="2"/>
    <x v="1"/>
    <x v="0"/>
    <x v="1"/>
    <x v="1"/>
    <x v="1"/>
    <x v="5"/>
    <n v="0"/>
    <n v="0"/>
    <n v="131.78"/>
    <n v="131.78"/>
    <n v="0"/>
    <n v="0"/>
    <n v="0"/>
    <x v="2"/>
    <n v="0"/>
    <n v="0"/>
    <n v="7"/>
    <n v="0"/>
    <n v="0"/>
    <n v="102.62"/>
    <n v="0"/>
    <m/>
    <n v="181.53179145831209"/>
    <m/>
    <n v="0"/>
    <n v="13523.2636"/>
    <n v="0"/>
    <n v="0"/>
    <n v="23922.259478376367"/>
    <n v="0"/>
  </r>
  <r>
    <s v="Regular"/>
    <x v="3"/>
    <x v="2"/>
    <x v="1"/>
    <x v="0"/>
    <x v="1"/>
    <x v="1"/>
    <x v="1"/>
    <x v="6"/>
    <n v="0"/>
    <n v="0"/>
    <n v="130.40799999999999"/>
    <n v="130.40799999999999"/>
    <n v="0"/>
    <n v="0"/>
    <n v="0"/>
    <x v="2"/>
    <n v="0"/>
    <n v="0"/>
    <n v="7"/>
    <n v="0"/>
    <n v="0"/>
    <n v="102.62"/>
    <n v="0"/>
    <m/>
    <n v="181.53179145831209"/>
    <m/>
    <n v="0"/>
    <n v="13382.46896"/>
    <n v="0"/>
    <n v="0"/>
    <n v="23673.197860495558"/>
    <n v="0"/>
  </r>
  <r>
    <s v="Regular"/>
    <x v="3"/>
    <x v="2"/>
    <x v="1"/>
    <x v="0"/>
    <x v="1"/>
    <x v="1"/>
    <x v="1"/>
    <x v="7"/>
    <n v="0"/>
    <n v="0"/>
    <n v="116.18899999999999"/>
    <n v="116.18899999999999"/>
    <n v="0"/>
    <n v="0"/>
    <n v="0"/>
    <x v="2"/>
    <n v="0"/>
    <n v="0"/>
    <n v="7"/>
    <n v="0"/>
    <n v="0"/>
    <n v="102.62"/>
    <n v="0"/>
    <m/>
    <n v="181.53179145831209"/>
    <m/>
    <n v="0"/>
    <n v="11923.31518"/>
    <n v="0"/>
    <n v="0"/>
    <n v="21091.997317749821"/>
    <n v="0"/>
  </r>
  <r>
    <s v="Regular"/>
    <x v="3"/>
    <x v="2"/>
    <x v="1"/>
    <x v="0"/>
    <x v="1"/>
    <x v="1"/>
    <x v="1"/>
    <x v="8"/>
    <n v="0"/>
    <n v="0"/>
    <n v="148.827"/>
    <n v="148.827"/>
    <n v="0"/>
    <n v="0"/>
    <n v="0"/>
    <x v="2"/>
    <n v="0"/>
    <n v="0"/>
    <n v="7"/>
    <n v="0"/>
    <n v="0"/>
    <n v="102.62"/>
    <n v="0"/>
    <m/>
    <n v="181.53179145831209"/>
    <m/>
    <n v="0"/>
    <n v="15272.62674"/>
    <n v="0"/>
    <n v="0"/>
    <n v="27016.831927366213"/>
    <n v="0"/>
  </r>
  <r>
    <s v="Regular"/>
    <x v="3"/>
    <x v="2"/>
    <x v="1"/>
    <x v="0"/>
    <x v="1"/>
    <x v="1"/>
    <x v="1"/>
    <x v="9"/>
    <n v="0"/>
    <n v="0"/>
    <n v="137.489"/>
    <n v="137.489"/>
    <n v="0"/>
    <n v="0"/>
    <n v="0"/>
    <x v="2"/>
    <n v="0"/>
    <n v="0"/>
    <n v="7"/>
    <n v="0"/>
    <n v="0"/>
    <n v="102.62"/>
    <n v="0"/>
    <m/>
    <n v="181.53179145831209"/>
    <m/>
    <n v="0"/>
    <n v="14109.121180000002"/>
    <n v="0"/>
    <n v="0"/>
    <n v="24958.62447581187"/>
    <n v="0"/>
  </r>
  <r>
    <s v="Regular"/>
    <x v="3"/>
    <x v="2"/>
    <x v="1"/>
    <x v="0"/>
    <x v="1"/>
    <x v="1"/>
    <x v="1"/>
    <x v="10"/>
    <n v="0"/>
    <n v="0"/>
    <n v="143.334"/>
    <n v="143.334"/>
    <n v="0"/>
    <n v="0"/>
    <n v="0"/>
    <x v="2"/>
    <n v="0"/>
    <n v="0"/>
    <n v="7"/>
    <n v="0"/>
    <n v="0"/>
    <n v="102.62"/>
    <n v="0"/>
    <m/>
    <n v="181.53179145831209"/>
    <m/>
    <n v="0"/>
    <n v="14708.935080000001"/>
    <n v="0"/>
    <n v="0"/>
    <n v="26019.677796885706"/>
    <n v="0"/>
  </r>
  <r>
    <s v="PROJETADO"/>
    <x v="3"/>
    <x v="2"/>
    <x v="1"/>
    <x v="0"/>
    <x v="1"/>
    <x v="1"/>
    <x v="1"/>
    <x v="11"/>
    <n v="0"/>
    <n v="0"/>
    <n v="143.334"/>
    <n v="143.334"/>
    <n v="0"/>
    <n v="0"/>
    <n v="0"/>
    <x v="2"/>
    <n v="0"/>
    <n v="0"/>
    <n v="7"/>
    <n v="0"/>
    <n v="0"/>
    <n v="102.62"/>
    <n v="0"/>
    <m/>
    <n v="181.53179145831209"/>
    <m/>
    <n v="0"/>
    <n v="14708.935080000001"/>
    <n v="0"/>
    <n v="0"/>
    <n v="26019.677796885706"/>
    <n v="0"/>
  </r>
  <r>
    <s v="Regular"/>
    <x v="3"/>
    <x v="2"/>
    <x v="1"/>
    <x v="0"/>
    <x v="1"/>
    <x v="1"/>
    <x v="0"/>
    <x v="0"/>
    <n v="3683"/>
    <n v="752.18008440999995"/>
    <n v="0"/>
    <n v="0"/>
    <n v="0"/>
    <n v="0"/>
    <n v="9"/>
    <x v="2"/>
    <n v="0"/>
    <n v="2"/>
    <n v="0"/>
    <n v="0"/>
    <n v="21.38"/>
    <n v="0"/>
    <n v="0"/>
    <n v="21.204888631609794"/>
    <m/>
    <m/>
    <n v="16081.610204685798"/>
    <n v="0"/>
    <n v="0"/>
    <n v="15949.894920828903"/>
    <n v="0"/>
    <n v="0"/>
  </r>
  <r>
    <s v="Regular"/>
    <x v="3"/>
    <x v="2"/>
    <x v="1"/>
    <x v="0"/>
    <x v="1"/>
    <x v="1"/>
    <x v="0"/>
    <x v="1"/>
    <n v="3678"/>
    <n v="1327.758"/>
    <n v="0"/>
    <n v="0"/>
    <n v="0"/>
    <n v="0"/>
    <n v="9"/>
    <x v="2"/>
    <n v="0"/>
    <n v="2"/>
    <n v="0"/>
    <n v="0"/>
    <n v="21.38"/>
    <n v="0"/>
    <n v="0"/>
    <n v="21.204888631609794"/>
    <m/>
    <m/>
    <n v="28387.466039999999"/>
    <n v="0"/>
    <n v="0"/>
    <n v="28154.960519728957"/>
    <n v="0"/>
    <n v="0"/>
  </r>
  <r>
    <s v="Regular"/>
    <x v="3"/>
    <x v="2"/>
    <x v="1"/>
    <x v="0"/>
    <x v="1"/>
    <x v="1"/>
    <x v="0"/>
    <x v="2"/>
    <n v="3681"/>
    <n v="1500.3756000000001"/>
    <n v="0"/>
    <n v="0"/>
    <n v="0"/>
    <n v="0"/>
    <n v="9"/>
    <x v="2"/>
    <n v="0"/>
    <n v="2"/>
    <n v="0"/>
    <n v="0"/>
    <n v="21.38"/>
    <n v="0"/>
    <n v="0"/>
    <n v="21.204888631609794"/>
    <m/>
    <m/>
    <n v="32078.030328000001"/>
    <n v="0"/>
    <n v="0"/>
    <n v="31815.297503584727"/>
    <n v="0"/>
    <n v="0"/>
  </r>
  <r>
    <s v="Regular"/>
    <x v="3"/>
    <x v="2"/>
    <x v="1"/>
    <x v="0"/>
    <x v="1"/>
    <x v="1"/>
    <x v="0"/>
    <x v="3"/>
    <n v="3684"/>
    <n v="1918.6271999999999"/>
    <n v="0"/>
    <n v="0"/>
    <n v="0"/>
    <n v="0"/>
    <n v="9"/>
    <x v="2"/>
    <n v="0"/>
    <n v="2"/>
    <n v="0"/>
    <n v="0"/>
    <n v="21.38"/>
    <n v="0"/>
    <n v="0"/>
    <n v="21.204888631609794"/>
    <m/>
    <m/>
    <n v="41020.249535999996"/>
    <n v="0"/>
    <n v="0"/>
    <n v="40684.276101577329"/>
    <n v="0"/>
    <n v="0"/>
  </r>
  <r>
    <s v="Regular"/>
    <x v="3"/>
    <x v="2"/>
    <x v="1"/>
    <x v="0"/>
    <x v="1"/>
    <x v="1"/>
    <x v="0"/>
    <x v="4"/>
    <n v="4528"/>
    <n v="2571.904"/>
    <n v="0"/>
    <n v="0"/>
    <n v="0"/>
    <n v="0"/>
    <n v="10"/>
    <x v="2"/>
    <n v="0"/>
    <n v="2"/>
    <n v="0"/>
    <n v="0"/>
    <n v="21.38"/>
    <n v="0"/>
    <n v="0"/>
    <n v="21.204888631609794"/>
    <m/>
    <m/>
    <n v="54987.307519999995"/>
    <n v="0"/>
    <n v="0"/>
    <n v="54536.937891191759"/>
    <n v="0"/>
    <n v="0"/>
  </r>
  <r>
    <s v="Regular"/>
    <x v="3"/>
    <x v="2"/>
    <x v="1"/>
    <x v="0"/>
    <x v="1"/>
    <x v="1"/>
    <x v="0"/>
    <x v="5"/>
    <n v="4635"/>
    <n v="2917.7325000000001"/>
    <n v="0"/>
    <n v="0"/>
    <n v="0"/>
    <n v="0"/>
    <n v="11"/>
    <x v="2"/>
    <n v="0"/>
    <n v="2"/>
    <n v="0"/>
    <n v="0"/>
    <n v="21.38"/>
    <n v="0"/>
    <n v="0"/>
    <n v="21.204888631609794"/>
    <m/>
    <m/>
    <n v="62381.120849999999"/>
    <n v="0"/>
    <n v="0"/>
    <n v="61870.192719328428"/>
    <n v="0"/>
    <n v="0"/>
  </r>
  <r>
    <s v="Regular"/>
    <x v="3"/>
    <x v="2"/>
    <x v="1"/>
    <x v="0"/>
    <x v="1"/>
    <x v="1"/>
    <x v="0"/>
    <x v="6"/>
    <n v="4694"/>
    <n v="2970.8326000000002"/>
    <n v="0"/>
    <n v="0"/>
    <n v="0"/>
    <n v="0"/>
    <n v="12"/>
    <x v="2"/>
    <n v="0"/>
    <n v="2"/>
    <n v="0"/>
    <n v="0"/>
    <n v="21.38"/>
    <n v="0"/>
    <n v="0"/>
    <n v="21.204888631609794"/>
    <m/>
    <m/>
    <n v="63516.400988000001"/>
    <n v="0"/>
    <n v="0"/>
    <n v="62996.174426155769"/>
    <n v="0"/>
    <n v="0"/>
  </r>
  <r>
    <s v="Regular"/>
    <x v="3"/>
    <x v="2"/>
    <x v="1"/>
    <x v="0"/>
    <x v="1"/>
    <x v="1"/>
    <x v="0"/>
    <x v="7"/>
    <n v="5006"/>
    <n v="2841.9061999999999"/>
    <n v="0"/>
    <n v="0"/>
    <n v="0"/>
    <n v="0"/>
    <n v="13"/>
    <x v="2"/>
    <n v="0"/>
    <n v="2"/>
    <n v="0"/>
    <n v="0"/>
    <n v="21.38"/>
    <n v="0"/>
    <n v="0"/>
    <n v="21.204888631609794"/>
    <m/>
    <m/>
    <n v="60759.954555999997"/>
    <n v="0"/>
    <n v="0"/>
    <n v="60262.304472481388"/>
    <n v="0"/>
    <n v="0"/>
  </r>
  <r>
    <s v="Regular"/>
    <x v="3"/>
    <x v="2"/>
    <x v="1"/>
    <x v="0"/>
    <x v="1"/>
    <x v="1"/>
    <x v="0"/>
    <x v="8"/>
    <n v="5132"/>
    <n v="3368.1316000000002"/>
    <n v="0"/>
    <n v="0"/>
    <n v="0"/>
    <n v="0"/>
    <n v="13"/>
    <x v="2"/>
    <n v="0"/>
    <n v="2"/>
    <n v="0"/>
    <n v="0"/>
    <n v="21.38"/>
    <n v="0"/>
    <n v="0"/>
    <n v="21.204888631609794"/>
    <m/>
    <m/>
    <n v="72010.653607999993"/>
    <n v="0"/>
    <n v="0"/>
    <n v="71420.855474605705"/>
    <n v="0"/>
    <n v="0"/>
  </r>
  <r>
    <s v="Regular"/>
    <x v="3"/>
    <x v="2"/>
    <x v="1"/>
    <x v="0"/>
    <x v="1"/>
    <x v="1"/>
    <x v="0"/>
    <x v="9"/>
    <n v="5029"/>
    <n v="3364.9038999999998"/>
    <n v="0"/>
    <n v="0"/>
    <n v="0"/>
    <n v="0"/>
    <n v="13"/>
    <x v="2"/>
    <n v="0"/>
    <n v="2"/>
    <n v="0"/>
    <n v="0"/>
    <n v="21.38"/>
    <n v="0"/>
    <n v="0"/>
    <n v="21.204888631609794"/>
    <m/>
    <m/>
    <n v="71941.645381999988"/>
    <n v="0"/>
    <n v="0"/>
    <n v="71352.412455569458"/>
    <n v="0"/>
    <n v="0"/>
  </r>
  <r>
    <s v="Regular"/>
    <x v="3"/>
    <x v="2"/>
    <x v="1"/>
    <x v="0"/>
    <x v="1"/>
    <x v="1"/>
    <x v="0"/>
    <x v="10"/>
    <n v="5023"/>
    <n v="3196.6372000000001"/>
    <n v="0"/>
    <n v="0"/>
    <n v="0"/>
    <n v="0"/>
    <n v="13"/>
    <x v="2"/>
    <n v="0"/>
    <n v="2"/>
    <n v="0"/>
    <n v="0"/>
    <n v="21.38"/>
    <n v="0"/>
    <n v="0"/>
    <n v="21.204888631609794"/>
    <m/>
    <m/>
    <n v="68344.103336"/>
    <n v="0"/>
    <n v="0"/>
    <n v="67784.335821660963"/>
    <n v="0"/>
    <n v="0"/>
  </r>
  <r>
    <s v="PROJETADO"/>
    <x v="3"/>
    <x v="2"/>
    <x v="1"/>
    <x v="0"/>
    <x v="1"/>
    <x v="1"/>
    <x v="0"/>
    <x v="11"/>
    <n v="5023"/>
    <n v="3196.6372000000001"/>
    <n v="0"/>
    <n v="0"/>
    <n v="0"/>
    <n v="0"/>
    <n v="13"/>
    <x v="2"/>
    <n v="0"/>
    <n v="2"/>
    <n v="0"/>
    <n v="0"/>
    <n v="21.38"/>
    <n v="0"/>
    <n v="0"/>
    <n v="21.204888631609794"/>
    <m/>
    <m/>
    <n v="68344.103336"/>
    <n v="0"/>
    <n v="0"/>
    <n v="67784.335821660963"/>
    <n v="0"/>
    <n v="0"/>
  </r>
  <r>
    <s v="Regular"/>
    <x v="3"/>
    <x v="2"/>
    <x v="1"/>
    <x v="0"/>
    <x v="1"/>
    <x v="1"/>
    <x v="2"/>
    <x v="0"/>
    <n v="0"/>
    <n v="0"/>
    <n v="79.353999999999999"/>
    <n v="32.726844186740003"/>
    <n v="0"/>
    <n v="0"/>
    <n v="0"/>
    <x v="2"/>
    <n v="0"/>
    <n v="0"/>
    <n v="5"/>
    <n v="0"/>
    <n v="0"/>
    <n v="1454.96"/>
    <n v="0"/>
    <m/>
    <n v="1498.9908599166342"/>
    <m/>
    <n v="0"/>
    <n v="47616.249217939236"/>
    <n v="0"/>
    <n v="0"/>
    <n v="49057.240309839101"/>
    <n v="0"/>
  </r>
  <r>
    <s v="Regular"/>
    <x v="3"/>
    <x v="2"/>
    <x v="1"/>
    <x v="0"/>
    <x v="1"/>
    <x v="1"/>
    <x v="2"/>
    <x v="1"/>
    <n v="0"/>
    <n v="0"/>
    <n v="656.43799999999999"/>
    <n v="248.461783"/>
    <n v="0"/>
    <n v="0"/>
    <n v="0"/>
    <x v="2"/>
    <n v="0"/>
    <n v="0"/>
    <n v="5"/>
    <n v="0"/>
    <n v="0"/>
    <n v="1454.96"/>
    <n v="0"/>
    <m/>
    <n v="1498.9908599166342"/>
    <m/>
    <n v="0"/>
    <n v="361501.95579367998"/>
    <n v="0"/>
    <n v="0"/>
    <n v="372441.94175559015"/>
    <n v="0"/>
  </r>
  <r>
    <s v="Regular"/>
    <x v="3"/>
    <x v="2"/>
    <x v="1"/>
    <x v="0"/>
    <x v="1"/>
    <x v="1"/>
    <x v="2"/>
    <x v="2"/>
    <n v="0"/>
    <n v="0"/>
    <n v="636.64099999999996"/>
    <n v="311.44477719999998"/>
    <n v="0"/>
    <n v="0"/>
    <n v="0"/>
    <x v="2"/>
    <n v="0"/>
    <n v="0"/>
    <n v="5"/>
    <n v="0"/>
    <n v="0"/>
    <n v="1454.96"/>
    <n v="0"/>
    <m/>
    <n v="1498.9908599166342"/>
    <m/>
    <n v="0"/>
    <n v="453139.69303491199"/>
    <n v="0"/>
    <n v="0"/>
    <n v="466852.87439157255"/>
    <n v="0"/>
  </r>
  <r>
    <s v="Regular"/>
    <x v="3"/>
    <x v="2"/>
    <x v="1"/>
    <x v="0"/>
    <x v="1"/>
    <x v="1"/>
    <x v="2"/>
    <x v="3"/>
    <n v="0"/>
    <n v="0"/>
    <n v="724.59900000000005"/>
    <n v="61.953214500000001"/>
    <n v="0"/>
    <n v="0"/>
    <n v="0"/>
    <x v="2"/>
    <n v="0"/>
    <n v="0"/>
    <n v="5"/>
    <n v="0"/>
    <n v="0"/>
    <n v="1454.96"/>
    <n v="0"/>
    <m/>
    <n v="1498.9908599166342"/>
    <m/>
    <n v="0"/>
    <n v="90139.448968919998"/>
    <n v="0"/>
    <n v="0"/>
    <n v="92867.302277954688"/>
    <n v="0"/>
  </r>
  <r>
    <s v="Regular"/>
    <x v="3"/>
    <x v="2"/>
    <x v="1"/>
    <x v="0"/>
    <x v="1"/>
    <x v="1"/>
    <x v="2"/>
    <x v="4"/>
    <n v="0"/>
    <n v="0"/>
    <n v="1063.9159999999999"/>
    <n v="128.0954864"/>
    <n v="0"/>
    <n v="0"/>
    <n v="0"/>
    <x v="2"/>
    <n v="0"/>
    <n v="0"/>
    <n v="5"/>
    <n v="0"/>
    <n v="0"/>
    <n v="1454.96"/>
    <n v="0"/>
    <m/>
    <n v="1498.9908599166342"/>
    <m/>
    <n v="0"/>
    <n v="186373.80889254401"/>
    <n v="0"/>
    <n v="0"/>
    <n v="192013.96331017552"/>
    <n v="0"/>
  </r>
  <r>
    <s v="Regular"/>
    <x v="3"/>
    <x v="2"/>
    <x v="1"/>
    <x v="0"/>
    <x v="1"/>
    <x v="1"/>
    <x v="2"/>
    <x v="5"/>
    <n v="0"/>
    <n v="0"/>
    <n v="1145.528"/>
    <n v="-11.684385600000001"/>
    <n v="0"/>
    <n v="0"/>
    <n v="0"/>
    <x v="2"/>
    <n v="0"/>
    <n v="0"/>
    <n v="5"/>
    <n v="0"/>
    <n v="0"/>
    <n v="1454.96"/>
    <n v="0"/>
    <m/>
    <n v="1498.9908599166342"/>
    <m/>
    <n v="0"/>
    <n v="-17000.313672576001"/>
    <n v="0"/>
    <n v="0"/>
    <n v="-17514.787218141541"/>
    <n v="0"/>
  </r>
  <r>
    <s v="Regular"/>
    <x v="3"/>
    <x v="2"/>
    <x v="1"/>
    <x v="0"/>
    <x v="1"/>
    <x v="1"/>
    <x v="2"/>
    <x v="6"/>
    <n v="0"/>
    <n v="0"/>
    <n v="1190.585"/>
    <n v="95.842092500000007"/>
    <n v="0"/>
    <n v="0"/>
    <n v="0"/>
    <x v="2"/>
    <n v="0"/>
    <n v="0"/>
    <n v="5"/>
    <n v="0"/>
    <n v="0"/>
    <n v="1454.96"/>
    <n v="0"/>
    <m/>
    <n v="1498.9908599166342"/>
    <m/>
    <n v="0"/>
    <n v="139446.41090380002"/>
    <n v="0"/>
    <n v="0"/>
    <n v="143666.42065278461"/>
    <n v="0"/>
  </r>
  <r>
    <s v="Regular"/>
    <x v="3"/>
    <x v="2"/>
    <x v="1"/>
    <x v="0"/>
    <x v="1"/>
    <x v="1"/>
    <x v="2"/>
    <x v="7"/>
    <n v="0"/>
    <n v="0"/>
    <n v="1201.797"/>
    <n v="332.5372299"/>
    <n v="0"/>
    <n v="0"/>
    <n v="0"/>
    <x v="2"/>
    <n v="0"/>
    <n v="0"/>
    <n v="5"/>
    <n v="0"/>
    <n v="0"/>
    <n v="1454.96"/>
    <n v="0"/>
    <m/>
    <n v="1498.9908599166342"/>
    <m/>
    <n v="0"/>
    <n v="483828.36801530403"/>
    <n v="0"/>
    <n v="0"/>
    <n v="498470.26820209651"/>
    <n v="0"/>
  </r>
  <r>
    <s v="Regular"/>
    <x v="3"/>
    <x v="2"/>
    <x v="1"/>
    <x v="0"/>
    <x v="1"/>
    <x v="1"/>
    <x v="2"/>
    <x v="8"/>
    <n v="0"/>
    <n v="0"/>
    <n v="1344.97"/>
    <n v="-158.033975"/>
    <n v="0"/>
    <n v="0"/>
    <n v="0"/>
    <x v="2"/>
    <n v="0"/>
    <n v="0"/>
    <n v="5"/>
    <n v="0"/>
    <n v="0"/>
    <n v="1454.96"/>
    <n v="0"/>
    <m/>
    <n v="1498.9908599166342"/>
    <m/>
    <n v="0"/>
    <n v="-229933.11226600001"/>
    <n v="0"/>
    <n v="0"/>
    <n v="-236891.48408129386"/>
    <n v="0"/>
  </r>
  <r>
    <s v="Regular"/>
    <x v="3"/>
    <x v="2"/>
    <x v="1"/>
    <x v="0"/>
    <x v="1"/>
    <x v="1"/>
    <x v="2"/>
    <x v="9"/>
    <n v="0"/>
    <n v="0"/>
    <n v="1285.78"/>
    <n v="150.43626"/>
    <n v="0"/>
    <n v="0"/>
    <n v="0"/>
    <x v="2"/>
    <n v="0"/>
    <n v="0"/>
    <n v="5"/>
    <n v="0"/>
    <n v="0"/>
    <n v="1454.96"/>
    <n v="0"/>
    <m/>
    <n v="1498.9908599166342"/>
    <m/>
    <n v="0"/>
    <n v="218878.7408496"/>
    <n v="0"/>
    <n v="0"/>
    <n v="225502.57874004237"/>
    <n v="0"/>
  </r>
  <r>
    <s v="Regular"/>
    <x v="3"/>
    <x v="2"/>
    <x v="1"/>
    <x v="0"/>
    <x v="1"/>
    <x v="1"/>
    <x v="2"/>
    <x v="10"/>
    <n v="0"/>
    <n v="0"/>
    <n v="1357.423"/>
    <n v="-199.8126656"/>
    <n v="0"/>
    <n v="0"/>
    <n v="0"/>
    <x v="2"/>
    <n v="0"/>
    <n v="0"/>
    <n v="5"/>
    <n v="0"/>
    <n v="0"/>
    <n v="1454.96"/>
    <n v="0"/>
    <m/>
    <n v="1498.9908599166342"/>
    <m/>
    <n v="0"/>
    <n v="-290719.43594137602"/>
    <n v="0"/>
    <n v="0"/>
    <n v="-299517.35942997888"/>
    <n v="0"/>
  </r>
  <r>
    <s v="PROJETADO"/>
    <x v="3"/>
    <x v="2"/>
    <x v="1"/>
    <x v="0"/>
    <x v="1"/>
    <x v="1"/>
    <x v="2"/>
    <x v="11"/>
    <n v="0"/>
    <n v="0"/>
    <n v="1357.423"/>
    <n v="-199.8126656"/>
    <n v="0"/>
    <n v="0"/>
    <n v="0"/>
    <x v="2"/>
    <n v="0"/>
    <n v="0"/>
    <n v="5"/>
    <n v="0"/>
    <n v="0"/>
    <n v="1454.96"/>
    <n v="0"/>
    <m/>
    <n v="1498.9908599166342"/>
    <m/>
    <n v="0"/>
    <n v="-290719.43594137602"/>
    <n v="0"/>
    <n v="0"/>
    <n v="-299517.35942997888"/>
    <n v="0"/>
  </r>
  <r>
    <s v="Regular"/>
    <x v="3"/>
    <x v="2"/>
    <x v="1"/>
    <x v="0"/>
    <x v="0"/>
    <x v="1"/>
    <x v="1"/>
    <x v="0"/>
    <n v="0"/>
    <n v="0"/>
    <n v="1329.452"/>
    <n v="1329.452"/>
    <n v="1329.452"/>
    <n v="1329.452"/>
    <n v="0"/>
    <x v="1"/>
    <n v="0"/>
    <n v="0"/>
    <n v="7"/>
    <n v="76"/>
    <n v="0"/>
    <n v="102.62"/>
    <n v="103.1"/>
    <m/>
    <n v="181.53179145831209"/>
    <n v="215.6942886760464"/>
    <n v="0"/>
    <n v="136428.36424"/>
    <n v="137066.5012"/>
    <n v="0"/>
    <n v="241337.80321783593"/>
    <n v="286755.20346894726"/>
  </r>
  <r>
    <s v="Sistema de Compensação"/>
    <x v="3"/>
    <x v="2"/>
    <x v="1"/>
    <x v="0"/>
    <x v="0"/>
    <x v="1"/>
    <x v="1"/>
    <x v="0"/>
    <n v="0"/>
    <n v="0"/>
    <n v="18.178000000000001"/>
    <n v="18.178000000000001"/>
    <n v="18.178000000000001"/>
    <n v="18.178000000000001"/>
    <n v="0"/>
    <x v="1"/>
    <n v="0"/>
    <n v="0"/>
    <n v="7"/>
    <n v="76"/>
    <n v="0"/>
    <n v="102.62"/>
    <n v="103.1"/>
    <m/>
    <n v="181.53179145831209"/>
    <n v="215.6942886760464"/>
    <n v="0"/>
    <n v="1865.4263600000002"/>
    <n v="1874.1518000000001"/>
    <n v="0"/>
    <n v="3299.8849051291973"/>
    <n v="3920.8907795531718"/>
  </r>
  <r>
    <s v="Regular"/>
    <x v="3"/>
    <x v="2"/>
    <x v="1"/>
    <x v="0"/>
    <x v="0"/>
    <x v="1"/>
    <x v="1"/>
    <x v="1"/>
    <n v="0"/>
    <n v="0"/>
    <n v="1329.62"/>
    <n v="1329.62"/>
    <n v="1329.62"/>
    <n v="1329.62"/>
    <n v="0"/>
    <x v="1"/>
    <n v="0"/>
    <n v="0"/>
    <n v="7"/>
    <n v="76"/>
    <n v="0"/>
    <n v="102.62"/>
    <n v="103.1"/>
    <m/>
    <n v="181.53179145831209"/>
    <n v="215.6942886760464"/>
    <n v="0"/>
    <n v="136445.60439999998"/>
    <n v="137083.82199999999"/>
    <n v="0"/>
    <n v="241368.3005588009"/>
    <n v="286791.44010944478"/>
  </r>
  <r>
    <s v="Sistema de Compensação"/>
    <x v="3"/>
    <x v="2"/>
    <x v="1"/>
    <x v="0"/>
    <x v="0"/>
    <x v="1"/>
    <x v="1"/>
    <x v="1"/>
    <n v="0"/>
    <n v="0"/>
    <n v="20.651"/>
    <n v="20.651"/>
    <n v="20.651"/>
    <n v="20.651"/>
    <n v="0"/>
    <x v="1"/>
    <n v="0"/>
    <n v="0"/>
    <n v="7"/>
    <n v="76"/>
    <n v="0"/>
    <n v="102.62"/>
    <n v="103.1"/>
    <m/>
    <n v="181.53179145831209"/>
    <n v="215.6942886760464"/>
    <n v="0"/>
    <n v="2119.2056200000002"/>
    <n v="2129.1180999999997"/>
    <n v="0"/>
    <n v="3748.8130254056027"/>
    <n v="4454.3027554490345"/>
  </r>
  <r>
    <s v="Regular"/>
    <x v="3"/>
    <x v="2"/>
    <x v="1"/>
    <x v="0"/>
    <x v="0"/>
    <x v="1"/>
    <x v="1"/>
    <x v="2"/>
    <n v="0"/>
    <n v="0"/>
    <n v="1111.395"/>
    <n v="1111.395"/>
    <n v="1111.395"/>
    <n v="1111.395"/>
    <n v="0"/>
    <x v="1"/>
    <n v="0"/>
    <n v="0"/>
    <n v="7"/>
    <n v="76"/>
    <n v="0"/>
    <n v="102.62"/>
    <n v="103.1"/>
    <m/>
    <n v="181.53179145831209"/>
    <n v="215.6942886760464"/>
    <n v="0"/>
    <n v="114051.35490000001"/>
    <n v="114584.82449999999"/>
    <n v="0"/>
    <n v="201753.52536781077"/>
    <n v="239721.55396311459"/>
  </r>
  <r>
    <s v="Sistema de Compensação"/>
    <x v="3"/>
    <x v="2"/>
    <x v="1"/>
    <x v="0"/>
    <x v="0"/>
    <x v="1"/>
    <x v="1"/>
    <x v="2"/>
    <n v="0"/>
    <n v="0"/>
    <n v="13.91"/>
    <n v="13.91"/>
    <n v="13.91"/>
    <n v="13.91"/>
    <n v="0"/>
    <x v="1"/>
    <n v="0"/>
    <n v="0"/>
    <n v="7"/>
    <n v="76"/>
    <n v="0"/>
    <n v="102.62"/>
    <n v="103.1"/>
    <m/>
    <n v="181.53179145831209"/>
    <n v="215.6942886760464"/>
    <n v="0"/>
    <n v="1427.4442000000001"/>
    <n v="1434.1209999999999"/>
    <n v="0"/>
    <n v="2525.1072191851213"/>
    <n v="3000.3075554838056"/>
  </r>
  <r>
    <s v="Regular"/>
    <x v="3"/>
    <x v="2"/>
    <x v="1"/>
    <x v="0"/>
    <x v="0"/>
    <x v="1"/>
    <x v="1"/>
    <x v="3"/>
    <n v="0"/>
    <n v="0"/>
    <n v="1456.5519999999999"/>
    <n v="1456.5519999999999"/>
    <n v="1456.5519999999999"/>
    <n v="1456.5519999999999"/>
    <n v="0"/>
    <x v="1"/>
    <n v="0"/>
    <n v="0"/>
    <n v="7"/>
    <n v="76"/>
    <n v="0"/>
    <n v="102.62"/>
    <n v="103.1"/>
    <m/>
    <n v="181.53179145831209"/>
    <n v="215.6942886760464"/>
    <n v="0"/>
    <n v="149471.36624"/>
    <n v="150170.51119999998"/>
    <n v="0"/>
    <n v="264410.49391218735"/>
    <n v="314169.9475596727"/>
  </r>
  <r>
    <s v="Sistema de Compensação"/>
    <x v="3"/>
    <x v="2"/>
    <x v="1"/>
    <x v="0"/>
    <x v="0"/>
    <x v="1"/>
    <x v="1"/>
    <x v="3"/>
    <n v="0"/>
    <n v="0"/>
    <n v="22.111999999999998"/>
    <n v="22.111999999999998"/>
    <n v="22.111999999999998"/>
    <n v="22.111999999999998"/>
    <n v="0"/>
    <x v="1"/>
    <n v="0"/>
    <n v="0"/>
    <n v="7"/>
    <n v="76"/>
    <n v="0"/>
    <n v="102.62"/>
    <n v="103.1"/>
    <m/>
    <n v="181.53179145831209"/>
    <n v="215.6942886760464"/>
    <n v="0"/>
    <n v="2269.1334400000001"/>
    <n v="2279.7471999999998"/>
    <n v="0"/>
    <n v="4014.0309727261965"/>
    <n v="4769.4321112047373"/>
  </r>
  <r>
    <s v="Regular"/>
    <x v="3"/>
    <x v="2"/>
    <x v="1"/>
    <x v="0"/>
    <x v="0"/>
    <x v="1"/>
    <x v="1"/>
    <x v="4"/>
    <n v="0"/>
    <n v="0"/>
    <n v="1076.3869999999999"/>
    <n v="1076.3869999999999"/>
    <n v="1076.3869999999999"/>
    <n v="1076.3869999999999"/>
    <n v="0"/>
    <x v="1"/>
    <n v="0"/>
    <n v="0"/>
    <n v="7"/>
    <n v="76"/>
    <n v="0"/>
    <n v="102.62"/>
    <n v="103.1"/>
    <m/>
    <n v="181.53179145831209"/>
    <n v="215.6942886760464"/>
    <n v="0"/>
    <n v="110458.83394"/>
    <n v="110975.49969999999"/>
    <n v="0"/>
    <n v="195398.46041243817"/>
    <n v="232170.52830514355"/>
  </r>
  <r>
    <s v="Sistema de Compensação"/>
    <x v="3"/>
    <x v="2"/>
    <x v="1"/>
    <x v="0"/>
    <x v="0"/>
    <x v="1"/>
    <x v="1"/>
    <x v="4"/>
    <n v="0"/>
    <n v="0"/>
    <n v="17.192"/>
    <n v="17.192"/>
    <n v="17.192"/>
    <n v="17.192"/>
    <n v="0"/>
    <x v="1"/>
    <n v="0"/>
    <n v="0"/>
    <n v="7"/>
    <n v="76"/>
    <n v="0"/>
    <n v="102.62"/>
    <n v="103.1"/>
    <m/>
    <n v="181.53179145831209"/>
    <n v="215.6942886760464"/>
    <n v="0"/>
    <n v="1764.2430400000001"/>
    <n v="1772.4951999999998"/>
    <n v="0"/>
    <n v="3120.8945587513012"/>
    <n v="3708.2162109185897"/>
  </r>
  <r>
    <s v="Regular"/>
    <x v="3"/>
    <x v="2"/>
    <x v="1"/>
    <x v="0"/>
    <x v="0"/>
    <x v="1"/>
    <x v="1"/>
    <x v="5"/>
    <n v="0"/>
    <n v="0"/>
    <n v="1233.008"/>
    <n v="1233.008"/>
    <n v="1233.008"/>
    <n v="1233.008"/>
    <n v="0"/>
    <x v="1"/>
    <n v="0"/>
    <n v="0"/>
    <n v="7"/>
    <n v="76"/>
    <n v="0"/>
    <n v="102.62"/>
    <n v="103.1"/>
    <m/>
    <n v="181.53179145831209"/>
    <n v="215.6942886760464"/>
    <n v="0"/>
    <n v="126531.28096"/>
    <n v="127123.12479999999"/>
    <n v="0"/>
    <n v="223830.15112243048"/>
    <n v="265952.78349187464"/>
  </r>
  <r>
    <s v="Refaturamento - Regular"/>
    <x v="3"/>
    <x v="2"/>
    <x v="1"/>
    <x v="0"/>
    <x v="0"/>
    <x v="1"/>
    <x v="1"/>
    <x v="5"/>
    <n v="0"/>
    <n v="0"/>
    <n v="91.399000000000001"/>
    <n v="91.399000000000001"/>
    <n v="91.399000000000001"/>
    <n v="91.399000000000001"/>
    <n v="0"/>
    <x v="1"/>
    <n v="0"/>
    <n v="0"/>
    <n v="7"/>
    <n v="76"/>
    <n v="0"/>
    <n v="102.62"/>
    <n v="103.1"/>
    <m/>
    <n v="181.53179145831209"/>
    <n v="215.6942886760464"/>
    <n v="0"/>
    <n v="9379.3653800000011"/>
    <n v="9423.2368999999999"/>
    <n v="0"/>
    <n v="16591.824207498266"/>
    <n v="19714.242290701965"/>
  </r>
  <r>
    <s v="Sistema de Compensação"/>
    <x v="3"/>
    <x v="2"/>
    <x v="1"/>
    <x v="0"/>
    <x v="0"/>
    <x v="1"/>
    <x v="1"/>
    <x v="5"/>
    <n v="0"/>
    <n v="0"/>
    <n v="30.978999999999999"/>
    <n v="30.978999999999999"/>
    <n v="30.978999999999999"/>
    <n v="30.978999999999999"/>
    <n v="0"/>
    <x v="1"/>
    <n v="0"/>
    <n v="0"/>
    <n v="7"/>
    <n v="76"/>
    <n v="0"/>
    <n v="102.62"/>
    <n v="103.1"/>
    <m/>
    <n v="181.53179145831209"/>
    <n v="215.6942886760464"/>
    <n v="0"/>
    <n v="3179.0649800000001"/>
    <n v="3193.9348999999997"/>
    <n v="0"/>
    <n v="5623.6733675870501"/>
    <n v="6681.9933688952415"/>
  </r>
  <r>
    <s v="Regular"/>
    <x v="3"/>
    <x v="2"/>
    <x v="1"/>
    <x v="0"/>
    <x v="0"/>
    <x v="1"/>
    <x v="1"/>
    <x v="6"/>
    <n v="0"/>
    <n v="0"/>
    <n v="1219.1420000000001"/>
    <n v="1219.1420000000001"/>
    <n v="1219.1420000000001"/>
    <n v="1219.1420000000001"/>
    <n v="0"/>
    <x v="1"/>
    <n v="0"/>
    <n v="0"/>
    <n v="7"/>
    <n v="76"/>
    <n v="0"/>
    <n v="102.62"/>
    <n v="103.1"/>
    <m/>
    <n v="181.53179145831209"/>
    <n v="215.6942886760464"/>
    <n v="0"/>
    <n v="125108.35204000001"/>
    <n v="125693.5402"/>
    <n v="0"/>
    <n v="221313.03130206952"/>
    <n v="262961.96648509259"/>
  </r>
  <r>
    <s v="Sistema de Compensação"/>
    <x v="3"/>
    <x v="2"/>
    <x v="1"/>
    <x v="0"/>
    <x v="0"/>
    <x v="1"/>
    <x v="1"/>
    <x v="6"/>
    <n v="0"/>
    <n v="0"/>
    <n v="40.295999999999999"/>
    <n v="40.295999999999999"/>
    <n v="40.295999999999999"/>
    <n v="40.295999999999999"/>
    <n v="0"/>
    <x v="1"/>
    <n v="0"/>
    <n v="0"/>
    <n v="7"/>
    <n v="76"/>
    <n v="0"/>
    <n v="102.62"/>
    <n v="103.1"/>
    <m/>
    <n v="181.53179145831209"/>
    <n v="215.6942886760464"/>
    <n v="0"/>
    <n v="4135.1755199999998"/>
    <n v="4154.5176000000001"/>
    <n v="0"/>
    <n v="7315.0050686041441"/>
    <n v="8691.6170564899658"/>
  </r>
  <r>
    <s v="Regular"/>
    <x v="3"/>
    <x v="2"/>
    <x v="1"/>
    <x v="0"/>
    <x v="0"/>
    <x v="1"/>
    <x v="1"/>
    <x v="7"/>
    <n v="0"/>
    <n v="0"/>
    <n v="1342.5150000000001"/>
    <n v="1342.5150000000001"/>
    <n v="1342.5150000000001"/>
    <n v="1342.5150000000001"/>
    <n v="0"/>
    <x v="1"/>
    <n v="0"/>
    <n v="0"/>
    <n v="7"/>
    <n v="76"/>
    <n v="0"/>
    <n v="102.62"/>
    <n v="103.1"/>
    <m/>
    <n v="181.53179145831209"/>
    <n v="215.6942886760464"/>
    <n v="0"/>
    <n v="137768.88930000001"/>
    <n v="138413.2965"/>
    <n v="0"/>
    <n v="243709.15300965586"/>
    <n v="289572.81796192244"/>
  </r>
  <r>
    <s v="Sistema de Compensação"/>
    <x v="3"/>
    <x v="2"/>
    <x v="1"/>
    <x v="0"/>
    <x v="0"/>
    <x v="1"/>
    <x v="1"/>
    <x v="7"/>
    <n v="0"/>
    <n v="0"/>
    <n v="30.295000000000002"/>
    <n v="30.295000000000002"/>
    <n v="30.295000000000002"/>
    <n v="30.295000000000002"/>
    <n v="0"/>
    <x v="1"/>
    <n v="0"/>
    <n v="0"/>
    <n v="7"/>
    <n v="76"/>
    <n v="0"/>
    <n v="102.62"/>
    <n v="103.1"/>
    <m/>
    <n v="181.53179145831209"/>
    <n v="215.6942886760464"/>
    <n v="0"/>
    <n v="3108.8729000000003"/>
    <n v="3123.4144999999999"/>
    <n v="0"/>
    <n v="5499.5056222295652"/>
    <n v="6534.4584754408261"/>
  </r>
  <r>
    <s v="Regular"/>
    <x v="3"/>
    <x v="2"/>
    <x v="1"/>
    <x v="0"/>
    <x v="0"/>
    <x v="1"/>
    <x v="1"/>
    <x v="8"/>
    <n v="0"/>
    <n v="0"/>
    <n v="1379.3009999999999"/>
    <n v="1379.3009999999999"/>
    <n v="1379.3009999999999"/>
    <n v="1379.3009999999999"/>
    <n v="0"/>
    <x v="1"/>
    <n v="0"/>
    <n v="0"/>
    <n v="7"/>
    <n v="76"/>
    <n v="0"/>
    <n v="102.62"/>
    <n v="103.1"/>
    <m/>
    <n v="181.53179145831209"/>
    <n v="215.6942886760464"/>
    <n v="0"/>
    <n v="141543.86861999999"/>
    <n v="142205.93309999999"/>
    <n v="0"/>
    <n v="250386.98149024131"/>
    <n v="297507.34806515946"/>
  </r>
  <r>
    <s v="Sistema de Compensação"/>
    <x v="3"/>
    <x v="2"/>
    <x v="1"/>
    <x v="0"/>
    <x v="0"/>
    <x v="1"/>
    <x v="1"/>
    <x v="8"/>
    <n v="0"/>
    <n v="0"/>
    <n v="30.385999999999999"/>
    <n v="30.385999999999999"/>
    <n v="30.385999999999999"/>
    <n v="30.385999999999999"/>
    <n v="0"/>
    <x v="1"/>
    <n v="0"/>
    <n v="0"/>
    <n v="7"/>
    <n v="76"/>
    <n v="0"/>
    <n v="102.62"/>
    <n v="103.1"/>
    <m/>
    <n v="181.53179145831209"/>
    <n v="215.6942886760464"/>
    <n v="0"/>
    <n v="3118.2113199999999"/>
    <n v="3132.7965999999997"/>
    <n v="0"/>
    <n v="5516.0250152522713"/>
    <n v="6554.0866557103454"/>
  </r>
  <r>
    <s v="Regular"/>
    <x v="3"/>
    <x v="2"/>
    <x v="1"/>
    <x v="0"/>
    <x v="0"/>
    <x v="1"/>
    <x v="1"/>
    <x v="9"/>
    <n v="0"/>
    <n v="0"/>
    <n v="1306.277"/>
    <n v="1306.277"/>
    <n v="1306.277"/>
    <n v="1306.277"/>
    <n v="0"/>
    <x v="1"/>
    <n v="0"/>
    <n v="0"/>
    <n v="7"/>
    <n v="76"/>
    <n v="0"/>
    <n v="102.62"/>
    <n v="103.1"/>
    <m/>
    <n v="181.53179145831209"/>
    <n v="215.6942886760464"/>
    <n v="0"/>
    <n v="134050.14574000001"/>
    <n v="134677.1587"/>
    <n v="0"/>
    <n v="237130.80395078953"/>
    <n v="281756.48832887987"/>
  </r>
  <r>
    <s v="Sistema de Compensação"/>
    <x v="3"/>
    <x v="2"/>
    <x v="1"/>
    <x v="0"/>
    <x v="0"/>
    <x v="1"/>
    <x v="1"/>
    <x v="9"/>
    <n v="0"/>
    <n v="0"/>
    <n v="25.713999999999999"/>
    <n v="25.713999999999999"/>
    <n v="25.713999999999999"/>
    <n v="25.713999999999999"/>
    <n v="0"/>
    <x v="1"/>
    <n v="0"/>
    <n v="0"/>
    <n v="7"/>
    <n v="76"/>
    <n v="0"/>
    <n v="102.62"/>
    <n v="103.1"/>
    <m/>
    <n v="181.53179145831209"/>
    <n v="215.6942886760464"/>
    <n v="0"/>
    <n v="2638.7706800000001"/>
    <n v="2651.1133999999997"/>
    <n v="0"/>
    <n v="4667.9084855590363"/>
    <n v="5546.3629390158567"/>
  </r>
  <r>
    <s v="Regular"/>
    <x v="3"/>
    <x v="2"/>
    <x v="1"/>
    <x v="0"/>
    <x v="0"/>
    <x v="1"/>
    <x v="1"/>
    <x v="10"/>
    <n v="0"/>
    <n v="0"/>
    <n v="1231.605"/>
    <n v="1231.605"/>
    <n v="1231.605"/>
    <n v="1231.605"/>
    <n v="0"/>
    <x v="1"/>
    <n v="0"/>
    <n v="0"/>
    <n v="7"/>
    <n v="76"/>
    <n v="0"/>
    <n v="102.62"/>
    <n v="103.1"/>
    <m/>
    <n v="181.53179145831209"/>
    <n v="215.6942886760464"/>
    <n v="0"/>
    <n v="126387.30510000001"/>
    <n v="126978.4755"/>
    <n v="0"/>
    <n v="223575.46201901446"/>
    <n v="265650.16440486215"/>
  </r>
  <r>
    <s v="Sistema de Compensação"/>
    <x v="3"/>
    <x v="2"/>
    <x v="1"/>
    <x v="0"/>
    <x v="0"/>
    <x v="1"/>
    <x v="1"/>
    <x v="10"/>
    <n v="0"/>
    <n v="0"/>
    <n v="22.917000000000002"/>
    <n v="22.917000000000002"/>
    <n v="22.917000000000002"/>
    <n v="22.917000000000002"/>
    <n v="0"/>
    <x v="1"/>
    <n v="0"/>
    <n v="0"/>
    <n v="7"/>
    <n v="76"/>
    <n v="0"/>
    <n v="102.62"/>
    <n v="103.1"/>
    <m/>
    <n v="181.53179145831209"/>
    <n v="215.6942886760464"/>
    <n v="0"/>
    <n v="2351.7425400000002"/>
    <n v="2362.7427000000002"/>
    <n v="0"/>
    <n v="4160.1640648501379"/>
    <n v="4943.0660135889557"/>
  </r>
  <r>
    <s v="PROJETADO"/>
    <x v="3"/>
    <x v="2"/>
    <x v="1"/>
    <x v="0"/>
    <x v="0"/>
    <x v="1"/>
    <x v="1"/>
    <x v="11"/>
    <n v="0"/>
    <n v="0"/>
    <n v="1231.605"/>
    <n v="1231.605"/>
    <n v="1231.605"/>
    <n v="1231.605"/>
    <n v="0"/>
    <x v="1"/>
    <n v="0"/>
    <n v="0"/>
    <n v="7"/>
    <n v="76"/>
    <n v="0"/>
    <n v="102.62"/>
    <n v="103.1"/>
    <m/>
    <n v="181.53179145831209"/>
    <n v="215.6942886760464"/>
    <n v="0"/>
    <n v="126387.30510000001"/>
    <n v="126978.4755"/>
    <n v="0"/>
    <n v="223575.46201901446"/>
    <n v="265650.16440486215"/>
  </r>
  <r>
    <s v="PROJETADO"/>
    <x v="3"/>
    <x v="2"/>
    <x v="1"/>
    <x v="0"/>
    <x v="0"/>
    <x v="1"/>
    <x v="1"/>
    <x v="11"/>
    <n v="0"/>
    <n v="0"/>
    <n v="22.917000000000002"/>
    <n v="22.917000000000002"/>
    <n v="22.917000000000002"/>
    <n v="22.917000000000002"/>
    <n v="0"/>
    <x v="1"/>
    <n v="0"/>
    <n v="0"/>
    <n v="7"/>
    <n v="76"/>
    <n v="0"/>
    <n v="102.62"/>
    <n v="103.1"/>
    <m/>
    <n v="181.53179145831209"/>
    <n v="215.6942886760464"/>
    <n v="0"/>
    <n v="2351.7425400000002"/>
    <n v="2362.7427000000002"/>
    <n v="0"/>
    <n v="4160.1640648501379"/>
    <n v="4943.0660135889557"/>
  </r>
  <r>
    <s v="Regular"/>
    <x v="3"/>
    <x v="2"/>
    <x v="1"/>
    <x v="0"/>
    <x v="0"/>
    <x v="1"/>
    <x v="0"/>
    <x v="0"/>
    <n v="6591"/>
    <n v="6591"/>
    <n v="0"/>
    <n v="0"/>
    <n v="0"/>
    <n v="0"/>
    <n v="27"/>
    <x v="1"/>
    <n v="0"/>
    <n v="2"/>
    <n v="0"/>
    <n v="0"/>
    <n v="21.38"/>
    <n v="0"/>
    <n v="0"/>
    <n v="21.204888631609794"/>
    <m/>
    <m/>
    <n v="140915.57999999999"/>
    <n v="0"/>
    <n v="0"/>
    <n v="139761.42097094015"/>
    <n v="0"/>
    <n v="0"/>
  </r>
  <r>
    <s v="Sistema de Compensação"/>
    <x v="3"/>
    <x v="2"/>
    <x v="1"/>
    <x v="0"/>
    <x v="0"/>
    <x v="1"/>
    <x v="0"/>
    <x v="0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1"/>
    <n v="6511"/>
    <n v="6511"/>
    <n v="0"/>
    <n v="0"/>
    <n v="0"/>
    <n v="0"/>
    <n v="27"/>
    <x v="1"/>
    <n v="0"/>
    <n v="2"/>
    <n v="0"/>
    <n v="0"/>
    <n v="21.38"/>
    <n v="0"/>
    <n v="0"/>
    <n v="21.204888631609794"/>
    <m/>
    <m/>
    <n v="139205.18"/>
    <n v="0"/>
    <n v="0"/>
    <n v="138065.02988041137"/>
    <n v="0"/>
    <n v="0"/>
  </r>
  <r>
    <s v="Sistema de Compensação"/>
    <x v="3"/>
    <x v="2"/>
    <x v="1"/>
    <x v="0"/>
    <x v="0"/>
    <x v="1"/>
    <x v="0"/>
    <x v="1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2"/>
    <n v="6450"/>
    <n v="6450"/>
    <n v="0"/>
    <n v="0"/>
    <n v="0"/>
    <n v="0"/>
    <n v="27"/>
    <x v="1"/>
    <n v="0"/>
    <n v="2"/>
    <n v="0"/>
    <n v="0"/>
    <n v="21.38"/>
    <n v="0"/>
    <n v="0"/>
    <n v="21.204888631609794"/>
    <m/>
    <m/>
    <n v="137901"/>
    <n v="0"/>
    <n v="0"/>
    <n v="136771.53167388318"/>
    <n v="0"/>
    <n v="0"/>
  </r>
  <r>
    <s v="Sistema de Compensação"/>
    <x v="3"/>
    <x v="2"/>
    <x v="1"/>
    <x v="0"/>
    <x v="0"/>
    <x v="1"/>
    <x v="0"/>
    <x v="2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3"/>
    <n v="6630"/>
    <n v="6630"/>
    <n v="0"/>
    <n v="0"/>
    <n v="0"/>
    <n v="0"/>
    <n v="29"/>
    <x v="1"/>
    <n v="0"/>
    <n v="2"/>
    <n v="0"/>
    <n v="0"/>
    <n v="21.38"/>
    <n v="0"/>
    <n v="0"/>
    <n v="21.204888631609794"/>
    <m/>
    <m/>
    <n v="141749.4"/>
    <n v="0"/>
    <n v="0"/>
    <n v="140588.41162757293"/>
    <n v="0"/>
    <n v="0"/>
  </r>
  <r>
    <s v="Sistema de Compensação"/>
    <x v="3"/>
    <x v="2"/>
    <x v="1"/>
    <x v="0"/>
    <x v="0"/>
    <x v="1"/>
    <x v="0"/>
    <x v="3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4"/>
    <n v="5759"/>
    <n v="5759"/>
    <n v="0"/>
    <n v="0"/>
    <n v="0"/>
    <n v="0"/>
    <n v="28"/>
    <x v="1"/>
    <n v="0"/>
    <n v="2"/>
    <n v="0"/>
    <n v="0"/>
    <n v="21.38"/>
    <n v="0"/>
    <n v="0"/>
    <n v="21.204888631609794"/>
    <m/>
    <m/>
    <n v="123127.42"/>
    <n v="0"/>
    <n v="0"/>
    <n v="122118.9536294408"/>
    <n v="0"/>
    <n v="0"/>
  </r>
  <r>
    <s v="Sistema de Compensação"/>
    <x v="3"/>
    <x v="2"/>
    <x v="1"/>
    <x v="0"/>
    <x v="0"/>
    <x v="1"/>
    <x v="0"/>
    <x v="4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5"/>
    <n v="6463"/>
    <n v="6463"/>
    <n v="0"/>
    <n v="0"/>
    <n v="0"/>
    <n v="0"/>
    <n v="35"/>
    <x v="1"/>
    <n v="0"/>
    <n v="2"/>
    <n v="0"/>
    <n v="0"/>
    <n v="21.38"/>
    <n v="0"/>
    <n v="0"/>
    <n v="21.204888631609794"/>
    <m/>
    <m/>
    <n v="138178.94"/>
    <n v="0"/>
    <n v="0"/>
    <n v="137047.1952260941"/>
    <n v="0"/>
    <n v="0"/>
  </r>
  <r>
    <s v="Refaturamento - Regular"/>
    <x v="3"/>
    <x v="2"/>
    <x v="1"/>
    <x v="0"/>
    <x v="0"/>
    <x v="1"/>
    <x v="0"/>
    <x v="5"/>
    <n v="240"/>
    <n v="240"/>
    <n v="0"/>
    <n v="0"/>
    <n v="0"/>
    <n v="0"/>
    <n v="2"/>
    <x v="1"/>
    <n v="0"/>
    <n v="2"/>
    <n v="0"/>
    <n v="0"/>
    <n v="21.38"/>
    <n v="0"/>
    <n v="0"/>
    <n v="21.204888631609794"/>
    <m/>
    <m/>
    <n v="5131.2"/>
    <n v="0"/>
    <n v="0"/>
    <n v="5089.1732715863509"/>
    <n v="0"/>
    <n v="0"/>
  </r>
  <r>
    <s v="Sistema de Compensação"/>
    <x v="3"/>
    <x v="2"/>
    <x v="1"/>
    <x v="0"/>
    <x v="0"/>
    <x v="1"/>
    <x v="0"/>
    <x v="5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6"/>
    <n v="6213"/>
    <n v="6213"/>
    <n v="0"/>
    <n v="0"/>
    <n v="0"/>
    <n v="0"/>
    <n v="30"/>
    <x v="1"/>
    <n v="0"/>
    <n v="2"/>
    <n v="0"/>
    <n v="0"/>
    <n v="21.38"/>
    <n v="0"/>
    <n v="0"/>
    <n v="21.204888631609794"/>
    <m/>
    <m/>
    <n v="132833.94"/>
    <n v="0"/>
    <n v="0"/>
    <n v="131745.97306819164"/>
    <n v="0"/>
    <n v="0"/>
  </r>
  <r>
    <s v="Sistema de Compensação"/>
    <x v="3"/>
    <x v="2"/>
    <x v="1"/>
    <x v="0"/>
    <x v="0"/>
    <x v="1"/>
    <x v="0"/>
    <x v="6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7"/>
    <n v="6541"/>
    <n v="6541"/>
    <n v="0"/>
    <n v="0"/>
    <n v="0"/>
    <n v="0"/>
    <n v="28"/>
    <x v="1"/>
    <n v="0"/>
    <n v="2"/>
    <n v="0"/>
    <n v="0"/>
    <n v="21.38"/>
    <n v="0"/>
    <n v="0"/>
    <n v="21.204888631609794"/>
    <m/>
    <m/>
    <n v="139846.57999999999"/>
    <n v="0"/>
    <n v="0"/>
    <n v="138701.17653935967"/>
    <n v="0"/>
    <n v="0"/>
  </r>
  <r>
    <s v="Sistema de Compensação"/>
    <x v="3"/>
    <x v="2"/>
    <x v="1"/>
    <x v="0"/>
    <x v="0"/>
    <x v="1"/>
    <x v="0"/>
    <x v="7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8"/>
    <n v="6104"/>
    <n v="6104"/>
    <n v="0"/>
    <n v="0"/>
    <n v="0"/>
    <n v="0"/>
    <n v="30"/>
    <x v="1"/>
    <n v="0"/>
    <n v="2"/>
    <n v="0"/>
    <n v="0"/>
    <n v="21.38"/>
    <n v="0"/>
    <n v="0"/>
    <n v="21.204888631609794"/>
    <m/>
    <m/>
    <n v="130503.51999999999"/>
    <n v="0"/>
    <n v="0"/>
    <n v="129434.64020734618"/>
    <n v="0"/>
    <n v="0"/>
  </r>
  <r>
    <s v="Sistema de Compensação"/>
    <x v="3"/>
    <x v="2"/>
    <x v="1"/>
    <x v="0"/>
    <x v="0"/>
    <x v="1"/>
    <x v="0"/>
    <x v="8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0"/>
    <x v="9"/>
    <n v="7027"/>
    <n v="7027"/>
    <n v="0"/>
    <n v="0"/>
    <n v="0"/>
    <n v="0"/>
    <n v="32"/>
    <x v="1"/>
    <n v="0"/>
    <n v="2"/>
    <n v="0"/>
    <n v="0"/>
    <n v="21.38"/>
    <n v="0"/>
    <n v="0"/>
    <n v="21.204888631609794"/>
    <m/>
    <m/>
    <n v="150237.25999999998"/>
    <n v="0"/>
    <n v="0"/>
    <n v="149006.75241432202"/>
    <n v="0"/>
    <n v="0"/>
  </r>
  <r>
    <s v="Sistema de Compensação"/>
    <x v="3"/>
    <x v="2"/>
    <x v="1"/>
    <x v="0"/>
    <x v="0"/>
    <x v="1"/>
    <x v="0"/>
    <x v="9"/>
    <n v="344"/>
    <n v="344"/>
    <n v="0"/>
    <n v="0"/>
    <n v="0"/>
    <n v="0"/>
    <n v="1"/>
    <x v="1"/>
    <n v="0"/>
    <n v="2"/>
    <n v="0"/>
    <n v="0"/>
    <n v="21.38"/>
    <n v="0"/>
    <n v="0"/>
    <n v="21.204888631609794"/>
    <m/>
    <m/>
    <n v="7354.7199999999993"/>
    <n v="0"/>
    <n v="0"/>
    <n v="7294.481689273769"/>
    <n v="0"/>
    <n v="0"/>
  </r>
  <r>
    <s v="Regular"/>
    <x v="3"/>
    <x v="2"/>
    <x v="1"/>
    <x v="0"/>
    <x v="0"/>
    <x v="1"/>
    <x v="0"/>
    <x v="10"/>
    <n v="6924"/>
    <n v="6924"/>
    <n v="0"/>
    <n v="0"/>
    <n v="0"/>
    <n v="0"/>
    <n v="32"/>
    <x v="1"/>
    <n v="0"/>
    <n v="2"/>
    <n v="0"/>
    <n v="0"/>
    <n v="21.38"/>
    <n v="0"/>
    <n v="0"/>
    <n v="21.204888631609794"/>
    <m/>
    <m/>
    <n v="148035.12"/>
    <n v="0"/>
    <n v="0"/>
    <n v="146822.64888526622"/>
    <n v="0"/>
    <n v="0"/>
  </r>
  <r>
    <s v="Refaturamento - Regular"/>
    <x v="3"/>
    <x v="2"/>
    <x v="1"/>
    <x v="0"/>
    <x v="0"/>
    <x v="1"/>
    <x v="0"/>
    <x v="10"/>
    <n v="-715"/>
    <n v="-715"/>
    <n v="0"/>
    <n v="0"/>
    <n v="0"/>
    <n v="0"/>
    <n v="0"/>
    <x v="1"/>
    <n v="0"/>
    <n v="2"/>
    <n v="0"/>
    <n v="0"/>
    <n v="21.38"/>
    <n v="0"/>
    <n v="0"/>
    <n v="21.204888631609794"/>
    <m/>
    <m/>
    <n v="-15286.699999999999"/>
    <n v="0"/>
    <n v="0"/>
    <n v="-15161.495371601002"/>
    <n v="0"/>
    <n v="0"/>
  </r>
  <r>
    <s v="Sistema de Compensação"/>
    <x v="3"/>
    <x v="2"/>
    <x v="1"/>
    <x v="0"/>
    <x v="0"/>
    <x v="1"/>
    <x v="0"/>
    <x v="10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PROJETADO"/>
    <x v="3"/>
    <x v="2"/>
    <x v="1"/>
    <x v="0"/>
    <x v="0"/>
    <x v="1"/>
    <x v="0"/>
    <x v="11"/>
    <n v="6924"/>
    <n v="6924"/>
    <n v="0"/>
    <n v="0"/>
    <n v="0"/>
    <n v="0"/>
    <n v="32"/>
    <x v="1"/>
    <n v="0"/>
    <n v="2"/>
    <n v="0"/>
    <n v="0"/>
    <n v="21.38"/>
    <n v="0"/>
    <n v="0"/>
    <n v="21.204888631609794"/>
    <m/>
    <m/>
    <n v="148035.12"/>
    <n v="0"/>
    <n v="0"/>
    <n v="146822.64888526622"/>
    <n v="0"/>
    <n v="0"/>
  </r>
  <r>
    <s v="PROJETADO"/>
    <x v="3"/>
    <x v="2"/>
    <x v="1"/>
    <x v="0"/>
    <x v="0"/>
    <x v="1"/>
    <x v="0"/>
    <x v="11"/>
    <n v="-715"/>
    <n v="-715"/>
    <n v="0"/>
    <n v="0"/>
    <n v="0"/>
    <n v="0"/>
    <n v="0"/>
    <x v="1"/>
    <n v="0"/>
    <n v="2"/>
    <n v="0"/>
    <n v="0"/>
    <n v="21.38"/>
    <n v="0"/>
    <n v="0"/>
    <n v="21.204888631609794"/>
    <m/>
    <m/>
    <n v="-15286.699999999999"/>
    <n v="0"/>
    <n v="0"/>
    <n v="-15161.495371601002"/>
    <n v="0"/>
    <n v="0"/>
  </r>
  <r>
    <s v="PROJETADO"/>
    <x v="3"/>
    <x v="2"/>
    <x v="1"/>
    <x v="0"/>
    <x v="0"/>
    <x v="1"/>
    <x v="0"/>
    <x v="11"/>
    <n v="330"/>
    <n v="330"/>
    <n v="0"/>
    <n v="0"/>
    <n v="0"/>
    <n v="0"/>
    <n v="1"/>
    <x v="1"/>
    <n v="0"/>
    <n v="2"/>
    <n v="0"/>
    <n v="0"/>
    <n v="21.38"/>
    <n v="0"/>
    <n v="0"/>
    <n v="21.204888631609794"/>
    <m/>
    <m/>
    <n v="7055.4"/>
    <n v="0"/>
    <n v="0"/>
    <n v="6997.613248431232"/>
    <n v="0"/>
    <n v="0"/>
  </r>
  <r>
    <s v="Regular"/>
    <x v="3"/>
    <x v="2"/>
    <x v="1"/>
    <x v="0"/>
    <x v="0"/>
    <x v="1"/>
    <x v="2"/>
    <x v="0"/>
    <n v="0"/>
    <n v="0"/>
    <n v="110.20399999999999"/>
    <n v="110.20399999999999"/>
    <n v="110.20399999999999"/>
    <n v="110.20399999999999"/>
    <n v="0"/>
    <x v="1"/>
    <n v="0"/>
    <n v="0"/>
    <n v="5"/>
    <n v="75"/>
    <n v="0"/>
    <n v="1454.96"/>
    <n v="159.43"/>
    <m/>
    <n v="1498.9908599166342"/>
    <n v="322.27888250425127"/>
    <n v="0"/>
    <n v="160342.41183999999"/>
    <n v="17569.82372"/>
    <n v="0"/>
    <n v="165194.78872625274"/>
    <n v="35516.421967498507"/>
  </r>
  <r>
    <s v="Sistema de Compensação"/>
    <x v="3"/>
    <x v="2"/>
    <x v="1"/>
    <x v="0"/>
    <x v="0"/>
    <x v="1"/>
    <x v="2"/>
    <x v="0"/>
    <n v="0"/>
    <n v="0"/>
    <n v="0.93200000000000005"/>
    <n v="0.93200000000000005"/>
    <n v="0.93200000000000005"/>
    <n v="0.93200000000000005"/>
    <n v="0"/>
    <x v="1"/>
    <n v="0"/>
    <n v="0"/>
    <n v="5"/>
    <n v="75"/>
    <n v="0"/>
    <n v="1454.96"/>
    <n v="159.43"/>
    <m/>
    <n v="1498.9908599166342"/>
    <n v="322.27888250425127"/>
    <n v="0"/>
    <n v="1356.0227200000002"/>
    <n v="148.58876000000001"/>
    <n v="0"/>
    <n v="1397.0594814423032"/>
    <n v="300.36391849396222"/>
  </r>
  <r>
    <s v="Regular"/>
    <x v="3"/>
    <x v="2"/>
    <x v="1"/>
    <x v="0"/>
    <x v="0"/>
    <x v="1"/>
    <x v="2"/>
    <x v="1"/>
    <n v="0"/>
    <n v="0"/>
    <n v="100.327"/>
    <n v="100.327"/>
    <n v="100.327"/>
    <n v="100.327"/>
    <n v="0"/>
    <x v="1"/>
    <n v="0"/>
    <n v="0"/>
    <n v="5"/>
    <n v="75"/>
    <n v="0"/>
    <n v="1454.96"/>
    <n v="159.43"/>
    <m/>
    <n v="1498.9908599166342"/>
    <n v="322.27888250425127"/>
    <n v="0"/>
    <n v="145971.77192"/>
    <n v="15995.133610000001"/>
    <n v="0"/>
    <n v="150389.25600285616"/>
    <n v="32333.273445004015"/>
  </r>
  <r>
    <s v="Sistema de Compensação"/>
    <x v="3"/>
    <x v="2"/>
    <x v="1"/>
    <x v="0"/>
    <x v="0"/>
    <x v="1"/>
    <x v="2"/>
    <x v="1"/>
    <n v="0"/>
    <n v="0"/>
    <n v="0.59099999999999997"/>
    <n v="0.59099999999999997"/>
    <n v="0.59099999999999997"/>
    <n v="0.59099999999999997"/>
    <n v="0"/>
    <x v="1"/>
    <n v="0"/>
    <n v="0"/>
    <n v="5"/>
    <n v="75"/>
    <n v="0"/>
    <n v="1454.96"/>
    <n v="159.43"/>
    <m/>
    <n v="1498.9908599166342"/>
    <n v="322.27888250425127"/>
    <n v="0"/>
    <n v="859.88135999999997"/>
    <n v="94.223129999999998"/>
    <n v="0"/>
    <n v="885.90359821073082"/>
    <n v="190.46681956001248"/>
  </r>
  <r>
    <s v="Regular"/>
    <x v="3"/>
    <x v="2"/>
    <x v="1"/>
    <x v="0"/>
    <x v="0"/>
    <x v="1"/>
    <x v="2"/>
    <x v="2"/>
    <n v="0"/>
    <n v="0"/>
    <n v="74.650999999999996"/>
    <n v="74.650999999999996"/>
    <n v="74.650999999999996"/>
    <n v="74.650999999999996"/>
    <n v="0"/>
    <x v="1"/>
    <n v="0"/>
    <n v="0"/>
    <n v="5"/>
    <n v="75"/>
    <n v="0"/>
    <n v="1454.96"/>
    <n v="159.43"/>
    <m/>
    <n v="1498.9908599166342"/>
    <n v="322.27888250425127"/>
    <n v="0"/>
    <n v="108614.21896"/>
    <n v="11901.60893"/>
    <n v="0"/>
    <n v="111901.16668363666"/>
    <n v="24058.440857824862"/>
  </r>
  <r>
    <s v="Sistema de Compensação"/>
    <x v="3"/>
    <x v="2"/>
    <x v="1"/>
    <x v="0"/>
    <x v="0"/>
    <x v="1"/>
    <x v="2"/>
    <x v="2"/>
    <n v="0"/>
    <n v="0"/>
    <n v="0.34399999999999997"/>
    <n v="0.34399999999999997"/>
    <n v="0.34399999999999997"/>
    <n v="0.34399999999999997"/>
    <n v="0"/>
    <x v="1"/>
    <n v="0"/>
    <n v="0"/>
    <n v="5"/>
    <n v="75"/>
    <n v="0"/>
    <n v="1454.96"/>
    <n v="159.43"/>
    <m/>
    <n v="1498.9908599166342"/>
    <n v="322.27888250425127"/>
    <n v="0"/>
    <n v="500.50623999999999"/>
    <n v="54.843919999999997"/>
    <n v="0"/>
    <n v="515.65285581132218"/>
    <n v="110.86393558146243"/>
  </r>
  <r>
    <s v="Regular"/>
    <x v="3"/>
    <x v="2"/>
    <x v="1"/>
    <x v="0"/>
    <x v="0"/>
    <x v="1"/>
    <x v="2"/>
    <x v="3"/>
    <n v="0"/>
    <n v="0"/>
    <n v="107.3"/>
    <n v="107.3"/>
    <n v="107.3"/>
    <n v="107.3"/>
    <n v="0"/>
    <x v="1"/>
    <n v="0"/>
    <n v="0"/>
    <n v="5"/>
    <n v="75"/>
    <n v="0"/>
    <n v="1454.96"/>
    <n v="159.43"/>
    <m/>
    <n v="1498.9908599166342"/>
    <n v="322.27888250425127"/>
    <n v="0"/>
    <n v="156117.20800000001"/>
    <n v="17106.839"/>
    <n v="0"/>
    <n v="160841.71926905485"/>
    <n v="34580.52409270616"/>
  </r>
  <r>
    <s v="Sistema de Compensação"/>
    <x v="3"/>
    <x v="2"/>
    <x v="1"/>
    <x v="0"/>
    <x v="0"/>
    <x v="1"/>
    <x v="2"/>
    <x v="3"/>
    <n v="0"/>
    <n v="0"/>
    <n v="0.58799999999999997"/>
    <n v="0.58799999999999997"/>
    <n v="0.58799999999999997"/>
    <n v="0.58799999999999997"/>
    <n v="0"/>
    <x v="1"/>
    <n v="0"/>
    <n v="0"/>
    <n v="5"/>
    <n v="75"/>
    <n v="0"/>
    <n v="1454.96"/>
    <n v="159.43"/>
    <m/>
    <n v="1498.9908599166342"/>
    <n v="322.27888250425127"/>
    <n v="0"/>
    <n v="855.51648"/>
    <n v="93.744839999999996"/>
    <n v="0"/>
    <n v="881.4066256309809"/>
    <n v="189.49998291249975"/>
  </r>
  <r>
    <s v="Regular"/>
    <x v="3"/>
    <x v="2"/>
    <x v="1"/>
    <x v="0"/>
    <x v="0"/>
    <x v="1"/>
    <x v="2"/>
    <x v="4"/>
    <n v="0"/>
    <n v="0"/>
    <n v="74.23"/>
    <n v="74.23"/>
    <n v="74.23"/>
    <n v="74.23"/>
    <n v="0"/>
    <x v="1"/>
    <n v="0"/>
    <n v="0"/>
    <n v="5"/>
    <n v="75"/>
    <n v="0"/>
    <n v="1454.96"/>
    <n v="159.43"/>
    <m/>
    <n v="1498.9908599166342"/>
    <n v="322.27888250425127"/>
    <n v="0"/>
    <n v="108001.6808"/>
    <n v="11834.4889"/>
    <n v="0"/>
    <n v="111270.09153161176"/>
    <n v="23922.761448290574"/>
  </r>
  <r>
    <s v="Sistema de Compensação"/>
    <x v="3"/>
    <x v="2"/>
    <x v="1"/>
    <x v="0"/>
    <x v="0"/>
    <x v="1"/>
    <x v="2"/>
    <x v="4"/>
    <n v="0"/>
    <n v="0"/>
    <n v="0.63600000000000001"/>
    <n v="0.63600000000000001"/>
    <n v="0.63600000000000001"/>
    <n v="0.63600000000000001"/>
    <n v="0"/>
    <x v="1"/>
    <n v="0"/>
    <n v="0"/>
    <n v="5"/>
    <n v="75"/>
    <n v="0"/>
    <n v="1454.96"/>
    <n v="159.43"/>
    <m/>
    <n v="1498.9908599166342"/>
    <n v="322.27888250425127"/>
    <n v="0"/>
    <n v="925.35455999999999"/>
    <n v="101.39748"/>
    <n v="0"/>
    <n v="953.35818690697943"/>
    <n v="204.9693692727038"/>
  </r>
  <r>
    <s v="Regular"/>
    <x v="3"/>
    <x v="2"/>
    <x v="1"/>
    <x v="0"/>
    <x v="0"/>
    <x v="1"/>
    <x v="2"/>
    <x v="5"/>
    <n v="0"/>
    <n v="0"/>
    <n v="78.004999999999995"/>
    <n v="78.004999999999995"/>
    <n v="78.004999999999995"/>
    <n v="78.004999999999995"/>
    <n v="0"/>
    <x v="1"/>
    <n v="0"/>
    <n v="0"/>
    <n v="5"/>
    <n v="75"/>
    <n v="0"/>
    <n v="1454.96"/>
    <n v="159.43"/>
    <m/>
    <n v="1498.9908599166342"/>
    <n v="322.27888250425127"/>
    <n v="0"/>
    <n v="113494.15479999999"/>
    <n v="12436.337149999999"/>
    <n v="0"/>
    <n v="116928.78202779705"/>
    <n v="25139.364229744118"/>
  </r>
  <r>
    <s v="Refaturamento - Regular"/>
    <x v="3"/>
    <x v="2"/>
    <x v="1"/>
    <x v="0"/>
    <x v="0"/>
    <x v="1"/>
    <x v="2"/>
    <x v="5"/>
    <n v="0"/>
    <n v="0"/>
    <n v="8.4109999999999996"/>
    <n v="8.4109999999999996"/>
    <n v="8.4109999999999996"/>
    <n v="8.4109999999999996"/>
    <n v="0"/>
    <x v="1"/>
    <n v="0"/>
    <n v="0"/>
    <n v="5"/>
    <n v="75"/>
    <n v="0"/>
    <n v="1454.96"/>
    <n v="159.43"/>
    <m/>
    <n v="1498.9908599166342"/>
    <n v="322.27888250425127"/>
    <n v="0"/>
    <n v="12237.66856"/>
    <n v="1340.9657299999999"/>
    <n v="0"/>
    <n v="12608.01212275881"/>
    <n v="2710.6876807432573"/>
  </r>
  <r>
    <s v="Sistema de Compensação"/>
    <x v="3"/>
    <x v="2"/>
    <x v="1"/>
    <x v="0"/>
    <x v="0"/>
    <x v="1"/>
    <x v="2"/>
    <x v="5"/>
    <n v="0"/>
    <n v="0"/>
    <n v="0.78900000000000003"/>
    <n v="0.78900000000000003"/>
    <n v="0.78900000000000003"/>
    <n v="0.78900000000000003"/>
    <n v="0"/>
    <x v="1"/>
    <n v="0"/>
    <n v="0"/>
    <n v="5"/>
    <n v="75"/>
    <n v="0"/>
    <n v="1454.96"/>
    <n v="159.43"/>
    <m/>
    <n v="1498.9908599166342"/>
    <n v="322.27888250425127"/>
    <n v="0"/>
    <n v="1147.96344"/>
    <n v="125.79027000000001"/>
    <n v="0"/>
    <n v="1182.7037884742244"/>
    <n v="254.27803829585426"/>
  </r>
  <r>
    <s v="Regular"/>
    <x v="3"/>
    <x v="2"/>
    <x v="1"/>
    <x v="0"/>
    <x v="0"/>
    <x v="1"/>
    <x v="2"/>
    <x v="6"/>
    <n v="0"/>
    <n v="0"/>
    <n v="324.58499999999998"/>
    <n v="324.58499999999998"/>
    <n v="324.58499999999998"/>
    <n v="324.58499999999998"/>
    <n v="0"/>
    <x v="1"/>
    <n v="0"/>
    <n v="0"/>
    <n v="5"/>
    <n v="75"/>
    <n v="0"/>
    <n v="1454.96"/>
    <n v="159.43"/>
    <m/>
    <n v="1498.9908599166342"/>
    <n v="322.27888250425127"/>
    <n v="0"/>
    <n v="472258.19159999996"/>
    <n v="51748.58655"/>
    <n v="0"/>
    <n v="486549.94826604071"/>
    <n v="104606.89107764239"/>
  </r>
  <r>
    <s v="Sistema de Compensação"/>
    <x v="3"/>
    <x v="2"/>
    <x v="1"/>
    <x v="0"/>
    <x v="0"/>
    <x v="1"/>
    <x v="2"/>
    <x v="6"/>
    <n v="0"/>
    <n v="0"/>
    <n v="0.68600000000000005"/>
    <n v="0.68600000000000005"/>
    <n v="0.68600000000000005"/>
    <n v="0.68600000000000005"/>
    <n v="0"/>
    <x v="1"/>
    <n v="0"/>
    <n v="0"/>
    <n v="5"/>
    <n v="75"/>
    <n v="0"/>
    <n v="1454.96"/>
    <n v="159.43"/>
    <m/>
    <n v="1498.9908599166342"/>
    <n v="322.27888250425127"/>
    <n v="0"/>
    <n v="998.10256000000015"/>
    <n v="109.36898000000001"/>
    <n v="0"/>
    <n v="1028.3077299028112"/>
    <n v="221.08331339791638"/>
  </r>
  <r>
    <s v="Regular"/>
    <x v="3"/>
    <x v="2"/>
    <x v="1"/>
    <x v="0"/>
    <x v="0"/>
    <x v="1"/>
    <x v="2"/>
    <x v="7"/>
    <n v="0"/>
    <n v="0"/>
    <n v="82.054000000000002"/>
    <n v="82.054000000000002"/>
    <n v="82.054000000000002"/>
    <n v="82.054000000000002"/>
    <n v="0"/>
    <x v="1"/>
    <n v="0"/>
    <n v="0"/>
    <n v="5"/>
    <n v="75"/>
    <n v="0"/>
    <n v="1454.96"/>
    <n v="159.43"/>
    <m/>
    <n v="1498.9908599166342"/>
    <n v="322.27888250425127"/>
    <n v="0"/>
    <n v="119385.28784"/>
    <n v="13081.86922"/>
    <n v="0"/>
    <n v="122998.19601959951"/>
    <n v="26444.271425003833"/>
  </r>
  <r>
    <s v="Sistema de Compensação"/>
    <x v="3"/>
    <x v="2"/>
    <x v="1"/>
    <x v="0"/>
    <x v="0"/>
    <x v="1"/>
    <x v="2"/>
    <x v="7"/>
    <n v="0"/>
    <n v="0"/>
    <n v="0.65"/>
    <n v="0.65"/>
    <n v="0.65"/>
    <n v="0.65"/>
    <n v="0"/>
    <x v="1"/>
    <n v="0"/>
    <n v="0"/>
    <n v="5"/>
    <n v="75"/>
    <n v="0"/>
    <n v="1454.96"/>
    <n v="159.43"/>
    <m/>
    <n v="1498.9908599166342"/>
    <n v="322.27888250425127"/>
    <n v="0"/>
    <n v="945.72400000000005"/>
    <n v="103.62950000000001"/>
    <n v="0"/>
    <n v="974.34405894581232"/>
    <n v="209.48127362776333"/>
  </r>
  <r>
    <s v="Regular"/>
    <x v="3"/>
    <x v="2"/>
    <x v="1"/>
    <x v="0"/>
    <x v="0"/>
    <x v="1"/>
    <x v="2"/>
    <x v="8"/>
    <n v="0"/>
    <n v="0"/>
    <n v="100.376"/>
    <n v="100.376"/>
    <n v="100.376"/>
    <n v="100.376"/>
    <n v="0"/>
    <x v="1"/>
    <n v="0"/>
    <n v="0"/>
    <n v="5"/>
    <n v="75"/>
    <n v="0"/>
    <n v="1454.96"/>
    <n v="159.43"/>
    <m/>
    <n v="1498.9908599166342"/>
    <n v="322.27888250425127"/>
    <n v="0"/>
    <n v="146043.06496000002"/>
    <n v="16002.945680000001"/>
    <n v="0"/>
    <n v="150462.7065549921"/>
    <n v="32349.065110246727"/>
  </r>
  <r>
    <s v="Sistema de Compensação"/>
    <x v="3"/>
    <x v="2"/>
    <x v="1"/>
    <x v="0"/>
    <x v="0"/>
    <x v="1"/>
    <x v="2"/>
    <x v="8"/>
    <n v="0"/>
    <n v="0"/>
    <n v="0.78"/>
    <n v="0.78"/>
    <n v="0.78"/>
    <n v="0.78"/>
    <n v="0"/>
    <x v="1"/>
    <n v="0"/>
    <n v="0"/>
    <n v="5"/>
    <n v="75"/>
    <n v="0"/>
    <n v="1454.96"/>
    <n v="159.43"/>
    <m/>
    <n v="1498.9908599166342"/>
    <n v="322.27888250425127"/>
    <n v="0"/>
    <n v="1134.8688"/>
    <n v="124.3554"/>
    <n v="0"/>
    <n v="1169.2128707349748"/>
    <n v="251.37752835331599"/>
  </r>
  <r>
    <s v="Regular"/>
    <x v="3"/>
    <x v="2"/>
    <x v="1"/>
    <x v="0"/>
    <x v="0"/>
    <x v="1"/>
    <x v="2"/>
    <x v="9"/>
    <n v="0"/>
    <n v="0"/>
    <n v="93.033000000000001"/>
    <n v="93.033000000000001"/>
    <n v="93.033000000000001"/>
    <n v="93.033000000000001"/>
    <n v="0"/>
    <x v="1"/>
    <n v="0"/>
    <n v="0"/>
    <n v="5"/>
    <n v="75"/>
    <n v="0"/>
    <n v="1454.96"/>
    <n v="159.43"/>
    <m/>
    <n v="1498.9908599166342"/>
    <n v="322.27888250425127"/>
    <n v="0"/>
    <n v="135359.29368"/>
    <n v="14832.251190000001"/>
    <n v="0"/>
    <n v="139455.61667062424"/>
    <n v="29982.57127601801"/>
  </r>
  <r>
    <s v="Sistema de Compensação"/>
    <x v="3"/>
    <x v="2"/>
    <x v="1"/>
    <x v="0"/>
    <x v="0"/>
    <x v="1"/>
    <x v="2"/>
    <x v="9"/>
    <n v="0"/>
    <n v="0"/>
    <n v="0.66"/>
    <n v="0.66"/>
    <n v="0.66"/>
    <n v="0.66"/>
    <n v="0"/>
    <x v="1"/>
    <n v="0"/>
    <n v="0"/>
    <n v="5"/>
    <n v="75"/>
    <n v="0"/>
    <n v="1454.96"/>
    <n v="159.43"/>
    <m/>
    <n v="1498.9908599166342"/>
    <n v="322.27888250425127"/>
    <n v="0"/>
    <n v="960.2736000000001"/>
    <n v="105.22380000000001"/>
    <n v="0"/>
    <n v="989.33396754497869"/>
    <n v="212.70406245280586"/>
  </r>
  <r>
    <s v="Regular"/>
    <x v="3"/>
    <x v="2"/>
    <x v="1"/>
    <x v="0"/>
    <x v="0"/>
    <x v="1"/>
    <x v="2"/>
    <x v="10"/>
    <n v="0"/>
    <n v="0"/>
    <n v="83.108999999999995"/>
    <n v="83.108999999999995"/>
    <n v="83.108999999999995"/>
    <n v="83.108999999999995"/>
    <n v="0"/>
    <x v="1"/>
    <n v="0"/>
    <n v="0"/>
    <n v="5"/>
    <n v="75"/>
    <n v="0"/>
    <n v="1454.96"/>
    <n v="159.43"/>
    <m/>
    <n v="1498.9908599166342"/>
    <n v="322.27888250425127"/>
    <n v="0"/>
    <n v="120920.27064"/>
    <n v="13250.067869999999"/>
    <n v="0"/>
    <n v="124579.63137681155"/>
    <n v="26784.275646045819"/>
  </r>
  <r>
    <s v="Refaturamento - Regular"/>
    <x v="3"/>
    <x v="2"/>
    <x v="1"/>
    <x v="0"/>
    <x v="0"/>
    <x v="1"/>
    <x v="2"/>
    <x v="10"/>
    <n v="0"/>
    <n v="0"/>
    <n v="-3.516"/>
    <n v="-3.516"/>
    <n v="-3.516"/>
    <n v="-3.516"/>
    <n v="0"/>
    <x v="1"/>
    <n v="0"/>
    <n v="0"/>
    <n v="5"/>
    <n v="75"/>
    <n v="0"/>
    <n v="1454.96"/>
    <n v="159.43"/>
    <m/>
    <n v="1498.9908599166342"/>
    <n v="322.27888250425127"/>
    <n v="0"/>
    <n v="-5115.6393600000001"/>
    <n v="-560.55588"/>
    <n v="0"/>
    <n v="-5270.4518634668857"/>
    <n v="-1133.1325508849475"/>
  </r>
  <r>
    <s v="Sistema de Compensação"/>
    <x v="3"/>
    <x v="2"/>
    <x v="1"/>
    <x v="0"/>
    <x v="0"/>
    <x v="1"/>
    <x v="2"/>
    <x v="10"/>
    <n v="0"/>
    <n v="0"/>
    <n v="0.60699999999999998"/>
    <n v="0.60699999999999998"/>
    <n v="0.60699999999999998"/>
    <n v="0.60699999999999998"/>
    <n v="0"/>
    <x v="1"/>
    <n v="0"/>
    <n v="0"/>
    <n v="5"/>
    <n v="75"/>
    <n v="0"/>
    <n v="1454.96"/>
    <n v="159.43"/>
    <m/>
    <n v="1498.9908599166342"/>
    <n v="322.27888250425127"/>
    <n v="0"/>
    <n v="883.16071999999997"/>
    <n v="96.774010000000004"/>
    <n v="0"/>
    <n v="909.88745196939692"/>
    <n v="195.62328168008051"/>
  </r>
  <r>
    <s v="PROJETADO"/>
    <x v="3"/>
    <x v="2"/>
    <x v="1"/>
    <x v="0"/>
    <x v="0"/>
    <x v="1"/>
    <x v="2"/>
    <x v="11"/>
    <n v="0"/>
    <n v="0"/>
    <n v="83.108999999999995"/>
    <n v="83.108999999999995"/>
    <n v="83.108999999999995"/>
    <n v="83.108999999999995"/>
    <n v="0"/>
    <x v="1"/>
    <n v="0"/>
    <n v="0"/>
    <n v="5"/>
    <n v="75"/>
    <n v="0"/>
    <n v="1454.96"/>
    <n v="159.43"/>
    <m/>
    <n v="1498.9908599166342"/>
    <n v="322.27888250425127"/>
    <n v="0"/>
    <n v="120920.27064"/>
    <n v="13250.067869999999"/>
    <n v="0"/>
    <n v="124579.63137681155"/>
    <n v="26784.275646045819"/>
  </r>
  <r>
    <s v="PROJETADO"/>
    <x v="3"/>
    <x v="2"/>
    <x v="1"/>
    <x v="0"/>
    <x v="0"/>
    <x v="1"/>
    <x v="2"/>
    <x v="11"/>
    <n v="0"/>
    <n v="0"/>
    <n v="-3.516"/>
    <n v="-3.516"/>
    <n v="-3.516"/>
    <n v="-3.516"/>
    <n v="0"/>
    <x v="1"/>
    <n v="0"/>
    <n v="0"/>
    <n v="5"/>
    <n v="75"/>
    <n v="0"/>
    <n v="1454.96"/>
    <n v="159.43"/>
    <m/>
    <n v="1498.9908599166342"/>
    <n v="322.27888250425127"/>
    <n v="0"/>
    <n v="-5115.6393600000001"/>
    <n v="-560.55588"/>
    <n v="0"/>
    <n v="-5270.4518634668857"/>
    <n v="-1133.1325508849475"/>
  </r>
  <r>
    <s v="PROJETADO"/>
    <x v="3"/>
    <x v="2"/>
    <x v="1"/>
    <x v="0"/>
    <x v="0"/>
    <x v="1"/>
    <x v="2"/>
    <x v="11"/>
    <n v="0"/>
    <n v="0"/>
    <n v="0.60699999999999998"/>
    <n v="0.60699999999999998"/>
    <n v="0.60699999999999998"/>
    <n v="0.60699999999999998"/>
    <n v="0"/>
    <x v="1"/>
    <n v="0"/>
    <n v="0"/>
    <n v="5"/>
    <n v="75"/>
    <n v="0"/>
    <n v="1454.96"/>
    <n v="159.43"/>
    <m/>
    <n v="1498.9908599166342"/>
    <n v="322.27888250425127"/>
    <n v="0"/>
    <n v="883.16071999999997"/>
    <n v="96.774010000000004"/>
    <n v="0"/>
    <n v="909.88745196939692"/>
    <n v="195.62328168008051"/>
  </r>
  <r>
    <s v="Regular"/>
    <x v="3"/>
    <x v="2"/>
    <x v="3"/>
    <x v="0"/>
    <x v="0"/>
    <x v="1"/>
    <x v="1"/>
    <x v="0"/>
    <n v="0"/>
    <n v="0"/>
    <n v="4140.1959999999999"/>
    <n v="4140.1959999999999"/>
    <n v="4140.1959999999999"/>
    <n v="4140.1959999999999"/>
    <n v="0"/>
    <x v="1"/>
    <n v="0"/>
    <n v="0"/>
    <n v="7"/>
    <n v="76"/>
    <n v="0"/>
    <n v="102.62"/>
    <n v="103.1"/>
    <m/>
    <n v="181.53179145831209"/>
    <n v="215.6942886760464"/>
    <n v="0"/>
    <n v="424866.91352"/>
    <n v="426854.20759999997"/>
    <n v="0"/>
    <n v="751577.19686853781"/>
    <n v="893016.63119941263"/>
  </r>
  <r>
    <s v="Refaturamento - Regular"/>
    <x v="3"/>
    <x v="2"/>
    <x v="3"/>
    <x v="0"/>
    <x v="0"/>
    <x v="1"/>
    <x v="1"/>
    <x v="0"/>
    <n v="0"/>
    <n v="0"/>
    <n v="7.6669999999999998"/>
    <n v="7.6669999999999998"/>
    <n v="7.6669999999999998"/>
    <n v="7.6669999999999998"/>
    <n v="0"/>
    <x v="1"/>
    <n v="0"/>
    <n v="0"/>
    <n v="7"/>
    <n v="76"/>
    <n v="0"/>
    <n v="102.62"/>
    <n v="103.1"/>
    <m/>
    <n v="181.53179145831209"/>
    <n v="215.6942886760464"/>
    <n v="0"/>
    <n v="786.78754000000004"/>
    <n v="790.46769999999992"/>
    <n v="0"/>
    <n v="1391.8042451108788"/>
    <n v="1653.7281112792477"/>
  </r>
  <r>
    <s v="Sistema de Compensação"/>
    <x v="3"/>
    <x v="2"/>
    <x v="3"/>
    <x v="0"/>
    <x v="0"/>
    <x v="1"/>
    <x v="1"/>
    <x v="0"/>
    <n v="0"/>
    <n v="0"/>
    <n v="64.272999999999996"/>
    <n v="64.272999999999996"/>
    <n v="64.272999999999996"/>
    <n v="64.272999999999996"/>
    <n v="0"/>
    <x v="1"/>
    <n v="0"/>
    <n v="0"/>
    <n v="7"/>
    <n v="76"/>
    <n v="0"/>
    <n v="102.62"/>
    <n v="103.1"/>
    <m/>
    <n v="181.53179145831209"/>
    <n v="215.6942886760464"/>
    <n v="0"/>
    <n v="6595.6952599999995"/>
    <n v="6626.5462999999991"/>
    <n v="0"/>
    <n v="11667.592832400092"/>
    <n v="13863.319016075529"/>
  </r>
  <r>
    <s v="Regular"/>
    <x v="3"/>
    <x v="2"/>
    <x v="3"/>
    <x v="0"/>
    <x v="0"/>
    <x v="1"/>
    <x v="1"/>
    <x v="1"/>
    <n v="0"/>
    <n v="0"/>
    <n v="3557.1550000000002"/>
    <n v="3557.1550000000002"/>
    <n v="3557.1550000000002"/>
    <n v="3557.1550000000002"/>
    <n v="0"/>
    <x v="1"/>
    <n v="0"/>
    <n v="0"/>
    <n v="7"/>
    <n v="76"/>
    <n v="0"/>
    <n v="102.62"/>
    <n v="103.1"/>
    <m/>
    <n v="181.53179145831209"/>
    <n v="215.6942886760464"/>
    <n v="0"/>
    <n v="365035.24610000005"/>
    <n v="366742.68050000002"/>
    <n v="0"/>
    <n v="645736.71964489215"/>
    <n v="767258.01743544184"/>
  </r>
  <r>
    <s v="Sistema de Compensação"/>
    <x v="3"/>
    <x v="2"/>
    <x v="3"/>
    <x v="0"/>
    <x v="0"/>
    <x v="1"/>
    <x v="1"/>
    <x v="1"/>
    <n v="0"/>
    <n v="0"/>
    <n v="64.825000000000003"/>
    <n v="64.825000000000003"/>
    <n v="64.825000000000003"/>
    <n v="64.825000000000003"/>
    <n v="0"/>
    <x v="1"/>
    <n v="0"/>
    <n v="0"/>
    <n v="7"/>
    <n v="76"/>
    <n v="0"/>
    <n v="102.62"/>
    <n v="103.1"/>
    <m/>
    <n v="181.53179145831209"/>
    <n v="215.6942886760464"/>
    <n v="0"/>
    <n v="6652.3415000000005"/>
    <n v="6683.4574999999995"/>
    <n v="0"/>
    <n v="11767.798381285082"/>
    <n v="13982.382263424708"/>
  </r>
  <r>
    <s v="Regular"/>
    <x v="3"/>
    <x v="2"/>
    <x v="3"/>
    <x v="0"/>
    <x v="0"/>
    <x v="1"/>
    <x v="1"/>
    <x v="2"/>
    <n v="0"/>
    <n v="0"/>
    <n v="3298.5520000000001"/>
    <n v="3298.5520000000001"/>
    <n v="3298.5520000000001"/>
    <n v="3298.5520000000001"/>
    <n v="0"/>
    <x v="1"/>
    <n v="0"/>
    <n v="0"/>
    <n v="7"/>
    <n v="76"/>
    <n v="0"/>
    <n v="102.62"/>
    <n v="103.1"/>
    <m/>
    <n v="181.53179145831209"/>
    <n v="215.6942886760464"/>
    <n v="0"/>
    <n v="338497.40624000004"/>
    <n v="340080.71120000002"/>
    <n v="0"/>
    <n v="598792.05377839832"/>
    <n v="711478.82730095019"/>
  </r>
  <r>
    <s v="Sistema de Compensação"/>
    <x v="3"/>
    <x v="2"/>
    <x v="3"/>
    <x v="0"/>
    <x v="0"/>
    <x v="1"/>
    <x v="1"/>
    <x v="2"/>
    <n v="0"/>
    <n v="0"/>
    <n v="55.905000000000001"/>
    <n v="55.905000000000001"/>
    <n v="55.905000000000001"/>
    <n v="55.905000000000001"/>
    <n v="0"/>
    <x v="1"/>
    <n v="0"/>
    <n v="0"/>
    <n v="7"/>
    <n v="76"/>
    <n v="0"/>
    <n v="102.62"/>
    <n v="103.1"/>
    <m/>
    <n v="181.53179145831209"/>
    <n v="215.6942886760464"/>
    <n v="0"/>
    <n v="5736.9711000000007"/>
    <n v="5763.8054999999995"/>
    <n v="0"/>
    <n v="10148.534801476937"/>
    <n v="12058.389208434373"/>
  </r>
  <r>
    <s v="Regular"/>
    <x v="3"/>
    <x v="2"/>
    <x v="3"/>
    <x v="0"/>
    <x v="0"/>
    <x v="1"/>
    <x v="1"/>
    <x v="3"/>
    <n v="0"/>
    <n v="0"/>
    <n v="4174.9399999999996"/>
    <n v="4174.9399999999996"/>
    <n v="4174.9399999999996"/>
    <n v="4174.9399999999996"/>
    <n v="0"/>
    <x v="1"/>
    <n v="0"/>
    <n v="0"/>
    <n v="7"/>
    <n v="76"/>
    <n v="0"/>
    <n v="102.62"/>
    <n v="103.1"/>
    <m/>
    <n v="181.53179145831209"/>
    <n v="215.6942886760464"/>
    <n v="0"/>
    <n v="428432.34279999998"/>
    <n v="430436.31399999995"/>
    <n v="0"/>
    <n v="757884.33743096539"/>
    <n v="900510.71356517309"/>
  </r>
  <r>
    <s v="Sistema de Compensação"/>
    <x v="3"/>
    <x v="2"/>
    <x v="3"/>
    <x v="0"/>
    <x v="0"/>
    <x v="1"/>
    <x v="1"/>
    <x v="3"/>
    <n v="0"/>
    <n v="0"/>
    <n v="85.408000000000001"/>
    <n v="85.408000000000001"/>
    <n v="85.408000000000001"/>
    <n v="85.408000000000001"/>
    <n v="0"/>
    <x v="1"/>
    <n v="0"/>
    <n v="0"/>
    <n v="7"/>
    <n v="76"/>
    <n v="0"/>
    <n v="102.62"/>
    <n v="103.1"/>
    <m/>
    <n v="181.53179145831209"/>
    <n v="215.6942886760464"/>
    <n v="0"/>
    <n v="8764.5689600000005"/>
    <n v="8805.5648000000001"/>
    <n v="0"/>
    <n v="15504.267244871518"/>
    <n v="18422.01780724377"/>
  </r>
  <r>
    <s v="Regular"/>
    <x v="3"/>
    <x v="2"/>
    <x v="3"/>
    <x v="0"/>
    <x v="0"/>
    <x v="1"/>
    <x v="1"/>
    <x v="4"/>
    <n v="0"/>
    <n v="0"/>
    <n v="4163.1490000000003"/>
    <n v="4163.1490000000003"/>
    <n v="4163.1490000000003"/>
    <n v="4163.1490000000003"/>
    <n v="0"/>
    <x v="1"/>
    <n v="0"/>
    <n v="0"/>
    <n v="7"/>
    <n v="76"/>
    <n v="0"/>
    <n v="102.62"/>
    <n v="103.1"/>
    <m/>
    <n v="181.53179145831209"/>
    <n v="215.6942886760464"/>
    <n v="0"/>
    <n v="427222.35038000008"/>
    <n v="429220.66190000001"/>
    <n v="0"/>
    <n v="755743.89607788052"/>
    <n v="897967.46220739395"/>
  </r>
  <r>
    <s v="Sistema de Compensação"/>
    <x v="3"/>
    <x v="2"/>
    <x v="3"/>
    <x v="0"/>
    <x v="0"/>
    <x v="1"/>
    <x v="1"/>
    <x v="4"/>
    <n v="0"/>
    <n v="0"/>
    <n v="77.251000000000005"/>
    <n v="77.251000000000005"/>
    <n v="77.251000000000005"/>
    <n v="77.251000000000005"/>
    <n v="0"/>
    <x v="1"/>
    <n v="0"/>
    <n v="0"/>
    <n v="7"/>
    <n v="76"/>
    <n v="0"/>
    <n v="102.62"/>
    <n v="103.1"/>
    <m/>
    <n v="181.53179145831209"/>
    <n v="215.6942886760464"/>
    <n v="0"/>
    <n v="7927.497620000001"/>
    <n v="7964.5780999999997"/>
    <n v="0"/>
    <n v="14023.512421946069"/>
    <n v="16662.599494513262"/>
  </r>
  <r>
    <s v="Regular"/>
    <x v="3"/>
    <x v="2"/>
    <x v="3"/>
    <x v="0"/>
    <x v="0"/>
    <x v="1"/>
    <x v="1"/>
    <x v="5"/>
    <n v="0"/>
    <n v="0"/>
    <n v="4474.741"/>
    <n v="4474.741"/>
    <n v="4474.741"/>
    <n v="4474.741"/>
    <n v="0"/>
    <x v="1"/>
    <n v="0"/>
    <n v="0"/>
    <n v="7"/>
    <n v="76"/>
    <n v="0"/>
    <n v="102.62"/>
    <n v="103.1"/>
    <m/>
    <n v="181.53179145831209"/>
    <n v="215.6942886760464"/>
    <n v="0"/>
    <n v="459197.92142000003"/>
    <n v="461345.79709999997"/>
    <n v="0"/>
    <n v="812307.75004195888"/>
    <n v="965176.07700454048"/>
  </r>
  <r>
    <s v="Refaturamento - Regular"/>
    <x v="3"/>
    <x v="2"/>
    <x v="3"/>
    <x v="0"/>
    <x v="0"/>
    <x v="1"/>
    <x v="1"/>
    <x v="5"/>
    <n v="0"/>
    <n v="0"/>
    <n v="-91.399000000000001"/>
    <n v="-91.399000000000001"/>
    <n v="-91.399000000000001"/>
    <n v="-91.399000000000001"/>
    <n v="0"/>
    <x v="1"/>
    <n v="0"/>
    <n v="0"/>
    <n v="7"/>
    <n v="76"/>
    <n v="0"/>
    <n v="102.62"/>
    <n v="103.1"/>
    <m/>
    <n v="181.53179145831209"/>
    <n v="215.6942886760464"/>
    <n v="0"/>
    <n v="-9379.3653800000011"/>
    <n v="-9423.2368999999999"/>
    <n v="0"/>
    <n v="-16591.824207498266"/>
    <n v="-19714.242290701965"/>
  </r>
  <r>
    <s v="Sistema de Compensação"/>
    <x v="3"/>
    <x v="2"/>
    <x v="3"/>
    <x v="0"/>
    <x v="0"/>
    <x v="1"/>
    <x v="1"/>
    <x v="5"/>
    <n v="0"/>
    <n v="0"/>
    <n v="112.651"/>
    <n v="112.651"/>
    <n v="112.651"/>
    <n v="112.651"/>
    <n v="0"/>
    <x v="1"/>
    <n v="0"/>
    <n v="0"/>
    <n v="7"/>
    <n v="76"/>
    <n v="0"/>
    <n v="102.62"/>
    <n v="103.1"/>
    <m/>
    <n v="181.53179145831209"/>
    <n v="215.6942886760464"/>
    <n v="0"/>
    <n v="11560.24562"/>
    <n v="11614.318099999999"/>
    <n v="0"/>
    <n v="20449.737839570313"/>
    <n v="24298.177313645301"/>
  </r>
  <r>
    <s v="Regular"/>
    <x v="3"/>
    <x v="2"/>
    <x v="3"/>
    <x v="0"/>
    <x v="0"/>
    <x v="1"/>
    <x v="1"/>
    <x v="6"/>
    <n v="0"/>
    <n v="0"/>
    <n v="4406.8590000000004"/>
    <n v="4406.8590000000004"/>
    <n v="4406.8590000000004"/>
    <n v="4406.8590000000004"/>
    <n v="0"/>
    <x v="1"/>
    <n v="0"/>
    <n v="0"/>
    <n v="7"/>
    <n v="76"/>
    <n v="0"/>
    <n v="102.62"/>
    <n v="103.1"/>
    <m/>
    <n v="181.53179145831209"/>
    <n v="215.6942886760464"/>
    <n v="0"/>
    <n v="452231.87058000005"/>
    <n v="454347.1629"/>
    <n v="0"/>
    <n v="799985.0089741858"/>
    <n v="950534.31730063318"/>
  </r>
  <r>
    <s v="Sistema de Compensação"/>
    <x v="3"/>
    <x v="2"/>
    <x v="3"/>
    <x v="0"/>
    <x v="0"/>
    <x v="1"/>
    <x v="1"/>
    <x v="6"/>
    <n v="0"/>
    <n v="0"/>
    <n v="86.426000000000002"/>
    <n v="86.426000000000002"/>
    <n v="86.426000000000002"/>
    <n v="86.426000000000002"/>
    <n v="0"/>
    <x v="1"/>
    <n v="0"/>
    <n v="0"/>
    <n v="7"/>
    <n v="76"/>
    <n v="0"/>
    <n v="102.62"/>
    <n v="103.1"/>
    <m/>
    <n v="181.53179145831209"/>
    <n v="215.6942886760464"/>
    <n v="0"/>
    <n v="8869.0361200000007"/>
    <n v="8910.5205999999998"/>
    <n v="0"/>
    <n v="15689.06660857608"/>
    <n v="18641.594593115988"/>
  </r>
  <r>
    <s v="Regular"/>
    <x v="3"/>
    <x v="2"/>
    <x v="3"/>
    <x v="0"/>
    <x v="0"/>
    <x v="1"/>
    <x v="1"/>
    <x v="7"/>
    <n v="0"/>
    <n v="0"/>
    <n v="3639.0540000000001"/>
    <n v="3639.0540000000001"/>
    <n v="3639.0540000000001"/>
    <n v="3639.0540000000001"/>
    <n v="0"/>
    <x v="1"/>
    <n v="0"/>
    <n v="0"/>
    <n v="7"/>
    <n v="76"/>
    <n v="0"/>
    <n v="102.62"/>
    <n v="103.1"/>
    <m/>
    <n v="181.53179145831209"/>
    <n v="215.6942886760464"/>
    <n v="0"/>
    <n v="373439.72148000001"/>
    <n v="375186.46739999996"/>
    <n v="0"/>
    <n v="660603.99183353642"/>
    <n v="784923.1639837214"/>
  </r>
  <r>
    <s v="Refaturamento - Regular"/>
    <x v="3"/>
    <x v="2"/>
    <x v="3"/>
    <x v="0"/>
    <x v="0"/>
    <x v="1"/>
    <x v="1"/>
    <x v="7"/>
    <n v="0"/>
    <n v="0"/>
    <n v="31.006"/>
    <n v="31.006"/>
    <n v="31.006"/>
    <n v="31.006"/>
    <n v="0"/>
    <x v="1"/>
    <n v="0"/>
    <n v="0"/>
    <n v="7"/>
    <n v="76"/>
    <n v="0"/>
    <n v="102.62"/>
    <n v="103.1"/>
    <m/>
    <n v="181.53179145831209"/>
    <n v="215.6942886760464"/>
    <n v="0"/>
    <n v="3181.83572"/>
    <n v="3196.7185999999997"/>
    <n v="0"/>
    <n v="5628.5747259564241"/>
    <n v="6687.8171146894947"/>
  </r>
  <r>
    <s v="Sistema de Compensação"/>
    <x v="3"/>
    <x v="2"/>
    <x v="3"/>
    <x v="0"/>
    <x v="0"/>
    <x v="1"/>
    <x v="1"/>
    <x v="7"/>
    <n v="0"/>
    <n v="0"/>
    <n v="114.834"/>
    <n v="114.834"/>
    <n v="114.834"/>
    <n v="114.834"/>
    <n v="0"/>
    <x v="1"/>
    <n v="0"/>
    <n v="0"/>
    <n v="7"/>
    <n v="76"/>
    <n v="0"/>
    <n v="102.62"/>
    <n v="103.1"/>
    <m/>
    <n v="181.53179145831209"/>
    <n v="215.6942886760464"/>
    <n v="0"/>
    <n v="11784.265080000001"/>
    <n v="11839.385399999999"/>
    <n v="0"/>
    <n v="20846.021740323809"/>
    <n v="24769.037945825112"/>
  </r>
  <r>
    <s v="Regular"/>
    <x v="3"/>
    <x v="2"/>
    <x v="3"/>
    <x v="0"/>
    <x v="0"/>
    <x v="1"/>
    <x v="1"/>
    <x v="8"/>
    <n v="0"/>
    <n v="0"/>
    <n v="4372.8040000000001"/>
    <n v="4372.8040000000001"/>
    <n v="4372.8040000000001"/>
    <n v="4372.8040000000001"/>
    <n v="0"/>
    <x v="1"/>
    <n v="0"/>
    <n v="0"/>
    <n v="7"/>
    <n v="76"/>
    <n v="0"/>
    <n v="102.62"/>
    <n v="103.1"/>
    <m/>
    <n v="181.53179145831209"/>
    <n v="215.6942886760464"/>
    <n v="0"/>
    <n v="448737.14648000005"/>
    <n v="450836.09239999996"/>
    <n v="0"/>
    <n v="793802.94381607289"/>
    <n v="943188.84829977038"/>
  </r>
  <r>
    <s v="Refaturamento - Regular"/>
    <x v="3"/>
    <x v="2"/>
    <x v="3"/>
    <x v="0"/>
    <x v="0"/>
    <x v="1"/>
    <x v="1"/>
    <x v="8"/>
    <n v="0"/>
    <n v="0"/>
    <n v="1E-3"/>
    <n v="1E-3"/>
    <n v="1E-3"/>
    <n v="1E-3"/>
    <n v="0"/>
    <x v="1"/>
    <n v="0"/>
    <n v="0"/>
    <n v="7"/>
    <n v="76"/>
    <n v="0"/>
    <n v="102.62"/>
    <n v="103.1"/>
    <m/>
    <n v="181.53179145831209"/>
    <n v="215.6942886760464"/>
    <n v="0"/>
    <n v="0.10262"/>
    <n v="0.1031"/>
    <n v="0"/>
    <n v="0.18153179145831208"/>
    <n v="0.2156942886760464"/>
  </r>
  <r>
    <s v="Sistema de Compensação"/>
    <x v="3"/>
    <x v="2"/>
    <x v="3"/>
    <x v="0"/>
    <x v="0"/>
    <x v="1"/>
    <x v="1"/>
    <x v="8"/>
    <n v="0"/>
    <n v="0"/>
    <n v="139.92500000000001"/>
    <n v="139.92500000000001"/>
    <n v="139.92500000000001"/>
    <n v="139.92500000000001"/>
    <n v="0"/>
    <x v="1"/>
    <n v="0"/>
    <n v="0"/>
    <n v="7"/>
    <n v="76"/>
    <n v="0"/>
    <n v="102.62"/>
    <n v="103.1"/>
    <m/>
    <n v="181.53179145831209"/>
    <n v="215.6942886760464"/>
    <n v="0"/>
    <n v="14359.103500000001"/>
    <n v="14426.2675"/>
    <n v="0"/>
    <n v="25400.835919804322"/>
    <n v="30181.023342995795"/>
  </r>
  <r>
    <s v="Regular"/>
    <x v="3"/>
    <x v="2"/>
    <x v="3"/>
    <x v="0"/>
    <x v="0"/>
    <x v="1"/>
    <x v="1"/>
    <x v="9"/>
    <n v="0"/>
    <n v="0"/>
    <n v="4781.7860000000001"/>
    <n v="4781.7860000000001"/>
    <n v="4781.7860000000001"/>
    <n v="4781.7860000000001"/>
    <n v="0"/>
    <x v="1"/>
    <n v="0"/>
    <n v="0"/>
    <n v="7"/>
    <n v="76"/>
    <n v="0"/>
    <n v="102.62"/>
    <n v="103.1"/>
    <m/>
    <n v="181.53179145831209"/>
    <n v="215.6942886760464"/>
    <n v="0"/>
    <n v="490706.87932000001"/>
    <n v="493002.13659999997"/>
    <n v="0"/>
    <n v="868046.17895027634"/>
    <n v="1031403.9298710772"/>
  </r>
  <r>
    <s v="Refaturamento - Regular"/>
    <x v="3"/>
    <x v="2"/>
    <x v="3"/>
    <x v="0"/>
    <x v="0"/>
    <x v="1"/>
    <x v="1"/>
    <x v="9"/>
    <n v="0"/>
    <n v="0"/>
    <n v="543.77800000000002"/>
    <n v="543.77800000000002"/>
    <n v="543.77800000000002"/>
    <n v="543.77800000000002"/>
    <n v="0"/>
    <x v="1"/>
    <n v="0"/>
    <n v="0"/>
    <n v="7"/>
    <n v="76"/>
    <n v="0"/>
    <n v="102.62"/>
    <n v="103.1"/>
    <m/>
    <n v="181.53179145831209"/>
    <n v="215.6942886760464"/>
    <n v="0"/>
    <n v="55802.498360000005"/>
    <n v="56063.5118"/>
    <n v="0"/>
    <n v="98712.994495618026"/>
    <n v="117289.80890768317"/>
  </r>
  <r>
    <s v="Sistema de Compensação"/>
    <x v="3"/>
    <x v="2"/>
    <x v="3"/>
    <x v="0"/>
    <x v="0"/>
    <x v="1"/>
    <x v="1"/>
    <x v="9"/>
    <n v="0"/>
    <n v="0"/>
    <n v="89.397000000000006"/>
    <n v="89.397000000000006"/>
    <n v="89.397000000000006"/>
    <n v="89.397000000000006"/>
    <n v="0"/>
    <x v="1"/>
    <n v="0"/>
    <n v="0"/>
    <n v="7"/>
    <n v="76"/>
    <n v="0"/>
    <n v="102.62"/>
    <n v="103.1"/>
    <m/>
    <n v="181.53179145831209"/>
    <n v="215.6942886760464"/>
    <n v="0"/>
    <n v="9173.9201400000002"/>
    <n v="9216.8307000000004"/>
    <n v="0"/>
    <n v="16228.397560998726"/>
    <n v="19282.42232477252"/>
  </r>
  <r>
    <s v="Regular"/>
    <x v="3"/>
    <x v="2"/>
    <x v="3"/>
    <x v="0"/>
    <x v="0"/>
    <x v="1"/>
    <x v="1"/>
    <x v="10"/>
    <n v="0"/>
    <n v="0"/>
    <n v="5109.7160000000003"/>
    <n v="5109.7160000000003"/>
    <n v="5109.7160000000003"/>
    <n v="5109.7160000000003"/>
    <n v="0"/>
    <x v="1"/>
    <n v="0"/>
    <n v="0"/>
    <n v="7"/>
    <n v="76"/>
    <n v="0"/>
    <n v="102.62"/>
    <n v="103.1"/>
    <m/>
    <n v="181.53179145831209"/>
    <n v="215.6942886760464"/>
    <n v="0"/>
    <n v="524359.05592000007"/>
    <n v="526811.71959999995"/>
    <n v="0"/>
    <n v="927575.89932320069"/>
    <n v="1102136.5579566131"/>
  </r>
  <r>
    <s v="Sistema de Compensação"/>
    <x v="3"/>
    <x v="2"/>
    <x v="3"/>
    <x v="0"/>
    <x v="0"/>
    <x v="1"/>
    <x v="1"/>
    <x v="10"/>
    <n v="0"/>
    <n v="0"/>
    <n v="102.911"/>
    <n v="102.911"/>
    <n v="102.911"/>
    <n v="102.911"/>
    <n v="0"/>
    <x v="1"/>
    <n v="0"/>
    <n v="0"/>
    <n v="7"/>
    <n v="76"/>
    <n v="0"/>
    <n v="102.62"/>
    <n v="103.1"/>
    <m/>
    <n v="181.53179145831209"/>
    <n v="215.6942886760464"/>
    <n v="0"/>
    <n v="10560.72682"/>
    <n v="10610.124099999999"/>
    <n v="0"/>
    <n v="18681.618190766356"/>
    <n v="22197.314941940611"/>
  </r>
  <r>
    <s v="Sistema de Compensação"/>
    <x v="3"/>
    <x v="2"/>
    <x v="3"/>
    <x v="0"/>
    <x v="0"/>
    <x v="1"/>
    <x v="1"/>
    <x v="10"/>
    <n v="0"/>
    <n v="0"/>
    <n v="18.387"/>
    <n v="18.387"/>
    <n v="18.387"/>
    <n v="18.387"/>
    <n v="0"/>
    <x v="1"/>
    <n v="0"/>
    <n v="0"/>
    <n v="7"/>
    <n v="76"/>
    <n v="0"/>
    <n v="102.62"/>
    <n v="103.1"/>
    <m/>
    <n v="181.53179145831209"/>
    <n v="215.6942886760464"/>
    <n v="0"/>
    <n v="1886.8739400000002"/>
    <n v="1895.6996999999999"/>
    <n v="0"/>
    <n v="3337.8250495439843"/>
    <n v="3965.9708858864651"/>
  </r>
  <r>
    <s v="PROJETADO"/>
    <x v="3"/>
    <x v="2"/>
    <x v="3"/>
    <x v="0"/>
    <x v="0"/>
    <x v="1"/>
    <x v="1"/>
    <x v="11"/>
    <n v="0"/>
    <n v="0"/>
    <n v="5109.7160000000003"/>
    <n v="5109.7160000000003"/>
    <n v="5109.7160000000003"/>
    <n v="5109.7160000000003"/>
    <n v="0"/>
    <x v="1"/>
    <n v="0"/>
    <n v="0"/>
    <n v="7"/>
    <n v="76"/>
    <n v="0"/>
    <n v="102.62"/>
    <n v="103.1"/>
    <m/>
    <n v="181.53179145831209"/>
    <n v="215.6942886760464"/>
    <n v="0"/>
    <n v="524359.05592000007"/>
    <n v="526811.71959999995"/>
    <n v="0"/>
    <n v="927575.89932320069"/>
    <n v="1102136.5579566131"/>
  </r>
  <r>
    <s v="PROJETADO"/>
    <x v="3"/>
    <x v="2"/>
    <x v="3"/>
    <x v="0"/>
    <x v="0"/>
    <x v="1"/>
    <x v="1"/>
    <x v="11"/>
    <n v="0"/>
    <n v="0"/>
    <n v="102.911"/>
    <n v="102.911"/>
    <n v="102.911"/>
    <n v="102.911"/>
    <n v="0"/>
    <x v="1"/>
    <n v="0"/>
    <n v="0"/>
    <n v="7"/>
    <n v="76"/>
    <n v="0"/>
    <n v="102.62"/>
    <n v="103.1"/>
    <m/>
    <n v="181.53179145831209"/>
    <n v="215.6942886760464"/>
    <n v="0"/>
    <n v="10560.72682"/>
    <n v="10610.124099999999"/>
    <n v="0"/>
    <n v="18681.618190766356"/>
    <n v="22197.314941940611"/>
  </r>
  <r>
    <s v="PROJETADO"/>
    <x v="3"/>
    <x v="2"/>
    <x v="3"/>
    <x v="0"/>
    <x v="0"/>
    <x v="1"/>
    <x v="1"/>
    <x v="11"/>
    <n v="0"/>
    <n v="0"/>
    <n v="18.387"/>
    <n v="18.387"/>
    <n v="18.387"/>
    <n v="18.387"/>
    <n v="0"/>
    <x v="1"/>
    <n v="0"/>
    <n v="0"/>
    <n v="7"/>
    <n v="76"/>
    <n v="0"/>
    <n v="102.62"/>
    <n v="103.1"/>
    <m/>
    <n v="181.53179145831209"/>
    <n v="215.6942886760464"/>
    <n v="0"/>
    <n v="1886.8739400000002"/>
    <n v="1895.6996999999999"/>
    <n v="0"/>
    <n v="3337.8250495439843"/>
    <n v="3965.9708858864651"/>
  </r>
  <r>
    <s v="Regular"/>
    <x v="3"/>
    <x v="2"/>
    <x v="3"/>
    <x v="0"/>
    <x v="0"/>
    <x v="1"/>
    <x v="0"/>
    <x v="0"/>
    <n v="28556"/>
    <n v="28556"/>
    <n v="0"/>
    <n v="0"/>
    <n v="0"/>
    <n v="0"/>
    <n v="266"/>
    <x v="1"/>
    <n v="0"/>
    <n v="2"/>
    <n v="0"/>
    <n v="0"/>
    <n v="21.38"/>
    <n v="0"/>
    <n v="0"/>
    <n v="21.204888631609794"/>
    <m/>
    <m/>
    <n v="610527.28"/>
    <n v="0"/>
    <n v="0"/>
    <n v="605526.79976424924"/>
    <n v="0"/>
    <n v="0"/>
  </r>
  <r>
    <s v="Refaturamento - Regular"/>
    <x v="3"/>
    <x v="2"/>
    <x v="3"/>
    <x v="0"/>
    <x v="0"/>
    <x v="1"/>
    <x v="0"/>
    <x v="0"/>
    <n v="-1109"/>
    <n v="-1109"/>
    <n v="0"/>
    <n v="0"/>
    <n v="0"/>
    <n v="0"/>
    <n v="0"/>
    <x v="1"/>
    <n v="0"/>
    <n v="2"/>
    <n v="0"/>
    <n v="0"/>
    <n v="21.38"/>
    <n v="0"/>
    <n v="0"/>
    <n v="21.204888631609794"/>
    <m/>
    <m/>
    <n v="-23710.42"/>
    <n v="0"/>
    <n v="0"/>
    <n v="-23516.221492455261"/>
    <n v="0"/>
    <n v="0"/>
  </r>
  <r>
    <s v="Sistema de Compensação"/>
    <x v="3"/>
    <x v="2"/>
    <x v="3"/>
    <x v="0"/>
    <x v="0"/>
    <x v="1"/>
    <x v="0"/>
    <x v="0"/>
    <n v="2255"/>
    <n v="2255"/>
    <n v="0"/>
    <n v="0"/>
    <n v="0"/>
    <n v="0"/>
    <n v="8"/>
    <x v="1"/>
    <n v="0"/>
    <n v="2"/>
    <n v="0"/>
    <n v="0"/>
    <n v="21.38"/>
    <n v="0"/>
    <n v="0"/>
    <n v="21.204888631609794"/>
    <m/>
    <m/>
    <n v="48211.899999999994"/>
    <n v="0"/>
    <n v="0"/>
    <n v="47817.023864280083"/>
    <n v="0"/>
    <n v="0"/>
  </r>
  <r>
    <s v="Regular"/>
    <x v="3"/>
    <x v="2"/>
    <x v="3"/>
    <x v="0"/>
    <x v="0"/>
    <x v="1"/>
    <x v="0"/>
    <x v="1"/>
    <n v="26922"/>
    <n v="26922"/>
    <n v="0"/>
    <n v="0"/>
    <n v="0"/>
    <n v="0"/>
    <n v="267"/>
    <x v="1"/>
    <n v="0"/>
    <n v="2"/>
    <n v="0"/>
    <n v="0"/>
    <n v="21.38"/>
    <n v="0"/>
    <n v="0"/>
    <n v="21.204888631609794"/>
    <m/>
    <m/>
    <n v="575592.36"/>
    <n v="0"/>
    <n v="0"/>
    <n v="570878.01174019882"/>
    <n v="0"/>
    <n v="0"/>
  </r>
  <r>
    <s v="Sistema de Compensação"/>
    <x v="3"/>
    <x v="2"/>
    <x v="3"/>
    <x v="0"/>
    <x v="0"/>
    <x v="1"/>
    <x v="0"/>
    <x v="1"/>
    <n v="2255"/>
    <n v="2255"/>
    <n v="0"/>
    <n v="0"/>
    <n v="0"/>
    <n v="0"/>
    <n v="8"/>
    <x v="1"/>
    <n v="0"/>
    <n v="2"/>
    <n v="0"/>
    <n v="0"/>
    <n v="21.38"/>
    <n v="0"/>
    <n v="0"/>
    <n v="21.204888631609794"/>
    <m/>
    <m/>
    <n v="48211.899999999994"/>
    <n v="0"/>
    <n v="0"/>
    <n v="47817.023864280083"/>
    <n v="0"/>
    <n v="0"/>
  </r>
  <r>
    <s v="Regular"/>
    <x v="3"/>
    <x v="2"/>
    <x v="3"/>
    <x v="0"/>
    <x v="0"/>
    <x v="1"/>
    <x v="0"/>
    <x v="2"/>
    <n v="26582"/>
    <n v="26582"/>
    <n v="0"/>
    <n v="0"/>
    <n v="0"/>
    <n v="0"/>
    <n v="266"/>
    <x v="1"/>
    <n v="0"/>
    <n v="2"/>
    <n v="0"/>
    <n v="0"/>
    <n v="21.38"/>
    <n v="0"/>
    <n v="0"/>
    <n v="21.204888631609794"/>
    <m/>
    <m/>
    <n v="568323.15999999992"/>
    <n v="0"/>
    <n v="0"/>
    <n v="563668.34960545157"/>
    <n v="0"/>
    <n v="0"/>
  </r>
  <r>
    <s v="Sistema de Compensação"/>
    <x v="3"/>
    <x v="2"/>
    <x v="3"/>
    <x v="0"/>
    <x v="0"/>
    <x v="1"/>
    <x v="0"/>
    <x v="2"/>
    <n v="2255"/>
    <n v="2255"/>
    <n v="0"/>
    <n v="0"/>
    <n v="0"/>
    <n v="0"/>
    <n v="8"/>
    <x v="1"/>
    <n v="0"/>
    <n v="2"/>
    <n v="0"/>
    <n v="0"/>
    <n v="21.38"/>
    <n v="0"/>
    <n v="0"/>
    <n v="21.204888631609794"/>
    <m/>
    <m/>
    <n v="48211.899999999994"/>
    <n v="0"/>
    <n v="0"/>
    <n v="47817.023864280083"/>
    <n v="0"/>
    <n v="0"/>
  </r>
  <r>
    <s v="Regular"/>
    <x v="3"/>
    <x v="2"/>
    <x v="3"/>
    <x v="0"/>
    <x v="0"/>
    <x v="1"/>
    <x v="0"/>
    <x v="3"/>
    <n v="27408"/>
    <n v="27408"/>
    <n v="0"/>
    <n v="0"/>
    <n v="0"/>
    <n v="0"/>
    <n v="268"/>
    <x v="1"/>
    <n v="0"/>
    <n v="2"/>
    <n v="0"/>
    <n v="0"/>
    <n v="21.38"/>
    <n v="0"/>
    <n v="0"/>
    <n v="21.204888631609794"/>
    <m/>
    <m/>
    <n v="585983.03999999992"/>
    <n v="0"/>
    <n v="0"/>
    <n v="581183.5876151612"/>
    <n v="0"/>
    <n v="0"/>
  </r>
  <r>
    <s v="Sistema de Compensação"/>
    <x v="3"/>
    <x v="2"/>
    <x v="3"/>
    <x v="0"/>
    <x v="0"/>
    <x v="1"/>
    <x v="0"/>
    <x v="3"/>
    <n v="2703"/>
    <n v="2703"/>
    <n v="0"/>
    <n v="0"/>
    <n v="0"/>
    <n v="0"/>
    <n v="9"/>
    <x v="1"/>
    <n v="0"/>
    <n v="2"/>
    <n v="0"/>
    <n v="0"/>
    <n v="21.38"/>
    <n v="0"/>
    <n v="0"/>
    <n v="21.204888631609794"/>
    <m/>
    <m/>
    <n v="57790.14"/>
    <n v="0"/>
    <n v="0"/>
    <n v="57316.813971241274"/>
    <n v="0"/>
    <n v="0"/>
  </r>
  <r>
    <s v="Regular"/>
    <x v="3"/>
    <x v="2"/>
    <x v="3"/>
    <x v="0"/>
    <x v="0"/>
    <x v="1"/>
    <x v="0"/>
    <x v="4"/>
    <n v="27542"/>
    <n v="27542"/>
    <n v="0"/>
    <n v="0"/>
    <n v="0"/>
    <n v="0"/>
    <n v="272"/>
    <x v="1"/>
    <n v="0"/>
    <n v="2"/>
    <n v="0"/>
    <n v="0"/>
    <n v="21.38"/>
    <n v="0"/>
    <n v="0"/>
    <n v="21.204888631609794"/>
    <m/>
    <m/>
    <n v="588847.96"/>
    <n v="0"/>
    <n v="0"/>
    <n v="584025.0426917969"/>
    <n v="0"/>
    <n v="0"/>
  </r>
  <r>
    <s v="Sistema de Compensação"/>
    <x v="3"/>
    <x v="2"/>
    <x v="3"/>
    <x v="0"/>
    <x v="0"/>
    <x v="1"/>
    <x v="0"/>
    <x v="4"/>
    <n v="2426"/>
    <n v="2426"/>
    <n v="0"/>
    <n v="0"/>
    <n v="0"/>
    <n v="0"/>
    <n v="9"/>
    <x v="1"/>
    <n v="0"/>
    <n v="2"/>
    <n v="0"/>
    <n v="0"/>
    <n v="21.38"/>
    <n v="0"/>
    <n v="0"/>
    <n v="21.204888631609794"/>
    <m/>
    <m/>
    <n v="51867.88"/>
    <n v="0"/>
    <n v="0"/>
    <n v="51443.059820285358"/>
    <n v="0"/>
    <n v="0"/>
  </r>
  <r>
    <s v="Sistema de Compensação"/>
    <x v="3"/>
    <x v="2"/>
    <x v="3"/>
    <x v="0"/>
    <x v="0"/>
    <x v="1"/>
    <x v="0"/>
    <x v="4"/>
    <n v="-288"/>
    <n v="-288"/>
    <n v="0"/>
    <n v="0"/>
    <n v="0"/>
    <n v="0"/>
    <n v="0"/>
    <x v="1"/>
    <n v="0"/>
    <n v="2"/>
    <n v="0"/>
    <n v="0"/>
    <n v="21.38"/>
    <n v="0"/>
    <n v="0"/>
    <n v="21.204888631609794"/>
    <m/>
    <m/>
    <n v="-6157.44"/>
    <n v="0"/>
    <n v="0"/>
    <n v="-6107.0079259036211"/>
    <n v="0"/>
    <n v="0"/>
  </r>
  <r>
    <s v="Regular"/>
    <x v="3"/>
    <x v="2"/>
    <x v="3"/>
    <x v="0"/>
    <x v="0"/>
    <x v="1"/>
    <x v="0"/>
    <x v="5"/>
    <n v="27057"/>
    <n v="27057"/>
    <n v="0"/>
    <n v="0"/>
    <n v="0"/>
    <n v="0"/>
    <n v="269"/>
    <x v="1"/>
    <n v="0"/>
    <n v="2"/>
    <n v="0"/>
    <n v="0"/>
    <n v="21.38"/>
    <n v="0"/>
    <n v="0"/>
    <n v="21.204888631609794"/>
    <m/>
    <m/>
    <n v="578478.65999999992"/>
    <n v="0"/>
    <n v="0"/>
    <n v="573740.67170546623"/>
    <n v="0"/>
    <n v="0"/>
  </r>
  <r>
    <s v="Refaturamento - Regular"/>
    <x v="3"/>
    <x v="2"/>
    <x v="3"/>
    <x v="0"/>
    <x v="0"/>
    <x v="1"/>
    <x v="0"/>
    <x v="5"/>
    <n v="-240"/>
    <n v="-240"/>
    <n v="0"/>
    <n v="0"/>
    <n v="0"/>
    <n v="0"/>
    <n v="-2"/>
    <x v="1"/>
    <n v="0"/>
    <n v="2"/>
    <n v="0"/>
    <n v="0"/>
    <n v="21.38"/>
    <n v="0"/>
    <n v="0"/>
    <n v="21.204888631609794"/>
    <m/>
    <m/>
    <n v="-5131.2"/>
    <n v="0"/>
    <n v="0"/>
    <n v="-5089.1732715863509"/>
    <n v="0"/>
    <n v="0"/>
  </r>
  <r>
    <s v="Sistema de Compensação"/>
    <x v="3"/>
    <x v="2"/>
    <x v="3"/>
    <x v="0"/>
    <x v="0"/>
    <x v="1"/>
    <x v="0"/>
    <x v="5"/>
    <n v="2415"/>
    <n v="2415"/>
    <n v="0"/>
    <n v="0"/>
    <n v="0"/>
    <n v="0"/>
    <n v="9"/>
    <x v="1"/>
    <n v="0"/>
    <n v="2"/>
    <n v="0"/>
    <n v="0"/>
    <n v="21.38"/>
    <n v="0"/>
    <n v="0"/>
    <n v="21.204888631609794"/>
    <m/>
    <m/>
    <n v="51632.7"/>
    <n v="0"/>
    <n v="0"/>
    <n v="51209.806045337653"/>
    <n v="0"/>
    <n v="0"/>
  </r>
  <r>
    <s v="Regular"/>
    <x v="3"/>
    <x v="2"/>
    <x v="3"/>
    <x v="0"/>
    <x v="0"/>
    <x v="1"/>
    <x v="0"/>
    <x v="6"/>
    <n v="27186"/>
    <n v="27186"/>
    <n v="0"/>
    <n v="0"/>
    <n v="0"/>
    <n v="0"/>
    <n v="269"/>
    <x v="1"/>
    <n v="0"/>
    <n v="2"/>
    <n v="0"/>
    <n v="0"/>
    <n v="21.38"/>
    <n v="0"/>
    <n v="0"/>
    <n v="21.204888631609794"/>
    <m/>
    <m/>
    <n v="581236.67999999993"/>
    <n v="0"/>
    <n v="0"/>
    <n v="576476.10233894386"/>
    <n v="0"/>
    <n v="0"/>
  </r>
  <r>
    <s v="Sistema de Compensação"/>
    <x v="3"/>
    <x v="2"/>
    <x v="3"/>
    <x v="0"/>
    <x v="0"/>
    <x v="1"/>
    <x v="0"/>
    <x v="6"/>
    <n v="2419"/>
    <n v="2419"/>
    <n v="0"/>
    <n v="0"/>
    <n v="0"/>
    <n v="0"/>
    <n v="9"/>
    <x v="1"/>
    <n v="0"/>
    <n v="2"/>
    <n v="0"/>
    <n v="0"/>
    <n v="21.38"/>
    <n v="0"/>
    <n v="0"/>
    <n v="21.204888631609794"/>
    <m/>
    <m/>
    <n v="51718.22"/>
    <n v="0"/>
    <n v="0"/>
    <n v="51294.625599864092"/>
    <n v="0"/>
    <n v="0"/>
  </r>
  <r>
    <s v="Regular"/>
    <x v="3"/>
    <x v="2"/>
    <x v="3"/>
    <x v="0"/>
    <x v="0"/>
    <x v="1"/>
    <x v="0"/>
    <x v="7"/>
    <n v="29472"/>
    <n v="29472"/>
    <n v="0"/>
    <n v="0"/>
    <n v="0"/>
    <n v="0"/>
    <n v="262"/>
    <x v="1"/>
    <n v="0"/>
    <n v="2"/>
    <n v="0"/>
    <n v="0"/>
    <n v="21.38"/>
    <n v="0"/>
    <n v="0"/>
    <n v="21.204888631609794"/>
    <m/>
    <m/>
    <n v="630111.36"/>
    <n v="0"/>
    <n v="0"/>
    <n v="624950.47775080381"/>
    <n v="0"/>
    <n v="0"/>
  </r>
  <r>
    <s v="Refaturamento - Regular"/>
    <x v="3"/>
    <x v="2"/>
    <x v="3"/>
    <x v="0"/>
    <x v="0"/>
    <x v="1"/>
    <x v="0"/>
    <x v="7"/>
    <n v="377"/>
    <n v="377"/>
    <n v="0"/>
    <n v="0"/>
    <n v="0"/>
    <n v="0"/>
    <n v="3"/>
    <x v="1"/>
    <n v="0"/>
    <n v="2"/>
    <n v="0"/>
    <n v="0"/>
    <n v="21.38"/>
    <n v="0"/>
    <n v="0"/>
    <n v="21.204888631609794"/>
    <m/>
    <m/>
    <n v="8060.2599999999993"/>
    <n v="0"/>
    <n v="0"/>
    <n v="7994.2430141168925"/>
    <n v="0"/>
    <n v="0"/>
  </r>
  <r>
    <s v="Sistema de Compensação"/>
    <x v="3"/>
    <x v="2"/>
    <x v="3"/>
    <x v="0"/>
    <x v="0"/>
    <x v="1"/>
    <x v="0"/>
    <x v="7"/>
    <n v="2415"/>
    <n v="2415"/>
    <n v="0"/>
    <n v="0"/>
    <n v="0"/>
    <n v="0"/>
    <n v="9"/>
    <x v="1"/>
    <n v="0"/>
    <n v="2"/>
    <n v="0"/>
    <n v="0"/>
    <n v="21.38"/>
    <n v="0"/>
    <n v="0"/>
    <n v="21.204888631609794"/>
    <m/>
    <m/>
    <n v="51632.7"/>
    <n v="0"/>
    <n v="0"/>
    <n v="51209.806045337653"/>
    <n v="0"/>
    <n v="0"/>
  </r>
  <r>
    <s v="Regular"/>
    <x v="3"/>
    <x v="2"/>
    <x v="3"/>
    <x v="0"/>
    <x v="0"/>
    <x v="1"/>
    <x v="0"/>
    <x v="8"/>
    <n v="23952"/>
    <n v="23952"/>
    <n v="0"/>
    <n v="0"/>
    <n v="0"/>
    <n v="0"/>
    <n v="236"/>
    <x v="1"/>
    <n v="0"/>
    <n v="2"/>
    <n v="0"/>
    <n v="0"/>
    <n v="21.38"/>
    <n v="0"/>
    <n v="0"/>
    <n v="21.204888631609794"/>
    <m/>
    <m/>
    <n v="512093.75999999995"/>
    <n v="0"/>
    <n v="0"/>
    <n v="507899.49250431778"/>
    <n v="0"/>
    <n v="0"/>
  </r>
  <r>
    <s v="Refaturamento - Regular"/>
    <x v="3"/>
    <x v="2"/>
    <x v="3"/>
    <x v="0"/>
    <x v="0"/>
    <x v="1"/>
    <x v="0"/>
    <x v="8"/>
    <n v="-3579"/>
    <n v="-3579"/>
    <n v="0"/>
    <n v="0"/>
    <n v="0"/>
    <n v="0"/>
    <n v="0"/>
    <x v="1"/>
    <n v="0"/>
    <n v="2"/>
    <n v="0"/>
    <n v="0"/>
    <n v="21.38"/>
    <n v="0"/>
    <n v="0"/>
    <n v="21.204888631609794"/>
    <m/>
    <m/>
    <n v="-76519.01999999999"/>
    <n v="0"/>
    <n v="0"/>
    <n v="-75892.296412531447"/>
    <n v="0"/>
    <n v="0"/>
  </r>
  <r>
    <s v="Sistema de Compensação"/>
    <x v="3"/>
    <x v="2"/>
    <x v="3"/>
    <x v="0"/>
    <x v="0"/>
    <x v="1"/>
    <x v="0"/>
    <x v="8"/>
    <n v="2446"/>
    <n v="2446"/>
    <n v="0"/>
    <n v="0"/>
    <n v="0"/>
    <n v="0"/>
    <n v="9"/>
    <x v="1"/>
    <n v="0"/>
    <n v="2"/>
    <n v="0"/>
    <n v="0"/>
    <n v="21.38"/>
    <n v="0"/>
    <n v="0"/>
    <n v="21.204888631609794"/>
    <m/>
    <m/>
    <n v="52295.479999999996"/>
    <n v="0"/>
    <n v="0"/>
    <n v="51867.15759291756"/>
    <n v="0"/>
    <n v="0"/>
  </r>
  <r>
    <s v="Regular"/>
    <x v="3"/>
    <x v="2"/>
    <x v="3"/>
    <x v="0"/>
    <x v="0"/>
    <x v="1"/>
    <x v="0"/>
    <x v="9"/>
    <n v="26614"/>
    <n v="26614"/>
    <n v="0"/>
    <n v="0"/>
    <n v="0"/>
    <n v="0"/>
    <n v="255"/>
    <x v="1"/>
    <n v="0"/>
    <n v="2"/>
    <n v="0"/>
    <n v="0"/>
    <n v="21.38"/>
    <n v="0"/>
    <n v="0"/>
    <n v="21.204888631609794"/>
    <m/>
    <m/>
    <n v="569007.31999999995"/>
    <n v="0"/>
    <n v="0"/>
    <n v="564346.90604166302"/>
    <n v="0"/>
    <n v="0"/>
  </r>
  <r>
    <s v="Refaturamento - Regular"/>
    <x v="3"/>
    <x v="2"/>
    <x v="3"/>
    <x v="0"/>
    <x v="0"/>
    <x v="1"/>
    <x v="0"/>
    <x v="9"/>
    <n v="2940"/>
    <n v="2940"/>
    <n v="0"/>
    <n v="0"/>
    <n v="0"/>
    <n v="0"/>
    <n v="27"/>
    <x v="1"/>
    <n v="0"/>
    <n v="2"/>
    <n v="0"/>
    <n v="0"/>
    <n v="21.38"/>
    <n v="0"/>
    <n v="0"/>
    <n v="21.204888631609794"/>
    <m/>
    <m/>
    <n v="62857.2"/>
    <n v="0"/>
    <n v="0"/>
    <n v="62342.372576932794"/>
    <n v="0"/>
    <n v="0"/>
  </r>
  <r>
    <s v="Sistema de Compensação"/>
    <x v="3"/>
    <x v="2"/>
    <x v="3"/>
    <x v="0"/>
    <x v="0"/>
    <x v="1"/>
    <x v="0"/>
    <x v="9"/>
    <n v="2493"/>
    <n v="2493"/>
    <n v="0"/>
    <n v="0"/>
    <n v="0"/>
    <n v="0"/>
    <n v="9"/>
    <x v="1"/>
    <n v="0"/>
    <n v="2"/>
    <n v="0"/>
    <n v="0"/>
    <n v="21.38"/>
    <n v="0"/>
    <n v="0"/>
    <n v="21.204888631609794"/>
    <m/>
    <m/>
    <n v="53300.34"/>
    <n v="0"/>
    <n v="0"/>
    <n v="52863.787358603215"/>
    <n v="0"/>
    <n v="0"/>
  </r>
  <r>
    <s v="Regular"/>
    <x v="3"/>
    <x v="2"/>
    <x v="3"/>
    <x v="0"/>
    <x v="0"/>
    <x v="1"/>
    <x v="0"/>
    <x v="10"/>
    <n v="26538"/>
    <n v="26538"/>
    <n v="0"/>
    <n v="0"/>
    <n v="0"/>
    <n v="0"/>
    <n v="257"/>
    <x v="1"/>
    <n v="0"/>
    <n v="2"/>
    <n v="0"/>
    <n v="0"/>
    <n v="21.38"/>
    <n v="0"/>
    <n v="0"/>
    <n v="21.204888631609794"/>
    <m/>
    <m/>
    <n v="567382.43999999994"/>
    <n v="0"/>
    <n v="0"/>
    <n v="562735.33450566069"/>
    <n v="0"/>
    <n v="0"/>
  </r>
  <r>
    <s v="Sistema de Compensação"/>
    <x v="3"/>
    <x v="2"/>
    <x v="3"/>
    <x v="0"/>
    <x v="0"/>
    <x v="1"/>
    <x v="0"/>
    <x v="10"/>
    <n v="2785"/>
    <n v="2785"/>
    <n v="0"/>
    <n v="0"/>
    <n v="0"/>
    <n v="0"/>
    <n v="10"/>
    <x v="1"/>
    <n v="0"/>
    <n v="2"/>
    <n v="0"/>
    <n v="0"/>
    <n v="21.38"/>
    <n v="0"/>
    <n v="0"/>
    <n v="21.204888631609794"/>
    <m/>
    <m/>
    <n v="59543.299999999996"/>
    <n v="0"/>
    <n v="0"/>
    <n v="59055.614839033275"/>
    <n v="0"/>
    <n v="0"/>
  </r>
  <r>
    <s v="Sistema de Compensação"/>
    <x v="3"/>
    <x v="2"/>
    <x v="3"/>
    <x v="0"/>
    <x v="0"/>
    <x v="1"/>
    <x v="0"/>
    <x v="10"/>
    <n v="470"/>
    <n v="470"/>
    <n v="0"/>
    <n v="0"/>
    <n v="0"/>
    <n v="0"/>
    <n v="2"/>
    <x v="1"/>
    <n v="0"/>
    <n v="2"/>
    <n v="0"/>
    <n v="0"/>
    <n v="21.38"/>
    <n v="0"/>
    <n v="0"/>
    <n v="21.204888631609794"/>
    <m/>
    <m/>
    <n v="10048.6"/>
    <n v="0"/>
    <n v="0"/>
    <n v="9966.2976568566028"/>
    <n v="0"/>
    <n v="0"/>
  </r>
  <r>
    <s v="PROJETADO"/>
    <x v="3"/>
    <x v="2"/>
    <x v="3"/>
    <x v="0"/>
    <x v="0"/>
    <x v="1"/>
    <x v="0"/>
    <x v="11"/>
    <n v="26538"/>
    <n v="26538"/>
    <n v="0"/>
    <n v="0"/>
    <n v="0"/>
    <n v="0"/>
    <n v="257"/>
    <x v="1"/>
    <n v="0"/>
    <n v="2"/>
    <n v="0"/>
    <n v="0"/>
    <n v="21.38"/>
    <n v="0"/>
    <n v="0"/>
    <n v="21.204888631609794"/>
    <m/>
    <m/>
    <n v="567382.43999999994"/>
    <n v="0"/>
    <n v="0"/>
    <n v="562735.33450566069"/>
    <n v="0"/>
    <n v="0"/>
  </r>
  <r>
    <s v="PROJETADO"/>
    <x v="3"/>
    <x v="2"/>
    <x v="3"/>
    <x v="0"/>
    <x v="0"/>
    <x v="1"/>
    <x v="0"/>
    <x v="11"/>
    <n v="2785"/>
    <n v="2785"/>
    <n v="0"/>
    <n v="0"/>
    <n v="0"/>
    <n v="0"/>
    <n v="10"/>
    <x v="1"/>
    <n v="0"/>
    <n v="2"/>
    <n v="0"/>
    <n v="0"/>
    <n v="21.38"/>
    <n v="0"/>
    <n v="0"/>
    <n v="21.204888631609794"/>
    <m/>
    <m/>
    <n v="59543.299999999996"/>
    <n v="0"/>
    <n v="0"/>
    <n v="59055.614839033275"/>
    <n v="0"/>
    <n v="0"/>
  </r>
  <r>
    <s v="PROJETADO"/>
    <x v="3"/>
    <x v="2"/>
    <x v="3"/>
    <x v="0"/>
    <x v="0"/>
    <x v="1"/>
    <x v="0"/>
    <x v="11"/>
    <n v="470"/>
    <n v="470"/>
    <n v="0"/>
    <n v="0"/>
    <n v="0"/>
    <n v="0"/>
    <n v="2"/>
    <x v="1"/>
    <n v="0"/>
    <n v="2"/>
    <n v="0"/>
    <n v="0"/>
    <n v="21.38"/>
    <n v="0"/>
    <n v="0"/>
    <n v="21.204888631609794"/>
    <m/>
    <m/>
    <n v="10048.6"/>
    <n v="0"/>
    <n v="0"/>
    <n v="9966.2976568566028"/>
    <n v="0"/>
    <n v="0"/>
  </r>
  <r>
    <s v="Regular"/>
    <x v="3"/>
    <x v="2"/>
    <x v="3"/>
    <x v="0"/>
    <x v="0"/>
    <x v="1"/>
    <x v="2"/>
    <x v="0"/>
    <n v="0"/>
    <n v="0"/>
    <n v="347.78800000000001"/>
    <n v="347.78800000000001"/>
    <n v="347.78800000000001"/>
    <n v="347.78800000000001"/>
    <n v="0"/>
    <x v="1"/>
    <n v="0"/>
    <n v="0"/>
    <n v="5"/>
    <n v="75"/>
    <n v="0"/>
    <n v="1454.96"/>
    <n v="159.43"/>
    <m/>
    <n v="1498.9908599166342"/>
    <n v="322.27888250425127"/>
    <n v="0"/>
    <n v="506017.62848000001"/>
    <n v="55447.840840000004"/>
    <n v="0"/>
    <n v="521331.03318868642"/>
    <n v="112084.72798838855"/>
  </r>
  <r>
    <s v="Refaturamento - Regular"/>
    <x v="3"/>
    <x v="2"/>
    <x v="3"/>
    <x v="0"/>
    <x v="0"/>
    <x v="1"/>
    <x v="2"/>
    <x v="0"/>
    <n v="0"/>
    <n v="0"/>
    <n v="0.32800000000000001"/>
    <n v="0.32800000000000001"/>
    <n v="0.32800000000000001"/>
    <n v="0.32800000000000001"/>
    <n v="0"/>
    <x v="1"/>
    <n v="0"/>
    <n v="0"/>
    <n v="5"/>
    <n v="75"/>
    <n v="0"/>
    <n v="1454.96"/>
    <n v="159.43"/>
    <m/>
    <n v="1498.9908599166342"/>
    <n v="322.27888250425127"/>
    <n v="0"/>
    <n v="477.22688000000005"/>
    <n v="52.293040000000005"/>
    <n v="0"/>
    <n v="491.66900205265603"/>
    <n v="105.70747346139441"/>
  </r>
  <r>
    <s v="Sistema de Compensação"/>
    <x v="3"/>
    <x v="2"/>
    <x v="3"/>
    <x v="0"/>
    <x v="0"/>
    <x v="1"/>
    <x v="2"/>
    <x v="0"/>
    <n v="0"/>
    <n v="0"/>
    <n v="8.6780000000000008"/>
    <n v="8.6780000000000008"/>
    <n v="8.6780000000000008"/>
    <n v="8.6780000000000008"/>
    <n v="0"/>
    <x v="1"/>
    <n v="0"/>
    <n v="0"/>
    <n v="5"/>
    <n v="75"/>
    <n v="0"/>
    <n v="1454.96"/>
    <n v="159.43"/>
    <m/>
    <n v="1498.9908599166342"/>
    <n v="322.27888250425127"/>
    <n v="0"/>
    <n v="12626.142880000001"/>
    <n v="1383.5335400000001"/>
    <n v="0"/>
    <n v="13008.242682356553"/>
    <n v="2796.7361423718926"/>
  </r>
  <r>
    <s v="Regular"/>
    <x v="3"/>
    <x v="2"/>
    <x v="3"/>
    <x v="0"/>
    <x v="0"/>
    <x v="1"/>
    <x v="2"/>
    <x v="1"/>
    <n v="0"/>
    <n v="0"/>
    <n v="290.68700000000001"/>
    <n v="290.68700000000001"/>
    <n v="290.68700000000001"/>
    <n v="290.68700000000001"/>
    <n v="0"/>
    <x v="1"/>
    <n v="0"/>
    <n v="0"/>
    <n v="5"/>
    <n v="75"/>
    <n v="0"/>
    <n v="1454.96"/>
    <n v="159.43"/>
    <m/>
    <n v="1498.9908599166342"/>
    <n v="322.27888250425127"/>
    <n v="0"/>
    <n v="422937.95752000005"/>
    <n v="46344.228410000003"/>
    <n v="0"/>
    <n v="435737.15609658667"/>
    <n v="93682.281518513293"/>
  </r>
  <r>
    <s v="Sistema de Compensação"/>
    <x v="3"/>
    <x v="2"/>
    <x v="3"/>
    <x v="0"/>
    <x v="0"/>
    <x v="1"/>
    <x v="2"/>
    <x v="1"/>
    <n v="0"/>
    <n v="0"/>
    <n v="7.7679999999999998"/>
    <n v="7.7679999999999998"/>
    <n v="7.7679999999999998"/>
    <n v="7.7679999999999998"/>
    <n v="0"/>
    <x v="1"/>
    <n v="0"/>
    <n v="0"/>
    <n v="5"/>
    <n v="75"/>
    <n v="0"/>
    <n v="1454.96"/>
    <n v="159.43"/>
    <m/>
    <n v="1498.9908599166342"/>
    <n v="322.27888250425127"/>
    <n v="0"/>
    <n v="11302.129279999999"/>
    <n v="1238.4522400000001"/>
    <n v="0"/>
    <n v="11644.160999832415"/>
    <n v="2503.4623592930238"/>
  </r>
  <r>
    <s v="Regular"/>
    <x v="3"/>
    <x v="2"/>
    <x v="3"/>
    <x v="0"/>
    <x v="0"/>
    <x v="1"/>
    <x v="2"/>
    <x v="2"/>
    <n v="0"/>
    <n v="0"/>
    <n v="272.32"/>
    <n v="272.32"/>
    <n v="272.32"/>
    <n v="272.32"/>
    <n v="0"/>
    <x v="1"/>
    <n v="0"/>
    <n v="0"/>
    <n v="5"/>
    <n v="75"/>
    <n v="0"/>
    <n v="1454.96"/>
    <n v="159.43"/>
    <m/>
    <n v="1498.9908599166342"/>
    <n v="322.27888250425127"/>
    <n v="0"/>
    <n v="396214.7072"/>
    <n v="43415.977599999998"/>
    <n v="0"/>
    <n v="408205.1909724978"/>
    <n v="87762.985283557704"/>
  </r>
  <r>
    <s v="Sistema de Compensação"/>
    <x v="3"/>
    <x v="2"/>
    <x v="3"/>
    <x v="0"/>
    <x v="0"/>
    <x v="1"/>
    <x v="2"/>
    <x v="2"/>
    <n v="0"/>
    <n v="0"/>
    <n v="7.69"/>
    <n v="7.69"/>
    <n v="7.69"/>
    <n v="7.69"/>
    <n v="0"/>
    <x v="1"/>
    <n v="0"/>
    <n v="0"/>
    <n v="5"/>
    <n v="75"/>
    <n v="0"/>
    <n v="1454.96"/>
    <n v="159.43"/>
    <m/>
    <n v="1498.9908599166342"/>
    <n v="322.27888250425127"/>
    <n v="0"/>
    <n v="11188.642400000001"/>
    <n v="1226.0167000000001"/>
    <n v="0"/>
    <n v="11527.239712758917"/>
    <n v="2478.3246064576924"/>
  </r>
  <r>
    <s v="Regular"/>
    <x v="3"/>
    <x v="2"/>
    <x v="3"/>
    <x v="0"/>
    <x v="0"/>
    <x v="1"/>
    <x v="2"/>
    <x v="3"/>
    <n v="0"/>
    <n v="0"/>
    <n v="328.315"/>
    <n v="328.315"/>
    <n v="328.315"/>
    <n v="328.315"/>
    <n v="0"/>
    <x v="1"/>
    <n v="0"/>
    <n v="0"/>
    <n v="5"/>
    <n v="75"/>
    <n v="0"/>
    <n v="1454.96"/>
    <n v="159.43"/>
    <m/>
    <n v="1498.9908599166342"/>
    <n v="322.27888250425127"/>
    <n v="0"/>
    <n v="477685.1924"/>
    <n v="52343.260450000002"/>
    <n v="0"/>
    <n v="492141.18417352979"/>
    <n v="105808.99130938326"/>
  </r>
  <r>
    <s v="Sistema de Compensação"/>
    <x v="3"/>
    <x v="2"/>
    <x v="3"/>
    <x v="0"/>
    <x v="0"/>
    <x v="1"/>
    <x v="2"/>
    <x v="3"/>
    <n v="0"/>
    <n v="0"/>
    <n v="10.706"/>
    <n v="10.706"/>
    <n v="10.706"/>
    <n v="10.706"/>
    <n v="0"/>
    <x v="1"/>
    <n v="0"/>
    <n v="0"/>
    <n v="5"/>
    <n v="75"/>
    <n v="0"/>
    <n v="1454.96"/>
    <n v="159.43"/>
    <m/>
    <n v="1498.9908599166342"/>
    <n v="322.27888250425127"/>
    <n v="0"/>
    <n v="15576.80176"/>
    <n v="1706.8575800000001"/>
    <n v="0"/>
    <n v="16048.196146267486"/>
    <n v="3450.3177160905138"/>
  </r>
  <r>
    <s v="Regular"/>
    <x v="3"/>
    <x v="2"/>
    <x v="3"/>
    <x v="0"/>
    <x v="0"/>
    <x v="1"/>
    <x v="2"/>
    <x v="4"/>
    <n v="0"/>
    <n v="0"/>
    <n v="312.31900000000002"/>
    <n v="312.31900000000002"/>
    <n v="312.31900000000002"/>
    <n v="312.31900000000002"/>
    <n v="0"/>
    <x v="1"/>
    <n v="0"/>
    <n v="0"/>
    <n v="5"/>
    <n v="75"/>
    <n v="0"/>
    <n v="1454.96"/>
    <n v="159.43"/>
    <m/>
    <n v="1498.9908599166342"/>
    <n v="322.27888250425127"/>
    <n v="0"/>
    <n v="454411.65224000002"/>
    <n v="49793.018170000003"/>
    <n v="0"/>
    <n v="468163.32637830329"/>
    <n v="100653.81830484526"/>
  </r>
  <r>
    <s v="Sistema de Compensação"/>
    <x v="3"/>
    <x v="2"/>
    <x v="3"/>
    <x v="0"/>
    <x v="0"/>
    <x v="1"/>
    <x v="2"/>
    <x v="4"/>
    <n v="0"/>
    <n v="0"/>
    <n v="9.4160000000000004"/>
    <n v="9.4160000000000004"/>
    <n v="9.4160000000000004"/>
    <n v="9.4160000000000004"/>
    <n v="0"/>
    <x v="1"/>
    <n v="0"/>
    <n v="0"/>
    <n v="5"/>
    <n v="75"/>
    <n v="0"/>
    <n v="1454.96"/>
    <n v="159.43"/>
    <m/>
    <n v="1498.9908599166342"/>
    <n v="322.27888250425127"/>
    <n v="0"/>
    <n v="13699.90336"/>
    <n v="1501.1928800000001"/>
    <n v="0"/>
    <n v="14114.497936975029"/>
    <n v="3034.5779576600303"/>
  </r>
  <r>
    <s v="Regular"/>
    <x v="3"/>
    <x v="2"/>
    <x v="3"/>
    <x v="0"/>
    <x v="0"/>
    <x v="1"/>
    <x v="2"/>
    <x v="5"/>
    <n v="0"/>
    <n v="0"/>
    <n v="364.75799999999998"/>
    <n v="364.75799999999998"/>
    <n v="364.75799999999998"/>
    <n v="364.75799999999998"/>
    <n v="0"/>
    <x v="1"/>
    <n v="0"/>
    <n v="0"/>
    <n v="5"/>
    <n v="75"/>
    <n v="0"/>
    <n v="1454.96"/>
    <n v="159.43"/>
    <m/>
    <n v="1498.9908599166342"/>
    <n v="322.27888250425127"/>
    <n v="0"/>
    <n v="530708.29967999994"/>
    <n v="58153.367939999996"/>
    <n v="0"/>
    <n v="546768.90808147169"/>
    <n v="117553.80062448568"/>
  </r>
  <r>
    <s v="Refaturamento - Regular"/>
    <x v="3"/>
    <x v="2"/>
    <x v="3"/>
    <x v="0"/>
    <x v="0"/>
    <x v="1"/>
    <x v="2"/>
    <x v="5"/>
    <n v="0"/>
    <n v="0"/>
    <n v="-8.4109999999999996"/>
    <n v="-8.4109999999999996"/>
    <n v="-8.4109999999999996"/>
    <n v="-8.4109999999999996"/>
    <n v="0"/>
    <x v="1"/>
    <n v="0"/>
    <n v="0"/>
    <n v="5"/>
    <n v="75"/>
    <n v="0"/>
    <n v="1454.96"/>
    <n v="159.43"/>
    <m/>
    <n v="1498.9908599166342"/>
    <n v="322.27888250425127"/>
    <n v="0"/>
    <n v="-12237.66856"/>
    <n v="-1340.9657299999999"/>
    <n v="0"/>
    <n v="-12608.01212275881"/>
    <n v="-2710.6876807432573"/>
  </r>
  <r>
    <s v="Sistema de Compensação"/>
    <x v="3"/>
    <x v="2"/>
    <x v="3"/>
    <x v="0"/>
    <x v="0"/>
    <x v="1"/>
    <x v="2"/>
    <x v="5"/>
    <n v="0"/>
    <n v="0"/>
    <n v="13.199"/>
    <n v="13.199"/>
    <n v="13.199"/>
    <n v="13.199"/>
    <n v="0"/>
    <x v="1"/>
    <n v="0"/>
    <n v="0"/>
    <n v="5"/>
    <n v="75"/>
    <n v="0"/>
    <n v="1454.96"/>
    <n v="159.43"/>
    <m/>
    <n v="1498.9908599166342"/>
    <n v="322.27888250425127"/>
    <n v="0"/>
    <n v="19204.017039999999"/>
    <n v="2104.31657"/>
    <n v="0"/>
    <n v="19785.180360039656"/>
    <n v="4253.7589701736124"/>
  </r>
  <r>
    <s v="Regular"/>
    <x v="3"/>
    <x v="2"/>
    <x v="3"/>
    <x v="0"/>
    <x v="0"/>
    <x v="1"/>
    <x v="2"/>
    <x v="6"/>
    <n v="0"/>
    <n v="0"/>
    <n v="371.40899999999999"/>
    <n v="371.40899999999999"/>
    <n v="371.40899999999999"/>
    <n v="371.40899999999999"/>
    <n v="0"/>
    <x v="1"/>
    <n v="0"/>
    <n v="0"/>
    <n v="5"/>
    <n v="75"/>
    <n v="0"/>
    <n v="1454.96"/>
    <n v="159.43"/>
    <m/>
    <n v="1498.9908599166342"/>
    <n v="322.27888250425127"/>
    <n v="0"/>
    <n v="540385.23864"/>
    <n v="59213.736870000001"/>
    <n v="0"/>
    <n v="556738.69629077718"/>
    <n v="119697.27747202145"/>
  </r>
  <r>
    <s v="Sistema de Compensação"/>
    <x v="3"/>
    <x v="2"/>
    <x v="3"/>
    <x v="0"/>
    <x v="0"/>
    <x v="1"/>
    <x v="2"/>
    <x v="6"/>
    <n v="0"/>
    <n v="0"/>
    <n v="9.3460000000000001"/>
    <n v="9.3460000000000001"/>
    <n v="9.3460000000000001"/>
    <n v="9.3460000000000001"/>
    <n v="0"/>
    <x v="1"/>
    <n v="0"/>
    <n v="0"/>
    <n v="5"/>
    <n v="75"/>
    <n v="0"/>
    <n v="1454.96"/>
    <n v="159.43"/>
    <m/>
    <n v="1498.9908599166342"/>
    <n v="322.27888250425127"/>
    <n v="0"/>
    <n v="13598.05616"/>
    <n v="1490.03278"/>
    <n v="0"/>
    <n v="14009.568576780865"/>
    <n v="3012.0184358847323"/>
  </r>
  <r>
    <s v="Regular"/>
    <x v="3"/>
    <x v="2"/>
    <x v="3"/>
    <x v="0"/>
    <x v="0"/>
    <x v="1"/>
    <x v="2"/>
    <x v="7"/>
    <n v="0"/>
    <n v="0"/>
    <n v="380.59699999999998"/>
    <n v="380.59699999999998"/>
    <n v="380.59699999999998"/>
    <n v="380.59699999999998"/>
    <n v="0"/>
    <x v="1"/>
    <n v="0"/>
    <n v="0"/>
    <n v="5"/>
    <n v="75"/>
    <n v="0"/>
    <n v="1454.96"/>
    <n v="159.43"/>
    <m/>
    <n v="1498.9908599166342"/>
    <n v="322.27888250425127"/>
    <n v="0"/>
    <n v="553753.41111999995"/>
    <n v="60678.579709999998"/>
    <n v="0"/>
    <n v="570511.4243116912"/>
    <n v="122658.37584447052"/>
  </r>
  <r>
    <s v="Refaturamento - Regular"/>
    <x v="3"/>
    <x v="2"/>
    <x v="3"/>
    <x v="0"/>
    <x v="0"/>
    <x v="1"/>
    <x v="2"/>
    <x v="7"/>
    <n v="0"/>
    <n v="0"/>
    <n v="2.6179999999999999"/>
    <n v="2.6179999999999999"/>
    <n v="2.6179999999999999"/>
    <n v="2.6179999999999999"/>
    <n v="0"/>
    <x v="1"/>
    <n v="0"/>
    <n v="0"/>
    <n v="5"/>
    <n v="75"/>
    <n v="0"/>
    <n v="1454.96"/>
    <n v="159.43"/>
    <m/>
    <n v="1498.9908599166342"/>
    <n v="322.27888250425127"/>
    <n v="0"/>
    <n v="3809.0852799999998"/>
    <n v="417.38774000000001"/>
    <n v="0"/>
    <n v="3924.3580712617481"/>
    <n v="843.72611439612979"/>
  </r>
  <r>
    <s v="Sistema de Compensação"/>
    <x v="3"/>
    <x v="2"/>
    <x v="3"/>
    <x v="0"/>
    <x v="0"/>
    <x v="1"/>
    <x v="2"/>
    <x v="7"/>
    <n v="0"/>
    <n v="0"/>
    <n v="10.173"/>
    <n v="10.173"/>
    <n v="10.173"/>
    <n v="10.173"/>
    <n v="0"/>
    <x v="1"/>
    <n v="0"/>
    <n v="0"/>
    <n v="5"/>
    <n v="75"/>
    <n v="0"/>
    <n v="1454.96"/>
    <n v="159.43"/>
    <m/>
    <n v="1498.9908599166342"/>
    <n v="322.27888250425127"/>
    <n v="0"/>
    <n v="14801.308080000001"/>
    <n v="1621.88139"/>
    <n v="0"/>
    <n v="15249.23401793192"/>
    <n v="3278.5430717157483"/>
  </r>
  <r>
    <s v="Regular"/>
    <x v="3"/>
    <x v="2"/>
    <x v="3"/>
    <x v="0"/>
    <x v="0"/>
    <x v="1"/>
    <x v="2"/>
    <x v="8"/>
    <n v="0"/>
    <n v="0"/>
    <n v="375.03399999999999"/>
    <n v="375.03399999999999"/>
    <n v="375.03399999999999"/>
    <n v="375.03399999999999"/>
    <n v="0"/>
    <x v="1"/>
    <n v="0"/>
    <n v="0"/>
    <n v="5"/>
    <n v="75"/>
    <n v="0"/>
    <n v="1454.96"/>
    <n v="159.43"/>
    <m/>
    <n v="1498.9908599166342"/>
    <n v="322.27888250425127"/>
    <n v="0"/>
    <n v="545659.46863999998"/>
    <n v="59791.670620000004"/>
    <n v="0"/>
    <n v="562172.53815797495"/>
    <n v="120865.53842109937"/>
  </r>
  <r>
    <s v="Refaturamento - Regular"/>
    <x v="3"/>
    <x v="2"/>
    <x v="3"/>
    <x v="0"/>
    <x v="0"/>
    <x v="1"/>
    <x v="2"/>
    <x v="8"/>
    <n v="0"/>
    <n v="0"/>
    <n v="2E-3"/>
    <n v="2E-3"/>
    <n v="2E-3"/>
    <n v="2E-3"/>
    <n v="0"/>
    <x v="1"/>
    <n v="0"/>
    <n v="0"/>
    <n v="5"/>
    <n v="75"/>
    <n v="0"/>
    <n v="1454.96"/>
    <n v="159.43"/>
    <m/>
    <n v="1498.9908599166342"/>
    <n v="322.27888250425127"/>
    <n v="0"/>
    <n v="2.9099200000000001"/>
    <n v="0.31886000000000003"/>
    <n v="0"/>
    <n v="2.9979817198332683"/>
    <n v="0.64455776500850259"/>
  </r>
  <r>
    <s v="Sistema de Compensação"/>
    <x v="3"/>
    <x v="2"/>
    <x v="3"/>
    <x v="0"/>
    <x v="0"/>
    <x v="1"/>
    <x v="2"/>
    <x v="8"/>
    <n v="0"/>
    <n v="0"/>
    <n v="15.86"/>
    <n v="15.86"/>
    <n v="15.86"/>
    <n v="15.86"/>
    <n v="0"/>
    <x v="1"/>
    <n v="0"/>
    <n v="0"/>
    <n v="5"/>
    <n v="75"/>
    <n v="0"/>
    <n v="1454.96"/>
    <n v="159.43"/>
    <m/>
    <n v="1498.9908599166342"/>
    <n v="322.27888250425127"/>
    <n v="0"/>
    <n v="23075.6656"/>
    <n v="2528.5598"/>
    <n v="0"/>
    <n v="23773.995038277819"/>
    <n v="5111.3430765174253"/>
  </r>
  <r>
    <s v="Regular"/>
    <x v="3"/>
    <x v="2"/>
    <x v="3"/>
    <x v="0"/>
    <x v="0"/>
    <x v="1"/>
    <x v="2"/>
    <x v="9"/>
    <n v="0"/>
    <n v="0"/>
    <n v="388.40199999999999"/>
    <n v="388.40199999999999"/>
    <n v="388.40199999999999"/>
    <n v="388.40199999999999"/>
    <n v="0"/>
    <x v="1"/>
    <n v="0"/>
    <n v="0"/>
    <n v="5"/>
    <n v="75"/>
    <n v="0"/>
    <n v="1454.96"/>
    <n v="159.43"/>
    <m/>
    <n v="1498.9908599166342"/>
    <n v="322.27888250425127"/>
    <n v="0"/>
    <n v="565109.37392000004"/>
    <n v="61922.93086"/>
    <n v="0"/>
    <n v="582211.04797334049"/>
    <n v="125173.7625224162"/>
  </r>
  <r>
    <s v="Refaturamento - Regular"/>
    <x v="3"/>
    <x v="2"/>
    <x v="3"/>
    <x v="0"/>
    <x v="0"/>
    <x v="1"/>
    <x v="2"/>
    <x v="9"/>
    <n v="0"/>
    <n v="0"/>
    <n v="30.645"/>
    <n v="30.645"/>
    <n v="30.645"/>
    <n v="30.645"/>
    <n v="0"/>
    <x v="1"/>
    <n v="0"/>
    <n v="0"/>
    <n v="5"/>
    <n v="75"/>
    <n v="0"/>
    <n v="1454.96"/>
    <n v="159.43"/>
    <m/>
    <n v="1498.9908599166342"/>
    <n v="322.27888250425127"/>
    <n v="0"/>
    <n v="44587.249199999998"/>
    <n v="4885.7323500000002"/>
    <n v="0"/>
    <n v="45936.574902145258"/>
    <n v="9876.23635434278"/>
  </r>
  <r>
    <s v="Sistema de Compensação"/>
    <x v="3"/>
    <x v="2"/>
    <x v="3"/>
    <x v="0"/>
    <x v="0"/>
    <x v="1"/>
    <x v="2"/>
    <x v="9"/>
    <n v="0"/>
    <n v="0"/>
    <n v="10.074"/>
    <n v="10.074"/>
    <n v="10.074"/>
    <n v="10.074"/>
    <n v="0"/>
    <x v="1"/>
    <n v="0"/>
    <n v="0"/>
    <n v="5"/>
    <n v="75"/>
    <n v="0"/>
    <n v="1454.96"/>
    <n v="159.43"/>
    <m/>
    <n v="1498.9908599166342"/>
    <n v="322.27888250425127"/>
    <n v="0"/>
    <n v="14657.267040000001"/>
    <n v="1606.09782"/>
    <n v="0"/>
    <n v="15100.833922800173"/>
    <n v="3246.6374623478273"/>
  </r>
  <r>
    <s v="Regular"/>
    <x v="3"/>
    <x v="2"/>
    <x v="3"/>
    <x v="0"/>
    <x v="0"/>
    <x v="1"/>
    <x v="2"/>
    <x v="10"/>
    <n v="0"/>
    <n v="0"/>
    <n v="377.23500000000001"/>
    <n v="377.23500000000001"/>
    <n v="377.23500000000001"/>
    <n v="377.23500000000001"/>
    <n v="0"/>
    <x v="1"/>
    <n v="0"/>
    <n v="0"/>
    <n v="5"/>
    <n v="75"/>
    <n v="0"/>
    <n v="1454.96"/>
    <n v="159.43"/>
    <m/>
    <n v="1498.9908599166342"/>
    <n v="322.27888250425127"/>
    <n v="0"/>
    <n v="548861.83559999999"/>
    <n v="60142.576050000003"/>
    <n v="0"/>
    <n v="565471.81704065157"/>
    <n v="121574.87424149123"/>
  </r>
  <r>
    <s v="Sistema de Compensação"/>
    <x v="3"/>
    <x v="2"/>
    <x v="3"/>
    <x v="0"/>
    <x v="0"/>
    <x v="1"/>
    <x v="2"/>
    <x v="10"/>
    <n v="0"/>
    <n v="0"/>
    <n v="11.032999999999999"/>
    <n v="11.032999999999999"/>
    <n v="11.032999999999999"/>
    <n v="11.032999999999999"/>
    <n v="0"/>
    <x v="1"/>
    <n v="0"/>
    <n v="0"/>
    <n v="5"/>
    <n v="75"/>
    <n v="0"/>
    <n v="1454.96"/>
    <n v="159.43"/>
    <m/>
    <n v="1498.9908599166342"/>
    <n v="322.27888250425127"/>
    <n v="0"/>
    <n v="16052.57368"/>
    <n v="1758.99119"/>
    <n v="0"/>
    <n v="16538.366157460227"/>
    <n v="3555.702910669404"/>
  </r>
  <r>
    <s v="Sistema de Compensação"/>
    <x v="3"/>
    <x v="2"/>
    <x v="3"/>
    <x v="0"/>
    <x v="0"/>
    <x v="1"/>
    <x v="2"/>
    <x v="10"/>
    <n v="0"/>
    <n v="0"/>
    <n v="7.8170000000000002"/>
    <n v="7.8170000000000002"/>
    <n v="7.8170000000000002"/>
    <n v="7.8170000000000002"/>
    <n v="0"/>
    <x v="1"/>
    <n v="0"/>
    <n v="0"/>
    <n v="5"/>
    <n v="75"/>
    <n v="0"/>
    <n v="1454.96"/>
    <n v="159.43"/>
    <m/>
    <n v="1498.9908599166342"/>
    <n v="322.27888250425127"/>
    <n v="0"/>
    <n v="11373.42232"/>
    <n v="1246.26431"/>
    <n v="0"/>
    <n v="11717.61155196833"/>
    <n v="2519.2540245357322"/>
  </r>
  <r>
    <s v="PROJETADO"/>
    <x v="3"/>
    <x v="2"/>
    <x v="3"/>
    <x v="0"/>
    <x v="0"/>
    <x v="1"/>
    <x v="2"/>
    <x v="11"/>
    <n v="0"/>
    <n v="0"/>
    <n v="377.23500000000001"/>
    <n v="377.23500000000001"/>
    <n v="377.23500000000001"/>
    <n v="377.23500000000001"/>
    <n v="0"/>
    <x v="1"/>
    <n v="0"/>
    <n v="0"/>
    <n v="5"/>
    <n v="75"/>
    <n v="0"/>
    <n v="1454.96"/>
    <n v="159.43"/>
    <m/>
    <n v="1498.9908599166342"/>
    <n v="322.27888250425127"/>
    <n v="0"/>
    <n v="548861.83559999999"/>
    <n v="60142.576050000003"/>
    <n v="0"/>
    <n v="565471.81704065157"/>
    <n v="121574.87424149123"/>
  </r>
  <r>
    <s v="PROJETADO"/>
    <x v="3"/>
    <x v="2"/>
    <x v="3"/>
    <x v="0"/>
    <x v="0"/>
    <x v="1"/>
    <x v="2"/>
    <x v="11"/>
    <n v="0"/>
    <n v="0"/>
    <n v="11.032999999999999"/>
    <n v="11.032999999999999"/>
    <n v="11.032999999999999"/>
    <n v="11.032999999999999"/>
    <n v="0"/>
    <x v="1"/>
    <n v="0"/>
    <n v="0"/>
    <n v="5"/>
    <n v="75"/>
    <n v="0"/>
    <n v="1454.96"/>
    <n v="159.43"/>
    <m/>
    <n v="1498.9908599166342"/>
    <n v="322.27888250425127"/>
    <n v="0"/>
    <n v="16052.57368"/>
    <n v="1758.99119"/>
    <n v="0"/>
    <n v="16538.366157460227"/>
    <n v="3555.702910669404"/>
  </r>
  <r>
    <s v="PROJETADO"/>
    <x v="3"/>
    <x v="2"/>
    <x v="3"/>
    <x v="0"/>
    <x v="0"/>
    <x v="1"/>
    <x v="2"/>
    <x v="11"/>
    <n v="0"/>
    <n v="0"/>
    <n v="7.8170000000000002"/>
    <n v="7.8170000000000002"/>
    <n v="7.8170000000000002"/>
    <n v="7.8170000000000002"/>
    <n v="0"/>
    <x v="1"/>
    <n v="0"/>
    <n v="0"/>
    <n v="5"/>
    <n v="75"/>
    <n v="0"/>
    <n v="1454.96"/>
    <n v="159.43"/>
    <m/>
    <n v="1498.9908599166342"/>
    <n v="322.27888250425127"/>
    <n v="0"/>
    <n v="11373.42232"/>
    <n v="1246.26431"/>
    <n v="0"/>
    <n v="11717.61155196833"/>
    <n v="2519.2540245357322"/>
  </r>
  <r>
    <s v="Regular"/>
    <x v="3"/>
    <x v="2"/>
    <x v="4"/>
    <x v="1"/>
    <x v="0"/>
    <x v="1"/>
    <x v="1"/>
    <x v="0"/>
    <n v="0"/>
    <n v="0"/>
    <n v="533.77"/>
    <n v="501.74379999999996"/>
    <n v="533.77"/>
    <n v="501.74379999999996"/>
    <n v="0"/>
    <x v="1"/>
    <n v="0"/>
    <n v="0"/>
    <n v="7"/>
    <n v="76"/>
    <n v="0"/>
    <n v="102.62"/>
    <n v="103.1"/>
    <m/>
    <n v="181.53179145831209"/>
    <n v="215.6942886760464"/>
    <n v="0"/>
    <n v="51488.948755999998"/>
    <n v="51729.785779999991"/>
    <n v="0"/>
    <n v="91082.450867101041"/>
    <n v="108223.27203861649"/>
  </r>
  <r>
    <s v="Regular"/>
    <x v="3"/>
    <x v="2"/>
    <x v="4"/>
    <x v="1"/>
    <x v="0"/>
    <x v="1"/>
    <x v="1"/>
    <x v="1"/>
    <n v="0"/>
    <n v="0"/>
    <n v="541.12599999999998"/>
    <n v="508.65843999999993"/>
    <n v="541.12599999999998"/>
    <n v="508.65843999999993"/>
    <n v="0"/>
    <x v="1"/>
    <n v="0"/>
    <n v="0"/>
    <n v="7"/>
    <n v="76"/>
    <n v="0"/>
    <n v="102.62"/>
    <n v="103.1"/>
    <m/>
    <n v="181.53179145831209"/>
    <n v="215.6942886760464"/>
    <n v="0"/>
    <n v="52198.529112799995"/>
    <n v="52442.685163999988"/>
    <n v="0"/>
    <n v="92337.677853590343"/>
    <n v="109714.72039486741"/>
  </r>
  <r>
    <s v="Regular"/>
    <x v="3"/>
    <x v="2"/>
    <x v="4"/>
    <x v="1"/>
    <x v="0"/>
    <x v="1"/>
    <x v="1"/>
    <x v="2"/>
    <n v="0"/>
    <n v="0"/>
    <n v="454.30099999999999"/>
    <n v="427.04293999999999"/>
    <n v="454.30099999999999"/>
    <n v="427.04293999999999"/>
    <n v="0"/>
    <x v="1"/>
    <n v="0"/>
    <n v="0"/>
    <n v="7"/>
    <n v="76"/>
    <n v="0"/>
    <n v="102.62"/>
    <n v="103.1"/>
    <m/>
    <n v="181.53179145831209"/>
    <n v="215.6942886760464"/>
    <n v="0"/>
    <n v="43823.146502800002"/>
    <n v="44028.127113999995"/>
    <n v="0"/>
    <n v="77521.869927824475"/>
    <n v="92110.723177427557"/>
  </r>
  <r>
    <s v="Regular"/>
    <x v="3"/>
    <x v="2"/>
    <x v="4"/>
    <x v="1"/>
    <x v="0"/>
    <x v="1"/>
    <x v="1"/>
    <x v="3"/>
    <n v="0"/>
    <n v="0"/>
    <n v="575.00099999999998"/>
    <n v="540.5009399999999"/>
    <n v="575.00099999999998"/>
    <n v="540.5009399999999"/>
    <n v="0"/>
    <x v="1"/>
    <n v="0"/>
    <n v="0"/>
    <n v="7"/>
    <n v="76"/>
    <n v="0"/>
    <n v="102.62"/>
    <n v="103.1"/>
    <m/>
    <n v="181.53179145831209"/>
    <n v="215.6942886760464"/>
    <n v="0"/>
    <n v="55466.206462799993"/>
    <n v="55725.64691399999"/>
    <n v="0"/>
    <n v="98118.103923101633"/>
    <n v="116582.96578203441"/>
  </r>
  <r>
    <s v="Refaturamento - Regular"/>
    <x v="3"/>
    <x v="2"/>
    <x v="4"/>
    <x v="1"/>
    <x v="0"/>
    <x v="1"/>
    <x v="1"/>
    <x v="3"/>
    <n v="0"/>
    <n v="0"/>
    <n v="10.036"/>
    <n v="9.4338399999999982"/>
    <n v="10.036"/>
    <n v="9.4338399999999982"/>
    <n v="0"/>
    <x v="1"/>
    <n v="0"/>
    <n v="0"/>
    <n v="7"/>
    <n v="76"/>
    <n v="0"/>
    <n v="102.62"/>
    <n v="103.1"/>
    <m/>
    <n v="181.53179145831209"/>
    <n v="215.6942886760464"/>
    <n v="0"/>
    <n v="968.1006607999999"/>
    <n v="972.62890399999981"/>
    <n v="0"/>
    <n v="1712.5418755310825"/>
    <n v="2034.8254082836331"/>
  </r>
  <r>
    <s v="Regular"/>
    <x v="3"/>
    <x v="2"/>
    <x v="4"/>
    <x v="1"/>
    <x v="0"/>
    <x v="1"/>
    <x v="1"/>
    <x v="4"/>
    <n v="0"/>
    <n v="0"/>
    <n v="509.452"/>
    <n v="478.88487999999995"/>
    <n v="509.452"/>
    <n v="478.88487999999995"/>
    <n v="0"/>
    <x v="1"/>
    <n v="0"/>
    <n v="0"/>
    <n v="7"/>
    <n v="76"/>
    <n v="0"/>
    <n v="102.62"/>
    <n v="103.1"/>
    <m/>
    <n v="181.53179145831209"/>
    <n v="215.6942886760464"/>
    <n v="0"/>
    <n v="49143.166385599994"/>
    <n v="49373.031127999995"/>
    <n v="0"/>
    <n v="86932.830168698798"/>
    <n v="103292.73354931382"/>
  </r>
  <r>
    <s v="Regular"/>
    <x v="3"/>
    <x v="2"/>
    <x v="4"/>
    <x v="1"/>
    <x v="0"/>
    <x v="1"/>
    <x v="1"/>
    <x v="5"/>
    <n v="0"/>
    <n v="0"/>
    <n v="502.738"/>
    <n v="472.57371999999998"/>
    <n v="502.738"/>
    <n v="472.57371999999998"/>
    <n v="0"/>
    <x v="1"/>
    <n v="0"/>
    <n v="0"/>
    <n v="7"/>
    <n v="76"/>
    <n v="0"/>
    <n v="102.62"/>
    <n v="103.1"/>
    <m/>
    <n v="181.53179145831209"/>
    <n v="215.6942886760464"/>
    <n v="0"/>
    <n v="48495.515146400001"/>
    <n v="48722.350531999997"/>
    <n v="0"/>
    <n v="85787.153987718761"/>
    <n v="101931.45238239312"/>
  </r>
  <r>
    <s v="Regular"/>
    <x v="3"/>
    <x v="2"/>
    <x v="4"/>
    <x v="1"/>
    <x v="0"/>
    <x v="1"/>
    <x v="1"/>
    <x v="6"/>
    <n v="0"/>
    <n v="0"/>
    <n v="484.745"/>
    <n v="455.66030000000001"/>
    <n v="484.745"/>
    <n v="455.66030000000001"/>
    <n v="0"/>
    <x v="1"/>
    <n v="0"/>
    <n v="0"/>
    <n v="7"/>
    <n v="76"/>
    <n v="0"/>
    <n v="102.62"/>
    <n v="103.1"/>
    <m/>
    <n v="181.53179145831209"/>
    <n v="215.6942886760464"/>
    <n v="0"/>
    <n v="46759.859986000003"/>
    <n v="46978.576929999996"/>
    <n v="0"/>
    <n v="82716.830555431923"/>
    <n v="98283.324286413903"/>
  </r>
  <r>
    <s v="Regular"/>
    <x v="3"/>
    <x v="2"/>
    <x v="4"/>
    <x v="1"/>
    <x v="0"/>
    <x v="1"/>
    <x v="1"/>
    <x v="7"/>
    <n v="0"/>
    <n v="0"/>
    <n v="11.79"/>
    <n v="11.082599999999999"/>
    <n v="11.79"/>
    <n v="11.082599999999999"/>
    <n v="0"/>
    <x v="1"/>
    <n v="0"/>
    <n v="0"/>
    <n v="7"/>
    <n v="76"/>
    <n v="0"/>
    <n v="102.62"/>
    <n v="103.1"/>
    <m/>
    <n v="181.53179145831209"/>
    <n v="215.6942886760464"/>
    <n v="0"/>
    <n v="1137.2964119999999"/>
    <n v="1142.6160599999998"/>
    <n v="0"/>
    <n v="2011.8442320158895"/>
    <n v="2390.4535236811516"/>
  </r>
  <r>
    <s v="Refaturamento - Regular"/>
    <x v="3"/>
    <x v="2"/>
    <x v="4"/>
    <x v="1"/>
    <x v="0"/>
    <x v="1"/>
    <x v="1"/>
    <x v="7"/>
    <n v="0"/>
    <n v="0"/>
    <n v="178.679"/>
    <n v="167.95826"/>
    <n v="178.679"/>
    <n v="167.95826"/>
    <n v="0"/>
    <x v="1"/>
    <n v="0"/>
    <n v="0"/>
    <n v="7"/>
    <n v="76"/>
    <n v="0"/>
    <n v="102.62"/>
    <n v="103.1"/>
    <m/>
    <n v="181.53179145831209"/>
    <n v="215.6942886760464"/>
    <n v="0"/>
    <n v="17235.8766412"/>
    <n v="17316.496605999997"/>
    <n v="0"/>
    <n v="30489.763828020961"/>
    <n v="36227.637417966456"/>
  </r>
  <r>
    <s v="Regular"/>
    <x v="3"/>
    <x v="2"/>
    <x v="4"/>
    <x v="1"/>
    <x v="0"/>
    <x v="1"/>
    <x v="1"/>
    <x v="8"/>
    <n v="0"/>
    <n v="0"/>
    <n v="599.32600000000002"/>
    <n v="563.36644000000001"/>
    <n v="599.32600000000002"/>
    <n v="563.36644000000001"/>
    <n v="0"/>
    <x v="1"/>
    <n v="0"/>
    <n v="0"/>
    <n v="7"/>
    <n v="76"/>
    <n v="0"/>
    <n v="102.62"/>
    <n v="103.1"/>
    <m/>
    <n v="181.53179145831209"/>
    <n v="215.6942886760464"/>
    <n v="0"/>
    <n v="57812.664072800006"/>
    <n v="58083.079963999997"/>
    <n v="0"/>
    <n v="102268.9191006917"/>
    <n v="121514.92353975658"/>
  </r>
  <r>
    <s v="Refaturamento - Regular"/>
    <x v="3"/>
    <x v="2"/>
    <x v="4"/>
    <x v="1"/>
    <x v="0"/>
    <x v="1"/>
    <x v="1"/>
    <x v="8"/>
    <n v="0"/>
    <n v="0"/>
    <n v="338.64400000000001"/>
    <n v="318.32535999999999"/>
    <n v="338.64400000000001"/>
    <n v="318.32535999999999"/>
    <n v="0"/>
    <x v="1"/>
    <n v="0"/>
    <n v="0"/>
    <n v="7"/>
    <n v="76"/>
    <n v="0"/>
    <n v="102.62"/>
    <n v="103.1"/>
    <m/>
    <n v="181.53179145831209"/>
    <n v="215.6942886760464"/>
    <n v="0"/>
    <n v="32666.548443200001"/>
    <n v="32819.344615999995"/>
    <n v="0"/>
    <n v="57786.172867412119"/>
    <n v="68660.962092746384"/>
  </r>
  <r>
    <s v="Regular"/>
    <x v="3"/>
    <x v="2"/>
    <x v="4"/>
    <x v="1"/>
    <x v="0"/>
    <x v="1"/>
    <x v="1"/>
    <x v="9"/>
    <n v="0"/>
    <n v="0"/>
    <n v="547.43100000000004"/>
    <n v="514.58514000000002"/>
    <n v="547.43100000000004"/>
    <n v="514.58514000000002"/>
    <n v="0"/>
    <x v="1"/>
    <n v="0"/>
    <n v="0"/>
    <n v="7"/>
    <n v="76"/>
    <n v="0"/>
    <n v="102.62"/>
    <n v="103.1"/>
    <m/>
    <n v="181.53179145831209"/>
    <n v="215.6942886760464"/>
    <n v="0"/>
    <n v="52806.727066800006"/>
    <n v="53053.727934000002"/>
    <n v="0"/>
    <n v="93413.562322026337"/>
    <n v="110993.07573556376"/>
  </r>
  <r>
    <s v="Regular"/>
    <x v="3"/>
    <x v="2"/>
    <x v="4"/>
    <x v="1"/>
    <x v="0"/>
    <x v="1"/>
    <x v="1"/>
    <x v="10"/>
    <n v="0"/>
    <n v="0"/>
    <n v="622.745"/>
    <n v="585.38029999999992"/>
    <n v="622.745"/>
    <n v="585.38029999999992"/>
    <n v="0"/>
    <x v="1"/>
    <n v="0"/>
    <n v="0"/>
    <n v="7"/>
    <n v="76"/>
    <n v="0"/>
    <n v="102.62"/>
    <n v="103.1"/>
    <m/>
    <n v="181.53179145831209"/>
    <n v="215.6942886760464"/>
    <n v="0"/>
    <n v="60071.726385999995"/>
    <n v="60352.708929999986"/>
    <n v="0"/>
    <n v="106265.13454340416"/>
    <n v="126263.18741347063"/>
  </r>
  <r>
    <s v="PROJETADO"/>
    <x v="3"/>
    <x v="2"/>
    <x v="4"/>
    <x v="1"/>
    <x v="0"/>
    <x v="1"/>
    <x v="1"/>
    <x v="11"/>
    <n v="0"/>
    <n v="0"/>
    <n v="622.745"/>
    <n v="585.38029999999992"/>
    <n v="622.745"/>
    <n v="585.38029999999992"/>
    <n v="0"/>
    <x v="1"/>
    <n v="0"/>
    <n v="0"/>
    <n v="7"/>
    <n v="76"/>
    <n v="0"/>
    <n v="102.62"/>
    <n v="103.1"/>
    <m/>
    <n v="181.53179145831209"/>
    <n v="215.6942886760464"/>
    <n v="0"/>
    <n v="60071.726385999995"/>
    <n v="60352.708929999986"/>
    <n v="0"/>
    <n v="106265.13454340416"/>
    <n v="126263.18741347063"/>
  </r>
  <r>
    <s v="Regular"/>
    <x v="3"/>
    <x v="2"/>
    <x v="4"/>
    <x v="1"/>
    <x v="0"/>
    <x v="1"/>
    <x v="0"/>
    <x v="0"/>
    <n v="1554"/>
    <n v="1320.8999999999999"/>
    <n v="0"/>
    <n v="0"/>
    <n v="0"/>
    <n v="0"/>
    <n v="11"/>
    <x v="1"/>
    <n v="0"/>
    <n v="2"/>
    <n v="0"/>
    <n v="0"/>
    <n v="21.38"/>
    <n v="0"/>
    <n v="0"/>
    <n v="21.204888631609794"/>
    <m/>
    <m/>
    <n v="28240.841999999997"/>
    <n v="0"/>
    <n v="0"/>
    <n v="28009.537393493374"/>
    <n v="0"/>
    <n v="0"/>
  </r>
  <r>
    <s v="Regular"/>
    <x v="3"/>
    <x v="2"/>
    <x v="4"/>
    <x v="1"/>
    <x v="0"/>
    <x v="1"/>
    <x v="0"/>
    <x v="1"/>
    <n v="1542"/>
    <n v="1310.7"/>
    <n v="0"/>
    <n v="0"/>
    <n v="0"/>
    <n v="0"/>
    <n v="11"/>
    <x v="1"/>
    <n v="0"/>
    <n v="2"/>
    <n v="0"/>
    <n v="0"/>
    <n v="21.38"/>
    <n v="0"/>
    <n v="0"/>
    <n v="21.204888631609794"/>
    <m/>
    <m/>
    <n v="28022.766"/>
    <n v="0"/>
    <n v="0"/>
    <n v="27793.247529450957"/>
    <n v="0"/>
    <n v="0"/>
  </r>
  <r>
    <s v="Regular"/>
    <x v="3"/>
    <x v="2"/>
    <x v="4"/>
    <x v="1"/>
    <x v="0"/>
    <x v="1"/>
    <x v="0"/>
    <x v="2"/>
    <n v="1507"/>
    <n v="1280.95"/>
    <n v="0"/>
    <n v="0"/>
    <n v="0"/>
    <n v="0"/>
    <n v="12"/>
    <x v="1"/>
    <n v="0"/>
    <n v="2"/>
    <n v="0"/>
    <n v="0"/>
    <n v="21.38"/>
    <n v="0"/>
    <n v="0"/>
    <n v="21.204888631609794"/>
    <m/>
    <m/>
    <n v="27386.710999999999"/>
    <n v="0"/>
    <n v="0"/>
    <n v="27162.402092660566"/>
    <n v="0"/>
    <n v="0"/>
  </r>
  <r>
    <s v="Regular"/>
    <x v="3"/>
    <x v="2"/>
    <x v="4"/>
    <x v="1"/>
    <x v="0"/>
    <x v="1"/>
    <x v="0"/>
    <x v="3"/>
    <n v="1544"/>
    <n v="1312.3999999999999"/>
    <n v="0"/>
    <n v="0"/>
    <n v="0"/>
    <n v="0"/>
    <n v="12"/>
    <x v="1"/>
    <n v="0"/>
    <n v="2"/>
    <n v="0"/>
    <n v="0"/>
    <n v="21.38"/>
    <n v="0"/>
    <n v="0"/>
    <n v="21.204888631609794"/>
    <m/>
    <m/>
    <n v="28059.111999999997"/>
    <n v="0"/>
    <n v="0"/>
    <n v="27829.295840124691"/>
    <n v="0"/>
    <n v="0"/>
  </r>
  <r>
    <s v="Regular"/>
    <x v="3"/>
    <x v="2"/>
    <x v="4"/>
    <x v="1"/>
    <x v="0"/>
    <x v="1"/>
    <x v="0"/>
    <x v="4"/>
    <n v="1543"/>
    <n v="1311.55"/>
    <n v="0"/>
    <n v="0"/>
    <n v="0"/>
    <n v="0"/>
    <n v="12"/>
    <x v="1"/>
    <n v="0"/>
    <n v="2"/>
    <n v="0"/>
    <n v="0"/>
    <n v="21.38"/>
    <n v="0"/>
    <n v="0"/>
    <n v="21.204888631609794"/>
    <m/>
    <m/>
    <n v="28040.938999999998"/>
    <n v="0"/>
    <n v="0"/>
    <n v="27811.271684787826"/>
    <n v="0"/>
    <n v="0"/>
  </r>
  <r>
    <s v="Regular"/>
    <x v="3"/>
    <x v="2"/>
    <x v="4"/>
    <x v="1"/>
    <x v="0"/>
    <x v="1"/>
    <x v="0"/>
    <x v="5"/>
    <n v="1543"/>
    <n v="1311.55"/>
    <n v="0"/>
    <n v="0"/>
    <n v="0"/>
    <n v="0"/>
    <n v="12"/>
    <x v="1"/>
    <n v="0"/>
    <n v="2"/>
    <n v="0"/>
    <n v="0"/>
    <n v="21.38"/>
    <n v="0"/>
    <n v="0"/>
    <n v="21.204888631609794"/>
    <m/>
    <m/>
    <n v="28040.938999999998"/>
    <n v="0"/>
    <n v="0"/>
    <n v="27811.271684787826"/>
    <n v="0"/>
    <n v="0"/>
  </r>
  <r>
    <s v="Regular"/>
    <x v="3"/>
    <x v="2"/>
    <x v="4"/>
    <x v="1"/>
    <x v="0"/>
    <x v="1"/>
    <x v="0"/>
    <x v="6"/>
    <n v="1625"/>
    <n v="1381.25"/>
    <n v="0"/>
    <n v="0"/>
    <n v="0"/>
    <n v="0"/>
    <n v="12"/>
    <x v="1"/>
    <n v="0"/>
    <n v="2"/>
    <n v="0"/>
    <n v="0"/>
    <n v="21.38"/>
    <n v="0"/>
    <n v="0"/>
    <n v="21.204888631609794"/>
    <m/>
    <m/>
    <n v="29531.125"/>
    <n v="0"/>
    <n v="0"/>
    <n v="29289.252422411028"/>
    <n v="0"/>
    <n v="0"/>
  </r>
  <r>
    <s v="Regular"/>
    <x v="3"/>
    <x v="2"/>
    <x v="4"/>
    <x v="1"/>
    <x v="0"/>
    <x v="1"/>
    <x v="0"/>
    <x v="7"/>
    <n v="111"/>
    <n v="94.35"/>
    <n v="0"/>
    <n v="0"/>
    <n v="0"/>
    <n v="0"/>
    <n v="1"/>
    <x v="1"/>
    <n v="0"/>
    <n v="2"/>
    <n v="0"/>
    <n v="0"/>
    <n v="21.38"/>
    <n v="0"/>
    <n v="0"/>
    <n v="21.204888631609794"/>
    <m/>
    <m/>
    <n v="2017.2029999999997"/>
    <n v="0"/>
    <n v="0"/>
    <n v="2000.6812423923839"/>
    <n v="0"/>
    <n v="0"/>
  </r>
  <r>
    <s v="Refaturamento - Regular"/>
    <x v="3"/>
    <x v="2"/>
    <x v="4"/>
    <x v="1"/>
    <x v="0"/>
    <x v="1"/>
    <x v="0"/>
    <x v="7"/>
    <n v="1506"/>
    <n v="1280.0999999999999"/>
    <n v="0"/>
    <n v="0"/>
    <n v="0"/>
    <n v="0"/>
    <n v="11"/>
    <x v="1"/>
    <n v="0"/>
    <n v="2"/>
    <n v="0"/>
    <n v="0"/>
    <n v="21.38"/>
    <n v="0"/>
    <n v="0"/>
    <n v="21.204888631609794"/>
    <m/>
    <m/>
    <n v="27368.537999999997"/>
    <n v="0"/>
    <n v="0"/>
    <n v="27144.377937323694"/>
    <n v="0"/>
    <n v="0"/>
  </r>
  <r>
    <s v="Regular"/>
    <x v="3"/>
    <x v="2"/>
    <x v="4"/>
    <x v="1"/>
    <x v="0"/>
    <x v="1"/>
    <x v="0"/>
    <x v="8"/>
    <n v="1577"/>
    <n v="1340.45"/>
    <n v="0"/>
    <n v="0"/>
    <n v="0"/>
    <n v="0"/>
    <n v="15"/>
    <x v="1"/>
    <n v="0"/>
    <n v="2"/>
    <n v="0"/>
    <n v="0"/>
    <n v="21.38"/>
    <n v="0"/>
    <n v="0"/>
    <n v="21.204888631609794"/>
    <m/>
    <m/>
    <n v="28658.821"/>
    <n v="0"/>
    <n v="0"/>
    <n v="28424.092966241351"/>
    <n v="0"/>
    <n v="0"/>
  </r>
  <r>
    <s v="Refaturamento - Regular"/>
    <x v="3"/>
    <x v="2"/>
    <x v="4"/>
    <x v="1"/>
    <x v="0"/>
    <x v="1"/>
    <x v="0"/>
    <x v="8"/>
    <n v="201"/>
    <n v="170.85"/>
    <n v="0"/>
    <n v="0"/>
    <n v="0"/>
    <n v="0"/>
    <n v="13"/>
    <x v="1"/>
    <n v="0"/>
    <n v="2"/>
    <n v="0"/>
    <n v="0"/>
    <n v="21.38"/>
    <n v="0"/>
    <n v="0"/>
    <n v="21.204888631609794"/>
    <m/>
    <m/>
    <n v="3652.7729999999997"/>
    <n v="0"/>
    <n v="0"/>
    <n v="3622.8552227105333"/>
    <n v="0"/>
    <n v="0"/>
  </r>
  <r>
    <s v="Regular"/>
    <x v="3"/>
    <x v="2"/>
    <x v="4"/>
    <x v="1"/>
    <x v="0"/>
    <x v="1"/>
    <x v="0"/>
    <x v="9"/>
    <n v="1634"/>
    <n v="1388.8999999999999"/>
    <n v="0"/>
    <n v="0"/>
    <n v="0"/>
    <n v="0"/>
    <n v="15"/>
    <x v="1"/>
    <n v="0"/>
    <n v="2"/>
    <n v="0"/>
    <n v="0"/>
    <n v="21.38"/>
    <n v="0"/>
    <n v="0"/>
    <n v="21.204888631609794"/>
    <m/>
    <m/>
    <n v="29694.681999999997"/>
    <n v="0"/>
    <n v="0"/>
    <n v="29451.469820442839"/>
    <n v="0"/>
    <n v="0"/>
  </r>
  <r>
    <s v="Regular"/>
    <x v="3"/>
    <x v="2"/>
    <x v="4"/>
    <x v="1"/>
    <x v="0"/>
    <x v="1"/>
    <x v="0"/>
    <x v="10"/>
    <n v="1676"/>
    <n v="1424.6"/>
    <n v="0"/>
    <n v="0"/>
    <n v="0"/>
    <n v="0"/>
    <n v="16"/>
    <x v="1"/>
    <n v="0"/>
    <n v="2"/>
    <n v="0"/>
    <n v="0"/>
    <n v="21.38"/>
    <n v="0"/>
    <n v="0"/>
    <n v="21.204888631609794"/>
    <m/>
    <m/>
    <n v="30457.947999999997"/>
    <n v="0"/>
    <n v="0"/>
    <n v="30208.48434459131"/>
    <n v="0"/>
    <n v="0"/>
  </r>
  <r>
    <s v="PROJETADO"/>
    <x v="3"/>
    <x v="2"/>
    <x v="4"/>
    <x v="1"/>
    <x v="0"/>
    <x v="1"/>
    <x v="0"/>
    <x v="11"/>
    <n v="1676"/>
    <n v="1424.6"/>
    <n v="0"/>
    <n v="0"/>
    <n v="0"/>
    <n v="0"/>
    <n v="16"/>
    <x v="1"/>
    <n v="0"/>
    <n v="2"/>
    <n v="0"/>
    <n v="0"/>
    <n v="21.38"/>
    <n v="0"/>
    <n v="0"/>
    <n v="21.204888631609794"/>
    <m/>
    <m/>
    <n v="30457.947999999997"/>
    <n v="0"/>
    <n v="0"/>
    <n v="30208.48434459131"/>
    <n v="0"/>
    <n v="0"/>
  </r>
  <r>
    <s v="Regular"/>
    <x v="3"/>
    <x v="2"/>
    <x v="4"/>
    <x v="1"/>
    <x v="0"/>
    <x v="1"/>
    <x v="2"/>
    <x v="0"/>
    <n v="0"/>
    <n v="0"/>
    <n v="54.091999999999999"/>
    <n v="50.846479999999993"/>
    <n v="54.091999999999999"/>
    <n v="50.846479999999993"/>
    <n v="0"/>
    <x v="1"/>
    <n v="0"/>
    <n v="0"/>
    <n v="5"/>
    <n v="75"/>
    <n v="0"/>
    <n v="1454.96"/>
    <n v="159.43"/>
    <m/>
    <n v="1498.9908599166342"/>
    <n v="322.27888250425127"/>
    <n v="0"/>
    <n v="73979.594540799997"/>
    <n v="8106.454306399999"/>
    <n v="0"/>
    <n v="76218.408778933939"/>
    <n v="16386.746753674761"/>
  </r>
  <r>
    <s v="Regular"/>
    <x v="3"/>
    <x v="2"/>
    <x v="4"/>
    <x v="1"/>
    <x v="0"/>
    <x v="1"/>
    <x v="2"/>
    <x v="1"/>
    <n v="0"/>
    <n v="0"/>
    <n v="48.482999999999997"/>
    <n v="45.574019999999997"/>
    <n v="48.482999999999997"/>
    <n v="45.574019999999997"/>
    <n v="0"/>
    <x v="1"/>
    <n v="0"/>
    <n v="0"/>
    <n v="5"/>
    <n v="75"/>
    <n v="0"/>
    <n v="1454.96"/>
    <n v="159.43"/>
    <m/>
    <n v="1498.9908599166342"/>
    <n v="322.27888250425127"/>
    <n v="0"/>
    <n v="66308.376139200001"/>
    <n v="7265.8660086"/>
    <n v="0"/>
    <n v="68315.039429657889"/>
    <n v="14687.544236826398"/>
  </r>
  <r>
    <s v="Regular"/>
    <x v="3"/>
    <x v="2"/>
    <x v="4"/>
    <x v="1"/>
    <x v="0"/>
    <x v="1"/>
    <x v="2"/>
    <x v="2"/>
    <n v="0"/>
    <n v="0"/>
    <n v="38.82"/>
    <n v="36.4908"/>
    <n v="38.82"/>
    <n v="36.4908"/>
    <n v="0"/>
    <x v="1"/>
    <n v="0"/>
    <n v="0"/>
    <n v="5"/>
    <n v="75"/>
    <n v="0"/>
    <n v="1454.96"/>
    <n v="159.43"/>
    <m/>
    <n v="1498.9908599166342"/>
    <n v="322.27888250425127"/>
    <n v="0"/>
    <n v="53092.654368000003"/>
    <n v="5817.7282439999999"/>
    <n v="0"/>
    <n v="54699.37567104592"/>
    <n v="11760.214245686133"/>
  </r>
  <r>
    <s v="Regular"/>
    <x v="3"/>
    <x v="2"/>
    <x v="4"/>
    <x v="1"/>
    <x v="0"/>
    <x v="1"/>
    <x v="2"/>
    <x v="3"/>
    <n v="0"/>
    <n v="0"/>
    <n v="57.051000000000002"/>
    <n v="53.627939999999995"/>
    <n v="57.051000000000002"/>
    <n v="53.627939999999995"/>
    <n v="0"/>
    <x v="1"/>
    <n v="0"/>
    <n v="0"/>
    <n v="5"/>
    <n v="75"/>
    <n v="0"/>
    <n v="1454.96"/>
    <n v="159.43"/>
    <m/>
    <n v="1498.9908599166342"/>
    <n v="322.27888250425127"/>
    <n v="0"/>
    <n v="78026.507582399994"/>
    <n v="8549.9024742000001"/>
    <n v="0"/>
    <n v="80387.791896157665"/>
    <n v="17283.152574205036"/>
  </r>
  <r>
    <s v="Refaturamento - Regular"/>
    <x v="3"/>
    <x v="2"/>
    <x v="4"/>
    <x v="1"/>
    <x v="0"/>
    <x v="1"/>
    <x v="2"/>
    <x v="3"/>
    <n v="0"/>
    <n v="0"/>
    <n v="-5.1660000000000004"/>
    <n v="-4.8560400000000001"/>
    <n v="-5.1660000000000004"/>
    <n v="-4.8560400000000001"/>
    <n v="0"/>
    <x v="1"/>
    <n v="0"/>
    <n v="0"/>
    <n v="5"/>
    <n v="75"/>
    <n v="0"/>
    <n v="1454.96"/>
    <n v="159.43"/>
    <m/>
    <n v="1498.9908599166342"/>
    <n v="322.27888250425127"/>
    <n v="0"/>
    <n v="-7065.3439584000007"/>
    <n v="-774.19845720000001"/>
    <n v="0"/>
    <n v="-7279.1595753895726"/>
    <n v="-1564.9991445959445"/>
  </r>
  <r>
    <s v="Regular"/>
    <x v="3"/>
    <x v="2"/>
    <x v="4"/>
    <x v="1"/>
    <x v="0"/>
    <x v="1"/>
    <x v="2"/>
    <x v="4"/>
    <n v="0"/>
    <n v="0"/>
    <n v="43.582999999999998"/>
    <n v="40.968019999999996"/>
    <n v="43.582999999999998"/>
    <n v="40.968019999999996"/>
    <n v="0"/>
    <x v="1"/>
    <n v="0"/>
    <n v="0"/>
    <n v="5"/>
    <n v="75"/>
    <n v="0"/>
    <n v="1454.96"/>
    <n v="159.43"/>
    <m/>
    <n v="1498.9908599166342"/>
    <n v="322.27888250425127"/>
    <n v="0"/>
    <n v="59606.830379199993"/>
    <n v="6531.5314285999993"/>
    <n v="0"/>
    <n v="61410.687528881863"/>
    <n v="13203.127704011815"/>
  </r>
  <r>
    <s v="Regular"/>
    <x v="3"/>
    <x v="2"/>
    <x v="4"/>
    <x v="1"/>
    <x v="0"/>
    <x v="1"/>
    <x v="2"/>
    <x v="5"/>
    <n v="0"/>
    <n v="0"/>
    <n v="45.466000000000001"/>
    <n v="42.738039999999998"/>
    <n v="45.466000000000001"/>
    <n v="42.738039999999998"/>
    <n v="0"/>
    <x v="1"/>
    <n v="0"/>
    <n v="0"/>
    <n v="5"/>
    <n v="75"/>
    <n v="0"/>
    <n v="1454.96"/>
    <n v="159.43"/>
    <m/>
    <n v="1498.9908599166342"/>
    <n v="322.27888250425127"/>
    <n v="0"/>
    <n v="62182.138678399999"/>
    <n v="6813.7257172"/>
    <n v="0"/>
    <n v="64063.931330751511"/>
    <n v="13773.567771621991"/>
  </r>
  <r>
    <s v="Regular"/>
    <x v="3"/>
    <x v="2"/>
    <x v="4"/>
    <x v="1"/>
    <x v="0"/>
    <x v="1"/>
    <x v="2"/>
    <x v="6"/>
    <n v="0"/>
    <n v="0"/>
    <n v="44.741"/>
    <n v="42.056539999999998"/>
    <n v="44.741"/>
    <n v="42.056539999999998"/>
    <n v="0"/>
    <x v="1"/>
    <n v="0"/>
    <n v="0"/>
    <n v="5"/>
    <n v="75"/>
    <n v="0"/>
    <n v="1454.96"/>
    <n v="159.43"/>
    <m/>
    <n v="1498.9908599166342"/>
    <n v="322.27888250425127"/>
    <n v="0"/>
    <n v="61190.583438399997"/>
    <n v="6705.0741722000002"/>
    <n v="0"/>
    <n v="63042.369059718323"/>
    <n v="13553.934713195344"/>
  </r>
  <r>
    <s v="Regular"/>
    <x v="3"/>
    <x v="2"/>
    <x v="4"/>
    <x v="1"/>
    <x v="0"/>
    <x v="1"/>
    <x v="2"/>
    <x v="7"/>
    <n v="0"/>
    <n v="0"/>
    <n v="1.903"/>
    <n v="1.7888199999999999"/>
    <n v="1.903"/>
    <n v="1.7888199999999999"/>
    <n v="0"/>
    <x v="1"/>
    <n v="0"/>
    <n v="0"/>
    <n v="5"/>
    <n v="75"/>
    <n v="0"/>
    <n v="1454.96"/>
    <n v="159.43"/>
    <m/>
    <n v="1498.9908599166342"/>
    <n v="322.27888250425127"/>
    <n v="0"/>
    <n v="2602.6615471999999"/>
    <n v="285.19157259999997"/>
    <n v="0"/>
    <n v="2681.4248300360732"/>
    <n v="576.49891060125469"/>
  </r>
  <r>
    <s v="Refaturamento - Regular"/>
    <x v="3"/>
    <x v="2"/>
    <x v="4"/>
    <x v="1"/>
    <x v="0"/>
    <x v="1"/>
    <x v="2"/>
    <x v="7"/>
    <n v="0"/>
    <n v="0"/>
    <n v="14.6"/>
    <n v="13.723999999999998"/>
    <n v="14.6"/>
    <n v="13.723999999999998"/>
    <n v="0"/>
    <x v="1"/>
    <n v="0"/>
    <n v="0"/>
    <n v="5"/>
    <n v="75"/>
    <n v="0"/>
    <n v="1454.96"/>
    <n v="159.43"/>
    <m/>
    <n v="1498.9908599166342"/>
    <n v="322.27888250425127"/>
    <n v="0"/>
    <n v="19967.871039999998"/>
    <n v="2188.0173199999999"/>
    <n v="0"/>
    <n v="20572.150561495884"/>
    <n v="4422.9553834883436"/>
  </r>
  <r>
    <s v="Regular"/>
    <x v="3"/>
    <x v="2"/>
    <x v="4"/>
    <x v="1"/>
    <x v="0"/>
    <x v="1"/>
    <x v="2"/>
    <x v="8"/>
    <n v="0"/>
    <n v="0"/>
    <n v="56.722999999999999"/>
    <n v="53.319619999999993"/>
    <n v="56.722999999999999"/>
    <n v="53.319619999999993"/>
    <n v="0"/>
    <x v="1"/>
    <n v="0"/>
    <n v="0"/>
    <n v="5"/>
    <n v="75"/>
    <n v="0"/>
    <n v="1454.96"/>
    <n v="159.43"/>
    <m/>
    <n v="1498.9908599166342"/>
    <n v="322.27888250425127"/>
    <n v="0"/>
    <n v="77577.914315199989"/>
    <n v="8500.7470165999985"/>
    <n v="0"/>
    <n v="79925.623034228163"/>
    <n v="17183.787549151322"/>
  </r>
  <r>
    <s v="Refaturamento - Regular"/>
    <x v="3"/>
    <x v="2"/>
    <x v="4"/>
    <x v="1"/>
    <x v="0"/>
    <x v="1"/>
    <x v="2"/>
    <x v="8"/>
    <n v="0"/>
    <n v="0"/>
    <n v="30.300999999999998"/>
    <n v="28.482939999999996"/>
    <n v="30.300999999999998"/>
    <n v="28.482939999999996"/>
    <n v="0"/>
    <x v="1"/>
    <n v="0"/>
    <n v="0"/>
    <n v="5"/>
    <n v="75"/>
    <n v="0"/>
    <n v="1454.96"/>
    <n v="159.43"/>
    <m/>
    <n v="1498.9908599166342"/>
    <n v="322.27888250425127"/>
    <n v="0"/>
    <n v="41441.538382399995"/>
    <n v="4541.0351241999997"/>
    <n v="0"/>
    <n v="42695.666723553892"/>
    <n v="9179.4500736356367"/>
  </r>
  <r>
    <s v="Regular"/>
    <x v="3"/>
    <x v="2"/>
    <x v="4"/>
    <x v="1"/>
    <x v="0"/>
    <x v="1"/>
    <x v="2"/>
    <x v="9"/>
    <n v="0"/>
    <n v="0"/>
    <n v="49.582999999999998"/>
    <n v="46.608019999999996"/>
    <n v="49.582999999999998"/>
    <n v="46.608019999999996"/>
    <n v="0"/>
    <x v="1"/>
    <n v="0"/>
    <n v="0"/>
    <n v="5"/>
    <n v="75"/>
    <n v="0"/>
    <n v="1454.96"/>
    <n v="159.43"/>
    <m/>
    <n v="1498.9908599166342"/>
    <n v="322.27888250425127"/>
    <n v="0"/>
    <n v="67812.8047792"/>
    <n v="7430.7166286000001"/>
    <n v="0"/>
    <n v="69864.995978811683"/>
    <n v="15020.780601335791"/>
  </r>
  <r>
    <s v="Regular"/>
    <x v="3"/>
    <x v="2"/>
    <x v="4"/>
    <x v="1"/>
    <x v="0"/>
    <x v="1"/>
    <x v="2"/>
    <x v="10"/>
    <n v="0"/>
    <n v="0"/>
    <n v="51.789000000000001"/>
    <n v="48.681660000000001"/>
    <n v="51.789000000000001"/>
    <n v="48.681660000000001"/>
    <n v="0"/>
    <x v="1"/>
    <n v="0"/>
    <n v="0"/>
    <n v="5"/>
    <n v="75"/>
    <n v="0"/>
    <n v="1454.96"/>
    <n v="159.43"/>
    <m/>
    <n v="1498.9908599166342"/>
    <n v="322.27888250425127"/>
    <n v="0"/>
    <n v="70829.868033599996"/>
    <n v="7761.3170538000004"/>
    <n v="0"/>
    <n v="72973.363385569217"/>
    <n v="15689.07098325191"/>
  </r>
  <r>
    <s v="PROJETADO"/>
    <x v="3"/>
    <x v="2"/>
    <x v="4"/>
    <x v="1"/>
    <x v="0"/>
    <x v="1"/>
    <x v="2"/>
    <x v="11"/>
    <n v="0"/>
    <n v="0"/>
    <n v="51.789000000000001"/>
    <n v="48.681660000000001"/>
    <n v="51.789000000000001"/>
    <n v="48.681660000000001"/>
    <n v="0"/>
    <x v="1"/>
    <n v="0"/>
    <n v="0"/>
    <n v="5"/>
    <n v="75"/>
    <n v="0"/>
    <n v="1454.96"/>
    <n v="159.43"/>
    <m/>
    <n v="1498.9908599166342"/>
    <n v="322.27888250425127"/>
    <n v="0"/>
    <n v="70829.868033599996"/>
    <n v="7761.3170538000004"/>
    <n v="0"/>
    <n v="72973.363385569217"/>
    <n v="15689.07098325191"/>
  </r>
  <r>
    <s v="Regular"/>
    <x v="4"/>
    <x v="3"/>
    <x v="6"/>
    <x v="2"/>
    <x v="0"/>
    <x v="1"/>
    <x v="1"/>
    <x v="0"/>
    <n v="0"/>
    <n v="0"/>
    <n v="19.745999999999999"/>
    <n v="19.745999999999999"/>
    <n v="19.745999999999999"/>
    <n v="19.745999999999999"/>
    <n v="0"/>
    <x v="1"/>
    <n v="0"/>
    <n v="0"/>
    <n v="24"/>
    <n v="79"/>
    <n v="0"/>
    <n v="322.94"/>
    <n v="103.1"/>
    <m/>
    <n v="392.83040097268224"/>
    <n v="215.6942886760464"/>
    <n v="0"/>
    <n v="6376.7732399999995"/>
    <n v="2035.8125999999997"/>
    <n v="0"/>
    <n v="7756.8290976065828"/>
    <n v="4259.0994241972121"/>
  </r>
  <r>
    <s v="Regular"/>
    <x v="4"/>
    <x v="3"/>
    <x v="6"/>
    <x v="2"/>
    <x v="0"/>
    <x v="1"/>
    <x v="1"/>
    <x v="1"/>
    <n v="0"/>
    <n v="0"/>
    <n v="14.962999999999999"/>
    <n v="14.962999999999999"/>
    <n v="14.962999999999999"/>
    <n v="14.962999999999999"/>
    <n v="0"/>
    <x v="1"/>
    <n v="0"/>
    <n v="0"/>
    <n v="24"/>
    <n v="79"/>
    <n v="0"/>
    <n v="322.94"/>
    <n v="103.1"/>
    <m/>
    <n v="392.83040097268224"/>
    <n v="215.6942886760464"/>
    <n v="0"/>
    <n v="4832.1512199999997"/>
    <n v="1542.6852999999999"/>
    <n v="0"/>
    <n v="5877.9212897542438"/>
    <n v="3227.4336414596819"/>
  </r>
  <r>
    <s v="Refaturamento - Regular"/>
    <x v="4"/>
    <x v="3"/>
    <x v="6"/>
    <x v="2"/>
    <x v="0"/>
    <x v="1"/>
    <x v="1"/>
    <x v="1"/>
    <n v="0"/>
    <n v="0"/>
    <n v="0.3"/>
    <n v="0.3"/>
    <n v="0.3"/>
    <n v="0.3"/>
    <n v="0"/>
    <x v="1"/>
    <n v="0"/>
    <n v="0"/>
    <n v="24"/>
    <n v="79"/>
    <n v="0"/>
    <n v="322.94"/>
    <n v="103.1"/>
    <m/>
    <n v="392.83040097268224"/>
    <n v="215.6942886760464"/>
    <n v="0"/>
    <n v="96.881999999999991"/>
    <n v="30.929999999999996"/>
    <n v="0"/>
    <n v="117.84912029180467"/>
    <n v="64.708286602813914"/>
  </r>
  <r>
    <s v="Regular"/>
    <x v="4"/>
    <x v="3"/>
    <x v="6"/>
    <x v="2"/>
    <x v="0"/>
    <x v="1"/>
    <x v="1"/>
    <x v="2"/>
    <n v="0"/>
    <n v="0"/>
    <n v="14.493"/>
    <n v="14.493"/>
    <n v="14.493"/>
    <n v="14.493"/>
    <n v="0"/>
    <x v="1"/>
    <n v="0"/>
    <n v="0"/>
    <n v="24"/>
    <n v="79"/>
    <n v="0"/>
    <n v="322.94"/>
    <n v="103.1"/>
    <m/>
    <n v="392.83040097268224"/>
    <n v="215.6942886760464"/>
    <n v="0"/>
    <n v="4680.36942"/>
    <n v="1494.2283"/>
    <n v="0"/>
    <n v="5693.2910012970842"/>
    <n v="3126.0573257819406"/>
  </r>
  <r>
    <s v="Regular"/>
    <x v="4"/>
    <x v="3"/>
    <x v="6"/>
    <x v="2"/>
    <x v="0"/>
    <x v="1"/>
    <x v="1"/>
    <x v="3"/>
    <n v="0"/>
    <n v="0"/>
    <n v="13.952"/>
    <n v="13.952"/>
    <n v="13.952"/>
    <n v="13.952"/>
    <n v="0"/>
    <x v="1"/>
    <n v="0"/>
    <n v="0"/>
    <n v="24"/>
    <n v="79"/>
    <n v="0"/>
    <n v="322.94"/>
    <n v="103.1"/>
    <m/>
    <n v="392.83040097268224"/>
    <n v="215.6942886760464"/>
    <n v="0"/>
    <n v="4505.65888"/>
    <n v="1438.4512"/>
    <n v="0"/>
    <n v="5480.7697543708628"/>
    <n v="3009.3667156081992"/>
  </r>
  <r>
    <s v="Regular"/>
    <x v="4"/>
    <x v="3"/>
    <x v="6"/>
    <x v="2"/>
    <x v="0"/>
    <x v="1"/>
    <x v="1"/>
    <x v="4"/>
    <n v="0"/>
    <n v="0"/>
    <n v="14.739000000000001"/>
    <n v="14.739000000000001"/>
    <n v="14.739000000000001"/>
    <n v="14.739000000000001"/>
    <n v="0"/>
    <x v="1"/>
    <n v="0"/>
    <n v="0"/>
    <n v="24"/>
    <n v="79"/>
    <n v="0"/>
    <n v="322.94"/>
    <n v="103.1"/>
    <m/>
    <n v="392.83040097268224"/>
    <n v="215.6942886760464"/>
    <n v="0"/>
    <n v="4759.8126600000005"/>
    <n v="1519.5908999999999"/>
    <n v="0"/>
    <n v="5789.9272799363634"/>
    <n v="3179.1181207962481"/>
  </r>
  <r>
    <s v="Regular"/>
    <x v="4"/>
    <x v="3"/>
    <x v="6"/>
    <x v="2"/>
    <x v="0"/>
    <x v="1"/>
    <x v="1"/>
    <x v="5"/>
    <n v="0"/>
    <n v="0"/>
    <n v="13.596"/>
    <n v="13.596"/>
    <n v="13.596"/>
    <n v="13.596"/>
    <n v="0"/>
    <x v="1"/>
    <n v="0"/>
    <n v="0"/>
    <n v="24"/>
    <n v="79"/>
    <n v="0"/>
    <n v="322.94"/>
    <n v="103.1"/>
    <m/>
    <n v="392.83040097268224"/>
    <n v="215.6942886760464"/>
    <n v="0"/>
    <n v="4390.6922400000003"/>
    <n v="1401.7475999999999"/>
    <n v="0"/>
    <n v="5340.9221316245876"/>
    <n v="2932.579548839527"/>
  </r>
  <r>
    <s v="Regular"/>
    <x v="4"/>
    <x v="3"/>
    <x v="6"/>
    <x v="2"/>
    <x v="0"/>
    <x v="1"/>
    <x v="1"/>
    <x v="6"/>
    <n v="0"/>
    <n v="0"/>
    <n v="19.535"/>
    <n v="19.535"/>
    <n v="19.535"/>
    <n v="19.535"/>
    <n v="0"/>
    <x v="1"/>
    <n v="0"/>
    <n v="0"/>
    <n v="24"/>
    <n v="79"/>
    <n v="0"/>
    <n v="322.94"/>
    <n v="103.1"/>
    <m/>
    <n v="392.83040097268224"/>
    <n v="215.6942886760464"/>
    <n v="0"/>
    <n v="6308.6328999999996"/>
    <n v="2014.0584999999999"/>
    <n v="0"/>
    <n v="7673.9418830013474"/>
    <n v="4213.5879292865666"/>
  </r>
  <r>
    <s v="Regular"/>
    <x v="4"/>
    <x v="3"/>
    <x v="6"/>
    <x v="2"/>
    <x v="0"/>
    <x v="1"/>
    <x v="1"/>
    <x v="7"/>
    <n v="0"/>
    <n v="0"/>
    <n v="28.166"/>
    <n v="28.166"/>
    <n v="28.166"/>
    <n v="28.166"/>
    <n v="0"/>
    <x v="1"/>
    <n v="0"/>
    <n v="0"/>
    <n v="24"/>
    <n v="79"/>
    <n v="0"/>
    <n v="322.94"/>
    <n v="103.1"/>
    <m/>
    <n v="392.83040097268224"/>
    <n v="215.6942886760464"/>
    <n v="0"/>
    <n v="9095.9280400000007"/>
    <n v="2903.9146000000001"/>
    <n v="0"/>
    <n v="11064.461073796569"/>
    <n v="6075.2453348495228"/>
  </r>
  <r>
    <s v="Refaturamento - Regular"/>
    <x v="4"/>
    <x v="3"/>
    <x v="6"/>
    <x v="2"/>
    <x v="0"/>
    <x v="1"/>
    <x v="1"/>
    <x v="7"/>
    <n v="0"/>
    <n v="0"/>
    <n v="-1.6970000000000001"/>
    <n v="-1.6970000000000001"/>
    <n v="-1.6970000000000001"/>
    <n v="-1.6970000000000001"/>
    <n v="0"/>
    <x v="1"/>
    <n v="0"/>
    <n v="0"/>
    <n v="24"/>
    <n v="79"/>
    <n v="0"/>
    <n v="322.94"/>
    <n v="103.1"/>
    <m/>
    <n v="392.83040097268224"/>
    <n v="215.6942886760464"/>
    <n v="0"/>
    <n v="-548.02918"/>
    <n v="-174.9607"/>
    <n v="0"/>
    <n v="-666.63319045064179"/>
    <n v="-366.03320788325072"/>
  </r>
  <r>
    <s v="Regular"/>
    <x v="4"/>
    <x v="3"/>
    <x v="6"/>
    <x v="2"/>
    <x v="0"/>
    <x v="1"/>
    <x v="1"/>
    <x v="8"/>
    <n v="0"/>
    <n v="0"/>
    <n v="15.554"/>
    <n v="15.554"/>
    <n v="15.554"/>
    <n v="15.554"/>
    <n v="0"/>
    <x v="1"/>
    <n v="0"/>
    <n v="0"/>
    <n v="24"/>
    <n v="79"/>
    <n v="0"/>
    <n v="322.94"/>
    <n v="103.1"/>
    <m/>
    <n v="392.83040097268224"/>
    <n v="215.6942886760464"/>
    <n v="0"/>
    <n v="5023.0087599999997"/>
    <n v="1603.6173999999999"/>
    <n v="0"/>
    <n v="6110.0840567290998"/>
    <n v="3354.9089660672257"/>
  </r>
  <r>
    <s v="Refaturamento - Regular"/>
    <x v="4"/>
    <x v="3"/>
    <x v="6"/>
    <x v="2"/>
    <x v="0"/>
    <x v="1"/>
    <x v="1"/>
    <x v="8"/>
    <n v="0"/>
    <n v="0"/>
    <n v="-15.247"/>
    <n v="-15.247"/>
    <n v="-15.247"/>
    <n v="-15.247"/>
    <n v="0"/>
    <x v="1"/>
    <n v="0"/>
    <n v="0"/>
    <n v="24"/>
    <n v="79"/>
    <n v="0"/>
    <n v="322.94"/>
    <n v="103.1"/>
    <m/>
    <n v="392.83040097268224"/>
    <n v="215.6942886760464"/>
    <n v="0"/>
    <n v="-4923.86618"/>
    <n v="-1571.9657"/>
    <n v="0"/>
    <n v="-5989.4851236304858"/>
    <n v="-3288.6908194436796"/>
  </r>
  <r>
    <s v="Regular"/>
    <x v="4"/>
    <x v="3"/>
    <x v="6"/>
    <x v="2"/>
    <x v="0"/>
    <x v="1"/>
    <x v="1"/>
    <x v="9"/>
    <n v="0"/>
    <n v="0"/>
    <n v="19.670000000000002"/>
    <n v="19.670000000000002"/>
    <n v="19.670000000000002"/>
    <n v="19.670000000000002"/>
    <n v="0"/>
    <x v="1"/>
    <n v="0"/>
    <n v="0"/>
    <n v="24"/>
    <n v="79"/>
    <n v="0"/>
    <n v="322.94"/>
    <n v="103.1"/>
    <m/>
    <n v="392.83040097268224"/>
    <n v="215.6942886760464"/>
    <n v="0"/>
    <n v="6352.2298000000001"/>
    <n v="2027.9770000000001"/>
    <n v="0"/>
    <n v="7726.9739871326601"/>
    <n v="4242.7066582578327"/>
  </r>
  <r>
    <s v="Regular"/>
    <x v="4"/>
    <x v="3"/>
    <x v="6"/>
    <x v="2"/>
    <x v="0"/>
    <x v="1"/>
    <x v="1"/>
    <x v="10"/>
    <n v="0"/>
    <n v="0"/>
    <n v="19.352"/>
    <n v="19.352"/>
    <n v="19.352"/>
    <n v="19.352"/>
    <n v="0"/>
    <x v="1"/>
    <n v="0"/>
    <n v="0"/>
    <n v="24"/>
    <n v="79"/>
    <n v="0"/>
    <n v="322.94"/>
    <n v="103.1"/>
    <m/>
    <n v="392.83040097268224"/>
    <n v="215.6942886760464"/>
    <n v="0"/>
    <n v="6249.5348800000002"/>
    <n v="1995.1912"/>
    <n v="0"/>
    <n v="7602.0539196233467"/>
    <n v="4174.1158744588502"/>
  </r>
  <r>
    <s v="PROJETADO"/>
    <x v="4"/>
    <x v="3"/>
    <x v="6"/>
    <x v="2"/>
    <x v="0"/>
    <x v="1"/>
    <x v="1"/>
    <x v="11"/>
    <n v="0"/>
    <n v="0"/>
    <n v="19.352"/>
    <n v="19.352"/>
    <n v="19.352"/>
    <n v="19.352"/>
    <n v="0"/>
    <x v="1"/>
    <n v="0"/>
    <n v="0"/>
    <n v="24"/>
    <n v="79"/>
    <n v="0"/>
    <n v="322.94"/>
    <n v="103.1"/>
    <m/>
    <n v="392.83040097268224"/>
    <n v="215.6942886760464"/>
    <n v="0"/>
    <n v="6249.5348800000002"/>
    <n v="1995.1912"/>
    <n v="0"/>
    <n v="7602.0539196233467"/>
    <n v="4174.1158744588502"/>
  </r>
  <r>
    <s v="Regular"/>
    <x v="4"/>
    <x v="3"/>
    <x v="6"/>
    <x v="2"/>
    <x v="0"/>
    <x v="1"/>
    <x v="3"/>
    <x v="0"/>
    <n v="0"/>
    <n v="0"/>
    <n v="1.462"/>
    <n v="1.462"/>
    <n v="1.462"/>
    <n v="1.462"/>
    <n v="0"/>
    <x v="1"/>
    <n v="0"/>
    <n v="0"/>
    <n v="21"/>
    <n v="78"/>
    <n v="0"/>
    <n v="728.11"/>
    <n v="103.1"/>
    <m/>
    <n v="781.63277088135658"/>
    <n v="215.6942886760464"/>
    <n v="0"/>
    <n v="1064.4968200000001"/>
    <n v="150.73219999999998"/>
    <n v="0"/>
    <n v="1142.7471110285433"/>
    <n v="315.34505004437983"/>
  </r>
  <r>
    <s v="Regular"/>
    <x v="4"/>
    <x v="3"/>
    <x v="6"/>
    <x v="2"/>
    <x v="0"/>
    <x v="1"/>
    <x v="3"/>
    <x v="1"/>
    <n v="0"/>
    <n v="0"/>
    <n v="1.05"/>
    <n v="1.05"/>
    <n v="1.05"/>
    <n v="1.05"/>
    <n v="0"/>
    <x v="1"/>
    <n v="0"/>
    <n v="0"/>
    <n v="21"/>
    <n v="78"/>
    <n v="0"/>
    <n v="728.11"/>
    <n v="103.1"/>
    <m/>
    <n v="781.63277088135658"/>
    <n v="215.6942886760464"/>
    <n v="0"/>
    <n v="764.51550000000009"/>
    <n v="108.255"/>
    <n v="0"/>
    <n v="820.71440942542449"/>
    <n v="226.47900310984872"/>
  </r>
  <r>
    <s v="Refaturamento - Regular"/>
    <x v="4"/>
    <x v="3"/>
    <x v="6"/>
    <x v="2"/>
    <x v="0"/>
    <x v="1"/>
    <x v="3"/>
    <x v="1"/>
    <n v="0"/>
    <n v="0"/>
    <n v="3.3000000000000002E-2"/>
    <n v="3.3000000000000002E-2"/>
    <n v="3.3000000000000002E-2"/>
    <n v="3.3000000000000002E-2"/>
    <n v="0"/>
    <x v="1"/>
    <n v="0"/>
    <n v="0"/>
    <n v="21"/>
    <n v="78"/>
    <n v="0"/>
    <n v="728.11"/>
    <n v="103.1"/>
    <m/>
    <n v="781.63277088135658"/>
    <n v="215.6942886760464"/>
    <n v="0"/>
    <n v="24.027630000000002"/>
    <n v="3.4022999999999999"/>
    <n v="0"/>
    <n v="25.793881439084767"/>
    <n v="7.1179115263095314"/>
  </r>
  <r>
    <s v="Regular"/>
    <x v="4"/>
    <x v="3"/>
    <x v="6"/>
    <x v="2"/>
    <x v="0"/>
    <x v="1"/>
    <x v="3"/>
    <x v="2"/>
    <n v="0"/>
    <n v="0"/>
    <n v="0.94299999999999995"/>
    <n v="0.94299999999999995"/>
    <n v="0.94299999999999995"/>
    <n v="0.94299999999999995"/>
    <n v="0"/>
    <x v="1"/>
    <n v="0"/>
    <n v="0"/>
    <n v="21"/>
    <n v="78"/>
    <n v="0"/>
    <n v="728.11"/>
    <n v="103.1"/>
    <m/>
    <n v="781.63277088135658"/>
    <n v="215.6942886760464"/>
    <n v="0"/>
    <n v="686.60772999999995"/>
    <n v="97.223299999999995"/>
    <n v="0"/>
    <n v="737.07970294111919"/>
    <n v="203.39971422151174"/>
  </r>
  <r>
    <s v="Regular"/>
    <x v="4"/>
    <x v="3"/>
    <x v="6"/>
    <x v="2"/>
    <x v="0"/>
    <x v="1"/>
    <x v="3"/>
    <x v="3"/>
    <n v="0"/>
    <n v="0"/>
    <n v="0.83699999999999997"/>
    <n v="0.83699999999999997"/>
    <n v="0.83699999999999997"/>
    <n v="0.83699999999999997"/>
    <n v="0"/>
    <x v="1"/>
    <n v="0"/>
    <n v="0"/>
    <n v="21"/>
    <n v="78"/>
    <n v="0"/>
    <n v="728.11"/>
    <n v="103.1"/>
    <m/>
    <n v="781.63277088135658"/>
    <n v="215.6942886760464"/>
    <n v="0"/>
    <n v="609.42806999999993"/>
    <n v="86.294699999999992"/>
    <n v="0"/>
    <n v="654.22662922769541"/>
    <n v="180.53611962185082"/>
  </r>
  <r>
    <s v="Regular"/>
    <x v="4"/>
    <x v="3"/>
    <x v="6"/>
    <x v="2"/>
    <x v="0"/>
    <x v="1"/>
    <x v="3"/>
    <x v="4"/>
    <n v="0"/>
    <n v="0"/>
    <n v="1.002"/>
    <n v="1.002"/>
    <n v="1.002"/>
    <n v="1.002"/>
    <n v="0"/>
    <x v="1"/>
    <n v="0"/>
    <n v="0"/>
    <n v="21"/>
    <n v="78"/>
    <n v="0"/>
    <n v="728.11"/>
    <n v="103.1"/>
    <m/>
    <n v="781.63277088135658"/>
    <n v="215.6942886760464"/>
    <n v="0"/>
    <n v="729.56622000000004"/>
    <n v="103.30619999999999"/>
    <n v="0"/>
    <n v="783.19603642311927"/>
    <n v="216.12567725339849"/>
  </r>
  <r>
    <s v="Regular"/>
    <x v="4"/>
    <x v="3"/>
    <x v="6"/>
    <x v="2"/>
    <x v="0"/>
    <x v="1"/>
    <x v="3"/>
    <x v="5"/>
    <n v="0"/>
    <n v="0"/>
    <n v="0.89700000000000002"/>
    <n v="0.89700000000000002"/>
    <n v="0.89700000000000002"/>
    <n v="0.89700000000000002"/>
    <n v="0"/>
    <x v="1"/>
    <n v="0"/>
    <n v="0"/>
    <n v="21"/>
    <n v="78"/>
    <n v="0"/>
    <n v="728.11"/>
    <n v="103.1"/>
    <m/>
    <n v="781.63277088135658"/>
    <n v="215.6942886760464"/>
    <n v="0"/>
    <n v="653.11467000000005"/>
    <n v="92.480699999999999"/>
    <n v="0"/>
    <n v="701.12459548057689"/>
    <n v="193.47777694241361"/>
  </r>
  <r>
    <s v="Regular"/>
    <x v="4"/>
    <x v="3"/>
    <x v="6"/>
    <x v="2"/>
    <x v="0"/>
    <x v="1"/>
    <x v="3"/>
    <x v="6"/>
    <n v="0"/>
    <n v="0"/>
    <n v="1.3120000000000001"/>
    <n v="1.3120000000000001"/>
    <n v="1.3120000000000001"/>
    <n v="1.3120000000000001"/>
    <n v="0"/>
    <x v="1"/>
    <n v="0"/>
    <n v="0"/>
    <n v="21"/>
    <n v="78"/>
    <n v="0"/>
    <n v="728.11"/>
    <n v="103.1"/>
    <m/>
    <n v="781.63277088135658"/>
    <n v="215.6942886760464"/>
    <n v="0"/>
    <n v="955.28032000000007"/>
    <n v="135.2672"/>
    <n v="0"/>
    <n v="1025.5021953963399"/>
    <n v="282.99090674297287"/>
  </r>
  <r>
    <s v="Regular"/>
    <x v="4"/>
    <x v="3"/>
    <x v="6"/>
    <x v="2"/>
    <x v="0"/>
    <x v="1"/>
    <x v="3"/>
    <x v="7"/>
    <n v="0"/>
    <n v="0"/>
    <n v="1.679"/>
    <n v="1.679"/>
    <n v="1.679"/>
    <n v="1.679"/>
    <n v="0"/>
    <x v="1"/>
    <n v="0"/>
    <n v="0"/>
    <n v="21"/>
    <n v="78"/>
    <n v="0"/>
    <n v="728.11"/>
    <n v="103.1"/>
    <m/>
    <n v="781.63277088135658"/>
    <n v="215.6942886760464"/>
    <n v="0"/>
    <n v="1222.4966899999999"/>
    <n v="173.10489999999999"/>
    <n v="0"/>
    <n v="1312.3614223097977"/>
    <n v="362.15071068708193"/>
  </r>
  <r>
    <s v="Regular"/>
    <x v="4"/>
    <x v="3"/>
    <x v="6"/>
    <x v="2"/>
    <x v="0"/>
    <x v="1"/>
    <x v="3"/>
    <x v="8"/>
    <n v="0"/>
    <n v="0"/>
    <n v="1.06"/>
    <n v="1.06"/>
    <n v="1.06"/>
    <n v="1.06"/>
    <n v="0"/>
    <x v="1"/>
    <n v="0"/>
    <n v="0"/>
    <n v="21"/>
    <n v="78"/>
    <n v="0"/>
    <n v="728.11"/>
    <n v="103.1"/>
    <m/>
    <n v="781.63277088135658"/>
    <n v="215.6942886760464"/>
    <n v="0"/>
    <n v="771.79660000000001"/>
    <n v="109.286"/>
    <n v="0"/>
    <n v="828.53073713423805"/>
    <n v="228.63594599660919"/>
  </r>
  <r>
    <s v="Refaturamento - Regular"/>
    <x v="4"/>
    <x v="3"/>
    <x v="6"/>
    <x v="2"/>
    <x v="0"/>
    <x v="1"/>
    <x v="3"/>
    <x v="8"/>
    <n v="0"/>
    <n v="0"/>
    <n v="-0.70699999999999996"/>
    <n v="-0.70699999999999996"/>
    <n v="-0.70699999999999996"/>
    <n v="-0.70699999999999996"/>
    <n v="0"/>
    <x v="1"/>
    <n v="0"/>
    <n v="0"/>
    <n v="21"/>
    <n v="78"/>
    <n v="0"/>
    <n v="728.11"/>
    <n v="103.1"/>
    <m/>
    <n v="781.63277088135658"/>
    <n v="215.6942886760464"/>
    <n v="0"/>
    <n v="-514.77377000000001"/>
    <n v="-72.891699999999986"/>
    <n v="0"/>
    <n v="-552.61436901311902"/>
    <n v="-152.4958620939648"/>
  </r>
  <r>
    <s v="Regular"/>
    <x v="4"/>
    <x v="3"/>
    <x v="6"/>
    <x v="2"/>
    <x v="0"/>
    <x v="1"/>
    <x v="3"/>
    <x v="9"/>
    <n v="0"/>
    <n v="0"/>
    <n v="1.2629999999999999"/>
    <n v="1.2629999999999999"/>
    <n v="1.2629999999999999"/>
    <n v="1.2629999999999999"/>
    <n v="0"/>
    <x v="1"/>
    <n v="0"/>
    <n v="0"/>
    <n v="21"/>
    <n v="78"/>
    <n v="0"/>
    <n v="728.11"/>
    <n v="103.1"/>
    <m/>
    <n v="781.63277088135658"/>
    <n v="215.6942886760464"/>
    <n v="0"/>
    <n v="919.6029299999999"/>
    <n v="130.21529999999998"/>
    <n v="0"/>
    <n v="987.20218962315323"/>
    <n v="272.42188659784659"/>
  </r>
  <r>
    <s v="Regular"/>
    <x v="4"/>
    <x v="3"/>
    <x v="6"/>
    <x v="2"/>
    <x v="0"/>
    <x v="1"/>
    <x v="3"/>
    <x v="10"/>
    <n v="0"/>
    <n v="0"/>
    <n v="1.2230000000000001"/>
    <n v="1.2230000000000001"/>
    <n v="1.2230000000000001"/>
    <n v="1.2230000000000001"/>
    <n v="0"/>
    <x v="1"/>
    <n v="0"/>
    <n v="0"/>
    <n v="21"/>
    <n v="78"/>
    <n v="0"/>
    <n v="728.11"/>
    <n v="103.1"/>
    <m/>
    <n v="781.63277088135658"/>
    <n v="215.6942886760464"/>
    <n v="0"/>
    <n v="890.47853000000009"/>
    <n v="126.0913"/>
    <n v="0"/>
    <n v="955.93687878789922"/>
    <n v="263.79411505080475"/>
  </r>
  <r>
    <s v="PROJETADO"/>
    <x v="4"/>
    <x v="3"/>
    <x v="6"/>
    <x v="2"/>
    <x v="0"/>
    <x v="1"/>
    <x v="3"/>
    <x v="11"/>
    <n v="0"/>
    <n v="0"/>
    <n v="1.2230000000000001"/>
    <n v="1.2230000000000001"/>
    <n v="1.2230000000000001"/>
    <n v="1.2230000000000001"/>
    <n v="0"/>
    <x v="1"/>
    <n v="0"/>
    <n v="0"/>
    <n v="21"/>
    <n v="78"/>
    <n v="0"/>
    <n v="728.11"/>
    <n v="103.1"/>
    <m/>
    <n v="781.63277088135658"/>
    <n v="215.6942886760464"/>
    <n v="0"/>
    <n v="890.47853000000009"/>
    <n v="126.0913"/>
    <n v="0"/>
    <n v="955.93687878789922"/>
    <n v="263.79411505080475"/>
  </r>
  <r>
    <s v="Regular"/>
    <x v="4"/>
    <x v="3"/>
    <x v="6"/>
    <x v="2"/>
    <x v="0"/>
    <x v="1"/>
    <x v="2"/>
    <x v="0"/>
    <n v="0"/>
    <n v="0"/>
    <n v="1.653"/>
    <n v="1.653"/>
    <n v="1.653"/>
    <n v="1.653"/>
    <n v="0"/>
    <x v="1"/>
    <n v="0"/>
    <n v="0"/>
    <n v="20"/>
    <n v="77"/>
    <n v="0"/>
    <n v="1133.28"/>
    <n v="159.43"/>
    <m/>
    <n v="1170.4351348217385"/>
    <n v="322.27888250425127"/>
    <n v="0"/>
    <n v="1873.3118400000001"/>
    <n v="263.53779000000003"/>
    <n v="0"/>
    <n v="1934.7292778603339"/>
    <n v="532.72699277952734"/>
  </r>
  <r>
    <s v="Regular"/>
    <x v="4"/>
    <x v="3"/>
    <x v="6"/>
    <x v="2"/>
    <x v="0"/>
    <x v="1"/>
    <x v="2"/>
    <x v="1"/>
    <n v="0"/>
    <n v="0"/>
    <n v="1.2430000000000001"/>
    <n v="1.2430000000000001"/>
    <n v="1.2430000000000001"/>
    <n v="1.2430000000000001"/>
    <n v="0"/>
    <x v="1"/>
    <n v="0"/>
    <n v="0"/>
    <n v="20"/>
    <n v="77"/>
    <n v="0"/>
    <n v="1133.28"/>
    <n v="159.43"/>
    <m/>
    <n v="1170.4351348217385"/>
    <n v="322.27888250425127"/>
    <n v="0"/>
    <n v="1408.66704"/>
    <n v="198.17149000000003"/>
    <n v="0"/>
    <n v="1454.8508725834211"/>
    <n v="400.59265095278437"/>
  </r>
  <r>
    <s v="Refaturamento - Regular"/>
    <x v="4"/>
    <x v="3"/>
    <x v="6"/>
    <x v="2"/>
    <x v="0"/>
    <x v="1"/>
    <x v="2"/>
    <x v="1"/>
    <n v="0"/>
    <n v="0"/>
    <n v="0.03"/>
    <n v="0.03"/>
    <n v="0.03"/>
    <n v="0.03"/>
    <n v="0"/>
    <x v="1"/>
    <n v="0"/>
    <n v="0"/>
    <n v="20"/>
    <n v="77"/>
    <n v="0"/>
    <n v="1133.28"/>
    <n v="159.43"/>
    <m/>
    <n v="1170.4351348217385"/>
    <n v="322.27888250425127"/>
    <n v="0"/>
    <n v="33.998399999999997"/>
    <n v="4.7828999999999997"/>
    <n v="0"/>
    <n v="35.113054044652152"/>
    <n v="9.668366475127538"/>
  </r>
  <r>
    <s v="Regular"/>
    <x v="4"/>
    <x v="3"/>
    <x v="6"/>
    <x v="2"/>
    <x v="0"/>
    <x v="1"/>
    <x v="2"/>
    <x v="2"/>
    <n v="0"/>
    <n v="0"/>
    <n v="0.83399999999999996"/>
    <n v="0.83399999999999996"/>
    <n v="0.83399999999999996"/>
    <n v="0.83399999999999996"/>
    <n v="0"/>
    <x v="1"/>
    <n v="0"/>
    <n v="0"/>
    <n v="20"/>
    <n v="77"/>
    <n v="0"/>
    <n v="1133.28"/>
    <n v="159.43"/>
    <m/>
    <n v="1170.4351348217385"/>
    <n v="322.27888250425127"/>
    <n v="0"/>
    <n v="945.15551999999991"/>
    <n v="132.96462"/>
    <n v="0"/>
    <n v="976.14290244132985"/>
    <n v="268.78058800854552"/>
  </r>
  <r>
    <s v="Regular"/>
    <x v="4"/>
    <x v="3"/>
    <x v="6"/>
    <x v="2"/>
    <x v="0"/>
    <x v="1"/>
    <x v="2"/>
    <x v="3"/>
    <n v="0"/>
    <n v="0"/>
    <n v="0.80400000000000005"/>
    <n v="0.80400000000000005"/>
    <n v="0.80400000000000005"/>
    <n v="0.80400000000000005"/>
    <n v="0"/>
    <x v="1"/>
    <n v="0"/>
    <n v="0"/>
    <n v="20"/>
    <n v="77"/>
    <n v="0"/>
    <n v="1133.28"/>
    <n v="159.43"/>
    <m/>
    <n v="1170.4351348217385"/>
    <n v="322.27888250425127"/>
    <n v="0"/>
    <n v="911.15712000000008"/>
    <n v="128.18172000000001"/>
    <n v="0"/>
    <n v="941.02984839667783"/>
    <n v="259.11222153341805"/>
  </r>
  <r>
    <s v="Regular"/>
    <x v="4"/>
    <x v="3"/>
    <x v="6"/>
    <x v="2"/>
    <x v="0"/>
    <x v="1"/>
    <x v="2"/>
    <x v="4"/>
    <n v="0"/>
    <n v="0"/>
    <n v="1.206"/>
    <n v="1.206"/>
    <n v="1.206"/>
    <n v="1.206"/>
    <n v="0"/>
    <x v="1"/>
    <n v="0"/>
    <n v="0"/>
    <n v="20"/>
    <n v="77"/>
    <n v="0"/>
    <n v="1133.28"/>
    <n v="159.43"/>
    <m/>
    <n v="1170.4351348217385"/>
    <n v="322.27888250425127"/>
    <n v="0"/>
    <n v="1366.73568"/>
    <n v="192.27258"/>
    <n v="0"/>
    <n v="1411.5447725950166"/>
    <n v="388.66833230012702"/>
  </r>
  <r>
    <s v="Regular"/>
    <x v="4"/>
    <x v="3"/>
    <x v="6"/>
    <x v="2"/>
    <x v="0"/>
    <x v="1"/>
    <x v="2"/>
    <x v="5"/>
    <n v="0"/>
    <n v="0"/>
    <n v="1.2410000000000001"/>
    <n v="1.2410000000000001"/>
    <n v="1.2410000000000001"/>
    <n v="1.2410000000000001"/>
    <n v="0"/>
    <x v="1"/>
    <n v="0"/>
    <n v="0"/>
    <n v="20"/>
    <n v="77"/>
    <n v="0"/>
    <n v="1133.28"/>
    <n v="159.43"/>
    <m/>
    <n v="1170.4351348217385"/>
    <n v="322.27888250425127"/>
    <n v="0"/>
    <n v="1406.40048"/>
    <n v="197.85263000000003"/>
    <n v="0"/>
    <n v="1452.5100023137777"/>
    <n v="399.94809318777584"/>
  </r>
  <r>
    <s v="Regular"/>
    <x v="4"/>
    <x v="3"/>
    <x v="6"/>
    <x v="2"/>
    <x v="0"/>
    <x v="1"/>
    <x v="2"/>
    <x v="6"/>
    <n v="0"/>
    <n v="0"/>
    <n v="1.4039999999999999"/>
    <n v="1.4039999999999999"/>
    <n v="1.4039999999999999"/>
    <n v="1.4039999999999999"/>
    <n v="0"/>
    <x v="1"/>
    <n v="0"/>
    <n v="0"/>
    <n v="20"/>
    <n v="77"/>
    <n v="0"/>
    <n v="1133.28"/>
    <n v="159.43"/>
    <m/>
    <n v="1170.4351348217385"/>
    <n v="322.27888250425127"/>
    <n v="0"/>
    <n v="1591.1251199999999"/>
    <n v="223.83972"/>
    <n v="0"/>
    <n v="1643.2909292897209"/>
    <n v="452.47955103596877"/>
  </r>
  <r>
    <s v="Regular"/>
    <x v="4"/>
    <x v="3"/>
    <x v="6"/>
    <x v="2"/>
    <x v="0"/>
    <x v="1"/>
    <x v="2"/>
    <x v="7"/>
    <n v="0"/>
    <n v="0"/>
    <n v="2.1219999999999999"/>
    <n v="2.1219999999999999"/>
    <n v="2.1219999999999999"/>
    <n v="2.1219999999999999"/>
    <n v="0"/>
    <x v="1"/>
    <n v="0"/>
    <n v="0"/>
    <n v="20"/>
    <n v="77"/>
    <n v="0"/>
    <n v="1133.28"/>
    <n v="159.43"/>
    <m/>
    <n v="1170.4351348217385"/>
    <n v="322.27888250425127"/>
    <n v="0"/>
    <n v="2404.8201599999998"/>
    <n v="338.31045999999998"/>
    <n v="0"/>
    <n v="2483.6633560917289"/>
    <n v="683.87578867402112"/>
  </r>
  <r>
    <s v="Regular"/>
    <x v="4"/>
    <x v="3"/>
    <x v="6"/>
    <x v="2"/>
    <x v="0"/>
    <x v="1"/>
    <x v="2"/>
    <x v="8"/>
    <n v="0"/>
    <n v="0"/>
    <n v="1.2450000000000001"/>
    <n v="1.2450000000000001"/>
    <n v="1.2450000000000001"/>
    <n v="1.2450000000000001"/>
    <n v="0"/>
    <x v="1"/>
    <n v="0"/>
    <n v="0"/>
    <n v="20"/>
    <n v="77"/>
    <n v="0"/>
    <n v="1133.28"/>
    <n v="159.43"/>
    <m/>
    <n v="1170.4351348217385"/>
    <n v="322.27888250425127"/>
    <n v="0"/>
    <n v="1410.9336000000001"/>
    <n v="198.49035000000003"/>
    <n v="0"/>
    <n v="1457.1917428530646"/>
    <n v="401.23720871779284"/>
  </r>
  <r>
    <s v="Refaturamento - Regular"/>
    <x v="4"/>
    <x v="3"/>
    <x v="6"/>
    <x v="2"/>
    <x v="0"/>
    <x v="1"/>
    <x v="2"/>
    <x v="8"/>
    <n v="0"/>
    <n v="0"/>
    <n v="-0.93300000000000005"/>
    <n v="-0.93300000000000005"/>
    <n v="-0.93300000000000005"/>
    <n v="-0.93300000000000005"/>
    <n v="0"/>
    <x v="1"/>
    <n v="0"/>
    <n v="0"/>
    <n v="20"/>
    <n v="77"/>
    <n v="0"/>
    <n v="1133.28"/>
    <n v="159.43"/>
    <m/>
    <n v="1170.4351348217385"/>
    <n v="322.27888250425127"/>
    <n v="0"/>
    <n v="-1057.35024"/>
    <n v="-148.74819000000002"/>
    <n v="0"/>
    <n v="-1092.0159807886821"/>
    <n v="-300.68619737646645"/>
  </r>
  <r>
    <s v="Sistema de Compensação"/>
    <x v="4"/>
    <x v="3"/>
    <x v="6"/>
    <x v="2"/>
    <x v="0"/>
    <x v="1"/>
    <x v="2"/>
    <x v="8"/>
    <n v="0"/>
    <n v="0"/>
    <n v="6.3E-2"/>
    <n v="6.3E-2"/>
    <n v="6.3E-2"/>
    <n v="6.3E-2"/>
    <n v="0"/>
    <x v="1"/>
    <n v="0"/>
    <n v="0"/>
    <n v="20"/>
    <n v="77"/>
    <n v="0"/>
    <n v="1133.28"/>
    <n v="159.43"/>
    <m/>
    <n v="1170.4351348217385"/>
    <n v="322.27888250425127"/>
    <n v="0"/>
    <n v="71.396640000000005"/>
    <n v="10.044090000000001"/>
    <n v="0"/>
    <n v="73.737413493769523"/>
    <n v="20.303569597767829"/>
  </r>
  <r>
    <s v="Regular"/>
    <x v="4"/>
    <x v="3"/>
    <x v="6"/>
    <x v="2"/>
    <x v="0"/>
    <x v="1"/>
    <x v="2"/>
    <x v="9"/>
    <n v="0"/>
    <n v="0"/>
    <n v="1.411"/>
    <n v="1.411"/>
    <n v="1.411"/>
    <n v="1.411"/>
    <n v="0"/>
    <x v="1"/>
    <n v="0"/>
    <n v="0"/>
    <n v="20"/>
    <n v="77"/>
    <n v="0"/>
    <n v="1133.28"/>
    <n v="159.43"/>
    <m/>
    <n v="1170.4351348217385"/>
    <n v="322.27888250425127"/>
    <n v="0"/>
    <n v="1599.05808"/>
    <n v="224.95573000000002"/>
    <n v="0"/>
    <n v="1651.4839752334731"/>
    <n v="454.73550321349853"/>
  </r>
  <r>
    <s v="Regular"/>
    <x v="4"/>
    <x v="3"/>
    <x v="6"/>
    <x v="2"/>
    <x v="0"/>
    <x v="1"/>
    <x v="2"/>
    <x v="10"/>
    <n v="0"/>
    <n v="0"/>
    <n v="1.337"/>
    <n v="1.337"/>
    <n v="1.337"/>
    <n v="1.337"/>
    <n v="0"/>
    <x v="1"/>
    <n v="0"/>
    <n v="0"/>
    <n v="20"/>
    <n v="77"/>
    <n v="0"/>
    <n v="1133.28"/>
    <n v="159.43"/>
    <m/>
    <n v="1170.4351348217385"/>
    <n v="322.27888250425127"/>
    <n v="0"/>
    <n v="1515.1953599999999"/>
    <n v="213.15791000000002"/>
    <n v="0"/>
    <n v="1564.8717752566645"/>
    <n v="430.88686590818395"/>
  </r>
  <r>
    <s v="PROJETADO"/>
    <x v="4"/>
    <x v="3"/>
    <x v="6"/>
    <x v="2"/>
    <x v="0"/>
    <x v="1"/>
    <x v="2"/>
    <x v="11"/>
    <n v="0"/>
    <n v="0"/>
    <n v="1.337"/>
    <n v="1.337"/>
    <n v="1.337"/>
    <n v="1.337"/>
    <n v="0"/>
    <x v="1"/>
    <n v="0"/>
    <n v="0"/>
    <n v="20"/>
    <n v="77"/>
    <n v="0"/>
    <n v="1133.28"/>
    <n v="159.43"/>
    <m/>
    <n v="1170.4351348217385"/>
    <n v="322.27888250425127"/>
    <n v="0"/>
    <n v="1515.1953599999999"/>
    <n v="213.15791000000002"/>
    <n v="0"/>
    <n v="1564.8717752566645"/>
    <n v="430.88686590818395"/>
  </r>
  <r>
    <s v="Regular"/>
    <x v="4"/>
    <x v="4"/>
    <x v="6"/>
    <x v="2"/>
    <x v="0"/>
    <x v="1"/>
    <x v="0"/>
    <x v="0"/>
    <n v="0"/>
    <n v="0"/>
    <n v="40253.358"/>
    <n v="40253.358"/>
    <n v="40253.358"/>
    <n v="40253.358"/>
    <n v="147531"/>
    <x v="1"/>
    <n v="0"/>
    <n v="0"/>
    <n v="25"/>
    <n v="80"/>
    <n v="0"/>
    <n v="432.02"/>
    <n v="107.79"/>
    <m/>
    <n v="497.50790459014416"/>
    <n v="224.57633816173018"/>
    <n v="0"/>
    <n v="17390255.723159999"/>
    <n v="4338909.4588200003"/>
    <n v="0"/>
    <n v="20026363.791296918"/>
    <n v="9039951.7383531872"/>
  </r>
  <r>
    <s v="Refaturamento - Regular"/>
    <x v="4"/>
    <x v="4"/>
    <x v="6"/>
    <x v="2"/>
    <x v="0"/>
    <x v="1"/>
    <x v="0"/>
    <x v="0"/>
    <n v="0"/>
    <n v="0"/>
    <n v="-1538.8630000000001"/>
    <n v="-1538.8630000000001"/>
    <n v="-1538.8630000000001"/>
    <n v="-1538.8630000000001"/>
    <n v="-946"/>
    <x v="1"/>
    <n v="0"/>
    <n v="0"/>
    <n v="25"/>
    <n v="80"/>
    <n v="0"/>
    <n v="432.02"/>
    <n v="107.79"/>
    <m/>
    <n v="497.50790459014416"/>
    <n v="224.57633816173018"/>
    <n v="0"/>
    <n v="-664819.59325999999"/>
    <n v="-165874.04277000003"/>
    <n v="0"/>
    <n v="-765596.50658130308"/>
    <n v="-345592.21747257462"/>
  </r>
  <r>
    <s v="Sistema de Compensação"/>
    <x v="4"/>
    <x v="4"/>
    <x v="6"/>
    <x v="2"/>
    <x v="0"/>
    <x v="1"/>
    <x v="0"/>
    <x v="0"/>
    <n v="0"/>
    <n v="0"/>
    <n v="195.648"/>
    <n v="195.648"/>
    <n v="195.648"/>
    <n v="195.648"/>
    <n v="735"/>
    <x v="1"/>
    <n v="0"/>
    <n v="0"/>
    <n v="25"/>
    <n v="80"/>
    <n v="0"/>
    <n v="432.02"/>
    <n v="107.79"/>
    <m/>
    <n v="497.50790459014416"/>
    <n v="224.57633816173018"/>
    <n v="0"/>
    <n v="84523.848959999988"/>
    <n v="21088.897919999999"/>
    <n v="0"/>
    <n v="97336.426517252519"/>
    <n v="43937.911408666187"/>
  </r>
  <r>
    <s v="Sistema de Compensação"/>
    <x v="4"/>
    <x v="4"/>
    <x v="6"/>
    <x v="2"/>
    <x v="0"/>
    <x v="1"/>
    <x v="0"/>
    <x v="0"/>
    <n v="0"/>
    <n v="0"/>
    <n v="2.4060000000000001"/>
    <n v="2.4060000000000001"/>
    <n v="2.4060000000000001"/>
    <n v="2.4060000000000001"/>
    <n v="12"/>
    <x v="1"/>
    <n v="0"/>
    <n v="0"/>
    <n v="25"/>
    <n v="80"/>
    <n v="0"/>
    <n v="432.02"/>
    <n v="107.79"/>
    <m/>
    <n v="497.50790459014416"/>
    <n v="224.57633816173018"/>
    <n v="0"/>
    <n v="1039.44012"/>
    <n v="259.34274000000005"/>
    <n v="0"/>
    <n v="1197.0040184438869"/>
    <n v="540.33066961712279"/>
  </r>
  <r>
    <s v="Regular"/>
    <x v="4"/>
    <x v="4"/>
    <x v="6"/>
    <x v="2"/>
    <x v="0"/>
    <x v="1"/>
    <x v="0"/>
    <x v="1"/>
    <n v="0"/>
    <n v="0"/>
    <n v="35955.514999999999"/>
    <n v="35955.514999999999"/>
    <n v="35955.514999999999"/>
    <n v="35955.514999999999"/>
    <n v="145405"/>
    <x v="1"/>
    <n v="0"/>
    <n v="0"/>
    <n v="25"/>
    <n v="80"/>
    <n v="0"/>
    <n v="432.02"/>
    <n v="107.79"/>
    <m/>
    <n v="497.50790459014416"/>
    <n v="224.57633816173018"/>
    <n v="0"/>
    <n v="15533501.590299999"/>
    <n v="3875644.9618500001"/>
    <n v="0"/>
    <n v="17888152.926109497"/>
    <n v="8074757.8954191618"/>
  </r>
  <r>
    <s v="Refaturamento - Regular"/>
    <x v="4"/>
    <x v="4"/>
    <x v="6"/>
    <x v="2"/>
    <x v="0"/>
    <x v="1"/>
    <x v="0"/>
    <x v="1"/>
    <n v="0"/>
    <n v="0"/>
    <n v="-1895.162"/>
    <n v="-1895.162"/>
    <n v="-1895.162"/>
    <n v="-1895.162"/>
    <n v="-1168"/>
    <x v="1"/>
    <n v="0"/>
    <n v="0"/>
    <n v="25"/>
    <n v="80"/>
    <n v="0"/>
    <n v="432.02"/>
    <n v="107.79"/>
    <m/>
    <n v="497.50790459014416"/>
    <n v="224.57633816173018"/>
    <n v="0"/>
    <n v="-818747.88723999995"/>
    <n v="-204279.51198000001"/>
    <n v="0"/>
    <n v="-942858.07547886681"/>
    <n v="-425608.5421832609"/>
  </r>
  <r>
    <s v="Sistema de Compensação"/>
    <x v="4"/>
    <x v="4"/>
    <x v="6"/>
    <x v="2"/>
    <x v="0"/>
    <x v="1"/>
    <x v="0"/>
    <x v="1"/>
    <n v="0"/>
    <n v="0"/>
    <n v="183.24199999999999"/>
    <n v="183.24199999999999"/>
    <n v="183.24199999999999"/>
    <n v="183.24199999999999"/>
    <n v="761"/>
    <x v="1"/>
    <n v="0"/>
    <n v="0"/>
    <n v="25"/>
    <n v="80"/>
    <n v="0"/>
    <n v="432.02"/>
    <n v="107.79"/>
    <m/>
    <n v="497.50790459014416"/>
    <n v="224.57633816173018"/>
    <n v="0"/>
    <n v="79164.208839999992"/>
    <n v="19751.655180000002"/>
    <n v="0"/>
    <n v="91164.343452907196"/>
    <n v="41151.817357431763"/>
  </r>
  <r>
    <s v="Sistema de Compensação"/>
    <x v="4"/>
    <x v="4"/>
    <x v="6"/>
    <x v="2"/>
    <x v="0"/>
    <x v="1"/>
    <x v="0"/>
    <x v="1"/>
    <n v="0"/>
    <n v="0"/>
    <n v="-0.81799999999999995"/>
    <n v="-0.81799999999999995"/>
    <n v="-0.81799999999999995"/>
    <n v="-0.81799999999999995"/>
    <n v="6"/>
    <x v="1"/>
    <n v="0"/>
    <n v="0"/>
    <n v="25"/>
    <n v="80"/>
    <n v="0"/>
    <n v="432.02"/>
    <n v="107.79"/>
    <m/>
    <n v="497.50790459014416"/>
    <n v="224.57633816173018"/>
    <n v="0"/>
    <n v="-353.39235999999994"/>
    <n v="-88.172219999999996"/>
    <n v="0"/>
    <n v="-406.96146595473789"/>
    <n v="-183.70344461629529"/>
  </r>
  <r>
    <s v="Regular"/>
    <x v="4"/>
    <x v="4"/>
    <x v="6"/>
    <x v="2"/>
    <x v="0"/>
    <x v="1"/>
    <x v="0"/>
    <x v="2"/>
    <n v="0"/>
    <n v="0"/>
    <n v="31305.56"/>
    <n v="31305.56"/>
    <n v="31305.56"/>
    <n v="31305.56"/>
    <n v="133310"/>
    <x v="1"/>
    <n v="0"/>
    <n v="0"/>
    <n v="25"/>
    <n v="80"/>
    <n v="0"/>
    <n v="432.02"/>
    <n v="107.79"/>
    <m/>
    <n v="497.50790459014416"/>
    <n v="224.57633816173018"/>
    <n v="0"/>
    <n v="13524628.031199999"/>
    <n v="3374426.3124000002"/>
    <n v="0"/>
    <n v="15574763.557621034"/>
    <n v="7030488.0289023342"/>
  </r>
  <r>
    <s v="Refaturamento - Regular"/>
    <x v="4"/>
    <x v="4"/>
    <x v="6"/>
    <x v="2"/>
    <x v="0"/>
    <x v="1"/>
    <x v="0"/>
    <x v="2"/>
    <n v="0"/>
    <n v="0"/>
    <n v="-2167.8159999999998"/>
    <n v="-2167.8159999999998"/>
    <n v="-2167.8159999999998"/>
    <n v="-2167.8159999999998"/>
    <n v="-1997"/>
    <x v="1"/>
    <n v="0"/>
    <n v="0"/>
    <n v="25"/>
    <n v="80"/>
    <n v="0"/>
    <n v="432.02"/>
    <n v="107.79"/>
    <m/>
    <n v="497.50790459014416"/>
    <n v="224.57633816173018"/>
    <n v="0"/>
    <n v="-936539.86831999989"/>
    <n v="-233668.88663999998"/>
    <n v="0"/>
    <n v="-1078505.5956969878"/>
    <n v="-486840.17908840923"/>
  </r>
  <r>
    <s v="Sistema de Compensação"/>
    <x v="4"/>
    <x v="4"/>
    <x v="6"/>
    <x v="2"/>
    <x v="0"/>
    <x v="1"/>
    <x v="0"/>
    <x v="2"/>
    <n v="0"/>
    <n v="0"/>
    <n v="381.43400000000003"/>
    <n v="381.43400000000003"/>
    <n v="381.43400000000003"/>
    <n v="381.43400000000003"/>
    <n v="806"/>
    <x v="1"/>
    <n v="0"/>
    <n v="0"/>
    <n v="25"/>
    <n v="80"/>
    <n v="0"/>
    <n v="432.02"/>
    <n v="107.79"/>
    <m/>
    <n v="497.50790459014416"/>
    <n v="224.57633816173018"/>
    <n v="0"/>
    <n v="164787.11668000001"/>
    <n v="41114.770860000004"/>
    <n v="0"/>
    <n v="189766.43007943706"/>
    <n v="85661.050970381388"/>
  </r>
  <r>
    <s v="Sistema de Compensação"/>
    <x v="4"/>
    <x v="4"/>
    <x v="6"/>
    <x v="2"/>
    <x v="0"/>
    <x v="1"/>
    <x v="0"/>
    <x v="2"/>
    <n v="0"/>
    <n v="0"/>
    <n v="-12.226000000000001"/>
    <n v="-12.226000000000001"/>
    <n v="-12.226000000000001"/>
    <n v="-12.226000000000001"/>
    <n v="-2"/>
    <x v="1"/>
    <n v="0"/>
    <n v="0"/>
    <n v="25"/>
    <n v="80"/>
    <n v="0"/>
    <n v="432.02"/>
    <n v="107.79"/>
    <m/>
    <n v="497.50790459014416"/>
    <n v="224.57633816173018"/>
    <n v="0"/>
    <n v="-5281.8765199999998"/>
    <n v="-1317.8405400000001"/>
    <n v="0"/>
    <n v="-6082.5316415191028"/>
    <n v="-2745.6703103653135"/>
  </r>
  <r>
    <s v="Regular"/>
    <x v="4"/>
    <x v="4"/>
    <x v="6"/>
    <x v="2"/>
    <x v="0"/>
    <x v="1"/>
    <x v="0"/>
    <x v="3"/>
    <n v="0"/>
    <n v="0"/>
    <n v="34532.336000000003"/>
    <n v="34532.336000000003"/>
    <n v="34532.336000000003"/>
    <n v="34532.336000000003"/>
    <n v="134087"/>
    <x v="1"/>
    <n v="0"/>
    <n v="0"/>
    <n v="25"/>
    <n v="80"/>
    <n v="0"/>
    <n v="432.02"/>
    <n v="107.79"/>
    <m/>
    <n v="497.50790459014416"/>
    <n v="224.57633816173018"/>
    <n v="0"/>
    <n v="14918659.79872"/>
    <n v="3722240.4974400005"/>
    <n v="0"/>
    <n v="17180110.123962801"/>
    <n v="7755145.5670504896"/>
  </r>
  <r>
    <s v="Refaturamento - Regular"/>
    <x v="4"/>
    <x v="4"/>
    <x v="6"/>
    <x v="2"/>
    <x v="0"/>
    <x v="1"/>
    <x v="0"/>
    <x v="3"/>
    <n v="0"/>
    <n v="0"/>
    <n v="-1400.6690000000001"/>
    <n v="-1400.6690000000001"/>
    <n v="-1400.6690000000001"/>
    <n v="-1400.6690000000001"/>
    <n v="-1364"/>
    <x v="1"/>
    <n v="0"/>
    <n v="0"/>
    <n v="25"/>
    <n v="80"/>
    <n v="0"/>
    <n v="432.02"/>
    <n v="107.79"/>
    <m/>
    <n v="497.50790459014416"/>
    <n v="224.57633816173018"/>
    <n v="0"/>
    <n v="-605117.02138000005"/>
    <n v="-150978.11151000002"/>
    <n v="0"/>
    <n v="-696843.89921437274"/>
    <n v="-314557.11499665247"/>
  </r>
  <r>
    <s v="Sistema de Compensação"/>
    <x v="4"/>
    <x v="4"/>
    <x v="6"/>
    <x v="2"/>
    <x v="0"/>
    <x v="1"/>
    <x v="0"/>
    <x v="3"/>
    <n v="0"/>
    <n v="0"/>
    <n v="219.94499999999999"/>
    <n v="219.94499999999999"/>
    <n v="219.94499999999999"/>
    <n v="219.94499999999999"/>
    <n v="909"/>
    <x v="1"/>
    <n v="0"/>
    <n v="0"/>
    <n v="25"/>
    <n v="80"/>
    <n v="0"/>
    <n v="432.02"/>
    <n v="107.79"/>
    <m/>
    <n v="497.50790459014416"/>
    <n v="224.57633816173018"/>
    <n v="0"/>
    <n v="95020.638899999991"/>
    <n v="23707.87155"/>
    <n v="0"/>
    <n v="109424.37607507926"/>
    <n v="49394.442696981743"/>
  </r>
  <r>
    <s v="Sistema de Compensação"/>
    <x v="4"/>
    <x v="4"/>
    <x v="6"/>
    <x v="2"/>
    <x v="0"/>
    <x v="1"/>
    <x v="0"/>
    <x v="3"/>
    <n v="0"/>
    <n v="0"/>
    <n v="-0.50900000000000001"/>
    <n v="-0.50900000000000001"/>
    <n v="-0.50900000000000001"/>
    <n v="-0.50900000000000001"/>
    <n v="6"/>
    <x v="1"/>
    <n v="0"/>
    <n v="0"/>
    <n v="25"/>
    <n v="80"/>
    <n v="0"/>
    <n v="432.02"/>
    <n v="107.79"/>
    <m/>
    <n v="497.50790459014416"/>
    <n v="224.57633816173018"/>
    <n v="0"/>
    <n v="-219.89818"/>
    <n v="-54.865110000000001"/>
    <n v="0"/>
    <n v="-253.23152343638338"/>
    <n v="-114.30935612432066"/>
  </r>
  <r>
    <s v="Regular"/>
    <x v="4"/>
    <x v="4"/>
    <x v="6"/>
    <x v="2"/>
    <x v="0"/>
    <x v="1"/>
    <x v="0"/>
    <x v="4"/>
    <n v="0"/>
    <n v="0"/>
    <n v="32921.425000000003"/>
    <n v="32921.425000000003"/>
    <n v="32921.425000000003"/>
    <n v="32921.425000000003"/>
    <n v="131750"/>
    <x v="1"/>
    <n v="0"/>
    <n v="0"/>
    <n v="25"/>
    <n v="80"/>
    <n v="0"/>
    <n v="432.02"/>
    <n v="107.79"/>
    <m/>
    <n v="497.50790459014416"/>
    <n v="224.57633816173018"/>
    <n v="0"/>
    <n v="14222714.0285"/>
    <n v="3548600.4007500005"/>
    <n v="0"/>
    <n v="16378669.167871589"/>
    <n v="7393373.0735660382"/>
  </r>
  <r>
    <s v="Refaturamento - Regular"/>
    <x v="4"/>
    <x v="4"/>
    <x v="6"/>
    <x v="2"/>
    <x v="0"/>
    <x v="1"/>
    <x v="0"/>
    <x v="4"/>
    <n v="0"/>
    <n v="0"/>
    <n v="-1668.5840000000001"/>
    <n v="-1668.5840000000001"/>
    <n v="-1668.5840000000001"/>
    <n v="-1668.5840000000001"/>
    <n v="-2748"/>
    <x v="1"/>
    <n v="0"/>
    <n v="0"/>
    <n v="25"/>
    <n v="80"/>
    <n v="0"/>
    <n v="432.02"/>
    <n v="107.79"/>
    <m/>
    <n v="497.50790459014416"/>
    <n v="224.57633816173018"/>
    <n v="0"/>
    <n v="-720861.65968000004"/>
    <n v="-179856.66936000003"/>
    <n v="0"/>
    <n v="-830133.72947264113"/>
    <n v="-374724.48463525239"/>
  </r>
  <r>
    <s v="Sistema de Compensação"/>
    <x v="4"/>
    <x v="4"/>
    <x v="6"/>
    <x v="2"/>
    <x v="0"/>
    <x v="1"/>
    <x v="0"/>
    <x v="4"/>
    <n v="0"/>
    <n v="0"/>
    <n v="281.88"/>
    <n v="281.88"/>
    <n v="281.88"/>
    <n v="281.88"/>
    <n v="1002"/>
    <x v="1"/>
    <n v="0"/>
    <n v="0"/>
    <n v="25"/>
    <n v="80"/>
    <n v="0"/>
    <n v="432.02"/>
    <n v="107.79"/>
    <m/>
    <n v="497.50790459014416"/>
    <n v="224.57633816173018"/>
    <n v="0"/>
    <n v="121777.79759999999"/>
    <n v="30383.8452"/>
    <n v="0"/>
    <n v="140237.52814586984"/>
    <n v="63303.578201028504"/>
  </r>
  <r>
    <s v="Sistema de Compensação"/>
    <x v="4"/>
    <x v="4"/>
    <x v="6"/>
    <x v="2"/>
    <x v="0"/>
    <x v="1"/>
    <x v="0"/>
    <x v="4"/>
    <n v="0"/>
    <n v="0"/>
    <n v="-36.261000000000003"/>
    <n v="-36.261000000000003"/>
    <n v="-36.261000000000003"/>
    <n v="-36.261000000000003"/>
    <n v="1"/>
    <x v="1"/>
    <n v="0"/>
    <n v="0"/>
    <n v="25"/>
    <n v="80"/>
    <n v="0"/>
    <n v="432.02"/>
    <n v="107.79"/>
    <m/>
    <n v="497.50790459014416"/>
    <n v="224.57633816173018"/>
    <n v="0"/>
    <n v="-15665.477220000001"/>
    <n v="-3908.5731900000005"/>
    <n v="0"/>
    <n v="-18040.134128343219"/>
    <n v="-8143.3625980824982"/>
  </r>
  <r>
    <s v="Regular"/>
    <x v="4"/>
    <x v="4"/>
    <x v="6"/>
    <x v="2"/>
    <x v="0"/>
    <x v="1"/>
    <x v="0"/>
    <x v="5"/>
    <n v="0"/>
    <n v="0"/>
    <n v="38413.559000000001"/>
    <n v="38413.559000000001"/>
    <n v="38413.559000000001"/>
    <n v="38413.559000000001"/>
    <n v="132969"/>
    <x v="1"/>
    <n v="0"/>
    <n v="0"/>
    <n v="25"/>
    <n v="80"/>
    <n v="0"/>
    <n v="432.02"/>
    <n v="107.79"/>
    <m/>
    <n v="497.50790459014416"/>
    <n v="224.57633816173018"/>
    <n v="0"/>
    <n v="16595425.75918"/>
    <n v="4140597.5246100002"/>
    <n v="0"/>
    <n v="19111049.245939873"/>
    <n v="8626776.4159795735"/>
  </r>
  <r>
    <s v="Refaturamento - Regular"/>
    <x v="4"/>
    <x v="4"/>
    <x v="6"/>
    <x v="2"/>
    <x v="0"/>
    <x v="1"/>
    <x v="0"/>
    <x v="5"/>
    <n v="0"/>
    <n v="0"/>
    <n v="-1538.1020000000001"/>
    <n v="-1538.1020000000001"/>
    <n v="-1538.1020000000001"/>
    <n v="-1538.1020000000001"/>
    <n v="-1824"/>
    <x v="1"/>
    <n v="0"/>
    <n v="0"/>
    <n v="25"/>
    <n v="80"/>
    <n v="0"/>
    <n v="432.02"/>
    <n v="107.79"/>
    <m/>
    <n v="497.50790459014416"/>
    <n v="224.57633816173018"/>
    <n v="0"/>
    <n v="-664490.82603999996"/>
    <n v="-165792.01458000002"/>
    <n v="0"/>
    <n v="-765217.90306590998"/>
    <n v="-345421.31487923354"/>
  </r>
  <r>
    <s v="Sistema de Compensação"/>
    <x v="4"/>
    <x v="4"/>
    <x v="6"/>
    <x v="2"/>
    <x v="0"/>
    <x v="1"/>
    <x v="0"/>
    <x v="5"/>
    <n v="0"/>
    <n v="0"/>
    <n v="300.37400000000002"/>
    <n v="300.37400000000002"/>
    <n v="300.37400000000002"/>
    <n v="300.37400000000002"/>
    <n v="1069"/>
    <x v="1"/>
    <n v="0"/>
    <n v="0"/>
    <n v="25"/>
    <n v="80"/>
    <n v="0"/>
    <n v="432.02"/>
    <n v="107.79"/>
    <m/>
    <n v="497.50790459014416"/>
    <n v="224.57633816173018"/>
    <n v="0"/>
    <n v="129767.57548"/>
    <n v="32377.313460000005"/>
    <n v="0"/>
    <n v="149438.43933335997"/>
    <n v="67456.892998991549"/>
  </r>
  <r>
    <s v="Sistema de Compensação"/>
    <x v="4"/>
    <x v="4"/>
    <x v="6"/>
    <x v="2"/>
    <x v="0"/>
    <x v="1"/>
    <x v="0"/>
    <x v="5"/>
    <n v="0"/>
    <n v="0"/>
    <n v="1.581"/>
    <n v="1.581"/>
    <n v="1.581"/>
    <n v="1.581"/>
    <n v="2"/>
    <x v="1"/>
    <n v="0"/>
    <n v="0"/>
    <n v="25"/>
    <n v="80"/>
    <n v="0"/>
    <n v="432.02"/>
    <n v="107.79"/>
    <m/>
    <n v="497.50790459014416"/>
    <n v="224.57633816173018"/>
    <n v="0"/>
    <n v="683.02361999999994"/>
    <n v="170.41598999999999"/>
    <n v="0"/>
    <n v="786.55999715701796"/>
    <n v="355.05519063369542"/>
  </r>
  <r>
    <s v="Regular"/>
    <x v="4"/>
    <x v="4"/>
    <x v="6"/>
    <x v="2"/>
    <x v="0"/>
    <x v="1"/>
    <x v="0"/>
    <x v="6"/>
    <n v="0"/>
    <n v="0"/>
    <n v="39215.862000000001"/>
    <n v="39215.862000000001"/>
    <n v="39215.862000000001"/>
    <n v="39215.862000000001"/>
    <n v="132754"/>
    <x v="1"/>
    <n v="0"/>
    <n v="0"/>
    <n v="25"/>
    <n v="80"/>
    <n v="0"/>
    <n v="432.02"/>
    <n v="107.79"/>
    <m/>
    <n v="497.50790459014416"/>
    <n v="224.57633816173018"/>
    <n v="0"/>
    <n v="16942036.701239999"/>
    <n v="4227077.7649800004"/>
    <n v="0"/>
    <n v="19510201.33031626"/>
    <n v="8806954.6858157441"/>
  </r>
  <r>
    <s v="Refaturamento - Regular"/>
    <x v="4"/>
    <x v="4"/>
    <x v="6"/>
    <x v="2"/>
    <x v="0"/>
    <x v="1"/>
    <x v="0"/>
    <x v="6"/>
    <n v="0"/>
    <n v="0"/>
    <n v="-1197.4269999999999"/>
    <n v="-1197.4269999999999"/>
    <n v="-1197.4269999999999"/>
    <n v="-1197.4269999999999"/>
    <n v="-1117"/>
    <x v="1"/>
    <n v="0"/>
    <n v="0"/>
    <n v="25"/>
    <n v="80"/>
    <n v="0"/>
    <n v="432.02"/>
    <n v="107.79"/>
    <m/>
    <n v="497.50790459014416"/>
    <n v="224.57633816173018"/>
    <n v="0"/>
    <n v="-517312.41253999993"/>
    <n v="-129070.65633"/>
    <n v="0"/>
    <n v="-595729.39766966249"/>
    <n v="-268913.77087598608"/>
  </r>
  <r>
    <s v="Sistema de Compensação"/>
    <x v="4"/>
    <x v="4"/>
    <x v="6"/>
    <x v="2"/>
    <x v="0"/>
    <x v="1"/>
    <x v="0"/>
    <x v="6"/>
    <n v="0"/>
    <n v="0"/>
    <n v="325.07900000000001"/>
    <n v="325.07900000000001"/>
    <n v="325.07900000000001"/>
    <n v="325.07900000000001"/>
    <n v="1124"/>
    <x v="1"/>
    <n v="0"/>
    <n v="0"/>
    <n v="25"/>
    <n v="80"/>
    <n v="0"/>
    <n v="432.02"/>
    <n v="107.79"/>
    <m/>
    <n v="497.50790459014416"/>
    <n v="224.57633816173018"/>
    <n v="0"/>
    <n v="140440.62958000001"/>
    <n v="35040.26541"/>
    <n v="0"/>
    <n v="161729.37211625947"/>
    <n v="73005.051433277084"/>
  </r>
  <r>
    <s v="Sistema de Compensação"/>
    <x v="4"/>
    <x v="4"/>
    <x v="6"/>
    <x v="2"/>
    <x v="0"/>
    <x v="1"/>
    <x v="0"/>
    <x v="6"/>
    <n v="0"/>
    <n v="0"/>
    <n v="-15.222"/>
    <n v="-15.222"/>
    <n v="-15.222"/>
    <n v="-15.222"/>
    <n v="-1"/>
    <x v="1"/>
    <n v="0"/>
    <n v="0"/>
    <n v="25"/>
    <n v="80"/>
    <n v="0"/>
    <n v="432.02"/>
    <n v="107.79"/>
    <m/>
    <n v="497.50790459014416"/>
    <n v="224.57633816173018"/>
    <n v="0"/>
    <n v="-6576.2084399999994"/>
    <n v="-1640.7793799999999"/>
    <n v="0"/>
    <n v="-7573.0653236711742"/>
    <n v="-3418.5010194978568"/>
  </r>
  <r>
    <s v="Regular"/>
    <x v="4"/>
    <x v="4"/>
    <x v="6"/>
    <x v="2"/>
    <x v="0"/>
    <x v="1"/>
    <x v="0"/>
    <x v="7"/>
    <n v="0"/>
    <n v="0"/>
    <n v="38252.379999999997"/>
    <n v="38252.379999999997"/>
    <n v="38252.379999999997"/>
    <n v="38252.379999999997"/>
    <n v="131992"/>
    <x v="1"/>
    <n v="0"/>
    <n v="0"/>
    <n v="25"/>
    <n v="80"/>
    <n v="0"/>
    <n v="432.02"/>
    <n v="107.79"/>
    <m/>
    <n v="497.50790459014416"/>
    <n v="224.57633816173018"/>
    <n v="0"/>
    <n v="16525793.207599998"/>
    <n v="4123224.0402000002"/>
    <n v="0"/>
    <n v="19030861.419385936"/>
    <n v="8590579.4263710044"/>
  </r>
  <r>
    <s v="Refaturamento - Regular"/>
    <x v="4"/>
    <x v="4"/>
    <x v="6"/>
    <x v="2"/>
    <x v="0"/>
    <x v="1"/>
    <x v="0"/>
    <x v="7"/>
    <n v="0"/>
    <n v="0"/>
    <n v="-1416.673"/>
    <n v="-1416.673"/>
    <n v="-1416.673"/>
    <n v="-1416.673"/>
    <n v="-2029"/>
    <x v="1"/>
    <n v="0"/>
    <n v="0"/>
    <n v="25"/>
    <n v="80"/>
    <n v="0"/>
    <n v="432.02"/>
    <n v="107.79"/>
    <m/>
    <n v="497.50790459014416"/>
    <n v="224.57633816173018"/>
    <n v="0"/>
    <n v="-612031.06946000003"/>
    <n v="-152703.18267000001"/>
    <n v="0"/>
    <n v="-704806.01571943332"/>
    <n v="-318151.23471259279"/>
  </r>
  <r>
    <s v="Sistema de Compensação"/>
    <x v="4"/>
    <x v="4"/>
    <x v="6"/>
    <x v="2"/>
    <x v="0"/>
    <x v="1"/>
    <x v="0"/>
    <x v="7"/>
    <n v="0"/>
    <n v="0"/>
    <n v="269.61900000000003"/>
    <n v="269.61900000000003"/>
    <n v="269.61900000000003"/>
    <n v="269.61900000000003"/>
    <n v="1181"/>
    <x v="1"/>
    <n v="0"/>
    <n v="0"/>
    <n v="25"/>
    <n v="80"/>
    <n v="0"/>
    <n v="432.02"/>
    <n v="107.79"/>
    <m/>
    <n v="497.50790459014416"/>
    <n v="224.57633816173018"/>
    <n v="0"/>
    <n v="116480.80038"/>
    <n v="29062.232010000003"/>
    <n v="0"/>
    <n v="134137.5837276901"/>
    <n v="60550.047718827533"/>
  </r>
  <r>
    <s v="Sistema de Compensação"/>
    <x v="4"/>
    <x v="4"/>
    <x v="6"/>
    <x v="2"/>
    <x v="0"/>
    <x v="1"/>
    <x v="0"/>
    <x v="7"/>
    <n v="0"/>
    <n v="0"/>
    <n v="-27.824999999999999"/>
    <n v="-27.824999999999999"/>
    <n v="-27.824999999999999"/>
    <n v="-27.824999999999999"/>
    <n v="0"/>
    <x v="1"/>
    <n v="0"/>
    <n v="0"/>
    <n v="25"/>
    <n v="80"/>
    <n v="0"/>
    <n v="432.02"/>
    <n v="107.79"/>
    <m/>
    <n v="497.50790459014416"/>
    <n v="224.57633816173018"/>
    <n v="0"/>
    <n v="-12020.956499999998"/>
    <n v="-2999.25675"/>
    <n v="0"/>
    <n v="-13843.157445220761"/>
    <n v="-6248.8366093501418"/>
  </r>
  <r>
    <s v="Regular"/>
    <x v="4"/>
    <x v="4"/>
    <x v="6"/>
    <x v="2"/>
    <x v="0"/>
    <x v="1"/>
    <x v="0"/>
    <x v="8"/>
    <n v="0"/>
    <n v="0"/>
    <n v="41364.845999999998"/>
    <n v="41364.845999999998"/>
    <n v="41364.845999999998"/>
    <n v="41364.845999999998"/>
    <n v="135809"/>
    <x v="1"/>
    <n v="0"/>
    <n v="0"/>
    <n v="25"/>
    <n v="80"/>
    <n v="0"/>
    <n v="432.02"/>
    <n v="107.79"/>
    <m/>
    <n v="497.50790459014416"/>
    <n v="224.57633816173018"/>
    <n v="0"/>
    <n v="17870440.768919997"/>
    <n v="4458716.7503399998"/>
    <n v="0"/>
    <n v="20579337.857154004"/>
    <n v="9289565.6433038916"/>
  </r>
  <r>
    <s v="Refaturamento - Regular"/>
    <x v="4"/>
    <x v="4"/>
    <x v="6"/>
    <x v="2"/>
    <x v="0"/>
    <x v="1"/>
    <x v="0"/>
    <x v="8"/>
    <n v="0"/>
    <n v="0"/>
    <n v="-1194.778"/>
    <n v="-1194.778"/>
    <n v="-1194.778"/>
    <n v="-1194.778"/>
    <n v="-848"/>
    <x v="1"/>
    <n v="0"/>
    <n v="0"/>
    <n v="25"/>
    <n v="80"/>
    <n v="0"/>
    <n v="432.02"/>
    <n v="107.79"/>
    <m/>
    <n v="497.50790459014416"/>
    <n v="224.57633816173018"/>
    <n v="0"/>
    <n v="-516167.99155999999"/>
    <n v="-128785.12062000002"/>
    <n v="0"/>
    <n v="-594411.49923040322"/>
    <n v="-268318.86815619568"/>
  </r>
  <r>
    <s v="Sistema de Compensação"/>
    <x v="4"/>
    <x v="4"/>
    <x v="6"/>
    <x v="2"/>
    <x v="0"/>
    <x v="1"/>
    <x v="0"/>
    <x v="8"/>
    <n v="0"/>
    <n v="0"/>
    <n v="297.82600000000002"/>
    <n v="297.82600000000002"/>
    <n v="297.82600000000002"/>
    <n v="297.82600000000002"/>
    <n v="1260"/>
    <x v="1"/>
    <n v="0"/>
    <n v="0"/>
    <n v="25"/>
    <n v="80"/>
    <n v="0"/>
    <n v="432.02"/>
    <n v="107.79"/>
    <m/>
    <n v="497.50790459014416"/>
    <n v="224.57633816173018"/>
    <n v="0"/>
    <n v="128666.78852"/>
    <n v="32102.664540000005"/>
    <n v="0"/>
    <n v="148170.78919246429"/>
    <n v="66884.672489355464"/>
  </r>
  <r>
    <s v="Sistema de Compensação"/>
    <x v="4"/>
    <x v="4"/>
    <x v="6"/>
    <x v="2"/>
    <x v="0"/>
    <x v="1"/>
    <x v="0"/>
    <x v="8"/>
    <n v="0"/>
    <n v="0"/>
    <n v="-4.6849999999999996"/>
    <n v="-4.6849999999999996"/>
    <n v="-4.6849999999999996"/>
    <n v="-4.6849999999999996"/>
    <n v="1"/>
    <x v="1"/>
    <n v="0"/>
    <n v="0"/>
    <n v="25"/>
    <n v="80"/>
    <n v="0"/>
    <n v="432.02"/>
    <n v="107.79"/>
    <m/>
    <n v="497.50790459014416"/>
    <n v="224.57633816173018"/>
    <n v="0"/>
    <n v="-2024.0136999999997"/>
    <n v="-504.99615"/>
    <n v="0"/>
    <n v="-2330.8245330048253"/>
    <n v="-1052.1401442877059"/>
  </r>
  <r>
    <s v="Regular"/>
    <x v="4"/>
    <x v="4"/>
    <x v="6"/>
    <x v="2"/>
    <x v="0"/>
    <x v="1"/>
    <x v="0"/>
    <x v="9"/>
    <n v="0"/>
    <n v="0"/>
    <n v="44053.01"/>
    <n v="44053.01"/>
    <n v="44053.01"/>
    <n v="44053.01"/>
    <n v="127605"/>
    <x v="1"/>
    <n v="0"/>
    <n v="0"/>
    <n v="25"/>
    <n v="80"/>
    <n v="0"/>
    <n v="432.02"/>
    <n v="107.79"/>
    <m/>
    <n v="497.50790459014416"/>
    <n v="224.57633816173018"/>
    <n v="0"/>
    <n v="19031781.380199999"/>
    <n v="4748473.947900001"/>
    <n v="0"/>
    <n v="21916720.695988666"/>
    <n v="9893263.670802081"/>
  </r>
  <r>
    <s v="Refaturamento - Regular"/>
    <x v="4"/>
    <x v="4"/>
    <x v="6"/>
    <x v="2"/>
    <x v="0"/>
    <x v="1"/>
    <x v="0"/>
    <x v="9"/>
    <n v="0"/>
    <n v="0"/>
    <n v="-1479.7159999999999"/>
    <n v="-1479.7159999999999"/>
    <n v="-1479.7159999999999"/>
    <n v="-1479.7159999999999"/>
    <n v="-7113"/>
    <x v="1"/>
    <n v="0"/>
    <n v="0"/>
    <n v="25"/>
    <n v="80"/>
    <n v="0"/>
    <n v="432.02"/>
    <n v="107.79"/>
    <m/>
    <n v="497.50790459014416"/>
    <n v="224.57633816173018"/>
    <n v="0"/>
    <n v="-639266.90631999995"/>
    <n v="-159498.58763999998"/>
    <n v="0"/>
    <n v="-736170.40654850972"/>
    <n v="-332309.20079932269"/>
  </r>
  <r>
    <s v="Sistema de Compensação"/>
    <x v="4"/>
    <x v="4"/>
    <x v="6"/>
    <x v="2"/>
    <x v="0"/>
    <x v="1"/>
    <x v="0"/>
    <x v="9"/>
    <n v="0"/>
    <n v="0"/>
    <n v="321.10300000000001"/>
    <n v="321.10300000000001"/>
    <n v="321.10300000000001"/>
    <n v="321.10300000000001"/>
    <n v="1343"/>
    <x v="1"/>
    <n v="0"/>
    <n v="0"/>
    <n v="25"/>
    <n v="80"/>
    <n v="0"/>
    <n v="432.02"/>
    <n v="107.79"/>
    <m/>
    <n v="497.50790459014416"/>
    <n v="224.57633816173018"/>
    <n v="0"/>
    <n v="138722.91806"/>
    <n v="34611.692370000004"/>
    <n v="0"/>
    <n v="159751.28068760908"/>
    <n v="72112.135912746046"/>
  </r>
  <r>
    <s v="Sistema de Compensação"/>
    <x v="4"/>
    <x v="4"/>
    <x v="6"/>
    <x v="2"/>
    <x v="0"/>
    <x v="1"/>
    <x v="0"/>
    <x v="9"/>
    <n v="0"/>
    <n v="0"/>
    <n v="-4.6760000000000002"/>
    <n v="-4.6760000000000002"/>
    <n v="-4.6760000000000002"/>
    <n v="-4.6760000000000002"/>
    <n v="-2"/>
    <x v="1"/>
    <n v="0"/>
    <n v="0"/>
    <n v="25"/>
    <n v="80"/>
    <n v="0"/>
    <n v="432.02"/>
    <n v="107.79"/>
    <m/>
    <n v="497.50790459014416"/>
    <n v="224.57633816173018"/>
    <n v="0"/>
    <n v="-2020.1255200000001"/>
    <n v="-504.02604000000002"/>
    <n v="0"/>
    <n v="-2326.346961863514"/>
    <n v="-1050.1189572442504"/>
  </r>
  <r>
    <s v="Regular"/>
    <x v="4"/>
    <x v="4"/>
    <x v="6"/>
    <x v="2"/>
    <x v="0"/>
    <x v="1"/>
    <x v="0"/>
    <x v="10"/>
    <n v="0"/>
    <n v="0"/>
    <n v="46735.762000000002"/>
    <n v="46735.762000000002"/>
    <n v="46735.762000000002"/>
    <n v="46735.762000000002"/>
    <n v="123012"/>
    <x v="1"/>
    <n v="0"/>
    <n v="0"/>
    <n v="25"/>
    <n v="80"/>
    <n v="0"/>
    <n v="432.02"/>
    <n v="107.79"/>
    <m/>
    <n v="497.50790459014416"/>
    <n v="224.57633816173018"/>
    <n v="0"/>
    <n v="20190783.899240002"/>
    <n v="5037647.7859800002"/>
    <n v="0"/>
    <n v="23251411.022043686"/>
    <n v="10495746.29115814"/>
  </r>
  <r>
    <s v="Refaturamento - Regular"/>
    <x v="4"/>
    <x v="4"/>
    <x v="6"/>
    <x v="2"/>
    <x v="0"/>
    <x v="1"/>
    <x v="0"/>
    <x v="10"/>
    <n v="0"/>
    <n v="0"/>
    <n v="-2946.1880000000001"/>
    <n v="-2946.1880000000001"/>
    <n v="-2946.1880000000001"/>
    <n v="-2946.1880000000001"/>
    <n v="-2442"/>
    <x v="1"/>
    <n v="0"/>
    <n v="0"/>
    <n v="25"/>
    <n v="80"/>
    <n v="0"/>
    <n v="432.02"/>
    <n v="107.79"/>
    <m/>
    <n v="497.50790459014416"/>
    <n v="224.57633816173018"/>
    <n v="0"/>
    <n v="-1272812.1397599999"/>
    <n v="-317569.60452000005"/>
    <n v="0"/>
    <n v="-1465751.8184086278"/>
    <n v="-661644.11257603148"/>
  </r>
  <r>
    <s v="Sistema de Compensação"/>
    <x v="4"/>
    <x v="4"/>
    <x v="6"/>
    <x v="2"/>
    <x v="0"/>
    <x v="1"/>
    <x v="0"/>
    <x v="10"/>
    <n v="0"/>
    <n v="0"/>
    <n v="348.84100000000001"/>
    <n v="348.84100000000001"/>
    <n v="348.84100000000001"/>
    <n v="348.84100000000001"/>
    <n v="1435"/>
    <x v="1"/>
    <n v="0"/>
    <n v="0"/>
    <n v="25"/>
    <n v="80"/>
    <n v="0"/>
    <n v="432.02"/>
    <n v="107.79"/>
    <m/>
    <n v="497.50790459014416"/>
    <n v="224.57633816173018"/>
    <n v="0"/>
    <n v="150706.28881999999"/>
    <n v="37601.571390000005"/>
    <n v="0"/>
    <n v="173551.15494513049"/>
    <n v="78341.434380676117"/>
  </r>
  <r>
    <s v="Sistema de Compensação"/>
    <x v="4"/>
    <x v="4"/>
    <x v="6"/>
    <x v="2"/>
    <x v="0"/>
    <x v="1"/>
    <x v="0"/>
    <x v="10"/>
    <n v="0"/>
    <n v="0"/>
    <n v="-0.57499999999999996"/>
    <n v="-0.57499999999999996"/>
    <n v="-0.57499999999999996"/>
    <n v="-0.57499999999999996"/>
    <n v="0"/>
    <x v="1"/>
    <n v="0"/>
    <n v="0"/>
    <n v="25"/>
    <n v="80"/>
    <n v="0"/>
    <n v="432.02"/>
    <n v="107.79"/>
    <m/>
    <n v="497.50790459014416"/>
    <n v="224.57633816173018"/>
    <n v="0"/>
    <n v="-248.41149999999996"/>
    <n v="-61.97925"/>
    <n v="0"/>
    <n v="-286.06704513933289"/>
    <n v="-129.13139444299483"/>
  </r>
  <r>
    <s v="PROJETADO"/>
    <x v="4"/>
    <x v="4"/>
    <x v="6"/>
    <x v="2"/>
    <x v="0"/>
    <x v="1"/>
    <x v="0"/>
    <x v="11"/>
    <n v="0"/>
    <n v="0"/>
    <n v="46735.762000000002"/>
    <n v="46735.762000000002"/>
    <n v="46735.762000000002"/>
    <n v="46735.762000000002"/>
    <n v="123012"/>
    <x v="1"/>
    <n v="0"/>
    <n v="0"/>
    <n v="25"/>
    <n v="80"/>
    <n v="0"/>
    <n v="432.02"/>
    <n v="107.79"/>
    <m/>
    <n v="497.50790459014416"/>
    <n v="224.57633816173018"/>
    <n v="0"/>
    <n v="20190783.899240002"/>
    <n v="5037647.7859800002"/>
    <n v="0"/>
    <n v="23251411.022043686"/>
    <n v="10495746.29115814"/>
  </r>
  <r>
    <s v="PROJETADO"/>
    <x v="4"/>
    <x v="4"/>
    <x v="6"/>
    <x v="2"/>
    <x v="0"/>
    <x v="1"/>
    <x v="0"/>
    <x v="11"/>
    <n v="0"/>
    <n v="0"/>
    <n v="-2946.1880000000001"/>
    <n v="-2946.1880000000001"/>
    <n v="-2946.1880000000001"/>
    <n v="-2946.1880000000001"/>
    <n v="-2442"/>
    <x v="1"/>
    <n v="0"/>
    <n v="0"/>
    <n v="25"/>
    <n v="80"/>
    <n v="0"/>
    <n v="432.02"/>
    <n v="107.79"/>
    <m/>
    <n v="497.50790459014416"/>
    <n v="224.57633816173018"/>
    <n v="0"/>
    <n v="-1272812.1397599999"/>
    <n v="-317569.60452000005"/>
    <n v="0"/>
    <n v="-1465751.8184086278"/>
    <n v="-661644.11257603148"/>
  </r>
  <r>
    <s v="PROJETADO"/>
    <x v="4"/>
    <x v="4"/>
    <x v="6"/>
    <x v="2"/>
    <x v="0"/>
    <x v="1"/>
    <x v="0"/>
    <x v="11"/>
    <n v="0"/>
    <n v="0"/>
    <n v="348.84100000000001"/>
    <n v="348.84100000000001"/>
    <n v="348.84100000000001"/>
    <n v="348.84100000000001"/>
    <n v="1435"/>
    <x v="1"/>
    <n v="0"/>
    <n v="0"/>
    <n v="25"/>
    <n v="80"/>
    <n v="0"/>
    <n v="432.02"/>
    <n v="107.79"/>
    <m/>
    <n v="497.50790459014416"/>
    <n v="224.57633816173018"/>
    <n v="0"/>
    <n v="150706.28881999999"/>
    <n v="37601.571390000005"/>
    <n v="0"/>
    <n v="173551.15494513049"/>
    <n v="78341.434380676117"/>
  </r>
  <r>
    <s v="PROJETADO"/>
    <x v="4"/>
    <x v="4"/>
    <x v="6"/>
    <x v="2"/>
    <x v="0"/>
    <x v="1"/>
    <x v="0"/>
    <x v="11"/>
    <n v="0"/>
    <n v="0"/>
    <n v="-0.57499999999999996"/>
    <n v="-0.57499999999999996"/>
    <n v="-0.57499999999999996"/>
    <n v="-0.57499999999999996"/>
    <n v="0"/>
    <x v="1"/>
    <n v="0"/>
    <n v="0"/>
    <n v="25"/>
    <n v="80"/>
    <n v="0"/>
    <n v="432.02"/>
    <n v="107.79"/>
    <m/>
    <n v="497.50790459014416"/>
    <n v="224.57633816173018"/>
    <n v="0"/>
    <n v="-248.41149999999996"/>
    <n v="-61.97925"/>
    <n v="0"/>
    <n v="-286.06704513933289"/>
    <n v="-129.13139444299483"/>
  </r>
  <r>
    <s v="Regular"/>
    <x v="4"/>
    <x v="4"/>
    <x v="6"/>
    <x v="3"/>
    <x v="0"/>
    <x v="1"/>
    <x v="0"/>
    <x v="0"/>
    <n v="0"/>
    <n v="0"/>
    <n v="883.92"/>
    <n v="883.92"/>
    <n v="883.92"/>
    <n v="883.92"/>
    <n v="7608"/>
    <x v="1"/>
    <n v="0"/>
    <n v="0"/>
    <n v="28"/>
    <n v="81"/>
    <n v="0"/>
    <n v="132.01"/>
    <n v="37.729999999999997"/>
    <m/>
    <n v="139.20836400191462"/>
    <n v="78.601718356605559"/>
    <n v="0"/>
    <n v="116686.27919999999"/>
    <n v="33350.301599999999"/>
    <n v="0"/>
    <n v="123049.05710857236"/>
    <n v="69477.630889770779"/>
  </r>
  <r>
    <s v="Refaturamento - Regular"/>
    <x v="4"/>
    <x v="4"/>
    <x v="6"/>
    <x v="3"/>
    <x v="0"/>
    <x v="1"/>
    <x v="0"/>
    <x v="0"/>
    <n v="0"/>
    <n v="0"/>
    <n v="-1.26"/>
    <n v="-1.26"/>
    <n v="-1.26"/>
    <n v="-1.26"/>
    <n v="10"/>
    <x v="1"/>
    <n v="0"/>
    <n v="0"/>
    <n v="28"/>
    <n v="81"/>
    <n v="0"/>
    <n v="132.01"/>
    <n v="37.729999999999997"/>
    <m/>
    <n v="139.20836400191462"/>
    <n v="78.601718356605559"/>
    <n v="0"/>
    <n v="-166.33259999999999"/>
    <n v="-47.5398"/>
    <n v="0"/>
    <n v="-175.40253864241242"/>
    <n v="-99.038165129323005"/>
  </r>
  <r>
    <s v="Regular"/>
    <x v="4"/>
    <x v="4"/>
    <x v="6"/>
    <x v="3"/>
    <x v="0"/>
    <x v="1"/>
    <x v="0"/>
    <x v="1"/>
    <n v="0"/>
    <n v="0"/>
    <n v="1005.244"/>
    <n v="1005.244"/>
    <n v="1005.244"/>
    <n v="1005.244"/>
    <n v="8298"/>
    <x v="1"/>
    <n v="0"/>
    <n v="0"/>
    <n v="28"/>
    <n v="81"/>
    <n v="0"/>
    <n v="132.01"/>
    <n v="37.729999999999997"/>
    <m/>
    <n v="139.20836400191462"/>
    <n v="78.601718356605559"/>
    <n v="0"/>
    <n v="132702.26043999998"/>
    <n v="37927.856119999997"/>
    <n v="0"/>
    <n v="139938.37266274067"/>
    <n v="79013.905767667602"/>
  </r>
  <r>
    <s v="Refaturamento - Regular"/>
    <x v="4"/>
    <x v="4"/>
    <x v="6"/>
    <x v="3"/>
    <x v="0"/>
    <x v="1"/>
    <x v="0"/>
    <x v="1"/>
    <n v="0"/>
    <n v="0"/>
    <n v="-2.88"/>
    <n v="-2.88"/>
    <n v="-2.88"/>
    <n v="-2.88"/>
    <n v="41"/>
    <x v="1"/>
    <n v="0"/>
    <n v="0"/>
    <n v="28"/>
    <n v="81"/>
    <n v="0"/>
    <n v="132.01"/>
    <n v="37.729999999999997"/>
    <m/>
    <n v="139.20836400191462"/>
    <n v="78.601718356605559"/>
    <n v="0"/>
    <n v="-380.18879999999996"/>
    <n v="-108.66239999999999"/>
    <n v="0"/>
    <n v="-400.92008832551409"/>
    <n v="-226.37294886702401"/>
  </r>
  <r>
    <s v="Regular"/>
    <x v="4"/>
    <x v="4"/>
    <x v="6"/>
    <x v="3"/>
    <x v="0"/>
    <x v="1"/>
    <x v="0"/>
    <x v="2"/>
    <n v="0"/>
    <n v="0"/>
    <n v="986.51300000000003"/>
    <n v="986.51300000000003"/>
    <n v="986.51300000000003"/>
    <n v="986.51300000000003"/>
    <n v="7055"/>
    <x v="1"/>
    <n v="0"/>
    <n v="0"/>
    <n v="28"/>
    <n v="81"/>
    <n v="0"/>
    <n v="132.01"/>
    <n v="37.729999999999997"/>
    <m/>
    <n v="139.20836400191462"/>
    <n v="78.601718356605559"/>
    <n v="0"/>
    <n v="130229.58112999999"/>
    <n v="37221.135490000001"/>
    <n v="0"/>
    <n v="137330.86079662081"/>
    <n v="77541.616981130021"/>
  </r>
  <r>
    <s v="Refaturamento - Regular"/>
    <x v="4"/>
    <x v="4"/>
    <x v="6"/>
    <x v="3"/>
    <x v="0"/>
    <x v="1"/>
    <x v="0"/>
    <x v="2"/>
    <n v="0"/>
    <n v="0"/>
    <n v="-5.37"/>
    <n v="-5.37"/>
    <n v="-5.37"/>
    <n v="-5.37"/>
    <n v="-95"/>
    <x v="1"/>
    <n v="0"/>
    <n v="0"/>
    <n v="28"/>
    <n v="81"/>
    <n v="0"/>
    <n v="132.01"/>
    <n v="37.729999999999997"/>
    <m/>
    <n v="139.20836400191462"/>
    <n v="78.601718356605559"/>
    <n v="0"/>
    <n v="-708.89369999999997"/>
    <n v="-202.61009999999999"/>
    <n v="0"/>
    <n v="-747.54891469028155"/>
    <n v="-422.09122757497187"/>
  </r>
  <r>
    <s v="Regular"/>
    <x v="4"/>
    <x v="4"/>
    <x v="6"/>
    <x v="3"/>
    <x v="0"/>
    <x v="1"/>
    <x v="0"/>
    <x v="3"/>
    <n v="0"/>
    <n v="0"/>
    <n v="977.62699999999995"/>
    <n v="977.62699999999995"/>
    <n v="977.62699999999995"/>
    <n v="977.62699999999995"/>
    <n v="6688"/>
    <x v="1"/>
    <n v="0"/>
    <n v="0"/>
    <n v="28"/>
    <n v="81"/>
    <n v="0"/>
    <n v="132.01"/>
    <n v="37.729999999999997"/>
    <m/>
    <n v="139.20836400191462"/>
    <n v="78.601718356605559"/>
    <n v="0"/>
    <n v="129056.54026999998"/>
    <n v="36885.866709999995"/>
    <n v="0"/>
    <n v="136093.85527409977"/>
    <n v="76843.162111813217"/>
  </r>
  <r>
    <s v="Refaturamento - Regular"/>
    <x v="4"/>
    <x v="4"/>
    <x v="6"/>
    <x v="3"/>
    <x v="0"/>
    <x v="1"/>
    <x v="0"/>
    <x v="3"/>
    <n v="0"/>
    <n v="0"/>
    <n v="-7.5"/>
    <n v="-7.5"/>
    <n v="-7.5"/>
    <n v="-7.5"/>
    <n v="-11"/>
    <x v="1"/>
    <n v="0"/>
    <n v="0"/>
    <n v="28"/>
    <n v="81"/>
    <n v="0"/>
    <n v="132.01"/>
    <n v="37.729999999999997"/>
    <m/>
    <n v="139.20836400191462"/>
    <n v="78.601718356605559"/>
    <n v="0"/>
    <n v="-990.07499999999993"/>
    <n v="-282.97499999999997"/>
    <n v="0"/>
    <n v="-1044.0627300143597"/>
    <n v="-589.51288767454173"/>
  </r>
  <r>
    <s v="Regular"/>
    <x v="4"/>
    <x v="4"/>
    <x v="6"/>
    <x v="3"/>
    <x v="0"/>
    <x v="1"/>
    <x v="0"/>
    <x v="4"/>
    <n v="0"/>
    <n v="0"/>
    <n v="1040.925"/>
    <n v="1040.925"/>
    <n v="1040.925"/>
    <n v="1040.925"/>
    <n v="6942"/>
    <x v="1"/>
    <n v="0"/>
    <n v="0"/>
    <n v="28"/>
    <n v="81"/>
    <n v="0"/>
    <n v="132.01"/>
    <n v="37.729999999999997"/>
    <m/>
    <n v="139.20836400191462"/>
    <n v="78.601718356605559"/>
    <n v="0"/>
    <n v="137412.50924999997"/>
    <n v="39274.100249999996"/>
    <n v="0"/>
    <n v="144905.46629869298"/>
    <n v="81818.493680349638"/>
  </r>
  <r>
    <s v="Refaturamento - Regular"/>
    <x v="4"/>
    <x v="4"/>
    <x v="6"/>
    <x v="3"/>
    <x v="0"/>
    <x v="1"/>
    <x v="0"/>
    <x v="4"/>
    <n v="0"/>
    <n v="0"/>
    <n v="-12.09"/>
    <n v="-12.09"/>
    <n v="-12.09"/>
    <n v="-12.09"/>
    <n v="-197"/>
    <x v="1"/>
    <n v="0"/>
    <n v="0"/>
    <n v="28"/>
    <n v="81"/>
    <n v="0"/>
    <n v="132.01"/>
    <n v="37.729999999999997"/>
    <m/>
    <n v="139.20836400191462"/>
    <n v="78.601718356605559"/>
    <n v="0"/>
    <n v="-1596.0008999999998"/>
    <n v="-456.15569999999997"/>
    <n v="0"/>
    <n v="-1683.0291207831476"/>
    <n v="-950.29477493136119"/>
  </r>
  <r>
    <s v="Regular"/>
    <x v="4"/>
    <x v="4"/>
    <x v="6"/>
    <x v="3"/>
    <x v="0"/>
    <x v="1"/>
    <x v="0"/>
    <x v="5"/>
    <n v="0"/>
    <n v="0"/>
    <n v="1032.271"/>
    <n v="1032.271"/>
    <n v="1032.271"/>
    <n v="1032.271"/>
    <n v="6826"/>
    <x v="1"/>
    <n v="0"/>
    <n v="0"/>
    <n v="28"/>
    <n v="81"/>
    <n v="0"/>
    <n v="132.01"/>
    <n v="37.729999999999997"/>
    <m/>
    <n v="139.20836400191462"/>
    <n v="78.601718356605559"/>
    <n v="0"/>
    <n v="136270.09470999998"/>
    <n v="38947.584829999993"/>
    <n v="0"/>
    <n v="143700.7571166204"/>
    <n v="81138.27440969157"/>
  </r>
  <r>
    <s v="Refaturamento - Regular"/>
    <x v="4"/>
    <x v="4"/>
    <x v="6"/>
    <x v="3"/>
    <x v="0"/>
    <x v="1"/>
    <x v="0"/>
    <x v="5"/>
    <n v="0"/>
    <n v="0"/>
    <n v="-2.34"/>
    <n v="-2.34"/>
    <n v="-2.34"/>
    <n v="-2.34"/>
    <n v="27"/>
    <x v="1"/>
    <n v="0"/>
    <n v="0"/>
    <n v="28"/>
    <n v="81"/>
    <n v="0"/>
    <n v="132.01"/>
    <n v="37.729999999999997"/>
    <m/>
    <n v="139.20836400191462"/>
    <n v="78.601718356605559"/>
    <n v="0"/>
    <n v="-308.90339999999998"/>
    <n v="-88.288199999999989"/>
    <n v="0"/>
    <n v="-325.7475717644802"/>
    <n v="-183.928020954457"/>
  </r>
  <r>
    <s v="Regular"/>
    <x v="4"/>
    <x v="4"/>
    <x v="6"/>
    <x v="3"/>
    <x v="0"/>
    <x v="1"/>
    <x v="0"/>
    <x v="6"/>
    <n v="0"/>
    <n v="0"/>
    <n v="1067.4469999999999"/>
    <n v="1067.4469999999999"/>
    <n v="1067.4469999999999"/>
    <n v="1067.4469999999999"/>
    <n v="6811"/>
    <x v="1"/>
    <n v="0"/>
    <n v="0"/>
    <n v="28"/>
    <n v="81"/>
    <n v="0"/>
    <n v="132.01"/>
    <n v="37.729999999999997"/>
    <m/>
    <n v="139.20836400191462"/>
    <n v="78.601718356605559"/>
    <n v="0"/>
    <n v="140913.67846999998"/>
    <n v="40274.77530999999"/>
    <n v="0"/>
    <n v="148597.55052875174"/>
    <n v="83903.168454603525"/>
  </r>
  <r>
    <s v="Refaturamento - Regular"/>
    <x v="4"/>
    <x v="4"/>
    <x v="6"/>
    <x v="3"/>
    <x v="0"/>
    <x v="1"/>
    <x v="0"/>
    <x v="6"/>
    <n v="0"/>
    <n v="0"/>
    <n v="-1.98"/>
    <n v="-1.98"/>
    <n v="-1.98"/>
    <n v="-1.98"/>
    <n v="79"/>
    <x v="1"/>
    <n v="0"/>
    <n v="0"/>
    <n v="28"/>
    <n v="81"/>
    <n v="0"/>
    <n v="132.01"/>
    <n v="37.729999999999997"/>
    <m/>
    <n v="139.20836400191462"/>
    <n v="78.601718356605559"/>
    <n v="0"/>
    <n v="-261.37979999999999"/>
    <n v="-74.705399999999997"/>
    <n v="0"/>
    <n v="-275.63256072379096"/>
    <n v="-155.631402346079"/>
  </r>
  <r>
    <s v="Regular"/>
    <x v="4"/>
    <x v="4"/>
    <x v="6"/>
    <x v="3"/>
    <x v="0"/>
    <x v="1"/>
    <x v="0"/>
    <x v="7"/>
    <n v="0"/>
    <n v="0"/>
    <n v="1099.7139999999999"/>
    <n v="1099.7139999999999"/>
    <n v="1099.7139999999999"/>
    <n v="1099.7139999999999"/>
    <n v="6636"/>
    <x v="1"/>
    <n v="0"/>
    <n v="0"/>
    <n v="28"/>
    <n v="81"/>
    <n v="0"/>
    <n v="132.01"/>
    <n v="37.729999999999997"/>
    <m/>
    <n v="139.20836400191462"/>
    <n v="78.601718356605559"/>
    <n v="0"/>
    <n v="145173.24513999998"/>
    <n v="41492.209219999997"/>
    <n v="0"/>
    <n v="153089.38681000151"/>
    <n v="86439.410100816123"/>
  </r>
  <r>
    <s v="Refaturamento - Regular"/>
    <x v="4"/>
    <x v="4"/>
    <x v="6"/>
    <x v="3"/>
    <x v="0"/>
    <x v="1"/>
    <x v="0"/>
    <x v="7"/>
    <n v="0"/>
    <n v="0"/>
    <n v="-4.26"/>
    <n v="-4.26"/>
    <n v="-4.26"/>
    <n v="-4.26"/>
    <n v="-64"/>
    <x v="1"/>
    <n v="0"/>
    <n v="0"/>
    <n v="28"/>
    <n v="81"/>
    <n v="0"/>
    <n v="132.01"/>
    <n v="37.729999999999997"/>
    <m/>
    <n v="139.20836400191462"/>
    <n v="78.601718356605559"/>
    <n v="0"/>
    <n v="-562.36259999999993"/>
    <n v="-160.72979999999998"/>
    <n v="0"/>
    <n v="-593.02763064815622"/>
    <n v="-334.84332019913967"/>
  </r>
  <r>
    <s v="Regular"/>
    <x v="4"/>
    <x v="4"/>
    <x v="6"/>
    <x v="3"/>
    <x v="0"/>
    <x v="1"/>
    <x v="0"/>
    <x v="8"/>
    <n v="0"/>
    <n v="0"/>
    <n v="1137.1130000000001"/>
    <n v="1137.1130000000001"/>
    <n v="1137.1130000000001"/>
    <n v="1137.1130000000001"/>
    <n v="6528"/>
    <x v="1"/>
    <n v="0"/>
    <n v="0"/>
    <n v="28"/>
    <n v="81"/>
    <n v="0"/>
    <n v="132.01"/>
    <n v="37.729999999999997"/>
    <m/>
    <n v="139.20836400191462"/>
    <n v="78.601718356605559"/>
    <n v="0"/>
    <n v="150110.28713000001"/>
    <n v="42903.27349"/>
    <n v="0"/>
    <n v="158295.64041530914"/>
    <n v="89379.035765634821"/>
  </r>
  <r>
    <s v="Refaturamento - Regular"/>
    <x v="4"/>
    <x v="4"/>
    <x v="6"/>
    <x v="3"/>
    <x v="0"/>
    <x v="1"/>
    <x v="0"/>
    <x v="8"/>
    <n v="0"/>
    <n v="0"/>
    <n v="-6.84"/>
    <n v="-6.84"/>
    <n v="-6.84"/>
    <n v="-6.84"/>
    <n v="-59"/>
    <x v="1"/>
    <n v="0"/>
    <n v="0"/>
    <n v="28"/>
    <n v="81"/>
    <n v="0"/>
    <n v="132.01"/>
    <n v="37.729999999999997"/>
    <m/>
    <n v="139.20836400191462"/>
    <n v="78.601718356605559"/>
    <n v="0"/>
    <n v="-902.94839999999988"/>
    <n v="-258.07319999999999"/>
    <n v="0"/>
    <n v="-952.18520977309595"/>
    <n v="-537.63575355918204"/>
  </r>
  <r>
    <s v="Regular"/>
    <x v="4"/>
    <x v="4"/>
    <x v="6"/>
    <x v="3"/>
    <x v="0"/>
    <x v="1"/>
    <x v="0"/>
    <x v="9"/>
    <n v="0"/>
    <n v="0"/>
    <n v="1680.2909999999999"/>
    <n v="1680.2909999999999"/>
    <n v="1680.2909999999999"/>
    <n v="1680.2909999999999"/>
    <n v="6635"/>
    <x v="1"/>
    <n v="0"/>
    <n v="0"/>
    <n v="28"/>
    <n v="81"/>
    <n v="0"/>
    <n v="132.01"/>
    <n v="37.729999999999997"/>
    <m/>
    <n v="139.20836400191462"/>
    <n v="78.601718356605559"/>
    <n v="0"/>
    <n v="221815.21490999998"/>
    <n v="63397.379429999994"/>
    <n v="0"/>
    <n v="233910.56115714111"/>
    <n v="132073.7599391391"/>
  </r>
  <r>
    <s v="Refaturamento - Regular"/>
    <x v="4"/>
    <x v="4"/>
    <x v="6"/>
    <x v="3"/>
    <x v="0"/>
    <x v="1"/>
    <x v="0"/>
    <x v="9"/>
    <n v="0"/>
    <n v="0"/>
    <n v="-11.98"/>
    <n v="-11.98"/>
    <n v="-11.98"/>
    <n v="-11.98"/>
    <n v="-228"/>
    <x v="1"/>
    <n v="0"/>
    <n v="0"/>
    <n v="28"/>
    <n v="81"/>
    <n v="0"/>
    <n v="132.01"/>
    <n v="37.729999999999997"/>
    <m/>
    <n v="139.20836400191462"/>
    <n v="78.601718356605559"/>
    <n v="0"/>
    <n v="-1581.4797999999998"/>
    <n v="-452.00539999999995"/>
    <n v="0"/>
    <n v="-1667.7162007429372"/>
    <n v="-941.64858591213465"/>
  </r>
  <r>
    <s v="Regular"/>
    <x v="4"/>
    <x v="4"/>
    <x v="6"/>
    <x v="3"/>
    <x v="0"/>
    <x v="1"/>
    <x v="0"/>
    <x v="10"/>
    <n v="0"/>
    <n v="0"/>
    <n v="2223.8090000000002"/>
    <n v="2223.8090000000002"/>
    <n v="2223.8090000000002"/>
    <n v="2223.8090000000002"/>
    <n v="6831"/>
    <x v="1"/>
    <n v="0"/>
    <n v="0"/>
    <n v="28"/>
    <n v="81"/>
    <n v="0"/>
    <n v="132.01"/>
    <n v="37.729999999999997"/>
    <m/>
    <n v="139.20836400191462"/>
    <n v="78.601718356605559"/>
    <n v="0"/>
    <n v="293565.02609"/>
    <n v="83904.313569999998"/>
    <n v="0"/>
    <n v="309572.81274273375"/>
    <n v="174795.20869688466"/>
  </r>
  <r>
    <s v="Refaturamento - Regular"/>
    <x v="4"/>
    <x v="4"/>
    <x v="6"/>
    <x v="3"/>
    <x v="0"/>
    <x v="1"/>
    <x v="0"/>
    <x v="10"/>
    <n v="0"/>
    <n v="0"/>
    <n v="-11.718"/>
    <n v="-11.718"/>
    <n v="-11.718"/>
    <n v="-11.718"/>
    <n v="-21"/>
    <x v="1"/>
    <n v="0"/>
    <n v="0"/>
    <n v="28"/>
    <n v="81"/>
    <n v="0"/>
    <n v="132.01"/>
    <n v="37.729999999999997"/>
    <m/>
    <n v="139.20836400191462"/>
    <n v="78.601718356605559"/>
    <n v="0"/>
    <n v="-1546.8931799999998"/>
    <n v="-442.12013999999994"/>
    <n v="0"/>
    <n v="-1631.2436093744354"/>
    <n v="-921.05493570270392"/>
  </r>
  <r>
    <s v="PROJETADO"/>
    <x v="4"/>
    <x v="4"/>
    <x v="6"/>
    <x v="3"/>
    <x v="0"/>
    <x v="1"/>
    <x v="0"/>
    <x v="11"/>
    <n v="0"/>
    <n v="0"/>
    <n v="2223.8090000000002"/>
    <n v="2223.8090000000002"/>
    <n v="2223.8090000000002"/>
    <n v="2223.8090000000002"/>
    <n v="6831"/>
    <x v="1"/>
    <n v="0"/>
    <n v="0"/>
    <n v="28"/>
    <n v="81"/>
    <n v="0"/>
    <n v="132.01"/>
    <n v="37.729999999999997"/>
    <m/>
    <n v="139.20836400191462"/>
    <n v="78.601718356605559"/>
    <n v="0"/>
    <n v="293565.02609"/>
    <n v="83904.313569999998"/>
    <n v="0"/>
    <n v="309572.81274273375"/>
    <n v="174795.20869688466"/>
  </r>
  <r>
    <s v="PROJETADO"/>
    <x v="4"/>
    <x v="4"/>
    <x v="6"/>
    <x v="3"/>
    <x v="0"/>
    <x v="1"/>
    <x v="0"/>
    <x v="11"/>
    <n v="0"/>
    <n v="0"/>
    <n v="-11.718"/>
    <n v="-11.718"/>
    <n v="-11.718"/>
    <n v="-11.718"/>
    <n v="-21"/>
    <x v="1"/>
    <n v="0"/>
    <n v="0"/>
    <n v="28"/>
    <n v="81"/>
    <n v="0"/>
    <n v="132.01"/>
    <n v="37.729999999999997"/>
    <m/>
    <n v="139.20836400191462"/>
    <n v="78.601718356605559"/>
    <n v="0"/>
    <n v="-1546.8931799999998"/>
    <n v="-442.12013999999994"/>
    <n v="0"/>
    <n v="-1631.2436093744354"/>
    <n v="-921.05493570270392"/>
  </r>
  <r>
    <s v="Regular"/>
    <x v="4"/>
    <x v="4"/>
    <x v="6"/>
    <x v="4"/>
    <x v="0"/>
    <x v="1"/>
    <x v="0"/>
    <x v="0"/>
    <n v="0"/>
    <n v="0"/>
    <n v="1317.2180000000001"/>
    <n v="1317.2180000000001"/>
    <n v="1317.2180000000001"/>
    <n v="1317.2180000000001"/>
    <n v="5849"/>
    <x v="1"/>
    <n v="0"/>
    <n v="0"/>
    <n v="29"/>
    <n v="82"/>
    <n v="0"/>
    <n v="226.31"/>
    <n v="64.67"/>
    <m/>
    <n v="238.6429097175679"/>
    <n v="134.74580289703809"/>
    <n v="0"/>
    <n v="298099.60558000003"/>
    <n v="85184.488060000003"/>
    <n v="0"/>
    <n v="314344.73625235539"/>
    <n v="177489.59700043072"/>
  </r>
  <r>
    <s v="Refaturamento - Regular"/>
    <x v="4"/>
    <x v="4"/>
    <x v="6"/>
    <x v="4"/>
    <x v="0"/>
    <x v="1"/>
    <x v="0"/>
    <x v="0"/>
    <n v="0"/>
    <n v="0"/>
    <n v="-4.6029999999999998"/>
    <n v="-4.6029999999999998"/>
    <n v="-4.6029999999999998"/>
    <n v="-4.6029999999999998"/>
    <n v="16"/>
    <x v="1"/>
    <n v="0"/>
    <n v="0"/>
    <n v="29"/>
    <n v="82"/>
    <n v="0"/>
    <n v="226.31"/>
    <n v="64.67"/>
    <m/>
    <n v="238.6429097175679"/>
    <n v="134.74580289703809"/>
    <n v="0"/>
    <n v="-1041.7049299999999"/>
    <n v="-297.67601000000002"/>
    <n v="0"/>
    <n v="-1098.4733134299649"/>
    <n v="-620.23493073506631"/>
  </r>
  <r>
    <s v="Regular"/>
    <x v="4"/>
    <x v="4"/>
    <x v="6"/>
    <x v="4"/>
    <x v="0"/>
    <x v="1"/>
    <x v="0"/>
    <x v="1"/>
    <n v="0"/>
    <n v="0"/>
    <n v="1504.6690000000001"/>
    <n v="1504.6690000000001"/>
    <n v="1504.6690000000001"/>
    <n v="1504.6690000000001"/>
    <n v="7343"/>
    <x v="1"/>
    <n v="0"/>
    <n v="0"/>
    <n v="29"/>
    <n v="82"/>
    <n v="0"/>
    <n v="226.31"/>
    <n v="64.67"/>
    <m/>
    <n v="238.6429097175679"/>
    <n v="134.74580289703809"/>
    <n v="0"/>
    <n v="340521.64139"/>
    <n v="97306.944230000008"/>
    <n v="0"/>
    <n v="359078.58832182322"/>
    <n v="202747.83249928342"/>
  </r>
  <r>
    <s v="Refaturamento - Regular"/>
    <x v="4"/>
    <x v="4"/>
    <x v="6"/>
    <x v="4"/>
    <x v="0"/>
    <x v="1"/>
    <x v="0"/>
    <x v="1"/>
    <n v="0"/>
    <n v="0"/>
    <n v="-9.2029999999999994"/>
    <n v="-9.2029999999999994"/>
    <n v="-9.2029999999999994"/>
    <n v="-9.2029999999999994"/>
    <n v="-9"/>
    <x v="1"/>
    <n v="0"/>
    <n v="0"/>
    <n v="29"/>
    <n v="82"/>
    <n v="0"/>
    <n v="226.31"/>
    <n v="64.67"/>
    <m/>
    <n v="238.6429097175679"/>
    <n v="134.74580289703809"/>
    <n v="0"/>
    <n v="-2082.7309299999997"/>
    <n v="-595.15800999999999"/>
    <n v="0"/>
    <n v="-2196.2306981307775"/>
    <n v="-1240.0656240614414"/>
  </r>
  <r>
    <s v="Regular"/>
    <x v="4"/>
    <x v="4"/>
    <x v="6"/>
    <x v="4"/>
    <x v="0"/>
    <x v="1"/>
    <x v="0"/>
    <x v="2"/>
    <n v="0"/>
    <n v="0"/>
    <n v="1523.7850000000001"/>
    <n v="1523.7850000000001"/>
    <n v="1523.7850000000001"/>
    <n v="1523.7850000000001"/>
    <n v="8117"/>
    <x v="1"/>
    <n v="0"/>
    <n v="0"/>
    <n v="29"/>
    <n v="82"/>
    <n v="0"/>
    <n v="226.31"/>
    <n v="64.67"/>
    <m/>
    <n v="238.6429097175679"/>
    <n v="134.74580289703809"/>
    <n v="0"/>
    <n v="344847.78335000004"/>
    <n v="98543.175950000004"/>
    <n v="0"/>
    <n v="363640.48618398421"/>
    <n v="205323.63326746318"/>
  </r>
  <r>
    <s v="Refaturamento - Regular"/>
    <x v="4"/>
    <x v="4"/>
    <x v="6"/>
    <x v="4"/>
    <x v="0"/>
    <x v="1"/>
    <x v="0"/>
    <x v="2"/>
    <n v="0"/>
    <n v="0"/>
    <n v="-7.7850000000000001"/>
    <n v="-7.7850000000000001"/>
    <n v="-7.7850000000000001"/>
    <n v="-7.7850000000000001"/>
    <n v="14"/>
    <x v="1"/>
    <n v="0"/>
    <n v="0"/>
    <n v="29"/>
    <n v="82"/>
    <n v="0"/>
    <n v="226.31"/>
    <n v="64.67"/>
    <m/>
    <n v="238.6429097175679"/>
    <n v="134.74580289703809"/>
    <n v="0"/>
    <n v="-1761.8233500000001"/>
    <n v="-503.45595000000003"/>
    <n v="0"/>
    <n v="-1857.8350521512662"/>
    <n v="-1048.9960755534416"/>
  </r>
  <r>
    <s v="Regular"/>
    <x v="4"/>
    <x v="4"/>
    <x v="6"/>
    <x v="4"/>
    <x v="0"/>
    <x v="1"/>
    <x v="0"/>
    <x v="3"/>
    <n v="0"/>
    <n v="0"/>
    <n v="1548.165"/>
    <n v="1548.165"/>
    <n v="1548.165"/>
    <n v="1548.165"/>
    <n v="7631"/>
    <x v="1"/>
    <n v="0"/>
    <n v="0"/>
    <n v="29"/>
    <n v="82"/>
    <n v="0"/>
    <n v="226.31"/>
    <n v="64.67"/>
    <m/>
    <n v="238.6429097175679"/>
    <n v="134.74580289703809"/>
    <n v="0"/>
    <n v="350365.22115"/>
    <n v="100119.83055"/>
    <n v="0"/>
    <n v="369458.60032289848"/>
    <n v="208608.73594209296"/>
  </r>
  <r>
    <s v="Refaturamento - Regular"/>
    <x v="4"/>
    <x v="4"/>
    <x v="6"/>
    <x v="4"/>
    <x v="0"/>
    <x v="1"/>
    <x v="0"/>
    <x v="3"/>
    <n v="0"/>
    <n v="0"/>
    <n v="-14.787000000000001"/>
    <n v="-14.787000000000001"/>
    <n v="-14.787000000000001"/>
    <n v="-14.787000000000001"/>
    <n v="-63"/>
    <x v="1"/>
    <n v="0"/>
    <n v="0"/>
    <n v="29"/>
    <n v="82"/>
    <n v="0"/>
    <n v="226.31"/>
    <n v="64.67"/>
    <m/>
    <n v="238.6429097175679"/>
    <n v="134.74580289703809"/>
    <n v="0"/>
    <n v="-3346.4459700000002"/>
    <n v="-956.27529000000004"/>
    <n v="0"/>
    <n v="-3528.8127059936769"/>
    <n v="-1992.4861874385024"/>
  </r>
  <r>
    <s v="Regular"/>
    <x v="4"/>
    <x v="4"/>
    <x v="6"/>
    <x v="4"/>
    <x v="0"/>
    <x v="1"/>
    <x v="0"/>
    <x v="4"/>
    <n v="0"/>
    <n v="0"/>
    <n v="1651.316"/>
    <n v="1651.316"/>
    <n v="1651.316"/>
    <n v="1651.316"/>
    <n v="8321"/>
    <x v="1"/>
    <n v="0"/>
    <n v="0"/>
    <n v="29"/>
    <n v="82"/>
    <n v="0"/>
    <n v="226.31"/>
    <n v="64.67"/>
    <m/>
    <n v="238.6429097175679"/>
    <n v="134.74580289703809"/>
    <n v="0"/>
    <n v="373709.32396000001"/>
    <n v="106790.60572000001"/>
    <n v="0"/>
    <n v="394074.85510317539"/>
    <n v="222507.90025672535"/>
  </r>
  <r>
    <s v="Refaturamento - Regular"/>
    <x v="4"/>
    <x v="4"/>
    <x v="6"/>
    <x v="4"/>
    <x v="0"/>
    <x v="1"/>
    <x v="0"/>
    <x v="4"/>
    <n v="0"/>
    <n v="0"/>
    <n v="-14.840999999999999"/>
    <n v="-14.840999999999999"/>
    <n v="-14.840999999999999"/>
    <n v="-14.840999999999999"/>
    <n v="-9"/>
    <x v="1"/>
    <n v="0"/>
    <n v="0"/>
    <n v="29"/>
    <n v="82"/>
    <n v="0"/>
    <n v="226.31"/>
    <n v="64.67"/>
    <m/>
    <n v="238.6429097175679"/>
    <n v="134.74580289703809"/>
    <n v="0"/>
    <n v="-3358.66671"/>
    <n v="-959.76747"/>
    <n v="0"/>
    <n v="-3541.6994231184249"/>
    <n v="-1999.7624607949422"/>
  </r>
  <r>
    <s v="Regular"/>
    <x v="4"/>
    <x v="4"/>
    <x v="6"/>
    <x v="4"/>
    <x v="0"/>
    <x v="1"/>
    <x v="0"/>
    <x v="5"/>
    <n v="0"/>
    <n v="0"/>
    <n v="1662.25"/>
    <n v="1662.25"/>
    <n v="1662.25"/>
    <n v="1662.25"/>
    <n v="7645"/>
    <x v="1"/>
    <n v="0"/>
    <n v="0"/>
    <n v="29"/>
    <n v="82"/>
    <n v="0"/>
    <n v="226.31"/>
    <n v="64.67"/>
    <m/>
    <n v="238.6429097175679"/>
    <n v="134.74580289703809"/>
    <n v="0"/>
    <n v="376183.79749999999"/>
    <n v="107497.7075"/>
    <n v="0"/>
    <n v="396684.17667802726"/>
    <n v="223981.21086560158"/>
  </r>
  <r>
    <s v="Refaturamento - Regular"/>
    <x v="4"/>
    <x v="4"/>
    <x v="6"/>
    <x v="4"/>
    <x v="0"/>
    <x v="1"/>
    <x v="0"/>
    <x v="5"/>
    <n v="0"/>
    <n v="0"/>
    <n v="-8.1579999999999995"/>
    <n v="-8.1579999999999995"/>
    <n v="-8.1579999999999995"/>
    <n v="-8.1579999999999995"/>
    <n v="9"/>
    <x v="1"/>
    <n v="0"/>
    <n v="0"/>
    <n v="29"/>
    <n v="82"/>
    <n v="0"/>
    <n v="226.31"/>
    <n v="64.67"/>
    <m/>
    <n v="238.6429097175679"/>
    <n v="134.74580289703809"/>
    <n v="0"/>
    <n v="-1846.2369799999999"/>
    <n v="-527.57785999999999"/>
    <n v="0"/>
    <n v="-1946.8488574759187"/>
    <n v="-1099.2562600340366"/>
  </r>
  <r>
    <s v="Regular"/>
    <x v="4"/>
    <x v="4"/>
    <x v="6"/>
    <x v="4"/>
    <x v="0"/>
    <x v="1"/>
    <x v="0"/>
    <x v="6"/>
    <n v="0"/>
    <n v="0"/>
    <n v="1752.2"/>
    <n v="1752.2"/>
    <n v="1752.2"/>
    <n v="1752.2"/>
    <n v="7669"/>
    <x v="1"/>
    <n v="0"/>
    <n v="0"/>
    <n v="29"/>
    <n v="82"/>
    <n v="0"/>
    <n v="226.31"/>
    <n v="64.67"/>
    <m/>
    <n v="238.6429097175679"/>
    <n v="134.74580289703809"/>
    <n v="0"/>
    <n v="396540.38200000004"/>
    <n v="113314.774"/>
    <n v="0"/>
    <n v="418150.10640712251"/>
    <n v="236101.59583619016"/>
  </r>
  <r>
    <s v="Refaturamento - Regular"/>
    <x v="4"/>
    <x v="4"/>
    <x v="6"/>
    <x v="4"/>
    <x v="0"/>
    <x v="1"/>
    <x v="0"/>
    <x v="6"/>
    <n v="0"/>
    <n v="0"/>
    <n v="-8.2530000000000001"/>
    <n v="-8.2530000000000001"/>
    <n v="-8.2530000000000001"/>
    <n v="-8.2530000000000001"/>
    <n v="-51"/>
    <x v="1"/>
    <n v="0"/>
    <n v="0"/>
    <n v="29"/>
    <n v="82"/>
    <n v="0"/>
    <n v="226.31"/>
    <n v="64.67"/>
    <m/>
    <n v="238.6429097175679"/>
    <n v="134.74580289703809"/>
    <n v="0"/>
    <n v="-1867.7364300000002"/>
    <n v="-533.72150999999997"/>
    <n v="0"/>
    <n v="-1969.5199338990878"/>
    <n v="-1112.0571113092553"/>
  </r>
  <r>
    <s v="Regular"/>
    <x v="4"/>
    <x v="4"/>
    <x v="6"/>
    <x v="4"/>
    <x v="0"/>
    <x v="1"/>
    <x v="0"/>
    <x v="7"/>
    <n v="0"/>
    <n v="0"/>
    <n v="1832.152"/>
    <n v="1832.152"/>
    <n v="1832.152"/>
    <n v="1832.152"/>
    <n v="7922"/>
    <x v="1"/>
    <n v="0"/>
    <n v="0"/>
    <n v="29"/>
    <n v="82"/>
    <n v="0"/>
    <n v="226.31"/>
    <n v="64.67"/>
    <m/>
    <n v="238.6429097175679"/>
    <n v="134.74580289703809"/>
    <n v="0"/>
    <n v="414634.31912"/>
    <n v="118485.26984000001"/>
    <n v="0"/>
    <n v="437230.08432486147"/>
    <n v="246874.79226941415"/>
  </r>
  <r>
    <s v="Refaturamento - Regular"/>
    <x v="4"/>
    <x v="4"/>
    <x v="6"/>
    <x v="4"/>
    <x v="0"/>
    <x v="1"/>
    <x v="0"/>
    <x v="7"/>
    <n v="0"/>
    <n v="0"/>
    <n v="-5.266"/>
    <n v="-5.266"/>
    <n v="-5.266"/>
    <n v="-5.266"/>
    <n v="-3"/>
    <x v="1"/>
    <n v="0"/>
    <n v="0"/>
    <n v="29"/>
    <n v="82"/>
    <n v="0"/>
    <n v="226.31"/>
    <n v="64.67"/>
    <m/>
    <n v="238.6429097175679"/>
    <n v="134.74580289703809"/>
    <n v="0"/>
    <n v="-1191.74846"/>
    <n v="-340.55222000000003"/>
    <n v="0"/>
    <n v="-1256.6935625727126"/>
    <n v="-709.57139805580255"/>
  </r>
  <r>
    <s v="Regular"/>
    <x v="4"/>
    <x v="4"/>
    <x v="6"/>
    <x v="4"/>
    <x v="0"/>
    <x v="1"/>
    <x v="0"/>
    <x v="8"/>
    <n v="0"/>
    <n v="0"/>
    <n v="1927.788"/>
    <n v="1927.788"/>
    <n v="1927.788"/>
    <n v="1927.788"/>
    <n v="7662"/>
    <x v="1"/>
    <n v="0"/>
    <n v="0"/>
    <n v="29"/>
    <n v="82"/>
    <n v="0"/>
    <n v="226.31"/>
    <n v="64.67"/>
    <m/>
    <n v="238.6429097175679"/>
    <n v="134.74580289703809"/>
    <n v="0"/>
    <n v="436277.70228000003"/>
    <n v="124670.04996"/>
    <n v="0"/>
    <n v="460052.93763861078"/>
    <n v="259761.34187527528"/>
  </r>
  <r>
    <s v="Refaturamento - Regular"/>
    <x v="4"/>
    <x v="4"/>
    <x v="6"/>
    <x v="4"/>
    <x v="0"/>
    <x v="1"/>
    <x v="0"/>
    <x v="8"/>
    <n v="0"/>
    <n v="0"/>
    <n v="-12.115"/>
    <n v="-12.115"/>
    <n v="-12.115"/>
    <n v="-12.115"/>
    <n v="17"/>
    <x v="1"/>
    <n v="0"/>
    <n v="0"/>
    <n v="29"/>
    <n v="82"/>
    <n v="0"/>
    <n v="226.31"/>
    <n v="64.67"/>
    <m/>
    <n v="238.6429097175679"/>
    <n v="134.74580289703809"/>
    <n v="0"/>
    <n v="-2741.7456500000003"/>
    <n v="-783.47705000000008"/>
    <n v="0"/>
    <n v="-2891.1588512283352"/>
    <n v="-1632.4454020976166"/>
  </r>
  <r>
    <s v="Regular"/>
    <x v="4"/>
    <x v="4"/>
    <x v="6"/>
    <x v="4"/>
    <x v="0"/>
    <x v="1"/>
    <x v="0"/>
    <x v="9"/>
    <n v="0"/>
    <n v="0"/>
    <n v="2150.6619999999998"/>
    <n v="2150.6619999999998"/>
    <n v="2150.6619999999998"/>
    <n v="2150.6619999999998"/>
    <n v="7870"/>
    <x v="1"/>
    <n v="0"/>
    <n v="0"/>
    <n v="29"/>
    <n v="82"/>
    <n v="0"/>
    <n v="226.31"/>
    <n v="64.67"/>
    <m/>
    <n v="238.6429097175679"/>
    <n v="134.74580289703809"/>
    <n v="0"/>
    <n v="486716.31721999997"/>
    <n v="139083.31154"/>
    <n v="0"/>
    <n v="513240.237499004"/>
    <n v="289792.67795014969"/>
  </r>
  <r>
    <s v="Refaturamento - Regular"/>
    <x v="4"/>
    <x v="4"/>
    <x v="6"/>
    <x v="4"/>
    <x v="0"/>
    <x v="1"/>
    <x v="0"/>
    <x v="9"/>
    <n v="0"/>
    <n v="0"/>
    <n v="-6.8410000000000002"/>
    <n v="-6.8410000000000002"/>
    <n v="-6.8410000000000002"/>
    <n v="-6.8410000000000002"/>
    <n v="-117"/>
    <x v="1"/>
    <n v="0"/>
    <n v="0"/>
    <n v="29"/>
    <n v="82"/>
    <n v="0"/>
    <n v="226.31"/>
    <n v="64.67"/>
    <m/>
    <n v="238.6429097175679"/>
    <n v="134.74580289703809"/>
    <n v="0"/>
    <n v="-1548.1867099999999"/>
    <n v="-442.40747000000005"/>
    <n v="0"/>
    <n v="-1632.5561453778821"/>
    <n v="-921.79603761863757"/>
  </r>
  <r>
    <s v="Regular"/>
    <x v="4"/>
    <x v="4"/>
    <x v="6"/>
    <x v="4"/>
    <x v="0"/>
    <x v="1"/>
    <x v="0"/>
    <x v="10"/>
    <n v="0"/>
    <n v="0"/>
    <n v="2597.5"/>
    <n v="2597.5"/>
    <n v="2597.5"/>
    <n v="2597.5"/>
    <n v="8914"/>
    <x v="1"/>
    <n v="0"/>
    <n v="0"/>
    <n v="29"/>
    <n v="82"/>
    <n v="0"/>
    <n v="226.31"/>
    <n v="64.67"/>
    <m/>
    <n v="238.6429097175679"/>
    <n v="134.74580289703809"/>
    <n v="0"/>
    <n v="587840.22499999998"/>
    <n v="167980.32500000001"/>
    <n v="0"/>
    <n v="619874.95799138257"/>
    <n v="350002.22302505642"/>
  </r>
  <r>
    <s v="Refaturamento - Regular"/>
    <x v="4"/>
    <x v="4"/>
    <x v="6"/>
    <x v="4"/>
    <x v="0"/>
    <x v="1"/>
    <x v="0"/>
    <x v="10"/>
    <n v="0"/>
    <n v="0"/>
    <n v="-3.2989999999999999"/>
    <n v="-3.2989999999999999"/>
    <n v="-3.2989999999999999"/>
    <n v="-3.2989999999999999"/>
    <n v="8"/>
    <x v="1"/>
    <n v="0"/>
    <n v="0"/>
    <n v="29"/>
    <n v="82"/>
    <n v="0"/>
    <n v="226.31"/>
    <n v="64.67"/>
    <m/>
    <n v="238.6429097175679"/>
    <n v="134.74580289703809"/>
    <n v="0"/>
    <n v="-746.59668999999997"/>
    <n v="-213.34632999999999"/>
    <n v="0"/>
    <n v="-787.28295915825652"/>
    <n v="-444.52640375732864"/>
  </r>
  <r>
    <s v="PROJETADO"/>
    <x v="4"/>
    <x v="4"/>
    <x v="6"/>
    <x v="4"/>
    <x v="0"/>
    <x v="1"/>
    <x v="0"/>
    <x v="11"/>
    <n v="0"/>
    <n v="0"/>
    <n v="2597.5"/>
    <n v="2597.5"/>
    <n v="2597.5"/>
    <n v="2597.5"/>
    <n v="8914"/>
    <x v="1"/>
    <n v="0"/>
    <n v="0"/>
    <n v="29"/>
    <n v="82"/>
    <n v="0"/>
    <n v="226.31"/>
    <n v="64.67"/>
    <m/>
    <n v="238.6429097175679"/>
    <n v="134.74580289703809"/>
    <n v="0"/>
    <n v="587840.22499999998"/>
    <n v="167980.32500000001"/>
    <n v="0"/>
    <n v="619874.95799138257"/>
    <n v="350002.22302505642"/>
  </r>
  <r>
    <s v="PROJETADO"/>
    <x v="4"/>
    <x v="4"/>
    <x v="6"/>
    <x v="4"/>
    <x v="0"/>
    <x v="1"/>
    <x v="0"/>
    <x v="11"/>
    <n v="0"/>
    <n v="0"/>
    <n v="-3.2989999999999999"/>
    <n v="-3.2989999999999999"/>
    <n v="-3.2989999999999999"/>
    <n v="-3.2989999999999999"/>
    <n v="8"/>
    <x v="1"/>
    <n v="0"/>
    <n v="0"/>
    <n v="29"/>
    <n v="82"/>
    <n v="0"/>
    <n v="226.31"/>
    <n v="64.67"/>
    <m/>
    <n v="238.6429097175679"/>
    <n v="134.74580289703809"/>
    <n v="0"/>
    <n v="-746.59668999999997"/>
    <n v="-213.34632999999999"/>
    <n v="0"/>
    <n v="-787.28295915825652"/>
    <n v="-444.52640375732864"/>
  </r>
  <r>
    <s v="Regular"/>
    <x v="4"/>
    <x v="4"/>
    <x v="6"/>
    <x v="5"/>
    <x v="0"/>
    <x v="1"/>
    <x v="0"/>
    <x v="0"/>
    <n v="0"/>
    <n v="0"/>
    <n v="1446.778"/>
    <n v="1446.778"/>
    <n v="1446.778"/>
    <n v="1446.778"/>
    <n v="7434"/>
    <x v="1"/>
    <n v="0"/>
    <n v="0"/>
    <n v="32"/>
    <n v="83"/>
    <n v="0"/>
    <n v="339.46"/>
    <n v="97.01"/>
    <m/>
    <n v="357.9643645763519"/>
    <n v="202.11870434555718"/>
    <n v="0"/>
    <n v="491123.25987999997"/>
    <n v="140351.93378000002"/>
    <n v="0"/>
    <n v="517894.96745304525"/>
    <n v="292420.89483565651"/>
  </r>
  <r>
    <s v="Refaturamento - Regular"/>
    <x v="4"/>
    <x v="4"/>
    <x v="6"/>
    <x v="5"/>
    <x v="0"/>
    <x v="1"/>
    <x v="0"/>
    <x v="0"/>
    <n v="0"/>
    <n v="0"/>
    <n v="-7.7969999999999997"/>
    <n v="-7.7969999999999997"/>
    <n v="-7.7969999999999997"/>
    <n v="-7.7969999999999997"/>
    <n v="-9"/>
    <x v="1"/>
    <n v="0"/>
    <n v="0"/>
    <n v="32"/>
    <n v="83"/>
    <n v="0"/>
    <n v="339.46"/>
    <n v="97.01"/>
    <m/>
    <n v="357.9643645763519"/>
    <n v="202.11870434555718"/>
    <n v="0"/>
    <n v="-2646.7696199999996"/>
    <n v="-756.38697000000002"/>
    <n v="0"/>
    <n v="-2791.0481506018155"/>
    <n v="-1575.9195377823094"/>
  </r>
  <r>
    <s v="Regular"/>
    <x v="4"/>
    <x v="4"/>
    <x v="6"/>
    <x v="5"/>
    <x v="0"/>
    <x v="1"/>
    <x v="0"/>
    <x v="1"/>
    <n v="0"/>
    <n v="0"/>
    <n v="1583.713"/>
    <n v="1583.713"/>
    <n v="1583.713"/>
    <n v="1583.713"/>
    <n v="8831"/>
    <x v="1"/>
    <n v="0"/>
    <n v="0"/>
    <n v="32"/>
    <n v="83"/>
    <n v="0"/>
    <n v="339.46"/>
    <n v="97.01"/>
    <m/>
    <n v="357.9643645763519"/>
    <n v="202.11870434555718"/>
    <n v="0"/>
    <n v="537607.21497999993"/>
    <n v="153635.99812999999"/>
    <n v="0"/>
    <n v="566912.81771630794"/>
    <n v="320098.01961521537"/>
  </r>
  <r>
    <s v="Refaturamento - Regular"/>
    <x v="4"/>
    <x v="4"/>
    <x v="6"/>
    <x v="5"/>
    <x v="0"/>
    <x v="1"/>
    <x v="0"/>
    <x v="1"/>
    <n v="0"/>
    <n v="0"/>
    <n v="-14.875999999999999"/>
    <n v="-14.875999999999999"/>
    <n v="-14.875999999999999"/>
    <n v="-14.875999999999999"/>
    <n v="-28"/>
    <x v="1"/>
    <n v="0"/>
    <n v="0"/>
    <n v="32"/>
    <n v="83"/>
    <n v="0"/>
    <n v="339.46"/>
    <n v="97.01"/>
    <m/>
    <n v="357.9643645763519"/>
    <n v="202.11870434555718"/>
    <n v="0"/>
    <n v="-5049.8069599999999"/>
    <n v="-1443.12076"/>
    <n v="0"/>
    <n v="-5325.0778874378102"/>
    <n v="-3006.7178458445082"/>
  </r>
  <r>
    <s v="Regular"/>
    <x v="4"/>
    <x v="4"/>
    <x v="6"/>
    <x v="5"/>
    <x v="0"/>
    <x v="1"/>
    <x v="0"/>
    <x v="2"/>
    <n v="0"/>
    <n v="0"/>
    <n v="1502.5309999999999"/>
    <n v="1502.5309999999999"/>
    <n v="1502.5309999999999"/>
    <n v="1502.5309999999999"/>
    <n v="9634"/>
    <x v="1"/>
    <n v="0"/>
    <n v="0"/>
    <n v="32"/>
    <n v="83"/>
    <n v="0"/>
    <n v="339.46"/>
    <n v="97.01"/>
    <m/>
    <n v="357.9643645763519"/>
    <n v="202.11870434555718"/>
    <n v="0"/>
    <n v="510049.17325999995"/>
    <n v="145760.53231000001"/>
    <n v="0"/>
    <n v="537852.55467127054"/>
    <n v="303689.61895903439"/>
  </r>
  <r>
    <s v="Refaturamento - Regular"/>
    <x v="4"/>
    <x v="4"/>
    <x v="6"/>
    <x v="5"/>
    <x v="0"/>
    <x v="1"/>
    <x v="0"/>
    <x v="2"/>
    <n v="0"/>
    <n v="0"/>
    <n v="-10.614000000000001"/>
    <n v="-10.614000000000001"/>
    <n v="-10.614000000000001"/>
    <n v="-10.614000000000001"/>
    <n v="-19"/>
    <x v="1"/>
    <n v="0"/>
    <n v="0"/>
    <n v="32"/>
    <n v="83"/>
    <n v="0"/>
    <n v="339.46"/>
    <n v="97.01"/>
    <m/>
    <n v="357.9643645763519"/>
    <n v="202.11870434555718"/>
    <n v="0"/>
    <n v="-3603.02844"/>
    <n v="-1029.6641400000001"/>
    <n v="0"/>
    <n v="-3799.4337656133994"/>
    <n v="-2145.2879279237441"/>
  </r>
  <r>
    <s v="Regular"/>
    <x v="4"/>
    <x v="4"/>
    <x v="6"/>
    <x v="5"/>
    <x v="0"/>
    <x v="1"/>
    <x v="0"/>
    <x v="3"/>
    <n v="0"/>
    <n v="0"/>
    <n v="1598.336"/>
    <n v="1598.336"/>
    <n v="1598.336"/>
    <n v="1598.336"/>
    <n v="9376"/>
    <x v="1"/>
    <n v="0"/>
    <n v="0"/>
    <n v="32"/>
    <n v="83"/>
    <n v="0"/>
    <n v="339.46"/>
    <n v="97.01"/>
    <m/>
    <n v="357.9643645763519"/>
    <n v="202.11870434555718"/>
    <n v="0"/>
    <n v="542571.13855999999"/>
    <n v="155054.57536000002"/>
    <n v="0"/>
    <n v="572147.33061950793"/>
    <n v="323053.60142886045"/>
  </r>
  <r>
    <s v="Refaturamento - Regular"/>
    <x v="4"/>
    <x v="4"/>
    <x v="6"/>
    <x v="5"/>
    <x v="0"/>
    <x v="1"/>
    <x v="0"/>
    <x v="3"/>
    <n v="0"/>
    <n v="0"/>
    <n v="-18.271999999999998"/>
    <n v="-18.271999999999998"/>
    <n v="-18.271999999999998"/>
    <n v="-18.271999999999998"/>
    <n v="-46"/>
    <x v="1"/>
    <n v="0"/>
    <n v="0"/>
    <n v="32"/>
    <n v="83"/>
    <n v="0"/>
    <n v="339.46"/>
    <n v="97.01"/>
    <m/>
    <n v="357.9643645763519"/>
    <n v="202.11870434555718"/>
    <n v="0"/>
    <n v="-6202.6131199999991"/>
    <n v="-1772.56672"/>
    <n v="0"/>
    <n v="-6540.7248695391017"/>
    <n v="-3693.1129658020204"/>
  </r>
  <r>
    <s v="Regular"/>
    <x v="4"/>
    <x v="4"/>
    <x v="6"/>
    <x v="5"/>
    <x v="0"/>
    <x v="1"/>
    <x v="0"/>
    <x v="4"/>
    <n v="0"/>
    <n v="0"/>
    <n v="1669.4960000000001"/>
    <n v="1669.4960000000001"/>
    <n v="1669.4960000000001"/>
    <n v="1669.4960000000001"/>
    <n v="10349"/>
    <x v="1"/>
    <n v="0"/>
    <n v="0"/>
    <n v="32"/>
    <n v="83"/>
    <n v="0"/>
    <n v="339.46"/>
    <n v="97.01"/>
    <m/>
    <n v="357.9643645763519"/>
    <n v="202.11870434555718"/>
    <n v="0"/>
    <n v="566727.11216000002"/>
    <n v="161957.80696000002"/>
    <n v="0"/>
    <n v="597620.0748027612"/>
    <n v="337436.36843009037"/>
  </r>
  <r>
    <s v="Refaturamento - Regular"/>
    <x v="4"/>
    <x v="4"/>
    <x v="6"/>
    <x v="5"/>
    <x v="0"/>
    <x v="1"/>
    <x v="0"/>
    <x v="4"/>
    <n v="0"/>
    <n v="0"/>
    <n v="-22.542000000000002"/>
    <n v="-22.542000000000002"/>
    <n v="-22.542000000000002"/>
    <n v="-22.542000000000002"/>
    <n v="-23"/>
    <x v="1"/>
    <n v="0"/>
    <n v="0"/>
    <n v="32"/>
    <n v="83"/>
    <n v="0"/>
    <n v="339.46"/>
    <n v="97.01"/>
    <m/>
    <n v="357.9643645763519"/>
    <n v="202.11870434555718"/>
    <n v="0"/>
    <n v="-7652.1073200000001"/>
    <n v="-2186.7994200000003"/>
    <n v="0"/>
    <n v="-8069.2327062801251"/>
    <n v="-4556.1598333575503"/>
  </r>
  <r>
    <s v="Regular"/>
    <x v="4"/>
    <x v="4"/>
    <x v="6"/>
    <x v="5"/>
    <x v="0"/>
    <x v="1"/>
    <x v="0"/>
    <x v="5"/>
    <n v="0"/>
    <n v="0"/>
    <n v="1776.654"/>
    <n v="1776.654"/>
    <n v="1776.654"/>
    <n v="1776.654"/>
    <n v="9812"/>
    <x v="1"/>
    <n v="0"/>
    <n v="0"/>
    <n v="32"/>
    <n v="83"/>
    <n v="0"/>
    <n v="339.46"/>
    <n v="97.01"/>
    <m/>
    <n v="357.9643645763519"/>
    <n v="202.11870434555718"/>
    <n v="0"/>
    <n v="603102.96684000001"/>
    <n v="172353.20454000001"/>
    <n v="0"/>
    <n v="635978.82018203393"/>
    <n v="359095.00455035153"/>
  </r>
  <r>
    <s v="Refaturamento - Regular"/>
    <x v="4"/>
    <x v="4"/>
    <x v="6"/>
    <x v="5"/>
    <x v="0"/>
    <x v="1"/>
    <x v="0"/>
    <x v="5"/>
    <n v="0"/>
    <n v="0"/>
    <n v="-13.287000000000001"/>
    <n v="-13.287000000000001"/>
    <n v="-13.287000000000001"/>
    <n v="-13.287000000000001"/>
    <n v="-16"/>
    <x v="1"/>
    <n v="0"/>
    <n v="0"/>
    <n v="32"/>
    <n v="83"/>
    <n v="0"/>
    <n v="339.46"/>
    <n v="97.01"/>
    <m/>
    <n v="357.9643645763519"/>
    <n v="202.11870434555718"/>
    <n v="0"/>
    <n v="-4510.4050200000001"/>
    <n v="-1288.9718700000001"/>
    <n v="0"/>
    <n v="-4756.2725121259882"/>
    <n v="-2685.5512246394183"/>
  </r>
  <r>
    <s v="Regular"/>
    <x v="4"/>
    <x v="4"/>
    <x v="6"/>
    <x v="5"/>
    <x v="0"/>
    <x v="1"/>
    <x v="0"/>
    <x v="6"/>
    <n v="0"/>
    <n v="0"/>
    <n v="1894.8389999999999"/>
    <n v="1894.8389999999999"/>
    <n v="1894.8389999999999"/>
    <n v="1894.8389999999999"/>
    <n v="10274"/>
    <x v="1"/>
    <n v="0"/>
    <n v="0"/>
    <n v="32"/>
    <n v="83"/>
    <n v="0"/>
    <n v="339.46"/>
    <n v="97.01"/>
    <m/>
    <n v="357.9643645763519"/>
    <n v="202.11870434555718"/>
    <n v="0"/>
    <n v="643222.04693999991"/>
    <n v="183818.33139000001"/>
    <n v="0"/>
    <n v="678284.83860949008"/>
    <n v="382982.40362343122"/>
  </r>
  <r>
    <s v="Refaturamento - Regular"/>
    <x v="4"/>
    <x v="4"/>
    <x v="6"/>
    <x v="5"/>
    <x v="0"/>
    <x v="1"/>
    <x v="0"/>
    <x v="6"/>
    <n v="0"/>
    <n v="0"/>
    <n v="-7.3659999999999997"/>
    <n v="-7.3659999999999997"/>
    <n v="-7.3659999999999997"/>
    <n v="-7.3659999999999997"/>
    <n v="-59"/>
    <x v="1"/>
    <n v="0"/>
    <n v="0"/>
    <n v="32"/>
    <n v="83"/>
    <n v="0"/>
    <n v="339.46"/>
    <n v="97.01"/>
    <m/>
    <n v="357.9643645763519"/>
    <n v="202.11870434555718"/>
    <n v="0"/>
    <n v="-2500.4623599999995"/>
    <n v="-714.57565999999997"/>
    <n v="0"/>
    <n v="-2636.7655094694078"/>
    <n v="-1488.8063762093741"/>
  </r>
  <r>
    <s v="Regular"/>
    <x v="4"/>
    <x v="4"/>
    <x v="6"/>
    <x v="5"/>
    <x v="0"/>
    <x v="1"/>
    <x v="0"/>
    <x v="7"/>
    <n v="0"/>
    <n v="0"/>
    <n v="1965.155"/>
    <n v="1965.155"/>
    <n v="1965.155"/>
    <n v="1965.155"/>
    <n v="10991"/>
    <x v="1"/>
    <n v="0"/>
    <n v="0"/>
    <n v="32"/>
    <n v="83"/>
    <n v="0"/>
    <n v="339.46"/>
    <n v="97.01"/>
    <m/>
    <n v="357.9643645763519"/>
    <n v="202.11870434555718"/>
    <n v="0"/>
    <n v="667091.5162999999"/>
    <n v="190639.68655000001"/>
    <n v="0"/>
    <n v="703455.46086904081"/>
    <n v="397194.58243819344"/>
  </r>
  <r>
    <s v="Refaturamento - Regular"/>
    <x v="4"/>
    <x v="4"/>
    <x v="6"/>
    <x v="5"/>
    <x v="0"/>
    <x v="1"/>
    <x v="0"/>
    <x v="7"/>
    <n v="0"/>
    <n v="0"/>
    <n v="-6.7290000000000001"/>
    <n v="-6.7290000000000001"/>
    <n v="-6.7290000000000001"/>
    <n v="-6.7290000000000001"/>
    <n v="-41"/>
    <x v="1"/>
    <n v="0"/>
    <n v="0"/>
    <n v="32"/>
    <n v="83"/>
    <n v="0"/>
    <n v="339.46"/>
    <n v="97.01"/>
    <m/>
    <n v="357.9643645763519"/>
    <n v="202.11870434555718"/>
    <n v="0"/>
    <n v="-2284.2263399999997"/>
    <n v="-652.78029000000004"/>
    <n v="0"/>
    <n v="-2408.7422092342717"/>
    <n v="-1360.0567615412542"/>
  </r>
  <r>
    <s v="Regular"/>
    <x v="4"/>
    <x v="4"/>
    <x v="6"/>
    <x v="5"/>
    <x v="0"/>
    <x v="1"/>
    <x v="0"/>
    <x v="8"/>
    <n v="0"/>
    <n v="0"/>
    <n v="2148.2510000000002"/>
    <n v="2148.2510000000002"/>
    <n v="2148.2510000000002"/>
    <n v="2148.2510000000002"/>
    <n v="10981"/>
    <x v="1"/>
    <n v="0"/>
    <n v="0"/>
    <n v="32"/>
    <n v="83"/>
    <n v="0"/>
    <n v="339.46"/>
    <n v="97.01"/>
    <m/>
    <n v="357.9643645763519"/>
    <n v="202.11870434555718"/>
    <n v="0"/>
    <n v="729245.28446"/>
    <n v="208401.82951000004"/>
    <n v="0"/>
    <n v="768997.30416551256"/>
    <n v="434201.70872904762"/>
  </r>
  <r>
    <s v="Refaturamento - Regular"/>
    <x v="4"/>
    <x v="4"/>
    <x v="6"/>
    <x v="5"/>
    <x v="0"/>
    <x v="1"/>
    <x v="0"/>
    <x v="8"/>
    <n v="0"/>
    <n v="0"/>
    <n v="-17.472999999999999"/>
    <n v="-17.472999999999999"/>
    <n v="-17.472999999999999"/>
    <n v="-17.472999999999999"/>
    <n v="-79"/>
    <x v="1"/>
    <n v="0"/>
    <n v="0"/>
    <n v="32"/>
    <n v="83"/>
    <n v="0"/>
    <n v="339.46"/>
    <n v="97.01"/>
    <m/>
    <n v="357.9643645763519"/>
    <n v="202.11870434555718"/>
    <n v="0"/>
    <n v="-5931.384579999999"/>
    <n v="-1695.05573"/>
    <n v="0"/>
    <n v="-6254.7113422425964"/>
    <n v="-3531.6201210299205"/>
  </r>
  <r>
    <s v="Regular"/>
    <x v="4"/>
    <x v="4"/>
    <x v="6"/>
    <x v="5"/>
    <x v="0"/>
    <x v="1"/>
    <x v="0"/>
    <x v="9"/>
    <n v="0"/>
    <n v="0"/>
    <n v="2478.875"/>
    <n v="2478.875"/>
    <n v="2478.875"/>
    <n v="2478.875"/>
    <n v="11784"/>
    <x v="1"/>
    <n v="0"/>
    <n v="0"/>
    <n v="32"/>
    <n v="83"/>
    <n v="0"/>
    <n v="339.46"/>
    <n v="97.01"/>
    <m/>
    <n v="357.9643645763519"/>
    <n v="202.11870434555718"/>
    <n v="0"/>
    <n v="841478.90749999997"/>
    <n v="240475.66375000001"/>
    <n v="0"/>
    <n v="887348.91423920426"/>
    <n v="501027.00323459302"/>
  </r>
  <r>
    <s v="Refaturamento - Regular"/>
    <x v="4"/>
    <x v="4"/>
    <x v="6"/>
    <x v="5"/>
    <x v="0"/>
    <x v="1"/>
    <x v="0"/>
    <x v="9"/>
    <n v="0"/>
    <n v="0"/>
    <n v="-6.4969999999999999"/>
    <n v="-6.4969999999999999"/>
    <n v="-6.4969999999999999"/>
    <n v="-6.4969999999999999"/>
    <n v="-8"/>
    <x v="1"/>
    <n v="0"/>
    <n v="0"/>
    <n v="32"/>
    <n v="83"/>
    <n v="0"/>
    <n v="339.46"/>
    <n v="97.01"/>
    <m/>
    <n v="357.9643645763519"/>
    <n v="202.11870434555718"/>
    <n v="0"/>
    <n v="-2205.4716199999998"/>
    <n v="-630.27397000000008"/>
    <n v="0"/>
    <n v="-2325.694476652558"/>
    <n v="-1313.1652221330849"/>
  </r>
  <r>
    <s v="Regular"/>
    <x v="4"/>
    <x v="4"/>
    <x v="6"/>
    <x v="5"/>
    <x v="0"/>
    <x v="1"/>
    <x v="0"/>
    <x v="10"/>
    <n v="0"/>
    <n v="0"/>
    <n v="3078.2750000000001"/>
    <n v="3078.2750000000001"/>
    <n v="3078.2750000000001"/>
    <n v="3078.2750000000001"/>
    <n v="13481"/>
    <x v="1"/>
    <n v="0"/>
    <n v="0"/>
    <n v="32"/>
    <n v="83"/>
    <n v="0"/>
    <n v="339.46"/>
    <n v="97.01"/>
    <m/>
    <n v="357.9643645763519"/>
    <n v="202.11870434555718"/>
    <n v="0"/>
    <n v="1044951.2315"/>
    <n v="298623.45775"/>
    <n v="0"/>
    <n v="1101912.7543662696"/>
    <n v="622176.95461931999"/>
  </r>
  <r>
    <s v="Refaturamento - Regular"/>
    <x v="4"/>
    <x v="4"/>
    <x v="6"/>
    <x v="5"/>
    <x v="0"/>
    <x v="1"/>
    <x v="0"/>
    <x v="10"/>
    <n v="0"/>
    <n v="0"/>
    <n v="-6.1369999999999996"/>
    <n v="-6.1369999999999996"/>
    <n v="-6.1369999999999996"/>
    <n v="-6.1369999999999996"/>
    <n v="4"/>
    <x v="1"/>
    <n v="0"/>
    <n v="0"/>
    <n v="32"/>
    <n v="83"/>
    <n v="0"/>
    <n v="339.46"/>
    <n v="97.01"/>
    <m/>
    <n v="357.9643645763519"/>
    <n v="202.11870434555718"/>
    <n v="0"/>
    <n v="-2083.2660199999996"/>
    <n v="-595.35037"/>
    <n v="0"/>
    <n v="-2196.8273054050715"/>
    <n v="-1240.4024885686842"/>
  </r>
  <r>
    <s v="PROJETADO"/>
    <x v="4"/>
    <x v="4"/>
    <x v="6"/>
    <x v="5"/>
    <x v="0"/>
    <x v="1"/>
    <x v="0"/>
    <x v="11"/>
    <n v="0"/>
    <n v="0"/>
    <n v="3078.2750000000001"/>
    <n v="3078.2750000000001"/>
    <n v="3078.2750000000001"/>
    <n v="3078.2750000000001"/>
    <n v="13481"/>
    <x v="1"/>
    <n v="0"/>
    <n v="0"/>
    <n v="32"/>
    <n v="83"/>
    <n v="0"/>
    <n v="339.46"/>
    <n v="97.01"/>
    <m/>
    <n v="357.9643645763519"/>
    <n v="202.11870434555718"/>
    <n v="0"/>
    <n v="1044951.2315"/>
    <n v="298623.45775"/>
    <n v="0"/>
    <n v="1101912.7543662696"/>
    <n v="622176.95461931999"/>
  </r>
  <r>
    <s v="PROJETADO"/>
    <x v="4"/>
    <x v="4"/>
    <x v="6"/>
    <x v="5"/>
    <x v="0"/>
    <x v="1"/>
    <x v="0"/>
    <x v="11"/>
    <n v="0"/>
    <n v="0"/>
    <n v="-6.1369999999999996"/>
    <n v="-6.1369999999999996"/>
    <n v="-6.1369999999999996"/>
    <n v="-6.1369999999999996"/>
    <n v="4"/>
    <x v="1"/>
    <n v="0"/>
    <n v="0"/>
    <n v="32"/>
    <n v="83"/>
    <n v="0"/>
    <n v="339.46"/>
    <n v="97.01"/>
    <m/>
    <n v="357.9643645763519"/>
    <n v="202.11870434555718"/>
    <n v="0"/>
    <n v="-2083.2660199999996"/>
    <n v="-595.35037"/>
    <n v="0"/>
    <n v="-2196.8273054050715"/>
    <n v="-1240.4024885686842"/>
  </r>
  <r>
    <s v="Regular"/>
    <x v="4"/>
    <x v="4"/>
    <x v="6"/>
    <x v="6"/>
    <x v="0"/>
    <x v="1"/>
    <x v="0"/>
    <x v="0"/>
    <n v="0"/>
    <n v="0"/>
    <n v="1796.682"/>
    <n v="1796.682"/>
    <n v="1796.682"/>
    <n v="1796.682"/>
    <n v="8573"/>
    <x v="1"/>
    <n v="0"/>
    <n v="0"/>
    <n v="33"/>
    <n v="84"/>
    <n v="0"/>
    <n v="377.18"/>
    <n v="107.79"/>
    <m/>
    <n v="397.7381828626132"/>
    <n v="224.57633816173018"/>
    <n v="0"/>
    <n v="677672.51676000003"/>
    <n v="193664.35278000002"/>
    <n v="0"/>
    <n v="714609.03386196564"/>
    <n v="403492.26440109371"/>
  </r>
  <r>
    <s v="Refaturamento - Regular"/>
    <x v="4"/>
    <x v="4"/>
    <x v="6"/>
    <x v="6"/>
    <x v="0"/>
    <x v="1"/>
    <x v="0"/>
    <x v="0"/>
    <n v="0"/>
    <n v="0"/>
    <n v="-12.752000000000001"/>
    <n v="-12.752000000000001"/>
    <n v="-12.752000000000001"/>
    <n v="-12.752000000000001"/>
    <n v="-62"/>
    <x v="1"/>
    <n v="0"/>
    <n v="0"/>
    <n v="33"/>
    <n v="84"/>
    <n v="0"/>
    <n v="377.18"/>
    <n v="107.79"/>
    <m/>
    <n v="397.7381828626132"/>
    <n v="224.57633816173018"/>
    <n v="0"/>
    <n v="-4809.79936"/>
    <n v="-1374.5380800000003"/>
    <n v="0"/>
    <n v="-5071.9573078640442"/>
    <n v="-2863.7974642383833"/>
  </r>
  <r>
    <s v="Regular"/>
    <x v="4"/>
    <x v="4"/>
    <x v="6"/>
    <x v="6"/>
    <x v="0"/>
    <x v="1"/>
    <x v="0"/>
    <x v="1"/>
    <n v="0"/>
    <n v="0"/>
    <n v="1846.6020000000001"/>
    <n v="1846.6020000000001"/>
    <n v="1846.6020000000001"/>
    <n v="1846.6020000000001"/>
    <n v="9123"/>
    <x v="1"/>
    <n v="0"/>
    <n v="0"/>
    <n v="33"/>
    <n v="84"/>
    <n v="0"/>
    <n v="377.18"/>
    <n v="107.79"/>
    <m/>
    <n v="397.7381828626132"/>
    <n v="224.57633816173018"/>
    <n v="0"/>
    <n v="696501.34236000001"/>
    <n v="199045.22958000001"/>
    <n v="0"/>
    <n v="734464.12395046733"/>
    <n v="414703.11520212732"/>
  </r>
  <r>
    <s v="Refaturamento - Regular"/>
    <x v="4"/>
    <x v="4"/>
    <x v="6"/>
    <x v="6"/>
    <x v="0"/>
    <x v="1"/>
    <x v="0"/>
    <x v="1"/>
    <n v="0"/>
    <n v="0"/>
    <n v="-55.451000000000001"/>
    <n v="-55.451000000000001"/>
    <n v="-55.451000000000001"/>
    <n v="-55.451000000000001"/>
    <n v="-99"/>
    <x v="1"/>
    <n v="0"/>
    <n v="0"/>
    <n v="33"/>
    <n v="84"/>
    <n v="0"/>
    <n v="377.18"/>
    <n v="107.79"/>
    <m/>
    <n v="397.7381828626132"/>
    <n v="224.57633816173018"/>
    <n v="0"/>
    <n v="-20915.008180000001"/>
    <n v="-5977.0632900000001"/>
    <n v="0"/>
    <n v="-22054.979977914765"/>
    <n v="-12452.9825274061"/>
  </r>
  <r>
    <s v="Regular"/>
    <x v="4"/>
    <x v="4"/>
    <x v="6"/>
    <x v="6"/>
    <x v="0"/>
    <x v="1"/>
    <x v="0"/>
    <x v="2"/>
    <n v="0"/>
    <n v="0"/>
    <n v="1427.7460000000001"/>
    <n v="1427.7460000000001"/>
    <n v="1427.7460000000001"/>
    <n v="1427.7460000000001"/>
    <n v="8158"/>
    <x v="1"/>
    <n v="0"/>
    <n v="0"/>
    <n v="33"/>
    <n v="84"/>
    <n v="0"/>
    <n v="377.18"/>
    <n v="107.79"/>
    <m/>
    <n v="397.7381828626132"/>
    <n v="224.57633816173018"/>
    <n v="0"/>
    <n v="538517.23628000007"/>
    <n v="153896.74134000001"/>
    <n v="0"/>
    <n v="567869.09962936456"/>
    <n v="320637.96850505762"/>
  </r>
  <r>
    <s v="Refaturamento - Regular"/>
    <x v="4"/>
    <x v="4"/>
    <x v="6"/>
    <x v="6"/>
    <x v="0"/>
    <x v="1"/>
    <x v="0"/>
    <x v="2"/>
    <n v="0"/>
    <n v="0"/>
    <n v="-59.71"/>
    <n v="-59.71"/>
    <n v="-59.71"/>
    <n v="-59.71"/>
    <n v="-81"/>
    <x v="1"/>
    <n v="0"/>
    <n v="0"/>
    <n v="33"/>
    <n v="84"/>
    <n v="0"/>
    <n v="377.18"/>
    <n v="107.79"/>
    <m/>
    <n v="397.7381828626132"/>
    <n v="224.57633816173018"/>
    <n v="0"/>
    <n v="-22521.417799999999"/>
    <n v="-6436.1409000000003"/>
    <n v="0"/>
    <n v="-23748.946898726634"/>
    <n v="-13409.45315163691"/>
  </r>
  <r>
    <s v="Regular"/>
    <x v="4"/>
    <x v="4"/>
    <x v="6"/>
    <x v="6"/>
    <x v="0"/>
    <x v="1"/>
    <x v="0"/>
    <x v="3"/>
    <n v="0"/>
    <n v="0"/>
    <n v="1669.0609999999999"/>
    <n v="1669.0609999999999"/>
    <n v="1669.0609999999999"/>
    <n v="1669.0609999999999"/>
    <n v="8976"/>
    <x v="1"/>
    <n v="0"/>
    <n v="0"/>
    <n v="33"/>
    <n v="84"/>
    <n v="0"/>
    <n v="377.18"/>
    <n v="107.79"/>
    <m/>
    <n v="397.7381828626132"/>
    <n v="224.57633816173018"/>
    <n v="0"/>
    <n v="629536.42798000004"/>
    <n v="179908.08519000001"/>
    <n v="0"/>
    <n v="663849.28922685597"/>
    <n v="374831.60754855553"/>
  </r>
  <r>
    <s v="Refaturamento - Regular"/>
    <x v="4"/>
    <x v="4"/>
    <x v="6"/>
    <x v="6"/>
    <x v="0"/>
    <x v="1"/>
    <x v="0"/>
    <x v="3"/>
    <n v="0"/>
    <n v="0"/>
    <n v="-164.14400000000001"/>
    <n v="-164.14400000000001"/>
    <n v="-164.14400000000001"/>
    <n v="-164.14400000000001"/>
    <n v="-127"/>
    <x v="1"/>
    <n v="0"/>
    <n v="0"/>
    <n v="33"/>
    <n v="84"/>
    <n v="0"/>
    <n v="377.18"/>
    <n v="107.79"/>
    <m/>
    <n v="397.7381828626132"/>
    <n v="224.57633816173018"/>
    <n v="0"/>
    <n v="-61911.833920000005"/>
    <n v="-17693.081760000001"/>
    <n v="0"/>
    <n v="-65286.336287800783"/>
    <n v="-36862.858451219043"/>
  </r>
  <r>
    <s v="Regular"/>
    <x v="4"/>
    <x v="4"/>
    <x v="6"/>
    <x v="6"/>
    <x v="0"/>
    <x v="1"/>
    <x v="0"/>
    <x v="4"/>
    <n v="0"/>
    <n v="0"/>
    <n v="1654.9190000000001"/>
    <n v="1654.9190000000001"/>
    <n v="1654.9190000000001"/>
    <n v="1654.9190000000001"/>
    <n v="9165"/>
    <x v="1"/>
    <n v="0"/>
    <n v="0"/>
    <n v="33"/>
    <n v="84"/>
    <n v="0"/>
    <n v="377.18"/>
    <n v="107.79"/>
    <m/>
    <n v="397.7381828626132"/>
    <n v="224.57633816173018"/>
    <n v="0"/>
    <n v="624202.34842000005"/>
    <n v="178383.71901000003"/>
    <n v="0"/>
    <n v="658224.47584481305"/>
    <n v="371655.64897427236"/>
  </r>
  <r>
    <s v="Refaturamento - Regular"/>
    <x v="4"/>
    <x v="4"/>
    <x v="6"/>
    <x v="6"/>
    <x v="0"/>
    <x v="1"/>
    <x v="0"/>
    <x v="4"/>
    <n v="0"/>
    <n v="0"/>
    <n v="-69.838999999999999"/>
    <n v="-69.838999999999999"/>
    <n v="-69.838999999999999"/>
    <n v="-69.838999999999999"/>
    <n v="-174"/>
    <x v="1"/>
    <n v="0"/>
    <n v="0"/>
    <n v="33"/>
    <n v="84"/>
    <n v="0"/>
    <n v="377.18"/>
    <n v="107.79"/>
    <m/>
    <n v="397.7381828626132"/>
    <n v="224.57633816173018"/>
    <n v="0"/>
    <n v="-26341.874019999999"/>
    <n v="-7527.9458100000002"/>
    <n v="0"/>
    <n v="-27777.636952942044"/>
    <n v="-15684.186880877074"/>
  </r>
  <r>
    <s v="Regular"/>
    <x v="4"/>
    <x v="4"/>
    <x v="6"/>
    <x v="6"/>
    <x v="0"/>
    <x v="1"/>
    <x v="0"/>
    <x v="5"/>
    <n v="0"/>
    <n v="0"/>
    <n v="2099.8310000000001"/>
    <n v="2099.8310000000001"/>
    <n v="2099.8310000000001"/>
    <n v="2099.8310000000001"/>
    <n v="10220"/>
    <x v="1"/>
    <n v="0"/>
    <n v="0"/>
    <n v="33"/>
    <n v="84"/>
    <n v="0"/>
    <n v="377.18"/>
    <n v="107.79"/>
    <m/>
    <n v="397.7381828626132"/>
    <n v="224.57633816173018"/>
    <n v="0"/>
    <n v="792014.25658000004"/>
    <n v="226340.78349000003"/>
    <n v="0"/>
    <n v="835182.96625858394"/>
    <n v="471572.35673848406"/>
  </r>
  <r>
    <s v="Refaturamento - Regular"/>
    <x v="4"/>
    <x v="4"/>
    <x v="6"/>
    <x v="6"/>
    <x v="0"/>
    <x v="1"/>
    <x v="0"/>
    <x v="5"/>
    <n v="0"/>
    <n v="0"/>
    <n v="-39.298000000000002"/>
    <n v="-39.298000000000002"/>
    <n v="-39.298000000000002"/>
    <n v="-39.298000000000002"/>
    <n v="-100"/>
    <x v="1"/>
    <n v="0"/>
    <n v="0"/>
    <n v="33"/>
    <n v="84"/>
    <n v="0"/>
    <n v="377.18"/>
    <n v="107.79"/>
    <m/>
    <n v="397.7381828626132"/>
    <n v="224.57633816173018"/>
    <n v="0"/>
    <n v="-14822.41964"/>
    <n v="-4235.9314200000008"/>
    <n v="0"/>
    <n v="-15630.315110134974"/>
    <n v="-8825.4009370796721"/>
  </r>
  <r>
    <s v="Regular"/>
    <x v="4"/>
    <x v="4"/>
    <x v="6"/>
    <x v="6"/>
    <x v="0"/>
    <x v="1"/>
    <x v="0"/>
    <x v="6"/>
    <n v="0"/>
    <n v="0"/>
    <n v="2218.1909999999998"/>
    <n v="2218.1909999999998"/>
    <n v="2218.1909999999998"/>
    <n v="2218.1909999999998"/>
    <n v="10963"/>
    <x v="1"/>
    <n v="0"/>
    <n v="0"/>
    <n v="33"/>
    <n v="84"/>
    <n v="0"/>
    <n v="377.18"/>
    <n v="107.79"/>
    <m/>
    <n v="397.7381828626132"/>
    <n v="224.57633816173018"/>
    <n v="0"/>
    <n v="836657.28137999994"/>
    <n v="239098.80789"/>
    <n v="0"/>
    <n v="882259.25758220279"/>
    <n v="498153.21212330635"/>
  </r>
  <r>
    <s v="Refaturamento - Regular"/>
    <x v="4"/>
    <x v="4"/>
    <x v="6"/>
    <x v="6"/>
    <x v="0"/>
    <x v="1"/>
    <x v="0"/>
    <x v="6"/>
    <n v="0"/>
    <n v="0"/>
    <n v="-16.390999999999998"/>
    <n v="-16.390999999999998"/>
    <n v="-16.390999999999998"/>
    <n v="-16.390999999999998"/>
    <n v="-38"/>
    <x v="1"/>
    <n v="0"/>
    <n v="0"/>
    <n v="33"/>
    <n v="84"/>
    <n v="0"/>
    <n v="377.18"/>
    <n v="107.79"/>
    <m/>
    <n v="397.7381828626132"/>
    <n v="224.57633816173018"/>
    <n v="0"/>
    <n v="-6182.3573799999995"/>
    <n v="-1766.7858899999999"/>
    <n v="0"/>
    <n v="-6519.3265553010924"/>
    <n v="-3681.030758808919"/>
  </r>
  <r>
    <s v="Regular"/>
    <x v="4"/>
    <x v="4"/>
    <x v="6"/>
    <x v="6"/>
    <x v="0"/>
    <x v="1"/>
    <x v="0"/>
    <x v="7"/>
    <n v="0"/>
    <n v="0"/>
    <n v="2324.4229999999998"/>
    <n v="2324.4229999999998"/>
    <n v="2324.4229999999998"/>
    <n v="2324.4229999999998"/>
    <n v="11246"/>
    <x v="1"/>
    <n v="0"/>
    <n v="0"/>
    <n v="33"/>
    <n v="84"/>
    <n v="0"/>
    <n v="377.18"/>
    <n v="107.79"/>
    <m/>
    <n v="397.7381828626132"/>
    <n v="224.57633816173018"/>
    <n v="0"/>
    <n v="876725.86713999999"/>
    <n v="250549.55516999998"/>
    <n v="0"/>
    <n v="924511.7802240639"/>
    <n v="522010.40567890328"/>
  </r>
  <r>
    <s v="Refaturamento - Regular"/>
    <x v="4"/>
    <x v="4"/>
    <x v="6"/>
    <x v="6"/>
    <x v="0"/>
    <x v="1"/>
    <x v="0"/>
    <x v="7"/>
    <n v="0"/>
    <n v="0"/>
    <n v="-36.485999999999997"/>
    <n v="-36.485999999999997"/>
    <n v="-36.485999999999997"/>
    <n v="-36.485999999999997"/>
    <n v="-37"/>
    <x v="1"/>
    <n v="0"/>
    <n v="0"/>
    <n v="33"/>
    <n v="84"/>
    <n v="0"/>
    <n v="377.18"/>
    <n v="107.79"/>
    <m/>
    <n v="397.7381828626132"/>
    <n v="224.57633816173018"/>
    <n v="0"/>
    <n v="-13761.789479999999"/>
    <n v="-3932.8259399999997"/>
    <n v="0"/>
    <n v="-14511.875339925304"/>
    <n v="-8193.8922741688857"/>
  </r>
  <r>
    <s v="Regular"/>
    <x v="4"/>
    <x v="4"/>
    <x v="6"/>
    <x v="6"/>
    <x v="0"/>
    <x v="1"/>
    <x v="0"/>
    <x v="8"/>
    <n v="0"/>
    <n v="0"/>
    <n v="2751.3339999999998"/>
    <n v="2751.3339999999998"/>
    <n v="2751.3339999999998"/>
    <n v="2751.3339999999998"/>
    <n v="12752"/>
    <x v="1"/>
    <n v="0"/>
    <n v="0"/>
    <n v="33"/>
    <n v="84"/>
    <n v="0"/>
    <n v="377.18"/>
    <n v="107.79"/>
    <m/>
    <n v="397.7381828626132"/>
    <n v="224.57633816173018"/>
    <n v="0"/>
    <n v="1037748.1581199999"/>
    <n v="296566.29186"/>
    <n v="0"/>
    <n v="1094310.585608125"/>
    <n v="617884.51477986574"/>
  </r>
  <r>
    <s v="Refaturamento - Regular"/>
    <x v="4"/>
    <x v="4"/>
    <x v="6"/>
    <x v="6"/>
    <x v="0"/>
    <x v="1"/>
    <x v="0"/>
    <x v="8"/>
    <n v="0"/>
    <n v="0"/>
    <n v="-76.405000000000001"/>
    <n v="-76.405000000000001"/>
    <n v="-76.405000000000001"/>
    <n v="-76.405000000000001"/>
    <n v="-98"/>
    <x v="1"/>
    <n v="0"/>
    <n v="0"/>
    <n v="33"/>
    <n v="84"/>
    <n v="0"/>
    <n v="377.18"/>
    <n v="107.79"/>
    <m/>
    <n v="397.7381828626132"/>
    <n v="224.57633816173018"/>
    <n v="0"/>
    <n v="-28818.437900000001"/>
    <n v="-8235.694950000001"/>
    <n v="0"/>
    <n v="-30389.185861617963"/>
    <n v="-17158.755117246994"/>
  </r>
  <r>
    <s v="Regular"/>
    <x v="4"/>
    <x v="4"/>
    <x v="6"/>
    <x v="6"/>
    <x v="0"/>
    <x v="1"/>
    <x v="0"/>
    <x v="9"/>
    <n v="0"/>
    <n v="0"/>
    <n v="3566.9639999999999"/>
    <n v="3566.9639999999999"/>
    <n v="3566.9639999999999"/>
    <n v="3566.9639999999999"/>
    <n v="15120"/>
    <x v="1"/>
    <n v="0"/>
    <n v="0"/>
    <n v="33"/>
    <n v="84"/>
    <n v="0"/>
    <n v="377.18"/>
    <n v="107.79"/>
    <m/>
    <n v="397.7381828626132"/>
    <n v="224.57633816173018"/>
    <n v="0"/>
    <n v="1345387.4815199999"/>
    <n v="384483.04956000001"/>
    <n v="0"/>
    <n v="1418717.7796963581"/>
    <n v="801055.71347471769"/>
  </r>
  <r>
    <s v="Refaturamento - Regular"/>
    <x v="4"/>
    <x v="4"/>
    <x v="6"/>
    <x v="6"/>
    <x v="0"/>
    <x v="1"/>
    <x v="0"/>
    <x v="9"/>
    <n v="0"/>
    <n v="0"/>
    <n v="-29.074000000000002"/>
    <n v="-29.074000000000002"/>
    <n v="-29.074000000000002"/>
    <n v="-29.074000000000002"/>
    <n v="-53"/>
    <x v="1"/>
    <n v="0"/>
    <n v="0"/>
    <n v="33"/>
    <n v="84"/>
    <n v="0"/>
    <n v="377.18"/>
    <n v="107.79"/>
    <m/>
    <n v="397.7381828626132"/>
    <n v="224.57633816173018"/>
    <n v="0"/>
    <n v="-10966.13132"/>
    <n v="-3133.8864600000002"/>
    <n v="0"/>
    <n v="-11563.839928547617"/>
    <n v="-6529.3324557141432"/>
  </r>
  <r>
    <s v="Regular"/>
    <x v="4"/>
    <x v="4"/>
    <x v="6"/>
    <x v="6"/>
    <x v="0"/>
    <x v="1"/>
    <x v="0"/>
    <x v="10"/>
    <n v="0"/>
    <n v="0"/>
    <n v="4809.5410000000002"/>
    <n v="4809.5410000000002"/>
    <n v="4809.5410000000002"/>
    <n v="4809.5410000000002"/>
    <n v="19336"/>
    <x v="1"/>
    <n v="0"/>
    <n v="0"/>
    <n v="33"/>
    <n v="84"/>
    <n v="0"/>
    <n v="377.18"/>
    <n v="107.79"/>
    <m/>
    <n v="397.7381828626132"/>
    <n v="224.57633816173018"/>
    <n v="0"/>
    <n v="1814062.67438"/>
    <n v="518420.42439000006"/>
    <n v="0"/>
    <n v="1912938.0977432355"/>
    <n v="1080109.106018706"/>
  </r>
  <r>
    <s v="Refaturamento - Regular"/>
    <x v="4"/>
    <x v="4"/>
    <x v="6"/>
    <x v="6"/>
    <x v="0"/>
    <x v="1"/>
    <x v="0"/>
    <x v="10"/>
    <n v="0"/>
    <n v="0"/>
    <n v="-22.074000000000002"/>
    <n v="-22.074000000000002"/>
    <n v="-22.074000000000002"/>
    <n v="-22.074000000000002"/>
    <n v="-53"/>
    <x v="1"/>
    <n v="0"/>
    <n v="0"/>
    <n v="33"/>
    <n v="84"/>
    <n v="0"/>
    <n v="377.18"/>
    <n v="107.79"/>
    <m/>
    <n v="397.7381828626132"/>
    <n v="224.57633816173018"/>
    <n v="0"/>
    <n v="-8325.8713200000002"/>
    <n v="-2379.3564600000004"/>
    <n v="0"/>
    <n v="-8779.6726485093241"/>
    <n v="-4957.2980885820325"/>
  </r>
  <r>
    <s v="PROJETADO"/>
    <x v="4"/>
    <x v="4"/>
    <x v="6"/>
    <x v="6"/>
    <x v="0"/>
    <x v="1"/>
    <x v="0"/>
    <x v="11"/>
    <n v="0"/>
    <n v="0"/>
    <n v="4809.5410000000002"/>
    <n v="4809.5410000000002"/>
    <n v="4809.5410000000002"/>
    <n v="4809.5410000000002"/>
    <n v="19336"/>
    <x v="1"/>
    <n v="0"/>
    <n v="0"/>
    <n v="33"/>
    <n v="84"/>
    <n v="0"/>
    <n v="377.18"/>
    <n v="107.79"/>
    <m/>
    <n v="397.7381828626132"/>
    <n v="224.57633816173018"/>
    <n v="0"/>
    <n v="1814062.67438"/>
    <n v="518420.42439000006"/>
    <n v="0"/>
    <n v="1912938.0977432355"/>
    <n v="1080109.106018706"/>
  </r>
  <r>
    <s v="PROJETADO"/>
    <x v="4"/>
    <x v="4"/>
    <x v="6"/>
    <x v="6"/>
    <x v="0"/>
    <x v="1"/>
    <x v="0"/>
    <x v="11"/>
    <n v="0"/>
    <n v="0"/>
    <n v="-22.074000000000002"/>
    <n v="-22.074000000000002"/>
    <n v="-22.074000000000002"/>
    <n v="-22.074000000000002"/>
    <n v="-53"/>
    <x v="1"/>
    <n v="0"/>
    <n v="0"/>
    <n v="33"/>
    <n v="84"/>
    <n v="0"/>
    <n v="377.18"/>
    <n v="107.79"/>
    <m/>
    <n v="397.7381828626132"/>
    <n v="224.57633816173018"/>
    <n v="0"/>
    <n v="-8325.8713200000002"/>
    <n v="-2379.3564600000004"/>
    <n v="0"/>
    <n v="-8779.6726485093241"/>
    <n v="-4957.2980885820325"/>
  </r>
  <r>
    <s v="Regular"/>
    <x v="5"/>
    <x v="4"/>
    <x v="7"/>
    <x v="0"/>
    <x v="0"/>
    <x v="1"/>
    <x v="0"/>
    <x v="0"/>
    <n v="0"/>
    <n v="0"/>
    <n v="352.37299999999999"/>
    <n v="352.37299999999999"/>
    <n v="352.37299999999999"/>
    <n v="352.37299999999999"/>
    <n v="2547"/>
    <x v="1"/>
    <n v="0"/>
    <n v="0"/>
    <n v="51"/>
    <n v="93"/>
    <n v="0"/>
    <n v="380.18"/>
    <n v="94.86"/>
    <m/>
    <n v="467.65743031473551"/>
    <n v="211.10175787202635"/>
    <n v="0"/>
    <n v="133965.16714000001"/>
    <n v="33426.102780000001"/>
    <n v="0"/>
    <n v="164789.85169229429"/>
    <n v="74386.559726639534"/>
  </r>
  <r>
    <s v="Refaturamento - Regular"/>
    <x v="5"/>
    <x v="4"/>
    <x v="7"/>
    <x v="0"/>
    <x v="0"/>
    <x v="1"/>
    <x v="0"/>
    <x v="0"/>
    <n v="0"/>
    <n v="0"/>
    <n v="-3.8420000000000001"/>
    <n v="-3.8420000000000001"/>
    <n v="-3.8420000000000001"/>
    <n v="-3.8420000000000001"/>
    <n v="-3"/>
    <x v="1"/>
    <n v="0"/>
    <n v="0"/>
    <n v="51"/>
    <n v="93"/>
    <n v="0"/>
    <n v="380.18"/>
    <n v="94.86"/>
    <m/>
    <n v="467.65743031473551"/>
    <n v="211.10175787202635"/>
    <n v="0"/>
    <n v="-1460.65156"/>
    <n v="-364.45211999999998"/>
    <n v="0"/>
    <n v="-1796.7398472692139"/>
    <n v="-811.05295374432524"/>
  </r>
  <r>
    <s v="Sistema de Compensação"/>
    <x v="5"/>
    <x v="4"/>
    <x v="7"/>
    <x v="0"/>
    <x v="0"/>
    <x v="1"/>
    <x v="0"/>
    <x v="0"/>
    <n v="0"/>
    <n v="0"/>
    <n v="2.8730000000000002"/>
    <n v="2.8730000000000002"/>
    <n v="2.8730000000000002"/>
    <n v="2.8730000000000002"/>
    <n v="4"/>
    <x v="1"/>
    <n v="0"/>
    <n v="0"/>
    <n v="51"/>
    <n v="93"/>
    <n v="0"/>
    <n v="380.18"/>
    <n v="94.86"/>
    <m/>
    <n v="467.65743031473551"/>
    <n v="211.10175787202635"/>
    <n v="0"/>
    <n v="1092.2571400000002"/>
    <n v="272.53278"/>
    <n v="0"/>
    <n v="1343.5797972942353"/>
    <n v="606.49535036633176"/>
  </r>
  <r>
    <s v="Regular"/>
    <x v="5"/>
    <x v="4"/>
    <x v="7"/>
    <x v="0"/>
    <x v="0"/>
    <x v="1"/>
    <x v="0"/>
    <x v="1"/>
    <n v="0"/>
    <n v="0"/>
    <n v="337.36799999999999"/>
    <n v="337.36799999999999"/>
    <n v="337.36799999999999"/>
    <n v="337.36799999999999"/>
    <n v="2401"/>
    <x v="1"/>
    <n v="0"/>
    <n v="0"/>
    <n v="51"/>
    <n v="93"/>
    <n v="0"/>
    <n v="380.18"/>
    <n v="94.86"/>
    <m/>
    <n v="467.65743031473551"/>
    <n v="211.10175787202635"/>
    <n v="0"/>
    <n v="128260.56624"/>
    <n v="32002.728479999998"/>
    <n v="0"/>
    <n v="157772.65195042168"/>
    <n v="71218.977849769784"/>
  </r>
  <r>
    <s v="Refaturamento - Regular"/>
    <x v="5"/>
    <x v="4"/>
    <x v="7"/>
    <x v="0"/>
    <x v="0"/>
    <x v="1"/>
    <x v="0"/>
    <x v="1"/>
    <n v="0"/>
    <n v="0"/>
    <n v="-2.2610000000000001"/>
    <n v="-2.2610000000000001"/>
    <n v="-2.2610000000000001"/>
    <n v="-2.2610000000000001"/>
    <n v="2"/>
    <x v="1"/>
    <n v="0"/>
    <n v="0"/>
    <n v="51"/>
    <n v="93"/>
    <n v="0"/>
    <n v="380.18"/>
    <n v="94.86"/>
    <m/>
    <n v="467.65743031473551"/>
    <n v="211.10175787202635"/>
    <n v="0"/>
    <n v="-859.58698000000004"/>
    <n v="-214.47846000000001"/>
    <n v="0"/>
    <n v="-1057.3734499416171"/>
    <n v="-477.30107454865163"/>
  </r>
  <r>
    <s v="Sistema de Compensação"/>
    <x v="5"/>
    <x v="4"/>
    <x v="7"/>
    <x v="0"/>
    <x v="0"/>
    <x v="1"/>
    <x v="0"/>
    <x v="1"/>
    <n v="0"/>
    <n v="0"/>
    <n v="3.2839999999999998"/>
    <n v="3.2839999999999998"/>
    <n v="3.2839999999999998"/>
    <n v="3.2839999999999998"/>
    <n v="4"/>
    <x v="1"/>
    <n v="0"/>
    <n v="0"/>
    <n v="51"/>
    <n v="93"/>
    <n v="0"/>
    <n v="380.18"/>
    <n v="94.86"/>
    <m/>
    <n v="467.65743031473551"/>
    <n v="211.10175787202635"/>
    <n v="0"/>
    <n v="1248.5111199999999"/>
    <n v="311.52024"/>
    <n v="0"/>
    <n v="1535.7870011535913"/>
    <n v="693.25817285173446"/>
  </r>
  <r>
    <s v="Regular"/>
    <x v="5"/>
    <x v="4"/>
    <x v="7"/>
    <x v="0"/>
    <x v="0"/>
    <x v="1"/>
    <x v="0"/>
    <x v="2"/>
    <n v="0"/>
    <n v="0"/>
    <n v="284.05799999999999"/>
    <n v="284.05799999999999"/>
    <n v="284.05799999999999"/>
    <n v="284.05799999999999"/>
    <n v="2362"/>
    <x v="1"/>
    <n v="0"/>
    <n v="0"/>
    <n v="51"/>
    <n v="93"/>
    <n v="0"/>
    <n v="380.18"/>
    <n v="94.86"/>
    <m/>
    <n v="467.65743031473551"/>
    <n v="211.10175787202635"/>
    <n v="0"/>
    <n v="107993.17044"/>
    <n v="26945.741879999998"/>
    <n v="0"/>
    <n v="132841.83434034314"/>
    <n v="59965.14313761206"/>
  </r>
  <r>
    <s v="Refaturamento - Regular"/>
    <x v="5"/>
    <x v="4"/>
    <x v="7"/>
    <x v="0"/>
    <x v="0"/>
    <x v="1"/>
    <x v="0"/>
    <x v="2"/>
    <n v="0"/>
    <n v="0"/>
    <n v="-29.545000000000002"/>
    <n v="-29.545000000000002"/>
    <n v="-29.545000000000002"/>
    <n v="-29.545000000000002"/>
    <n v="4"/>
    <x v="1"/>
    <n v="0"/>
    <n v="0"/>
    <n v="51"/>
    <n v="93"/>
    <n v="0"/>
    <n v="380.18"/>
    <n v="94.86"/>
    <m/>
    <n v="467.65743031473551"/>
    <n v="211.10175787202635"/>
    <n v="0"/>
    <n v="-11232.418100000001"/>
    <n v="-2802.6387"/>
    <n v="0"/>
    <n v="-13816.938778648861"/>
    <n v="-6237.0014363290193"/>
  </r>
  <r>
    <s v="Sistema de Compensação"/>
    <x v="5"/>
    <x v="4"/>
    <x v="7"/>
    <x v="0"/>
    <x v="0"/>
    <x v="1"/>
    <x v="0"/>
    <x v="2"/>
    <n v="0"/>
    <n v="0"/>
    <n v="4.9169999999999998"/>
    <n v="4.9169999999999998"/>
    <n v="4.9169999999999998"/>
    <n v="4.9169999999999998"/>
    <n v="4"/>
    <x v="1"/>
    <n v="0"/>
    <n v="0"/>
    <n v="51"/>
    <n v="93"/>
    <n v="0"/>
    <n v="380.18"/>
    <n v="94.86"/>
    <m/>
    <n v="467.65743031473551"/>
    <n v="211.10175787202635"/>
    <n v="0"/>
    <n v="1869.3450599999999"/>
    <n v="466.42661999999996"/>
    <n v="0"/>
    <n v="2299.4715848575543"/>
    <n v="1037.9873434567535"/>
  </r>
  <r>
    <s v="Regular"/>
    <x v="5"/>
    <x v="4"/>
    <x v="7"/>
    <x v="0"/>
    <x v="0"/>
    <x v="1"/>
    <x v="0"/>
    <x v="3"/>
    <n v="0"/>
    <n v="0"/>
    <n v="315.51100000000002"/>
    <n v="315.51100000000002"/>
    <n v="315.51100000000002"/>
    <n v="315.51100000000002"/>
    <n v="2441"/>
    <x v="1"/>
    <n v="0"/>
    <n v="0"/>
    <n v="51"/>
    <n v="93"/>
    <n v="0"/>
    <n v="380.18"/>
    <n v="94.86"/>
    <m/>
    <n v="467.65743031473551"/>
    <n v="211.10175787202635"/>
    <n v="0"/>
    <n v="119950.97198000002"/>
    <n v="29929.373460000003"/>
    <n v="0"/>
    <n v="147551.06349603253"/>
    <n v="66604.926727960919"/>
  </r>
  <r>
    <s v="Refaturamento - Regular"/>
    <x v="5"/>
    <x v="4"/>
    <x v="7"/>
    <x v="0"/>
    <x v="0"/>
    <x v="1"/>
    <x v="0"/>
    <x v="3"/>
    <n v="0"/>
    <n v="0"/>
    <n v="-10.433999999999999"/>
    <n v="-10.433999999999999"/>
    <n v="-10.433999999999999"/>
    <n v="-10.433999999999999"/>
    <n v="0"/>
    <x v="1"/>
    <n v="0"/>
    <n v="0"/>
    <n v="51"/>
    <n v="93"/>
    <n v="0"/>
    <n v="380.18"/>
    <n v="94.86"/>
    <m/>
    <n v="467.65743031473551"/>
    <n v="211.10175787202635"/>
    <n v="0"/>
    <n v="-3966.7981199999999"/>
    <n v="-989.76923999999997"/>
    <n v="0"/>
    <n v="-4879.5376279039501"/>
    <n v="-2202.6357416367227"/>
  </r>
  <r>
    <s v="Sistema de Compensação"/>
    <x v="5"/>
    <x v="4"/>
    <x v="7"/>
    <x v="0"/>
    <x v="0"/>
    <x v="1"/>
    <x v="0"/>
    <x v="3"/>
    <n v="0"/>
    <n v="0"/>
    <n v="2.7290000000000001"/>
    <n v="2.7290000000000001"/>
    <n v="2.7290000000000001"/>
    <n v="2.7290000000000001"/>
    <n v="4"/>
    <x v="1"/>
    <n v="0"/>
    <n v="0"/>
    <n v="51"/>
    <n v="93"/>
    <n v="0"/>
    <n v="380.18"/>
    <n v="94.86"/>
    <m/>
    <n v="467.65743031473551"/>
    <n v="211.10175787202635"/>
    <n v="0"/>
    <n v="1037.5112200000001"/>
    <n v="258.87294000000003"/>
    <n v="0"/>
    <n v="1276.2371273289132"/>
    <n v="576.09669723275999"/>
  </r>
  <r>
    <s v="Regular"/>
    <x v="5"/>
    <x v="4"/>
    <x v="7"/>
    <x v="0"/>
    <x v="0"/>
    <x v="1"/>
    <x v="0"/>
    <x v="4"/>
    <n v="0"/>
    <n v="0"/>
    <n v="305.85700000000003"/>
    <n v="305.85700000000003"/>
    <n v="305.85700000000003"/>
    <n v="305.85700000000003"/>
    <n v="2361"/>
    <x v="1"/>
    <n v="0"/>
    <n v="0"/>
    <n v="51"/>
    <n v="93"/>
    <n v="0"/>
    <n v="380.18"/>
    <n v="94.86"/>
    <m/>
    <n v="467.65743031473551"/>
    <n v="211.10175787202635"/>
    <n v="0"/>
    <n v="116280.71426000001"/>
    <n v="29013.595020000001"/>
    <n v="0"/>
    <n v="143036.29866377407"/>
    <n v="64566.950357464368"/>
  </r>
  <r>
    <s v="Refaturamento - Regular"/>
    <x v="5"/>
    <x v="4"/>
    <x v="7"/>
    <x v="0"/>
    <x v="0"/>
    <x v="1"/>
    <x v="0"/>
    <x v="4"/>
    <n v="0"/>
    <n v="0"/>
    <n v="-20.111999999999998"/>
    <n v="-20.111999999999998"/>
    <n v="-20.111999999999998"/>
    <n v="-20.111999999999998"/>
    <n v="-1"/>
    <x v="1"/>
    <n v="0"/>
    <n v="0"/>
    <n v="51"/>
    <n v="93"/>
    <n v="0"/>
    <n v="380.18"/>
    <n v="94.86"/>
    <m/>
    <n v="467.65743031473551"/>
    <n v="211.10175787202635"/>
    <n v="0"/>
    <n v="-7646.1801599999999"/>
    <n v="-1907.8243199999997"/>
    <n v="0"/>
    <n v="-9405.5262384899597"/>
    <n v="-4245.678554322194"/>
  </r>
  <r>
    <s v="Sistema de Compensação"/>
    <x v="5"/>
    <x v="4"/>
    <x v="7"/>
    <x v="0"/>
    <x v="0"/>
    <x v="1"/>
    <x v="0"/>
    <x v="4"/>
    <n v="0"/>
    <n v="0"/>
    <n v="2.37"/>
    <n v="2.37"/>
    <n v="2.37"/>
    <n v="2.37"/>
    <n v="4"/>
    <x v="1"/>
    <n v="0"/>
    <n v="0"/>
    <n v="51"/>
    <n v="93"/>
    <n v="0"/>
    <n v="380.18"/>
    <n v="94.86"/>
    <m/>
    <n v="467.65743031473551"/>
    <n v="211.10175787202635"/>
    <n v="0"/>
    <n v="901.02660000000003"/>
    <n v="224.81820000000002"/>
    <n v="0"/>
    <n v="1108.3481098459231"/>
    <n v="500.31116615670248"/>
  </r>
  <r>
    <s v="Regular"/>
    <x v="5"/>
    <x v="4"/>
    <x v="7"/>
    <x v="0"/>
    <x v="0"/>
    <x v="1"/>
    <x v="0"/>
    <x v="5"/>
    <n v="0"/>
    <n v="0"/>
    <n v="329.78399999999999"/>
    <n v="329.78399999999999"/>
    <n v="329.78399999999999"/>
    <n v="329.78399999999999"/>
    <n v="2390"/>
    <x v="1"/>
    <n v="0"/>
    <n v="0"/>
    <n v="51"/>
    <n v="93"/>
    <n v="0"/>
    <n v="380.18"/>
    <n v="94.86"/>
    <m/>
    <n v="467.65743031473551"/>
    <n v="211.10175787202635"/>
    <n v="0"/>
    <n v="125377.28112"/>
    <n v="31283.310239999999"/>
    <n v="0"/>
    <n v="154225.93799891474"/>
    <n v="69617.982118068336"/>
  </r>
  <r>
    <s v="Refaturamento - Regular"/>
    <x v="5"/>
    <x v="4"/>
    <x v="7"/>
    <x v="0"/>
    <x v="0"/>
    <x v="1"/>
    <x v="0"/>
    <x v="5"/>
    <n v="0"/>
    <n v="0"/>
    <n v="-3.359"/>
    <n v="-3.359"/>
    <n v="-3.359"/>
    <n v="-3.359"/>
    <n v="-1"/>
    <x v="1"/>
    <n v="0"/>
    <n v="0"/>
    <n v="51"/>
    <n v="93"/>
    <n v="0"/>
    <n v="380.18"/>
    <n v="94.86"/>
    <m/>
    <n v="467.65743031473551"/>
    <n v="211.10175787202635"/>
    <n v="0"/>
    <n v="-1277.0246199999999"/>
    <n v="-318.63474000000002"/>
    <n v="0"/>
    <n v="-1570.8613084271965"/>
    <n v="-709.09080469213654"/>
  </r>
  <r>
    <s v="Sistema de Compensação"/>
    <x v="5"/>
    <x v="4"/>
    <x v="7"/>
    <x v="0"/>
    <x v="0"/>
    <x v="1"/>
    <x v="0"/>
    <x v="5"/>
    <n v="0"/>
    <n v="0"/>
    <n v="1.5449999999999999"/>
    <n v="1.5449999999999999"/>
    <n v="1.5449999999999999"/>
    <n v="1.5449999999999999"/>
    <n v="5"/>
    <x v="1"/>
    <n v="0"/>
    <n v="0"/>
    <n v="51"/>
    <n v="93"/>
    <n v="0"/>
    <n v="380.18"/>
    <n v="94.86"/>
    <m/>
    <n v="467.65743031473551"/>
    <n v="211.10175787202635"/>
    <n v="0"/>
    <n v="587.37810000000002"/>
    <n v="146.55869999999999"/>
    <n v="0"/>
    <n v="722.53072983626635"/>
    <n v="326.15221591228072"/>
  </r>
  <r>
    <s v="Regular"/>
    <x v="5"/>
    <x v="4"/>
    <x v="7"/>
    <x v="0"/>
    <x v="0"/>
    <x v="1"/>
    <x v="0"/>
    <x v="6"/>
    <n v="0"/>
    <n v="0"/>
    <n v="378.04899999999998"/>
    <n v="378.04899999999998"/>
    <n v="378.04899999999998"/>
    <n v="378.04899999999998"/>
    <n v="2428"/>
    <x v="1"/>
    <n v="0"/>
    <n v="0"/>
    <n v="51"/>
    <n v="93"/>
    <n v="0"/>
    <n v="380.18"/>
    <n v="94.86"/>
    <m/>
    <n v="467.65743031473551"/>
    <n v="211.10175787202635"/>
    <n v="0"/>
    <n v="143726.66881999999"/>
    <n v="35861.728139999999"/>
    <n v="0"/>
    <n v="176797.42387305544"/>
    <n v="79806.808461761684"/>
  </r>
  <r>
    <s v="Refaturamento - Regular"/>
    <x v="5"/>
    <x v="4"/>
    <x v="7"/>
    <x v="0"/>
    <x v="0"/>
    <x v="1"/>
    <x v="0"/>
    <x v="6"/>
    <n v="0"/>
    <n v="0"/>
    <n v="-1.4390000000000001"/>
    <n v="-1.4390000000000001"/>
    <n v="-1.4390000000000001"/>
    <n v="-1.4390000000000001"/>
    <n v="-70"/>
    <x v="1"/>
    <n v="0"/>
    <n v="0"/>
    <n v="51"/>
    <n v="93"/>
    <n v="0"/>
    <n v="380.18"/>
    <n v="94.86"/>
    <m/>
    <n v="467.65743031473551"/>
    <n v="211.10175787202635"/>
    <n v="0"/>
    <n v="-547.07902000000001"/>
    <n v="-136.50354000000002"/>
    <n v="0"/>
    <n v="-672.95904222290437"/>
    <n v="-303.77542957784596"/>
  </r>
  <r>
    <s v="Sistema de Compensação"/>
    <x v="5"/>
    <x v="4"/>
    <x v="7"/>
    <x v="0"/>
    <x v="0"/>
    <x v="1"/>
    <x v="0"/>
    <x v="6"/>
    <n v="0"/>
    <n v="0"/>
    <n v="1.83"/>
    <n v="1.83"/>
    <n v="1.83"/>
    <n v="1.83"/>
    <n v="5"/>
    <x v="1"/>
    <n v="0"/>
    <n v="0"/>
    <n v="51"/>
    <n v="93"/>
    <n v="0"/>
    <n v="380.18"/>
    <n v="94.86"/>
    <m/>
    <n v="467.65743031473551"/>
    <n v="211.10175787202635"/>
    <n v="0"/>
    <n v="695.72940000000006"/>
    <n v="173.59380000000002"/>
    <n v="0"/>
    <n v="855.81309747596606"/>
    <n v="386.31621690580823"/>
  </r>
  <r>
    <s v="Regular"/>
    <x v="5"/>
    <x v="4"/>
    <x v="7"/>
    <x v="0"/>
    <x v="0"/>
    <x v="1"/>
    <x v="0"/>
    <x v="7"/>
    <n v="0"/>
    <n v="0"/>
    <n v="368.03899999999999"/>
    <n v="368.03899999999999"/>
    <n v="368.03899999999999"/>
    <n v="368.03899999999999"/>
    <n v="2429"/>
    <x v="1"/>
    <n v="0"/>
    <n v="0"/>
    <n v="51"/>
    <n v="93"/>
    <n v="0"/>
    <n v="380.18"/>
    <n v="94.86"/>
    <m/>
    <n v="467.65743031473551"/>
    <n v="211.10175787202635"/>
    <n v="0"/>
    <n v="139921.06701999999"/>
    <n v="34912.179539999997"/>
    <n v="0"/>
    <n v="172116.17299560492"/>
    <n v="77693.679865462705"/>
  </r>
  <r>
    <s v="Refaturamento - Regular"/>
    <x v="5"/>
    <x v="4"/>
    <x v="7"/>
    <x v="0"/>
    <x v="0"/>
    <x v="1"/>
    <x v="0"/>
    <x v="7"/>
    <n v="0"/>
    <n v="0"/>
    <n v="-2.6469999999999998"/>
    <n v="-2.6469999999999998"/>
    <n v="-2.6469999999999998"/>
    <n v="-2.6469999999999998"/>
    <n v="3"/>
    <x v="1"/>
    <n v="0"/>
    <n v="0"/>
    <n v="51"/>
    <n v="93"/>
    <n v="0"/>
    <n v="380.18"/>
    <n v="94.86"/>
    <m/>
    <n v="467.65743031473551"/>
    <n v="211.10175787202635"/>
    <n v="0"/>
    <n v="-1006.33646"/>
    <n v="-251.09441999999999"/>
    <n v="0"/>
    <n v="-1237.8892180431048"/>
    <n v="-558.7863530872537"/>
  </r>
  <r>
    <s v="Sistema de Compensação"/>
    <x v="5"/>
    <x v="4"/>
    <x v="7"/>
    <x v="0"/>
    <x v="0"/>
    <x v="1"/>
    <x v="0"/>
    <x v="7"/>
    <n v="0"/>
    <n v="0"/>
    <n v="1.6519999999999999"/>
    <n v="1.6519999999999999"/>
    <n v="1.6519999999999999"/>
    <n v="1.6519999999999999"/>
    <n v="5"/>
    <x v="1"/>
    <n v="0"/>
    <n v="0"/>
    <n v="51"/>
    <n v="93"/>
    <n v="0"/>
    <n v="380.18"/>
    <n v="94.86"/>
    <m/>
    <n v="467.65743031473551"/>
    <n v="211.10175787202635"/>
    <n v="0"/>
    <n v="628.05736000000002"/>
    <n v="156.70872"/>
    <n v="0"/>
    <n v="772.57007487994304"/>
    <n v="348.74010400458752"/>
  </r>
  <r>
    <s v="Regular"/>
    <x v="5"/>
    <x v="4"/>
    <x v="7"/>
    <x v="0"/>
    <x v="0"/>
    <x v="1"/>
    <x v="0"/>
    <x v="8"/>
    <n v="0"/>
    <n v="0"/>
    <n v="357.86599999999999"/>
    <n v="357.86599999999999"/>
    <n v="357.86599999999999"/>
    <n v="357.86599999999999"/>
    <n v="2432"/>
    <x v="1"/>
    <n v="0"/>
    <n v="0"/>
    <n v="51"/>
    <n v="93"/>
    <n v="0"/>
    <n v="380.18"/>
    <n v="94.86"/>
    <m/>
    <n v="467.65743031473551"/>
    <n v="211.10175787202635"/>
    <n v="0"/>
    <n v="136053.49588"/>
    <n v="33947.16876"/>
    <n v="0"/>
    <n v="167358.69395701314"/>
    <n v="75546.141682630579"/>
  </r>
  <r>
    <s v="Refaturamento - Regular"/>
    <x v="5"/>
    <x v="4"/>
    <x v="7"/>
    <x v="0"/>
    <x v="0"/>
    <x v="1"/>
    <x v="0"/>
    <x v="8"/>
    <n v="0"/>
    <n v="0"/>
    <n v="0.192"/>
    <n v="0.192"/>
    <n v="0.192"/>
    <n v="0.192"/>
    <n v="1"/>
    <x v="1"/>
    <n v="0"/>
    <n v="0"/>
    <n v="51"/>
    <n v="93"/>
    <n v="0"/>
    <n v="380.18"/>
    <n v="94.86"/>
    <m/>
    <n v="467.65743031473551"/>
    <n v="211.10175787202635"/>
    <n v="0"/>
    <n v="72.994560000000007"/>
    <n v="18.21312"/>
    <n v="0"/>
    <n v="89.790226620429223"/>
    <n v="40.531537511429057"/>
  </r>
  <r>
    <s v="Sistema de Compensação"/>
    <x v="5"/>
    <x v="4"/>
    <x v="7"/>
    <x v="0"/>
    <x v="0"/>
    <x v="1"/>
    <x v="0"/>
    <x v="8"/>
    <n v="0"/>
    <n v="0"/>
    <n v="2.2200000000000002"/>
    <n v="2.2200000000000002"/>
    <n v="2.2200000000000002"/>
    <n v="2.2200000000000002"/>
    <n v="6"/>
    <x v="1"/>
    <n v="0"/>
    <n v="0"/>
    <n v="51"/>
    <n v="93"/>
    <n v="0"/>
    <n v="380.18"/>
    <n v="94.86"/>
    <m/>
    <n v="467.65743031473551"/>
    <n v="211.10175787202635"/>
    <n v="0"/>
    <n v="843.9996000000001"/>
    <n v="210.58920000000001"/>
    <n v="0"/>
    <n v="1038.1994952987129"/>
    <n v="468.64590247589854"/>
  </r>
  <r>
    <s v="Regular"/>
    <x v="5"/>
    <x v="4"/>
    <x v="7"/>
    <x v="0"/>
    <x v="0"/>
    <x v="1"/>
    <x v="0"/>
    <x v="9"/>
    <n v="0"/>
    <n v="0"/>
    <n v="383.43799999999999"/>
    <n v="383.43799999999999"/>
    <n v="383.43799999999999"/>
    <n v="383.43799999999999"/>
    <n v="2393"/>
    <x v="1"/>
    <n v="0"/>
    <n v="0"/>
    <n v="51"/>
    <n v="93"/>
    <n v="0"/>
    <n v="380.18"/>
    <n v="94.86"/>
    <m/>
    <n v="467.65743031473551"/>
    <n v="211.10175787202635"/>
    <n v="0"/>
    <n v="145775.45884000001"/>
    <n v="36372.928679999997"/>
    <n v="0"/>
    <n v="179317.62976502156"/>
    <n v="80944.435834934033"/>
  </r>
  <r>
    <s v="Refaturamento - Regular"/>
    <x v="5"/>
    <x v="4"/>
    <x v="7"/>
    <x v="0"/>
    <x v="0"/>
    <x v="1"/>
    <x v="0"/>
    <x v="9"/>
    <n v="0"/>
    <n v="0"/>
    <n v="-20.170999999999999"/>
    <n v="-20.170999999999999"/>
    <n v="-20.170999999999999"/>
    <n v="-20.170999999999999"/>
    <n v="-76"/>
    <x v="1"/>
    <n v="0"/>
    <n v="0"/>
    <n v="51"/>
    <n v="93"/>
    <n v="0"/>
    <n v="380.18"/>
    <n v="94.86"/>
    <m/>
    <n v="467.65743031473551"/>
    <n v="211.10175787202635"/>
    <n v="0"/>
    <n v="-7668.61078"/>
    <n v="-1913.4210599999999"/>
    <n v="0"/>
    <n v="-9433.1180268785301"/>
    <n v="-4258.1335580366431"/>
  </r>
  <r>
    <s v="Sistema de Compensação"/>
    <x v="5"/>
    <x v="4"/>
    <x v="7"/>
    <x v="0"/>
    <x v="0"/>
    <x v="1"/>
    <x v="0"/>
    <x v="9"/>
    <n v="0"/>
    <n v="0"/>
    <n v="1.9279999999999999"/>
    <n v="1.9279999999999999"/>
    <n v="1.9279999999999999"/>
    <n v="1.9279999999999999"/>
    <n v="5"/>
    <x v="1"/>
    <n v="0"/>
    <n v="0"/>
    <n v="51"/>
    <n v="93"/>
    <n v="0"/>
    <n v="380.18"/>
    <n v="94.86"/>
    <m/>
    <n v="467.65743031473551"/>
    <n v="211.10175787202635"/>
    <n v="0"/>
    <n v="732.98703999999998"/>
    <n v="182.89007999999998"/>
    <n v="0"/>
    <n v="901.64352564681008"/>
    <n v="407.00418917726682"/>
  </r>
  <r>
    <s v="Regular"/>
    <x v="5"/>
    <x v="4"/>
    <x v="7"/>
    <x v="0"/>
    <x v="0"/>
    <x v="1"/>
    <x v="0"/>
    <x v="10"/>
    <n v="0"/>
    <n v="0"/>
    <n v="412.11599999999999"/>
    <n v="412.11599999999999"/>
    <n v="412.11599999999999"/>
    <n v="412.11599999999999"/>
    <n v="2393"/>
    <x v="1"/>
    <n v="0"/>
    <n v="0"/>
    <n v="51"/>
    <n v="93"/>
    <n v="0"/>
    <n v="380.18"/>
    <n v="94.86"/>
    <m/>
    <n v="467.65743031473551"/>
    <n v="211.10175787202635"/>
    <n v="0"/>
    <n v="156678.26087999999"/>
    <n v="39093.323759999999"/>
    <n v="0"/>
    <n v="192729.10955158752"/>
    <n v="86998.412047188016"/>
  </r>
  <r>
    <s v="Refaturamento - Regular"/>
    <x v="5"/>
    <x v="4"/>
    <x v="7"/>
    <x v="0"/>
    <x v="0"/>
    <x v="1"/>
    <x v="0"/>
    <x v="10"/>
    <n v="0"/>
    <n v="0"/>
    <n v="-13.420999999999999"/>
    <n v="-13.420999999999999"/>
    <n v="-13.420999999999999"/>
    <n v="-13.420999999999999"/>
    <n v="-3"/>
    <x v="1"/>
    <n v="0"/>
    <n v="0"/>
    <n v="51"/>
    <n v="93"/>
    <n v="0"/>
    <n v="380.18"/>
    <n v="94.86"/>
    <m/>
    <n v="467.65743031473551"/>
    <n v="211.10175787202635"/>
    <n v="0"/>
    <n v="-5102.3957799999998"/>
    <n v="-1273.1160599999998"/>
    <n v="0"/>
    <n v="-6276.4303722540653"/>
    <n v="-2833.1966924004655"/>
  </r>
  <r>
    <s v="Sistema de Compensação"/>
    <x v="5"/>
    <x v="4"/>
    <x v="7"/>
    <x v="0"/>
    <x v="0"/>
    <x v="1"/>
    <x v="0"/>
    <x v="10"/>
    <n v="0"/>
    <n v="0"/>
    <n v="2.3210000000000002"/>
    <n v="2.3210000000000002"/>
    <n v="2.3210000000000002"/>
    <n v="2.3210000000000002"/>
    <n v="6"/>
    <x v="1"/>
    <n v="0"/>
    <n v="0"/>
    <n v="51"/>
    <n v="93"/>
    <n v="0"/>
    <n v="380.18"/>
    <n v="94.86"/>
    <m/>
    <n v="467.65743031473551"/>
    <n v="211.10175787202635"/>
    <n v="0"/>
    <n v="882.39778000000013"/>
    <n v="220.17006000000001"/>
    <n v="0"/>
    <n v="1085.4328957605012"/>
    <n v="489.96718002097322"/>
  </r>
  <r>
    <s v="PROJETADO"/>
    <x v="5"/>
    <x v="4"/>
    <x v="7"/>
    <x v="0"/>
    <x v="0"/>
    <x v="1"/>
    <x v="0"/>
    <x v="11"/>
    <n v="0"/>
    <n v="0"/>
    <n v="412.11599999999999"/>
    <n v="412.11599999999999"/>
    <n v="412.11599999999999"/>
    <n v="412.11599999999999"/>
    <n v="2393"/>
    <x v="1"/>
    <n v="0"/>
    <n v="0"/>
    <n v="51"/>
    <n v="93"/>
    <n v="0"/>
    <n v="380.18"/>
    <n v="94.86"/>
    <m/>
    <n v="467.65743031473551"/>
    <n v="211.10175787202635"/>
    <n v="0"/>
    <n v="156678.26087999999"/>
    <n v="39093.323759999999"/>
    <n v="0"/>
    <n v="192729.10955158752"/>
    <n v="86998.412047188016"/>
  </r>
  <r>
    <s v="PROJETADO"/>
    <x v="5"/>
    <x v="4"/>
    <x v="7"/>
    <x v="0"/>
    <x v="0"/>
    <x v="1"/>
    <x v="0"/>
    <x v="11"/>
    <n v="0"/>
    <n v="0"/>
    <n v="-13.420999999999999"/>
    <n v="-13.420999999999999"/>
    <n v="-13.420999999999999"/>
    <n v="-13.420999999999999"/>
    <n v="-3"/>
    <x v="1"/>
    <n v="0"/>
    <n v="0"/>
    <n v="51"/>
    <n v="93"/>
    <n v="0"/>
    <n v="380.18"/>
    <n v="94.86"/>
    <m/>
    <n v="467.65743031473551"/>
    <n v="211.10175787202635"/>
    <n v="0"/>
    <n v="-5102.3957799999998"/>
    <n v="-1273.1160599999998"/>
    <n v="0"/>
    <n v="-6276.4303722540653"/>
    <n v="-2833.1966924004655"/>
  </r>
  <r>
    <s v="PROJETADO"/>
    <x v="5"/>
    <x v="4"/>
    <x v="7"/>
    <x v="0"/>
    <x v="0"/>
    <x v="1"/>
    <x v="0"/>
    <x v="11"/>
    <n v="0"/>
    <n v="0"/>
    <n v="2.3210000000000002"/>
    <n v="2.3210000000000002"/>
    <n v="2.3210000000000002"/>
    <n v="2.3210000000000002"/>
    <n v="6"/>
    <x v="1"/>
    <n v="0"/>
    <n v="0"/>
    <n v="51"/>
    <n v="93"/>
    <n v="0"/>
    <n v="380.18"/>
    <n v="94.86"/>
    <m/>
    <n v="467.65743031473551"/>
    <n v="211.10175787202635"/>
    <n v="0"/>
    <n v="882.39778000000013"/>
    <n v="220.17006000000001"/>
    <n v="0"/>
    <n v="1085.4328957605012"/>
    <n v="489.96718002097322"/>
  </r>
  <r>
    <s v="Regular"/>
    <x v="6"/>
    <x v="3"/>
    <x v="2"/>
    <x v="0"/>
    <x v="0"/>
    <x v="1"/>
    <x v="1"/>
    <x v="0"/>
    <n v="0"/>
    <n v="0"/>
    <n v="44.750999999999998"/>
    <n v="44.750999999999998"/>
    <n v="44.750999999999998"/>
    <n v="44.750999999999998"/>
    <n v="0"/>
    <x v="1"/>
    <n v="0"/>
    <n v="0"/>
    <n v="65"/>
    <n v="107"/>
    <n v="0"/>
    <n v="322.94"/>
    <n v="103.1"/>
    <m/>
    <n v="392.83040097268224"/>
    <n v="215.6942886760464"/>
    <n v="0"/>
    <n v="14451.887939999999"/>
    <n v="4613.8280999999997"/>
    <n v="0"/>
    <n v="17579.553273928501"/>
    <n v="9652.535112541751"/>
  </r>
  <r>
    <s v="Regular"/>
    <x v="6"/>
    <x v="3"/>
    <x v="2"/>
    <x v="0"/>
    <x v="0"/>
    <x v="1"/>
    <x v="1"/>
    <x v="1"/>
    <n v="0"/>
    <n v="0"/>
    <n v="41.4"/>
    <n v="41.4"/>
    <n v="41.4"/>
    <n v="41.4"/>
    <n v="0"/>
    <x v="1"/>
    <n v="0"/>
    <n v="0"/>
    <n v="65"/>
    <n v="107"/>
    <n v="0"/>
    <n v="322.94"/>
    <n v="103.1"/>
    <m/>
    <n v="392.83040097268224"/>
    <n v="215.6942886760464"/>
    <n v="0"/>
    <n v="13369.716"/>
    <n v="4268.3399999999992"/>
    <n v="0"/>
    <n v="16263.178600269044"/>
    <n v="8929.7435511883214"/>
  </r>
  <r>
    <s v="Regular"/>
    <x v="6"/>
    <x v="3"/>
    <x v="2"/>
    <x v="0"/>
    <x v="0"/>
    <x v="1"/>
    <x v="1"/>
    <x v="2"/>
    <n v="0"/>
    <n v="0"/>
    <n v="31.459"/>
    <n v="31.459"/>
    <n v="31.459"/>
    <n v="31.459"/>
    <n v="0"/>
    <x v="1"/>
    <n v="0"/>
    <n v="0"/>
    <n v="65"/>
    <n v="107"/>
    <n v="0"/>
    <n v="322.94"/>
    <n v="103.1"/>
    <m/>
    <n v="392.83040097268224"/>
    <n v="215.6942886760464"/>
    <n v="0"/>
    <n v="10159.36946"/>
    <n v="3243.4228999999996"/>
    <n v="0"/>
    <n v="12358.051584199611"/>
    <n v="6785.5266274597434"/>
  </r>
  <r>
    <s v="Regular"/>
    <x v="6"/>
    <x v="3"/>
    <x v="2"/>
    <x v="0"/>
    <x v="0"/>
    <x v="1"/>
    <x v="1"/>
    <x v="3"/>
    <n v="0"/>
    <n v="0"/>
    <n v="31.753"/>
    <n v="31.753"/>
    <n v="31.753"/>
    <n v="31.753"/>
    <n v="0"/>
    <x v="1"/>
    <n v="0"/>
    <n v="0"/>
    <n v="65"/>
    <n v="107"/>
    <n v="0"/>
    <n v="322.94"/>
    <n v="103.1"/>
    <m/>
    <n v="392.83040097268224"/>
    <n v="215.6942886760464"/>
    <n v="0"/>
    <n v="10254.313819999999"/>
    <n v="3273.7342999999996"/>
    <n v="0"/>
    <n v="12473.54372208558"/>
    <n v="6848.9407483305013"/>
  </r>
  <r>
    <s v="Regular"/>
    <x v="6"/>
    <x v="3"/>
    <x v="2"/>
    <x v="0"/>
    <x v="0"/>
    <x v="1"/>
    <x v="1"/>
    <x v="4"/>
    <n v="0"/>
    <n v="0"/>
    <n v="32.344000000000001"/>
    <n v="32.344000000000001"/>
    <n v="32.344000000000001"/>
    <n v="32.344000000000001"/>
    <n v="0"/>
    <x v="1"/>
    <n v="0"/>
    <n v="0"/>
    <n v="65"/>
    <n v="107"/>
    <n v="0"/>
    <n v="322.94"/>
    <n v="103.1"/>
    <m/>
    <n v="392.83040097268224"/>
    <n v="215.6942886760464"/>
    <n v="0"/>
    <n v="10445.17136"/>
    <n v="3334.6664000000001"/>
    <n v="0"/>
    <n v="12705.706489060434"/>
    <n v="6976.4160729380446"/>
  </r>
  <r>
    <s v="Regular"/>
    <x v="6"/>
    <x v="3"/>
    <x v="2"/>
    <x v="0"/>
    <x v="0"/>
    <x v="1"/>
    <x v="1"/>
    <x v="5"/>
    <n v="0"/>
    <n v="0"/>
    <n v="39.494"/>
    <n v="39.494"/>
    <n v="39.494"/>
    <n v="39.494"/>
    <n v="0"/>
    <x v="1"/>
    <n v="0"/>
    <n v="0"/>
    <n v="65"/>
    <n v="107"/>
    <n v="0"/>
    <n v="322.94"/>
    <n v="103.1"/>
    <m/>
    <n v="392.83040097268224"/>
    <n v="215.6942886760464"/>
    <n v="0"/>
    <n v="12754.192359999999"/>
    <n v="4071.8313999999996"/>
    <n v="0"/>
    <n v="15514.443856015112"/>
    <n v="8518.630236971776"/>
  </r>
  <r>
    <s v="Regular"/>
    <x v="6"/>
    <x v="3"/>
    <x v="2"/>
    <x v="0"/>
    <x v="0"/>
    <x v="1"/>
    <x v="1"/>
    <x v="6"/>
    <n v="0"/>
    <n v="0"/>
    <n v="38.345999999999997"/>
    <n v="38.345999999999997"/>
    <n v="38.345999999999997"/>
    <n v="38.345999999999997"/>
    <n v="0"/>
    <x v="1"/>
    <n v="0"/>
    <n v="0"/>
    <n v="65"/>
    <n v="107"/>
    <n v="0"/>
    <n v="322.94"/>
    <n v="103.1"/>
    <m/>
    <n v="392.83040097268224"/>
    <n v="215.6942886760464"/>
    <n v="0"/>
    <n v="12383.457239999998"/>
    <n v="3953.4725999999996"/>
    <n v="0"/>
    <n v="15063.474555698473"/>
    <n v="8271.0131935716745"/>
  </r>
  <r>
    <s v="Regular"/>
    <x v="6"/>
    <x v="3"/>
    <x v="2"/>
    <x v="0"/>
    <x v="0"/>
    <x v="1"/>
    <x v="1"/>
    <x v="7"/>
    <n v="0"/>
    <n v="0"/>
    <n v="29.544"/>
    <n v="29.544"/>
    <n v="29.544"/>
    <n v="29.544"/>
    <n v="0"/>
    <x v="1"/>
    <n v="0"/>
    <n v="0"/>
    <n v="65"/>
    <n v="107"/>
    <n v="0"/>
    <n v="322.94"/>
    <n v="103.1"/>
    <m/>
    <n v="392.83040097268224"/>
    <n v="215.6942886760464"/>
    <n v="0"/>
    <n v="9540.9393600000003"/>
    <n v="3045.9863999999998"/>
    <n v="0"/>
    <n v="11605.781366336925"/>
    <n v="6372.4720646451151"/>
  </r>
  <r>
    <s v="Regular"/>
    <x v="6"/>
    <x v="3"/>
    <x v="2"/>
    <x v="0"/>
    <x v="0"/>
    <x v="1"/>
    <x v="1"/>
    <x v="8"/>
    <n v="0"/>
    <n v="0"/>
    <n v="31.44"/>
    <n v="31.44"/>
    <n v="31.44"/>
    <n v="31.44"/>
    <n v="0"/>
    <x v="1"/>
    <n v="0"/>
    <n v="0"/>
    <n v="65"/>
    <n v="107"/>
    <n v="0"/>
    <n v="322.94"/>
    <n v="103.1"/>
    <m/>
    <n v="392.83040097268224"/>
    <n v="215.6942886760464"/>
    <n v="0"/>
    <n v="10153.2336"/>
    <n v="3241.4639999999999"/>
    <n v="0"/>
    <n v="12350.58780658113"/>
    <n v="6781.428435974899"/>
  </r>
  <r>
    <s v="Regular"/>
    <x v="6"/>
    <x v="3"/>
    <x v="2"/>
    <x v="0"/>
    <x v="0"/>
    <x v="1"/>
    <x v="1"/>
    <x v="9"/>
    <n v="0"/>
    <n v="0"/>
    <n v="41.100999999999999"/>
    <n v="41.100999999999999"/>
    <n v="41.100999999999999"/>
    <n v="41.100999999999999"/>
    <n v="0"/>
    <x v="1"/>
    <n v="0"/>
    <n v="0"/>
    <n v="65"/>
    <n v="107"/>
    <n v="0"/>
    <n v="322.94"/>
    <n v="103.1"/>
    <m/>
    <n v="392.83040097268224"/>
    <n v="215.6942886760464"/>
    <n v="0"/>
    <n v="13273.156939999999"/>
    <n v="4237.5131000000001"/>
    <n v="0"/>
    <n v="16145.722310378213"/>
    <n v="8865.2509588741832"/>
  </r>
  <r>
    <s v="Regular"/>
    <x v="6"/>
    <x v="3"/>
    <x v="2"/>
    <x v="0"/>
    <x v="0"/>
    <x v="1"/>
    <x v="1"/>
    <x v="10"/>
    <n v="0"/>
    <n v="0"/>
    <n v="76.043000000000006"/>
    <n v="76.043000000000006"/>
    <n v="76.043000000000006"/>
    <n v="76.043000000000006"/>
    <n v="0"/>
    <x v="1"/>
    <n v="0"/>
    <n v="0"/>
    <n v="65"/>
    <n v="107"/>
    <n v="0"/>
    <n v="322.94"/>
    <n v="103.1"/>
    <m/>
    <n v="392.83040097268224"/>
    <n v="215.6942886760464"/>
    <n v="0"/>
    <n v="24557.326420000001"/>
    <n v="7840.0333000000001"/>
    <n v="0"/>
    <n v="29872.002181165677"/>
    <n v="16402.040793792599"/>
  </r>
  <r>
    <s v="PROJETADO"/>
    <x v="6"/>
    <x v="3"/>
    <x v="2"/>
    <x v="0"/>
    <x v="0"/>
    <x v="1"/>
    <x v="1"/>
    <x v="11"/>
    <n v="0"/>
    <n v="0"/>
    <n v="76.043000000000006"/>
    <n v="76.043000000000006"/>
    <n v="76.043000000000006"/>
    <n v="76.043000000000006"/>
    <n v="0"/>
    <x v="1"/>
    <n v="0"/>
    <n v="0"/>
    <n v="65"/>
    <n v="107"/>
    <n v="0"/>
    <n v="322.94"/>
    <n v="103.1"/>
    <m/>
    <n v="392.83040097268224"/>
    <n v="215.6942886760464"/>
    <n v="0"/>
    <n v="24557.326420000001"/>
    <n v="7840.0333000000001"/>
    <n v="0"/>
    <n v="29872.002181165677"/>
    <n v="16402.040793792599"/>
  </r>
  <r>
    <s v="Regular"/>
    <x v="6"/>
    <x v="3"/>
    <x v="2"/>
    <x v="0"/>
    <x v="0"/>
    <x v="1"/>
    <x v="3"/>
    <x v="0"/>
    <n v="0"/>
    <n v="0"/>
    <n v="2.21"/>
    <n v="2.21"/>
    <n v="2.21"/>
    <n v="2.21"/>
    <n v="0"/>
    <x v="1"/>
    <n v="0"/>
    <n v="0"/>
    <n v="64"/>
    <n v="106"/>
    <n v="0"/>
    <n v="728.11"/>
    <n v="103.1"/>
    <m/>
    <n v="781.63277088135658"/>
    <n v="215.6942886760464"/>
    <n v="0"/>
    <n v="1609.1231"/>
    <n v="227.85099999999997"/>
    <n v="0"/>
    <n v="1727.4084236477979"/>
    <n v="476.68437797406256"/>
  </r>
  <r>
    <s v="Regular"/>
    <x v="6"/>
    <x v="3"/>
    <x v="2"/>
    <x v="0"/>
    <x v="0"/>
    <x v="1"/>
    <x v="3"/>
    <x v="1"/>
    <n v="0"/>
    <n v="0"/>
    <n v="2.032"/>
    <n v="2.032"/>
    <n v="2.032"/>
    <n v="2.032"/>
    <n v="0"/>
    <x v="1"/>
    <n v="0"/>
    <n v="0"/>
    <n v="64"/>
    <n v="106"/>
    <n v="0"/>
    <n v="728.11"/>
    <n v="103.1"/>
    <m/>
    <n v="781.63277088135658"/>
    <n v="215.6942886760464"/>
    <n v="0"/>
    <n v="1479.5195200000001"/>
    <n v="209.4992"/>
    <n v="0"/>
    <n v="1588.2777904309166"/>
    <n v="438.29079458972626"/>
  </r>
  <r>
    <s v="Regular"/>
    <x v="6"/>
    <x v="3"/>
    <x v="2"/>
    <x v="0"/>
    <x v="0"/>
    <x v="1"/>
    <x v="3"/>
    <x v="2"/>
    <n v="0"/>
    <n v="0"/>
    <n v="1.68"/>
    <n v="1.68"/>
    <n v="1.68"/>
    <n v="1.68"/>
    <n v="0"/>
    <x v="1"/>
    <n v="0"/>
    <n v="0"/>
    <n v="64"/>
    <n v="106"/>
    <n v="0"/>
    <n v="728.11"/>
    <n v="103.1"/>
    <m/>
    <n v="781.63277088135658"/>
    <n v="215.6942886760464"/>
    <n v="0"/>
    <n v="1223.2248"/>
    <n v="173.20799999999997"/>
    <n v="0"/>
    <n v="1313.143055080679"/>
    <n v="362.36640497575792"/>
  </r>
  <r>
    <s v="Regular"/>
    <x v="6"/>
    <x v="3"/>
    <x v="2"/>
    <x v="0"/>
    <x v="0"/>
    <x v="1"/>
    <x v="3"/>
    <x v="3"/>
    <n v="0"/>
    <n v="0"/>
    <n v="1.569"/>
    <n v="1.569"/>
    <n v="1.569"/>
    <n v="1.569"/>
    <n v="0"/>
    <x v="1"/>
    <n v="0"/>
    <n v="0"/>
    <n v="64"/>
    <n v="106"/>
    <n v="0"/>
    <n v="728.11"/>
    <n v="103.1"/>
    <m/>
    <n v="781.63277088135658"/>
    <n v="215.6942886760464"/>
    <n v="0"/>
    <n v="1142.4045900000001"/>
    <n v="161.76389999999998"/>
    <n v="0"/>
    <n v="1226.3818175128483"/>
    <n v="338.42433893271681"/>
  </r>
  <r>
    <s v="Regular"/>
    <x v="6"/>
    <x v="3"/>
    <x v="2"/>
    <x v="0"/>
    <x v="0"/>
    <x v="1"/>
    <x v="3"/>
    <x v="4"/>
    <n v="0"/>
    <n v="0"/>
    <n v="1.7370000000000001"/>
    <n v="1.7370000000000001"/>
    <n v="1.7370000000000001"/>
    <n v="1.7370000000000001"/>
    <n v="0"/>
    <x v="1"/>
    <n v="0"/>
    <n v="0"/>
    <n v="64"/>
    <n v="106"/>
    <n v="0"/>
    <n v="728.11"/>
    <n v="103.1"/>
    <m/>
    <n v="781.63277088135658"/>
    <n v="215.6942886760464"/>
    <n v="0"/>
    <n v="1264.7270700000001"/>
    <n v="179.0847"/>
    <n v="0"/>
    <n v="1357.6961230209165"/>
    <n v="374.66097943029263"/>
  </r>
  <r>
    <s v="Regular"/>
    <x v="6"/>
    <x v="3"/>
    <x v="2"/>
    <x v="0"/>
    <x v="0"/>
    <x v="1"/>
    <x v="3"/>
    <x v="5"/>
    <n v="0"/>
    <n v="0"/>
    <n v="1.5620000000000001"/>
    <n v="1.5620000000000001"/>
    <n v="1.5620000000000001"/>
    <n v="1.5620000000000001"/>
    <n v="0"/>
    <x v="1"/>
    <n v="0"/>
    <n v="0"/>
    <n v="64"/>
    <n v="106"/>
    <n v="0"/>
    <n v="728.11"/>
    <n v="103.1"/>
    <m/>
    <n v="781.63277088135658"/>
    <n v="215.6942886760464"/>
    <n v="0"/>
    <n v="1137.30782"/>
    <n v="161.04220000000001"/>
    <n v="0"/>
    <n v="1220.9103881166791"/>
    <n v="336.91447891198447"/>
  </r>
  <r>
    <s v="Regular"/>
    <x v="6"/>
    <x v="3"/>
    <x v="2"/>
    <x v="0"/>
    <x v="0"/>
    <x v="1"/>
    <x v="3"/>
    <x v="6"/>
    <n v="0"/>
    <n v="0"/>
    <n v="2.0369999999999999"/>
    <n v="2.0369999999999999"/>
    <n v="2.0369999999999999"/>
    <n v="2.0369999999999999"/>
    <n v="0"/>
    <x v="1"/>
    <n v="0"/>
    <n v="0"/>
    <n v="64"/>
    <n v="106"/>
    <n v="0"/>
    <n v="728.11"/>
    <n v="103.1"/>
    <m/>
    <n v="781.63277088135658"/>
    <n v="215.6942886760464"/>
    <n v="0"/>
    <n v="1483.1600699999999"/>
    <n v="210.01469999999998"/>
    <n v="0"/>
    <n v="1592.1859542853233"/>
    <n v="439.3692660331065"/>
  </r>
  <r>
    <s v="Regular"/>
    <x v="6"/>
    <x v="3"/>
    <x v="2"/>
    <x v="0"/>
    <x v="0"/>
    <x v="1"/>
    <x v="3"/>
    <x v="7"/>
    <n v="0"/>
    <n v="0"/>
    <n v="1.264"/>
    <n v="1.264"/>
    <n v="1.264"/>
    <n v="1.264"/>
    <n v="0"/>
    <x v="1"/>
    <n v="0"/>
    <n v="0"/>
    <n v="64"/>
    <n v="106"/>
    <n v="0"/>
    <n v="728.11"/>
    <n v="103.1"/>
    <m/>
    <n v="781.63277088135658"/>
    <n v="215.6942886760464"/>
    <n v="0"/>
    <n v="920.33104000000003"/>
    <n v="130.3184"/>
    <n v="0"/>
    <n v="987.98382239403475"/>
    <n v="272.63758088652264"/>
  </r>
  <r>
    <s v="Regular"/>
    <x v="6"/>
    <x v="3"/>
    <x v="2"/>
    <x v="0"/>
    <x v="0"/>
    <x v="1"/>
    <x v="3"/>
    <x v="8"/>
    <n v="0"/>
    <n v="0"/>
    <n v="1.605"/>
    <n v="1.605"/>
    <n v="1.605"/>
    <n v="1.605"/>
    <n v="0"/>
    <x v="1"/>
    <n v="0"/>
    <n v="0"/>
    <n v="64"/>
    <n v="106"/>
    <n v="0"/>
    <n v="728.11"/>
    <n v="103.1"/>
    <m/>
    <n v="781.63277088135658"/>
    <n v="215.6942886760464"/>
    <n v="0"/>
    <n v="1168.61655"/>
    <n v="165.47549999999998"/>
    <n v="0"/>
    <n v="1254.5205972645772"/>
    <n v="346.18933332505446"/>
  </r>
  <r>
    <s v="Regular"/>
    <x v="6"/>
    <x v="3"/>
    <x v="2"/>
    <x v="0"/>
    <x v="0"/>
    <x v="1"/>
    <x v="3"/>
    <x v="9"/>
    <n v="0"/>
    <n v="0"/>
    <n v="2.0590000000000002"/>
    <n v="2.0590000000000002"/>
    <n v="2.0590000000000002"/>
    <n v="2.0590000000000002"/>
    <n v="0"/>
    <x v="1"/>
    <n v="0"/>
    <n v="0"/>
    <n v="64"/>
    <n v="106"/>
    <n v="0"/>
    <n v="728.11"/>
    <n v="103.1"/>
    <m/>
    <n v="781.63277088135658"/>
    <n v="215.6942886760464"/>
    <n v="0"/>
    <n v="1499.1784900000002"/>
    <n v="212.28290000000001"/>
    <n v="0"/>
    <n v="1609.3818752447132"/>
    <n v="444.11454038397954"/>
  </r>
  <r>
    <s v="Regular"/>
    <x v="6"/>
    <x v="3"/>
    <x v="2"/>
    <x v="0"/>
    <x v="0"/>
    <x v="1"/>
    <x v="3"/>
    <x v="10"/>
    <n v="0"/>
    <n v="0"/>
    <n v="3.12"/>
    <n v="3.12"/>
    <n v="3.12"/>
    <n v="3.12"/>
    <n v="0"/>
    <x v="1"/>
    <n v="0"/>
    <n v="0"/>
    <n v="64"/>
    <n v="106"/>
    <n v="0"/>
    <n v="728.11"/>
    <n v="103.1"/>
    <m/>
    <n v="781.63277088135658"/>
    <n v="215.6942886760464"/>
    <n v="0"/>
    <n v="2271.7031999999999"/>
    <n v="321.67199999999997"/>
    <n v="0"/>
    <n v="2438.6942451498326"/>
    <n v="672.96618066926476"/>
  </r>
  <r>
    <s v="PROJETADO"/>
    <x v="6"/>
    <x v="3"/>
    <x v="2"/>
    <x v="0"/>
    <x v="0"/>
    <x v="1"/>
    <x v="3"/>
    <x v="11"/>
    <n v="0"/>
    <n v="0"/>
    <n v="3.12"/>
    <n v="3.12"/>
    <n v="3.12"/>
    <n v="3.12"/>
    <n v="0"/>
    <x v="1"/>
    <n v="0"/>
    <n v="0"/>
    <n v="64"/>
    <n v="106"/>
    <n v="0"/>
    <n v="728.11"/>
    <n v="103.1"/>
    <m/>
    <n v="781.63277088135658"/>
    <n v="215.6942886760464"/>
    <n v="0"/>
    <n v="2271.7031999999999"/>
    <n v="321.67199999999997"/>
    <n v="0"/>
    <n v="2438.6942451498326"/>
    <n v="672.96618066926476"/>
  </r>
  <r>
    <s v="Regular"/>
    <x v="6"/>
    <x v="3"/>
    <x v="2"/>
    <x v="0"/>
    <x v="0"/>
    <x v="1"/>
    <x v="2"/>
    <x v="0"/>
    <n v="0"/>
    <n v="0"/>
    <n v="2.137"/>
    <n v="2.137"/>
    <n v="2.137"/>
    <n v="2.137"/>
    <n v="0"/>
    <x v="1"/>
    <n v="0"/>
    <n v="0"/>
    <n v="63"/>
    <n v="105"/>
    <n v="0"/>
    <n v="1133.28"/>
    <n v="159.43"/>
    <m/>
    <n v="1170.4351348217385"/>
    <n v="322.27888250425127"/>
    <n v="0"/>
    <n v="2421.81936"/>
    <n v="340.70191"/>
    <n v="0"/>
    <n v="2501.2198831140554"/>
    <n v="688.70997191158494"/>
  </r>
  <r>
    <s v="Regular"/>
    <x v="6"/>
    <x v="3"/>
    <x v="2"/>
    <x v="0"/>
    <x v="0"/>
    <x v="1"/>
    <x v="2"/>
    <x v="1"/>
    <n v="0"/>
    <n v="0"/>
    <n v="1.9179999999999999"/>
    <n v="1.9179999999999999"/>
    <n v="1.9179999999999999"/>
    <n v="1.9179999999999999"/>
    <n v="0"/>
    <x v="1"/>
    <n v="0"/>
    <n v="0"/>
    <n v="63"/>
    <n v="105"/>
    <n v="0"/>
    <n v="1133.28"/>
    <n v="159.43"/>
    <m/>
    <n v="1170.4351348217385"/>
    <n v="322.27888250425127"/>
    <n v="0"/>
    <n v="2173.6310399999998"/>
    <n v="305.78674000000001"/>
    <n v="0"/>
    <n v="2244.8945885880944"/>
    <n v="618.13089664315396"/>
  </r>
  <r>
    <s v="Regular"/>
    <x v="6"/>
    <x v="3"/>
    <x v="2"/>
    <x v="0"/>
    <x v="0"/>
    <x v="1"/>
    <x v="2"/>
    <x v="2"/>
    <n v="0"/>
    <n v="0"/>
    <n v="1.895"/>
    <n v="1.895"/>
    <n v="1.895"/>
    <n v="1.895"/>
    <n v="0"/>
    <x v="1"/>
    <n v="0"/>
    <n v="0"/>
    <n v="63"/>
    <n v="105"/>
    <n v="0"/>
    <n v="1133.28"/>
    <n v="159.43"/>
    <m/>
    <n v="1170.4351348217385"/>
    <n v="322.27888250425127"/>
    <n v="0"/>
    <n v="2147.5655999999999"/>
    <n v="302.11985000000004"/>
    <n v="0"/>
    <n v="2217.9745804871945"/>
    <n v="610.71848234555614"/>
  </r>
  <r>
    <s v="Regular"/>
    <x v="6"/>
    <x v="3"/>
    <x v="2"/>
    <x v="0"/>
    <x v="0"/>
    <x v="1"/>
    <x v="2"/>
    <x v="3"/>
    <n v="0"/>
    <n v="0"/>
    <n v="1.583"/>
    <n v="1.583"/>
    <n v="1.583"/>
    <n v="1.583"/>
    <n v="0"/>
    <x v="1"/>
    <n v="0"/>
    <n v="0"/>
    <n v="63"/>
    <n v="105"/>
    <n v="0"/>
    <n v="1133.28"/>
    <n v="159.43"/>
    <m/>
    <n v="1170.4351348217385"/>
    <n v="322.27888250425127"/>
    <n v="0"/>
    <n v="1793.9822399999998"/>
    <n v="252.37769"/>
    <n v="0"/>
    <n v="1852.798818422812"/>
    <n v="510.16747100422975"/>
  </r>
  <r>
    <s v="Regular"/>
    <x v="6"/>
    <x v="3"/>
    <x v="2"/>
    <x v="0"/>
    <x v="0"/>
    <x v="1"/>
    <x v="2"/>
    <x v="4"/>
    <n v="0"/>
    <n v="0"/>
    <n v="1.583"/>
    <n v="1.583"/>
    <n v="1.583"/>
    <n v="1.583"/>
    <n v="0"/>
    <x v="1"/>
    <n v="0"/>
    <n v="0"/>
    <n v="63"/>
    <n v="105"/>
    <n v="0"/>
    <n v="1133.28"/>
    <n v="159.43"/>
    <m/>
    <n v="1170.4351348217385"/>
    <n v="322.27888250425127"/>
    <n v="0"/>
    <n v="1793.9822399999998"/>
    <n v="252.37769"/>
    <n v="0"/>
    <n v="1852.798818422812"/>
    <n v="510.16747100422975"/>
  </r>
  <r>
    <s v="Regular"/>
    <x v="6"/>
    <x v="3"/>
    <x v="2"/>
    <x v="0"/>
    <x v="0"/>
    <x v="1"/>
    <x v="2"/>
    <x v="5"/>
    <n v="0"/>
    <n v="0"/>
    <n v="1.8160000000000001"/>
    <n v="1.8160000000000001"/>
    <n v="1.8160000000000001"/>
    <n v="1.8160000000000001"/>
    <n v="0"/>
    <x v="1"/>
    <n v="0"/>
    <n v="0"/>
    <n v="63"/>
    <n v="105"/>
    <n v="0"/>
    <n v="1133.28"/>
    <n v="159.43"/>
    <m/>
    <n v="1170.4351348217385"/>
    <n v="322.27888250425127"/>
    <n v="0"/>
    <n v="2058.0364800000002"/>
    <n v="289.52488"/>
    <n v="0"/>
    <n v="2125.5102048362774"/>
    <n v="585.25845062772032"/>
  </r>
  <r>
    <s v="Regular"/>
    <x v="6"/>
    <x v="3"/>
    <x v="2"/>
    <x v="0"/>
    <x v="0"/>
    <x v="1"/>
    <x v="2"/>
    <x v="6"/>
    <n v="0"/>
    <n v="0"/>
    <n v="1.8340000000000001"/>
    <n v="1.8340000000000001"/>
    <n v="1.8340000000000001"/>
    <n v="1.8340000000000001"/>
    <n v="0"/>
    <x v="1"/>
    <n v="0"/>
    <n v="0"/>
    <n v="63"/>
    <n v="105"/>
    <n v="0"/>
    <n v="1133.28"/>
    <n v="159.43"/>
    <m/>
    <n v="1170.4351348217385"/>
    <n v="322.27888250425127"/>
    <n v="0"/>
    <n v="2078.43552"/>
    <n v="292.39462000000003"/>
    <n v="0"/>
    <n v="2146.5780372630684"/>
    <n v="591.05947051279691"/>
  </r>
  <r>
    <s v="Regular"/>
    <x v="6"/>
    <x v="3"/>
    <x v="2"/>
    <x v="0"/>
    <x v="0"/>
    <x v="1"/>
    <x v="2"/>
    <x v="7"/>
    <n v="0"/>
    <n v="0"/>
    <n v="1.1679999999999999"/>
    <n v="1.1679999999999999"/>
    <n v="1.1679999999999999"/>
    <n v="1.1679999999999999"/>
    <n v="0"/>
    <x v="1"/>
    <n v="0"/>
    <n v="0"/>
    <n v="63"/>
    <n v="105"/>
    <n v="0"/>
    <n v="1133.28"/>
    <n v="159.43"/>
    <m/>
    <n v="1170.4351348217385"/>
    <n v="322.27888250425127"/>
    <n v="0"/>
    <n v="1323.6710399999999"/>
    <n v="186.21423999999999"/>
    <n v="0"/>
    <n v="1367.0682374717906"/>
    <n v="376.42173476496544"/>
  </r>
  <r>
    <s v="Regular"/>
    <x v="6"/>
    <x v="3"/>
    <x v="2"/>
    <x v="0"/>
    <x v="0"/>
    <x v="1"/>
    <x v="2"/>
    <x v="8"/>
    <n v="0"/>
    <n v="0"/>
    <n v="1.2390000000000001"/>
    <n v="1.2390000000000001"/>
    <n v="1.2390000000000001"/>
    <n v="1.2390000000000001"/>
    <n v="0"/>
    <x v="1"/>
    <n v="0"/>
    <n v="0"/>
    <n v="63"/>
    <n v="105"/>
    <n v="0"/>
    <n v="1133.28"/>
    <n v="159.43"/>
    <m/>
    <n v="1170.4351348217385"/>
    <n v="322.27888250425127"/>
    <n v="0"/>
    <n v="1404.13392"/>
    <n v="197.53377000000003"/>
    <n v="0"/>
    <n v="1450.1691320441341"/>
    <n v="399.30353542276737"/>
  </r>
  <r>
    <s v="Regular"/>
    <x v="6"/>
    <x v="3"/>
    <x v="2"/>
    <x v="0"/>
    <x v="0"/>
    <x v="1"/>
    <x v="2"/>
    <x v="9"/>
    <n v="0"/>
    <n v="0"/>
    <n v="1.9039999999999999"/>
    <n v="1.9039999999999999"/>
    <n v="1.9039999999999999"/>
    <n v="1.9039999999999999"/>
    <n v="0"/>
    <x v="1"/>
    <n v="0"/>
    <n v="0"/>
    <n v="63"/>
    <n v="105"/>
    <n v="0"/>
    <n v="1133.28"/>
    <n v="159.43"/>
    <m/>
    <n v="1170.4351348217385"/>
    <n v="322.27888250425127"/>
    <n v="0"/>
    <n v="2157.76512"/>
    <n v="303.55471999999997"/>
    <n v="0"/>
    <n v="2228.5084967005901"/>
    <n v="613.61899228809443"/>
  </r>
  <r>
    <s v="Regular"/>
    <x v="6"/>
    <x v="3"/>
    <x v="2"/>
    <x v="0"/>
    <x v="0"/>
    <x v="1"/>
    <x v="2"/>
    <x v="10"/>
    <n v="0"/>
    <n v="0"/>
    <n v="2.452"/>
    <n v="2.452"/>
    <n v="2.452"/>
    <n v="2.452"/>
    <n v="0"/>
    <x v="1"/>
    <n v="0"/>
    <n v="0"/>
    <n v="63"/>
    <n v="105"/>
    <n v="0"/>
    <n v="1133.28"/>
    <n v="159.43"/>
    <m/>
    <n v="1170.4351348217385"/>
    <n v="322.27888250425127"/>
    <n v="0"/>
    <n v="2778.8025600000001"/>
    <n v="390.92236000000003"/>
    <n v="0"/>
    <n v="2869.9069505829029"/>
    <n v="790.22781990042415"/>
  </r>
  <r>
    <s v="PROJETADO"/>
    <x v="6"/>
    <x v="3"/>
    <x v="2"/>
    <x v="0"/>
    <x v="0"/>
    <x v="1"/>
    <x v="2"/>
    <x v="11"/>
    <n v="0"/>
    <n v="0"/>
    <n v="2.452"/>
    <n v="2.452"/>
    <n v="2.452"/>
    <n v="2.452"/>
    <n v="0"/>
    <x v="1"/>
    <n v="0"/>
    <n v="0"/>
    <n v="63"/>
    <n v="105"/>
    <n v="0"/>
    <n v="1133.28"/>
    <n v="159.43"/>
    <m/>
    <n v="1170.4351348217385"/>
    <n v="322.27888250425127"/>
    <n v="0"/>
    <n v="2778.8025600000001"/>
    <n v="390.92236000000003"/>
    <n v="0"/>
    <n v="2869.9069505829029"/>
    <n v="790.22781990042415"/>
  </r>
  <r>
    <s v="Regular"/>
    <x v="6"/>
    <x v="3"/>
    <x v="1"/>
    <x v="0"/>
    <x v="0"/>
    <x v="1"/>
    <x v="1"/>
    <x v="10"/>
    <n v="0"/>
    <n v="0"/>
    <n v="0.78400000000000003"/>
    <n v="0.78400000000000003"/>
    <n v="0.78400000000000003"/>
    <n v="0.78400000000000003"/>
    <n v="0"/>
    <x v="1"/>
    <n v="0"/>
    <n v="0"/>
    <n v="65"/>
    <n v="107"/>
    <n v="0"/>
    <n v="322.94"/>
    <n v="103.1"/>
    <m/>
    <n v="392.83040097268224"/>
    <n v="215.6942886760464"/>
    <n v="0"/>
    <n v="253.18496000000002"/>
    <n v="80.830399999999997"/>
    <n v="0"/>
    <n v="307.97903436258287"/>
    <n v="169.10432232202038"/>
  </r>
  <r>
    <s v="PROJETADO"/>
    <x v="6"/>
    <x v="3"/>
    <x v="1"/>
    <x v="0"/>
    <x v="0"/>
    <x v="1"/>
    <x v="1"/>
    <x v="11"/>
    <n v="0"/>
    <n v="0"/>
    <n v="0.78400000000000003"/>
    <n v="0.78400000000000003"/>
    <n v="0.78400000000000003"/>
    <n v="0.78400000000000003"/>
    <n v="0"/>
    <x v="1"/>
    <n v="0"/>
    <n v="0"/>
    <n v="65"/>
    <n v="107"/>
    <n v="0"/>
    <n v="322.94"/>
    <n v="103.1"/>
    <m/>
    <n v="392.83040097268224"/>
    <n v="215.6942886760464"/>
    <n v="0"/>
    <n v="253.18496000000002"/>
    <n v="80.830399999999997"/>
    <n v="0"/>
    <n v="307.97903436258287"/>
    <n v="169.10432232202038"/>
  </r>
  <r>
    <s v="Regular"/>
    <x v="6"/>
    <x v="3"/>
    <x v="1"/>
    <x v="0"/>
    <x v="0"/>
    <x v="1"/>
    <x v="3"/>
    <x v="10"/>
    <n v="0"/>
    <n v="0"/>
    <n v="1.6E-2"/>
    <n v="1.6E-2"/>
    <n v="1.6E-2"/>
    <n v="1.6E-2"/>
    <n v="0"/>
    <x v="1"/>
    <n v="0"/>
    <n v="0"/>
    <n v="64"/>
    <n v="106"/>
    <n v="0"/>
    <n v="728.11"/>
    <n v="103.1"/>
    <m/>
    <n v="781.63277088135658"/>
    <n v="215.6942886760464"/>
    <n v="0"/>
    <n v="11.649760000000001"/>
    <n v="1.6496"/>
    <n v="0"/>
    <n v="12.506124334101706"/>
    <n v="3.4511086188167424"/>
  </r>
  <r>
    <s v="PROJETADO"/>
    <x v="6"/>
    <x v="3"/>
    <x v="1"/>
    <x v="0"/>
    <x v="0"/>
    <x v="1"/>
    <x v="3"/>
    <x v="11"/>
    <n v="0"/>
    <n v="0"/>
    <n v="1.6E-2"/>
    <n v="1.6E-2"/>
    <n v="1.6E-2"/>
    <n v="1.6E-2"/>
    <n v="0"/>
    <x v="1"/>
    <n v="0"/>
    <n v="0"/>
    <n v="64"/>
    <n v="106"/>
    <n v="0"/>
    <n v="728.11"/>
    <n v="103.1"/>
    <m/>
    <n v="781.63277088135658"/>
    <n v="215.6942886760464"/>
    <n v="0"/>
    <n v="11.649760000000001"/>
    <n v="1.6496"/>
    <n v="0"/>
    <n v="12.506124334101706"/>
    <n v="3.4511086188167424"/>
  </r>
  <r>
    <s v="Regular"/>
    <x v="6"/>
    <x v="3"/>
    <x v="1"/>
    <x v="0"/>
    <x v="0"/>
    <x v="1"/>
    <x v="2"/>
    <x v="10"/>
    <n v="0"/>
    <n v="0"/>
    <n v="2.5000000000000001E-2"/>
    <n v="2.5000000000000001E-2"/>
    <n v="2.5000000000000001E-2"/>
    <n v="2.5000000000000001E-2"/>
    <n v="0"/>
    <x v="1"/>
    <n v="0"/>
    <n v="0"/>
    <n v="63"/>
    <n v="105"/>
    <n v="0"/>
    <n v="1133.28"/>
    <n v="159.43"/>
    <m/>
    <n v="1170.4351348217385"/>
    <n v="322.27888250425127"/>
    <n v="0"/>
    <n v="28.332000000000001"/>
    <n v="3.9857500000000003"/>
    <n v="0"/>
    <n v="29.260878370543466"/>
    <n v="8.0569720626062828"/>
  </r>
  <r>
    <s v="PROJETADO"/>
    <x v="6"/>
    <x v="3"/>
    <x v="1"/>
    <x v="0"/>
    <x v="0"/>
    <x v="1"/>
    <x v="2"/>
    <x v="11"/>
    <n v="0"/>
    <n v="0"/>
    <n v="2.5000000000000001E-2"/>
    <n v="2.5000000000000001E-2"/>
    <n v="2.5000000000000001E-2"/>
    <n v="2.5000000000000001E-2"/>
    <n v="0"/>
    <x v="1"/>
    <n v="0"/>
    <n v="0"/>
    <n v="63"/>
    <n v="105"/>
    <n v="0"/>
    <n v="1133.28"/>
    <n v="159.43"/>
    <m/>
    <n v="1170.4351348217385"/>
    <n v="322.27888250425127"/>
    <n v="0"/>
    <n v="28.332000000000001"/>
    <n v="3.9857500000000003"/>
    <n v="0"/>
    <n v="29.260878370543466"/>
    <n v="8.0569720626062828"/>
  </r>
  <r>
    <s v="Regular"/>
    <x v="6"/>
    <x v="3"/>
    <x v="3"/>
    <x v="0"/>
    <x v="0"/>
    <x v="1"/>
    <x v="1"/>
    <x v="3"/>
    <n v="0"/>
    <n v="0"/>
    <n v="1.2010000000000001"/>
    <n v="1.2010000000000001"/>
    <n v="1.2010000000000001"/>
    <n v="1.2010000000000001"/>
    <n v="0"/>
    <x v="1"/>
    <n v="0"/>
    <n v="0"/>
    <n v="65"/>
    <n v="107"/>
    <n v="0"/>
    <n v="322.94"/>
    <n v="103.1"/>
    <m/>
    <n v="392.83040097268224"/>
    <n v="215.6942886760464"/>
    <n v="0"/>
    <n v="387.85094000000004"/>
    <n v="123.8231"/>
    <n v="0"/>
    <n v="471.78931156819141"/>
    <n v="259.04884069993176"/>
  </r>
  <r>
    <s v="Regular"/>
    <x v="6"/>
    <x v="3"/>
    <x v="3"/>
    <x v="0"/>
    <x v="0"/>
    <x v="1"/>
    <x v="1"/>
    <x v="4"/>
    <n v="0"/>
    <n v="0"/>
    <n v="8.4789999999999992"/>
    <n v="8.4789999999999992"/>
    <n v="8.4789999999999992"/>
    <n v="8.4789999999999992"/>
    <n v="0"/>
    <x v="1"/>
    <n v="0"/>
    <n v="0"/>
    <n v="65"/>
    <n v="107"/>
    <n v="0"/>
    <n v="322.94"/>
    <n v="103.1"/>
    <m/>
    <n v="392.83040097268224"/>
    <n v="215.6942886760464"/>
    <n v="0"/>
    <n v="2738.2082599999999"/>
    <n v="874.18489999999986"/>
    <n v="0"/>
    <n v="3330.8089698473723"/>
    <n v="1828.8718736841972"/>
  </r>
  <r>
    <s v="Refaturamento - Regular"/>
    <x v="6"/>
    <x v="3"/>
    <x v="3"/>
    <x v="0"/>
    <x v="0"/>
    <x v="1"/>
    <x v="1"/>
    <x v="4"/>
    <n v="0"/>
    <n v="0"/>
    <n v="0.1"/>
    <n v="0.1"/>
    <n v="0.1"/>
    <n v="0.1"/>
    <n v="0"/>
    <x v="1"/>
    <n v="0"/>
    <n v="0"/>
    <n v="65"/>
    <n v="107"/>
    <n v="0"/>
    <n v="322.94"/>
    <n v="103.1"/>
    <m/>
    <n v="392.83040097268224"/>
    <n v="215.6942886760464"/>
    <n v="0"/>
    <n v="32.294000000000004"/>
    <n v="10.31"/>
    <n v="0"/>
    <n v="39.283040097268227"/>
    <n v="21.569428867604643"/>
  </r>
  <r>
    <s v="Regular"/>
    <x v="6"/>
    <x v="3"/>
    <x v="3"/>
    <x v="0"/>
    <x v="0"/>
    <x v="1"/>
    <x v="1"/>
    <x v="5"/>
    <n v="0"/>
    <n v="0"/>
    <n v="12.067"/>
    <n v="12.067"/>
    <n v="12.067"/>
    <n v="12.067"/>
    <n v="0"/>
    <x v="1"/>
    <n v="0"/>
    <n v="0"/>
    <n v="65"/>
    <n v="107"/>
    <n v="0"/>
    <n v="322.94"/>
    <n v="103.1"/>
    <m/>
    <n v="392.83040097268224"/>
    <n v="215.6942886760464"/>
    <n v="0"/>
    <n v="3896.91698"/>
    <n v="1244.1077"/>
    <n v="0"/>
    <n v="4740.2844485373571"/>
    <n v="2602.7829814538518"/>
  </r>
  <r>
    <s v="Refaturamento - Regular"/>
    <x v="6"/>
    <x v="3"/>
    <x v="3"/>
    <x v="0"/>
    <x v="0"/>
    <x v="1"/>
    <x v="1"/>
    <x v="5"/>
    <n v="0"/>
    <n v="0"/>
    <n v="0.60699999999999998"/>
    <n v="0.60699999999999998"/>
    <n v="0.60699999999999998"/>
    <n v="0.60699999999999998"/>
    <n v="0"/>
    <x v="1"/>
    <n v="0"/>
    <n v="0"/>
    <n v="65"/>
    <n v="107"/>
    <n v="0"/>
    <n v="322.94"/>
    <n v="103.1"/>
    <m/>
    <n v="392.83040097268224"/>
    <n v="215.6942886760464"/>
    <n v="0"/>
    <n v="196.02457999999999"/>
    <n v="62.581699999999998"/>
    <n v="0"/>
    <n v="238.44805339041812"/>
    <n v="130.92643322636016"/>
  </r>
  <r>
    <s v="Regular"/>
    <x v="6"/>
    <x v="3"/>
    <x v="3"/>
    <x v="0"/>
    <x v="0"/>
    <x v="1"/>
    <x v="1"/>
    <x v="6"/>
    <n v="0"/>
    <n v="0"/>
    <n v="11.173"/>
    <n v="11.173"/>
    <n v="11.173"/>
    <n v="11.173"/>
    <n v="0"/>
    <x v="1"/>
    <n v="0"/>
    <n v="0"/>
    <n v="65"/>
    <n v="107"/>
    <n v="0"/>
    <n v="322.94"/>
    <n v="103.1"/>
    <m/>
    <n v="392.83040097268224"/>
    <n v="215.6942886760464"/>
    <n v="0"/>
    <n v="3608.2086199999999"/>
    <n v="1151.9362999999998"/>
    <n v="0"/>
    <n v="4389.0940700677784"/>
    <n v="2409.9522873774663"/>
  </r>
  <r>
    <s v="Regular"/>
    <x v="6"/>
    <x v="3"/>
    <x v="3"/>
    <x v="0"/>
    <x v="0"/>
    <x v="1"/>
    <x v="1"/>
    <x v="7"/>
    <n v="0"/>
    <n v="0"/>
    <n v="11.907999999999999"/>
    <n v="11.907999999999999"/>
    <n v="11.907999999999999"/>
    <n v="11.907999999999999"/>
    <n v="0"/>
    <x v="1"/>
    <n v="0"/>
    <n v="0"/>
    <n v="65"/>
    <n v="107"/>
    <n v="0"/>
    <n v="322.94"/>
    <n v="103.1"/>
    <m/>
    <n v="392.83040097268224"/>
    <n v="215.6942886760464"/>
    <n v="0"/>
    <n v="3845.56952"/>
    <n v="1227.7148"/>
    <n v="0"/>
    <n v="4677.8244147826999"/>
    <n v="2568.4875895543605"/>
  </r>
  <r>
    <s v="Regular"/>
    <x v="6"/>
    <x v="3"/>
    <x v="3"/>
    <x v="0"/>
    <x v="0"/>
    <x v="1"/>
    <x v="1"/>
    <x v="8"/>
    <n v="0"/>
    <n v="0"/>
    <n v="15.36"/>
    <n v="15.36"/>
    <n v="15.36"/>
    <n v="15.36"/>
    <n v="0"/>
    <x v="1"/>
    <n v="0"/>
    <n v="0"/>
    <n v="65"/>
    <n v="107"/>
    <n v="0"/>
    <n v="322.94"/>
    <n v="103.1"/>
    <m/>
    <n v="392.83040097268224"/>
    <n v="215.6942886760464"/>
    <n v="0"/>
    <n v="4960.3584000000001"/>
    <n v="1583.6159999999998"/>
    <n v="0"/>
    <n v="6033.8749589403988"/>
    <n v="3313.0642740640724"/>
  </r>
  <r>
    <s v="Regular"/>
    <x v="6"/>
    <x v="3"/>
    <x v="3"/>
    <x v="0"/>
    <x v="0"/>
    <x v="1"/>
    <x v="1"/>
    <x v="9"/>
    <n v="0"/>
    <n v="0"/>
    <n v="13.993"/>
    <n v="13.993"/>
    <n v="13.993"/>
    <n v="13.993"/>
    <n v="0"/>
    <x v="1"/>
    <n v="0"/>
    <n v="0"/>
    <n v="65"/>
    <n v="107"/>
    <n v="0"/>
    <n v="322.94"/>
    <n v="103.1"/>
    <m/>
    <n v="392.83040097268224"/>
    <n v="215.6942886760464"/>
    <n v="0"/>
    <n v="4518.8994199999997"/>
    <n v="1442.6783"/>
    <n v="0"/>
    <n v="5496.8758008107425"/>
    <n v="3018.2101814439175"/>
  </r>
  <r>
    <s v="Regular"/>
    <x v="6"/>
    <x v="3"/>
    <x v="3"/>
    <x v="0"/>
    <x v="0"/>
    <x v="1"/>
    <x v="3"/>
    <x v="3"/>
    <n v="0"/>
    <n v="0"/>
    <n v="3.7999999999999999E-2"/>
    <n v="3.7999999999999999E-2"/>
    <n v="3.7999999999999999E-2"/>
    <n v="3.7999999999999999E-2"/>
    <n v="0"/>
    <x v="1"/>
    <n v="0"/>
    <n v="0"/>
    <n v="64"/>
    <n v="106"/>
    <n v="0"/>
    <n v="728.11"/>
    <n v="103.1"/>
    <m/>
    <n v="781.63277088135658"/>
    <n v="215.6942886760464"/>
    <n v="0"/>
    <n v="27.66818"/>
    <n v="3.9177999999999997"/>
    <n v="0"/>
    <n v="29.702045293491548"/>
    <n v="8.196382969689763"/>
  </r>
  <r>
    <s v="Regular"/>
    <x v="6"/>
    <x v="3"/>
    <x v="3"/>
    <x v="0"/>
    <x v="0"/>
    <x v="1"/>
    <x v="3"/>
    <x v="4"/>
    <n v="0"/>
    <n v="0"/>
    <n v="1.423"/>
    <n v="1.423"/>
    <n v="1.423"/>
    <n v="1.423"/>
    <n v="0"/>
    <x v="1"/>
    <n v="0"/>
    <n v="0"/>
    <n v="64"/>
    <n v="106"/>
    <n v="0"/>
    <n v="728.11"/>
    <n v="103.1"/>
    <m/>
    <n v="781.63277088135658"/>
    <n v="215.6942886760464"/>
    <n v="0"/>
    <n v="1036.1005300000002"/>
    <n v="146.71129999999999"/>
    <n v="0"/>
    <n v="1112.2634329641705"/>
    <n v="306.93297278601403"/>
  </r>
  <r>
    <s v="Regular"/>
    <x v="6"/>
    <x v="3"/>
    <x v="3"/>
    <x v="0"/>
    <x v="0"/>
    <x v="1"/>
    <x v="3"/>
    <x v="5"/>
    <n v="0"/>
    <n v="0"/>
    <n v="0.38700000000000001"/>
    <n v="0.38700000000000001"/>
    <n v="0.38700000000000001"/>
    <n v="0.38700000000000001"/>
    <n v="0"/>
    <x v="1"/>
    <n v="0"/>
    <n v="0"/>
    <n v="64"/>
    <n v="106"/>
    <n v="0"/>
    <n v="728.11"/>
    <n v="103.1"/>
    <m/>
    <n v="781.63277088135658"/>
    <n v="215.6942886760464"/>
    <n v="0"/>
    <n v="281.77857"/>
    <n v="39.899699999999996"/>
    <n v="0"/>
    <n v="302.49188233108498"/>
    <n v="83.473689717629952"/>
  </r>
  <r>
    <s v="Refaturamento - Regular"/>
    <x v="6"/>
    <x v="3"/>
    <x v="3"/>
    <x v="0"/>
    <x v="0"/>
    <x v="1"/>
    <x v="3"/>
    <x v="5"/>
    <n v="0"/>
    <n v="0"/>
    <n v="-0.12"/>
    <n v="-0.12"/>
    <n v="-0.12"/>
    <n v="-0.12"/>
    <n v="0"/>
    <x v="1"/>
    <n v="0"/>
    <n v="0"/>
    <n v="64"/>
    <n v="106"/>
    <n v="0"/>
    <n v="728.11"/>
    <n v="103.1"/>
    <m/>
    <n v="781.63277088135658"/>
    <n v="215.6942886760464"/>
    <n v="0"/>
    <n v="-87.373199999999997"/>
    <n v="-12.371999999999998"/>
    <n v="0"/>
    <n v="-93.795932505762792"/>
    <n v="-25.883314641125565"/>
  </r>
  <r>
    <s v="Regular"/>
    <x v="6"/>
    <x v="3"/>
    <x v="3"/>
    <x v="0"/>
    <x v="0"/>
    <x v="1"/>
    <x v="3"/>
    <x v="6"/>
    <n v="0"/>
    <n v="0"/>
    <n v="0.36199999999999999"/>
    <n v="0.36199999999999999"/>
    <n v="0.36199999999999999"/>
    <n v="0.36199999999999999"/>
    <n v="0"/>
    <x v="1"/>
    <n v="0"/>
    <n v="0"/>
    <n v="64"/>
    <n v="106"/>
    <n v="0"/>
    <n v="728.11"/>
    <n v="103.1"/>
    <m/>
    <n v="781.63277088135658"/>
    <n v="215.6942886760464"/>
    <n v="0"/>
    <n v="263.57582000000002"/>
    <n v="37.322199999999995"/>
    <n v="0"/>
    <n v="282.95106305905108"/>
    <n v="78.081332500728792"/>
  </r>
  <r>
    <s v="Regular"/>
    <x v="6"/>
    <x v="3"/>
    <x v="3"/>
    <x v="0"/>
    <x v="0"/>
    <x v="1"/>
    <x v="3"/>
    <x v="7"/>
    <n v="0"/>
    <n v="0"/>
    <n v="0.379"/>
    <n v="0.379"/>
    <n v="0.379"/>
    <n v="0.379"/>
    <n v="0"/>
    <x v="1"/>
    <n v="0"/>
    <n v="0"/>
    <n v="64"/>
    <n v="106"/>
    <n v="0"/>
    <n v="728.11"/>
    <n v="103.1"/>
    <m/>
    <n v="781.63277088135658"/>
    <n v="215.6942886760464"/>
    <n v="0"/>
    <n v="275.95368999999999"/>
    <n v="39.0749"/>
    <n v="0"/>
    <n v="296.23882016403417"/>
    <n v="81.748135408221586"/>
  </r>
  <r>
    <s v="Regular"/>
    <x v="6"/>
    <x v="3"/>
    <x v="3"/>
    <x v="0"/>
    <x v="0"/>
    <x v="1"/>
    <x v="3"/>
    <x v="8"/>
    <n v="0"/>
    <n v="0"/>
    <n v="0.45800000000000002"/>
    <n v="0.45800000000000002"/>
    <n v="0.45800000000000002"/>
    <n v="0.45800000000000002"/>
    <n v="0"/>
    <x v="1"/>
    <n v="0"/>
    <n v="0"/>
    <n v="64"/>
    <n v="106"/>
    <n v="0"/>
    <n v="728.11"/>
    <n v="103.1"/>
    <m/>
    <n v="781.63277088135658"/>
    <n v="215.6942886760464"/>
    <n v="0"/>
    <n v="333.47438"/>
    <n v="47.219799999999999"/>
    <n v="0"/>
    <n v="357.9878090636613"/>
    <n v="98.787984213629258"/>
  </r>
  <r>
    <s v="Regular"/>
    <x v="6"/>
    <x v="3"/>
    <x v="3"/>
    <x v="0"/>
    <x v="0"/>
    <x v="1"/>
    <x v="3"/>
    <x v="9"/>
    <n v="0"/>
    <n v="0"/>
    <n v="0.45100000000000001"/>
    <n v="0.45100000000000001"/>
    <n v="0.45100000000000001"/>
    <n v="0.45100000000000001"/>
    <n v="0"/>
    <x v="1"/>
    <n v="0"/>
    <n v="0"/>
    <n v="64"/>
    <n v="106"/>
    <n v="0"/>
    <n v="728.11"/>
    <n v="103.1"/>
    <m/>
    <n v="781.63277088135658"/>
    <n v="215.6942886760464"/>
    <n v="0"/>
    <n v="328.37761"/>
    <n v="46.498100000000001"/>
    <n v="0"/>
    <n v="352.51637966749183"/>
    <n v="97.278124192896925"/>
  </r>
  <r>
    <s v="Regular"/>
    <x v="6"/>
    <x v="3"/>
    <x v="3"/>
    <x v="0"/>
    <x v="0"/>
    <x v="1"/>
    <x v="2"/>
    <x v="3"/>
    <n v="0"/>
    <n v="0"/>
    <n v="2.3E-2"/>
    <n v="2.3E-2"/>
    <n v="2.3E-2"/>
    <n v="2.3E-2"/>
    <n v="0"/>
    <x v="1"/>
    <n v="0"/>
    <n v="0"/>
    <n v="63"/>
    <n v="105"/>
    <n v="0"/>
    <n v="1133.28"/>
    <n v="159.43"/>
    <m/>
    <n v="1170.4351348217385"/>
    <n v="322.27888250425127"/>
    <n v="0"/>
    <n v="26.065439999999999"/>
    <n v="3.66689"/>
    <n v="0"/>
    <n v="26.920008100899985"/>
    <n v="7.4124142975977794"/>
  </r>
  <r>
    <s v="Regular"/>
    <x v="6"/>
    <x v="3"/>
    <x v="3"/>
    <x v="0"/>
    <x v="0"/>
    <x v="1"/>
    <x v="2"/>
    <x v="4"/>
    <n v="0"/>
    <n v="0"/>
    <n v="0.14599999999999999"/>
    <n v="0.14599999999999999"/>
    <n v="0.14599999999999999"/>
    <n v="0.14599999999999999"/>
    <n v="0"/>
    <x v="1"/>
    <n v="0"/>
    <n v="0"/>
    <n v="63"/>
    <n v="105"/>
    <n v="0"/>
    <n v="1133.28"/>
    <n v="159.43"/>
    <m/>
    <n v="1170.4351348217385"/>
    <n v="322.27888250425127"/>
    <n v="0"/>
    <n v="165.45887999999999"/>
    <n v="23.276779999999999"/>
    <n v="0"/>
    <n v="170.88352968397382"/>
    <n v="47.052716845620679"/>
  </r>
  <r>
    <s v="Regular"/>
    <x v="6"/>
    <x v="3"/>
    <x v="3"/>
    <x v="0"/>
    <x v="0"/>
    <x v="1"/>
    <x v="2"/>
    <x v="5"/>
    <n v="0"/>
    <n v="0"/>
    <n v="0.40799999999999997"/>
    <n v="0.40799999999999997"/>
    <n v="0.40799999999999997"/>
    <n v="0.40799999999999997"/>
    <n v="0"/>
    <x v="1"/>
    <n v="0"/>
    <n v="0"/>
    <n v="63"/>
    <n v="105"/>
    <n v="0"/>
    <n v="1133.28"/>
    <n v="159.43"/>
    <m/>
    <n v="1170.4351348217385"/>
    <n v="322.27888250425127"/>
    <n v="0"/>
    <n v="462.37823999999995"/>
    <n v="65.047439999999995"/>
    <n v="0"/>
    <n v="477.5375350072693"/>
    <n v="131.4897840617345"/>
  </r>
  <r>
    <s v="Refaturamento - Regular"/>
    <x v="6"/>
    <x v="3"/>
    <x v="3"/>
    <x v="0"/>
    <x v="0"/>
    <x v="1"/>
    <x v="2"/>
    <x v="5"/>
    <n v="0"/>
    <n v="0"/>
    <n v="7.6999999999999999E-2"/>
    <n v="7.6999999999999999E-2"/>
    <n v="7.6999999999999999E-2"/>
    <n v="7.6999999999999999E-2"/>
    <n v="0"/>
    <x v="1"/>
    <n v="0"/>
    <n v="0"/>
    <n v="63"/>
    <n v="105"/>
    <n v="0"/>
    <n v="1133.28"/>
    <n v="159.43"/>
    <m/>
    <n v="1170.4351348217385"/>
    <n v="322.27888250425127"/>
    <n v="0"/>
    <n v="87.262559999999993"/>
    <n v="12.276110000000001"/>
    <n v="0"/>
    <n v="90.123505381273873"/>
    <n v="24.815473952827347"/>
  </r>
  <r>
    <s v="Regular"/>
    <x v="6"/>
    <x v="3"/>
    <x v="3"/>
    <x v="0"/>
    <x v="0"/>
    <x v="1"/>
    <x v="2"/>
    <x v="6"/>
    <n v="0"/>
    <n v="0"/>
    <n v="0.67300000000000004"/>
    <n v="0.67300000000000004"/>
    <n v="0.67300000000000004"/>
    <n v="0.67300000000000004"/>
    <n v="0"/>
    <x v="1"/>
    <n v="0"/>
    <n v="0"/>
    <n v="63"/>
    <n v="105"/>
    <n v="0"/>
    <n v="1133.28"/>
    <n v="159.43"/>
    <m/>
    <n v="1170.4351348217385"/>
    <n v="322.27888250425127"/>
    <n v="0"/>
    <n v="762.69744000000003"/>
    <n v="107.29639000000002"/>
    <n v="0"/>
    <n v="787.70284573503011"/>
    <n v="216.89368792536112"/>
  </r>
  <r>
    <s v="Regular"/>
    <x v="6"/>
    <x v="3"/>
    <x v="3"/>
    <x v="0"/>
    <x v="0"/>
    <x v="1"/>
    <x v="2"/>
    <x v="7"/>
    <n v="0"/>
    <n v="0"/>
    <n v="0.66300000000000003"/>
    <n v="0.66300000000000003"/>
    <n v="0.66300000000000003"/>
    <n v="0.66300000000000003"/>
    <n v="0"/>
    <x v="1"/>
    <n v="0"/>
    <n v="0"/>
    <n v="63"/>
    <n v="105"/>
    <n v="0"/>
    <n v="1133.28"/>
    <n v="159.43"/>
    <m/>
    <n v="1170.4351348217385"/>
    <n v="322.27888250425127"/>
    <n v="0"/>
    <n v="751.36464000000001"/>
    <n v="105.70209000000001"/>
    <n v="0"/>
    <n v="775.99849438681269"/>
    <n v="213.67089910031859"/>
  </r>
  <r>
    <s v="Regular"/>
    <x v="6"/>
    <x v="3"/>
    <x v="3"/>
    <x v="0"/>
    <x v="0"/>
    <x v="1"/>
    <x v="2"/>
    <x v="8"/>
    <n v="0"/>
    <n v="0"/>
    <n v="0.55600000000000005"/>
    <n v="0.55600000000000005"/>
    <n v="0.55600000000000005"/>
    <n v="0.55600000000000005"/>
    <n v="0"/>
    <x v="1"/>
    <n v="0"/>
    <n v="0"/>
    <n v="63"/>
    <n v="105"/>
    <n v="0"/>
    <n v="1133.28"/>
    <n v="159.43"/>
    <m/>
    <n v="1170.4351348217385"/>
    <n v="322.27888250425127"/>
    <n v="0"/>
    <n v="630.10368000000005"/>
    <n v="88.643080000000012"/>
    <n v="0"/>
    <n v="650.76193496088672"/>
    <n v="179.18705867236372"/>
  </r>
  <r>
    <s v="Regular"/>
    <x v="6"/>
    <x v="3"/>
    <x v="3"/>
    <x v="0"/>
    <x v="0"/>
    <x v="1"/>
    <x v="2"/>
    <x v="9"/>
    <n v="0"/>
    <n v="0"/>
    <n v="0.54900000000000004"/>
    <n v="0.54900000000000004"/>
    <n v="0.54900000000000004"/>
    <n v="0.54900000000000004"/>
    <n v="0"/>
    <x v="1"/>
    <n v="0"/>
    <n v="0"/>
    <n v="63"/>
    <n v="105"/>
    <n v="0"/>
    <n v="1133.28"/>
    <n v="159.43"/>
    <m/>
    <n v="1170.4351348217385"/>
    <n v="322.27888250425127"/>
    <n v="0"/>
    <n v="622.17072000000007"/>
    <n v="87.527070000000009"/>
    <n v="0"/>
    <n v="642.56888901713455"/>
    <n v="176.93110649483395"/>
  </r>
  <r>
    <s v="Regular"/>
    <x v="6"/>
    <x v="4"/>
    <x v="2"/>
    <x v="0"/>
    <x v="0"/>
    <x v="1"/>
    <x v="0"/>
    <x v="0"/>
    <n v="0"/>
    <n v="0"/>
    <n v="11556.769"/>
    <n v="11556.769"/>
    <n v="11556.769"/>
    <n v="11556.769"/>
    <n v="16490"/>
    <x v="1"/>
    <n v="0"/>
    <n v="0"/>
    <n v="66"/>
    <n v="3"/>
    <n v="0"/>
    <n v="432.02"/>
    <n v="107.79"/>
    <m/>
    <n v="497.50790459014416"/>
    <n v="224.57633816173018"/>
    <n v="0"/>
    <n v="4992755.3433799995"/>
    <n v="1245704.13051"/>
    <n v="0"/>
    <n v="5749583.9290223354"/>
    <n v="2595376.8630010001"/>
  </r>
  <r>
    <s v="Refaturamento - Regular"/>
    <x v="6"/>
    <x v="4"/>
    <x v="2"/>
    <x v="0"/>
    <x v="0"/>
    <x v="1"/>
    <x v="0"/>
    <x v="0"/>
    <n v="0"/>
    <n v="0"/>
    <n v="-322.38400000000001"/>
    <n v="-322.38400000000001"/>
    <n v="-322.38400000000001"/>
    <n v="-322.38400000000001"/>
    <n v="-236"/>
    <x v="1"/>
    <n v="0"/>
    <n v="0"/>
    <n v="66"/>
    <n v="3"/>
    <n v="0"/>
    <n v="432.02"/>
    <n v="107.79"/>
    <m/>
    <n v="497.50790459014416"/>
    <n v="224.57633816173018"/>
    <n v="0"/>
    <n v="-139276.33567999999"/>
    <n v="-34749.771360000006"/>
    <n v="0"/>
    <n v="-160388.58831338905"/>
    <n v="-72399.818201931223"/>
  </r>
  <r>
    <s v="Sistema de Compensação"/>
    <x v="6"/>
    <x v="4"/>
    <x v="2"/>
    <x v="0"/>
    <x v="0"/>
    <x v="1"/>
    <x v="0"/>
    <x v="0"/>
    <n v="0"/>
    <n v="0"/>
    <n v="256.28899999999999"/>
    <n v="256.28899999999999"/>
    <n v="256.28899999999999"/>
    <n v="256.28899999999999"/>
    <n v="196"/>
    <x v="1"/>
    <n v="0"/>
    <n v="0"/>
    <n v="66"/>
    <n v="3"/>
    <n v="0"/>
    <n v="432.02"/>
    <n v="107.79"/>
    <m/>
    <n v="497.50790459014416"/>
    <n v="224.57633816173018"/>
    <n v="0"/>
    <n v="110721.97377999999"/>
    <n v="27625.391309999999"/>
    <n v="0"/>
    <n v="127505.80335950345"/>
    <n v="57556.445131131666"/>
  </r>
  <r>
    <s v="Sistema de Compensação"/>
    <x v="6"/>
    <x v="4"/>
    <x v="2"/>
    <x v="0"/>
    <x v="0"/>
    <x v="1"/>
    <x v="0"/>
    <x v="0"/>
    <n v="0"/>
    <n v="0"/>
    <n v="0.20799999999999999"/>
    <n v="0.20799999999999999"/>
    <n v="0.20799999999999999"/>
    <n v="0.20799999999999999"/>
    <n v="1"/>
    <x v="1"/>
    <n v="0"/>
    <n v="0"/>
    <n v="66"/>
    <n v="3"/>
    <n v="0"/>
    <n v="432.02"/>
    <n v="107.79"/>
    <m/>
    <n v="497.50790459014416"/>
    <n v="224.57633816173018"/>
    <n v="0"/>
    <n v="89.860159999999993"/>
    <n v="22.42032"/>
    <n v="0"/>
    <n v="103.48164415474999"/>
    <n v="46.711878337639874"/>
  </r>
  <r>
    <s v="Regular"/>
    <x v="6"/>
    <x v="4"/>
    <x v="2"/>
    <x v="0"/>
    <x v="0"/>
    <x v="1"/>
    <x v="0"/>
    <x v="1"/>
    <n v="0"/>
    <n v="0"/>
    <n v="10244.385"/>
    <n v="10244.385"/>
    <n v="10244.385"/>
    <n v="10244.385"/>
    <n v="16405"/>
    <x v="1"/>
    <n v="0"/>
    <n v="0"/>
    <n v="66"/>
    <n v="3"/>
    <n v="0"/>
    <n v="432.02"/>
    <n v="107.79"/>
    <m/>
    <n v="497.50790459014416"/>
    <n v="224.57633816173018"/>
    <n v="0"/>
    <n v="4425779.2077000001"/>
    <n v="1104242.2591500001"/>
    <n v="0"/>
    <n v="5096662.5151647041"/>
    <n v="2300646.4700189563"/>
  </r>
  <r>
    <s v="Refaturamento - Regular"/>
    <x v="6"/>
    <x v="4"/>
    <x v="2"/>
    <x v="0"/>
    <x v="0"/>
    <x v="1"/>
    <x v="0"/>
    <x v="1"/>
    <n v="0"/>
    <n v="0"/>
    <n v="-227.30600000000001"/>
    <n v="-227.30600000000001"/>
    <n v="-227.30600000000001"/>
    <n v="-227.30600000000001"/>
    <n v="-342"/>
    <x v="1"/>
    <n v="0"/>
    <n v="0"/>
    <n v="66"/>
    <n v="3"/>
    <n v="0"/>
    <n v="432.02"/>
    <n v="107.79"/>
    <m/>
    <n v="497.50790459014416"/>
    <n v="224.57633816173018"/>
    <n v="0"/>
    <n v="-98200.738119999995"/>
    <n v="-24501.313740000001"/>
    <n v="0"/>
    <n v="-113086.53176076732"/>
    <n v="-51047.549122190241"/>
  </r>
  <r>
    <s v="Sistema de Compensação"/>
    <x v="6"/>
    <x v="4"/>
    <x v="2"/>
    <x v="0"/>
    <x v="0"/>
    <x v="1"/>
    <x v="0"/>
    <x v="1"/>
    <n v="0"/>
    <n v="0"/>
    <n v="258.50099999999998"/>
    <n v="258.50099999999998"/>
    <n v="258.50099999999998"/>
    <n v="258.50099999999998"/>
    <n v="209"/>
    <x v="1"/>
    <n v="0"/>
    <n v="0"/>
    <n v="66"/>
    <n v="3"/>
    <n v="0"/>
    <n v="432.02"/>
    <n v="107.79"/>
    <m/>
    <n v="497.50790459014416"/>
    <n v="224.57633816173018"/>
    <n v="0"/>
    <n v="111677.60201999999"/>
    <n v="27863.822789999998"/>
    <n v="0"/>
    <n v="128606.29084445685"/>
    <n v="58053.207991145406"/>
  </r>
  <r>
    <s v="Sistema de Compensação"/>
    <x v="6"/>
    <x v="4"/>
    <x v="2"/>
    <x v="0"/>
    <x v="0"/>
    <x v="1"/>
    <x v="0"/>
    <x v="1"/>
    <n v="0"/>
    <n v="0"/>
    <n v="1.4750000000000001"/>
    <n v="1.4750000000000001"/>
    <n v="1.4750000000000001"/>
    <n v="1.4750000000000001"/>
    <n v="2"/>
    <x v="1"/>
    <n v="0"/>
    <n v="0"/>
    <n v="66"/>
    <n v="3"/>
    <n v="0"/>
    <n v="432.02"/>
    <n v="107.79"/>
    <m/>
    <n v="497.50790459014416"/>
    <n v="224.57633816173018"/>
    <n v="0"/>
    <n v="637.22950000000003"/>
    <n v="158.99025000000003"/>
    <n v="0"/>
    <n v="733.8241592704627"/>
    <n v="331.25009878855201"/>
  </r>
  <r>
    <s v="Regular"/>
    <x v="6"/>
    <x v="4"/>
    <x v="2"/>
    <x v="0"/>
    <x v="0"/>
    <x v="1"/>
    <x v="0"/>
    <x v="2"/>
    <n v="0"/>
    <n v="0"/>
    <n v="9065.7800000000007"/>
    <n v="9065.7800000000007"/>
    <n v="9065.7800000000007"/>
    <n v="9065.7800000000007"/>
    <n v="15183"/>
    <x v="1"/>
    <n v="0"/>
    <n v="0"/>
    <n v="66"/>
    <n v="3"/>
    <n v="0"/>
    <n v="432.02"/>
    <n v="107.79"/>
    <m/>
    <n v="497.50790459014416"/>
    <n v="224.57633816173018"/>
    <n v="0"/>
    <n v="3916598.2756000003"/>
    <n v="977200.4262000001"/>
    <n v="0"/>
    <n v="4510297.2112752376"/>
    <n v="2035959.6749798504"/>
  </r>
  <r>
    <s v="Refaturamento - Regular"/>
    <x v="6"/>
    <x v="4"/>
    <x v="2"/>
    <x v="0"/>
    <x v="0"/>
    <x v="1"/>
    <x v="0"/>
    <x v="2"/>
    <n v="0"/>
    <n v="0"/>
    <n v="-370.13099999999997"/>
    <n v="-370.13099999999997"/>
    <n v="-370.13099999999997"/>
    <n v="-370.13099999999997"/>
    <n v="-84"/>
    <x v="1"/>
    <n v="0"/>
    <n v="0"/>
    <n v="66"/>
    <n v="3"/>
    <n v="0"/>
    <n v="432.02"/>
    <n v="107.79"/>
    <m/>
    <n v="497.50790459014416"/>
    <n v="224.57633816173018"/>
    <n v="0"/>
    <n v="-159903.99461999998"/>
    <n v="-39896.420489999997"/>
    <n v="0"/>
    <n v="-184143.09823385463"/>
    <n v="-83122.664620139345"/>
  </r>
  <r>
    <s v="Sistema de Compensação"/>
    <x v="6"/>
    <x v="4"/>
    <x v="2"/>
    <x v="0"/>
    <x v="0"/>
    <x v="1"/>
    <x v="0"/>
    <x v="2"/>
    <n v="0"/>
    <n v="0"/>
    <n v="329.10599999999999"/>
    <n v="329.10599999999999"/>
    <n v="329.10599999999999"/>
    <n v="329.10599999999999"/>
    <n v="214"/>
    <x v="1"/>
    <n v="0"/>
    <n v="0"/>
    <n v="66"/>
    <n v="3"/>
    <n v="0"/>
    <n v="432.02"/>
    <n v="107.79"/>
    <m/>
    <n v="497.50790459014416"/>
    <n v="224.57633816173018"/>
    <n v="0"/>
    <n v="142180.37411999999"/>
    <n v="35474.335740000002"/>
    <n v="0"/>
    <n v="163732.83644804399"/>
    <n v="73909.420347054373"/>
  </r>
  <r>
    <s v="Regular"/>
    <x v="6"/>
    <x v="4"/>
    <x v="2"/>
    <x v="0"/>
    <x v="0"/>
    <x v="1"/>
    <x v="0"/>
    <x v="3"/>
    <n v="0"/>
    <n v="0"/>
    <n v="10219.133"/>
    <n v="10219.133"/>
    <n v="10219.133"/>
    <n v="10219.133"/>
    <n v="15279"/>
    <x v="1"/>
    <n v="0"/>
    <n v="0"/>
    <n v="66"/>
    <n v="3"/>
    <n v="0"/>
    <n v="432.02"/>
    <n v="107.79"/>
    <m/>
    <n v="497.50790459014416"/>
    <n v="224.57633816173018"/>
    <n v="0"/>
    <n v="4414869.8386599999"/>
    <n v="1101520.34607"/>
    <n v="0"/>
    <n v="5084099.4455579938"/>
    <n v="2294975.468327696"/>
  </r>
  <r>
    <s v="Refaturamento - Regular"/>
    <x v="6"/>
    <x v="4"/>
    <x v="2"/>
    <x v="0"/>
    <x v="0"/>
    <x v="1"/>
    <x v="0"/>
    <x v="3"/>
    <n v="0"/>
    <n v="0"/>
    <n v="-354.66699999999997"/>
    <n v="-354.66699999999997"/>
    <n v="-354.66699999999997"/>
    <n v="-354.66699999999997"/>
    <n v="-518"/>
    <x v="1"/>
    <n v="0"/>
    <n v="0"/>
    <n v="66"/>
    <n v="3"/>
    <n v="0"/>
    <n v="432.02"/>
    <n v="107.79"/>
    <m/>
    <n v="497.50790459014416"/>
    <n v="224.57633816173018"/>
    <n v="0"/>
    <n v="-153223.23733999999"/>
    <n v="-38229.555930000002"/>
    <n v="0"/>
    <n v="-176449.63599727265"/>
    <n v="-79649.816126806356"/>
  </r>
  <r>
    <s v="Sistema de Compensação"/>
    <x v="6"/>
    <x v="4"/>
    <x v="2"/>
    <x v="0"/>
    <x v="0"/>
    <x v="1"/>
    <x v="0"/>
    <x v="3"/>
    <n v="0"/>
    <n v="0"/>
    <n v="276.12"/>
    <n v="276.12"/>
    <n v="276.12"/>
    <n v="276.12"/>
    <n v="220"/>
    <x v="1"/>
    <n v="0"/>
    <n v="0"/>
    <n v="66"/>
    <n v="3"/>
    <n v="0"/>
    <n v="432.02"/>
    <n v="107.79"/>
    <m/>
    <n v="497.50790459014416"/>
    <n v="224.57633816173018"/>
    <n v="0"/>
    <n v="119289.3624"/>
    <n v="29762.974800000004"/>
    <n v="0"/>
    <n v="137371.8826154306"/>
    <n v="62010.018493216936"/>
  </r>
  <r>
    <s v="Regular"/>
    <x v="6"/>
    <x v="4"/>
    <x v="2"/>
    <x v="0"/>
    <x v="0"/>
    <x v="1"/>
    <x v="0"/>
    <x v="4"/>
    <n v="0"/>
    <n v="0"/>
    <n v="9965.0439999999999"/>
    <n v="9965.0439999999999"/>
    <n v="9965.0439999999999"/>
    <n v="9965.0439999999999"/>
    <n v="15115"/>
    <x v="1"/>
    <n v="0"/>
    <n v="0"/>
    <n v="66"/>
    <n v="3"/>
    <n v="0"/>
    <n v="432.02"/>
    <n v="107.79"/>
    <m/>
    <n v="497.50790459014416"/>
    <n v="224.57633816173018"/>
    <n v="0"/>
    <n v="4305098.3088799994"/>
    <n v="1074132.0927600001"/>
    <n v="0"/>
    <n v="4957688.1595885884"/>
    <n v="2237913.0911405203"/>
  </r>
  <r>
    <s v="Refaturamento - Regular"/>
    <x v="6"/>
    <x v="4"/>
    <x v="2"/>
    <x v="0"/>
    <x v="0"/>
    <x v="1"/>
    <x v="0"/>
    <x v="4"/>
    <n v="0"/>
    <n v="0"/>
    <n v="-436.42399999999998"/>
    <n v="-436.42399999999998"/>
    <n v="-436.42399999999998"/>
    <n v="-436.42399999999998"/>
    <n v="-565"/>
    <x v="1"/>
    <n v="0"/>
    <n v="0"/>
    <n v="66"/>
    <n v="3"/>
    <n v="0"/>
    <n v="432.02"/>
    <n v="107.79"/>
    <m/>
    <n v="497.50790459014416"/>
    <n v="224.57633816173018"/>
    <n v="0"/>
    <n v="-188543.89648"/>
    <n v="-47042.142959999997"/>
    <n v="0"/>
    <n v="-217124.38975284906"/>
    <n v="-98010.503805894929"/>
  </r>
  <r>
    <s v="Sistema de Compensação"/>
    <x v="6"/>
    <x v="4"/>
    <x v="2"/>
    <x v="0"/>
    <x v="0"/>
    <x v="1"/>
    <x v="0"/>
    <x v="4"/>
    <n v="0"/>
    <n v="0"/>
    <n v="299.40699999999998"/>
    <n v="299.40699999999998"/>
    <n v="299.40699999999998"/>
    <n v="299.40699999999998"/>
    <n v="234"/>
    <x v="1"/>
    <n v="0"/>
    <n v="0"/>
    <n v="66"/>
    <n v="3"/>
    <n v="0"/>
    <n v="432.02"/>
    <n v="107.79"/>
    <m/>
    <n v="497.50790459014416"/>
    <n v="224.57633816173018"/>
    <n v="0"/>
    <n v="129349.81213999998"/>
    <n v="32273.080529999999"/>
    <n v="0"/>
    <n v="148957.34918962128"/>
    <n v="67239.727679989141"/>
  </r>
  <r>
    <s v="Sistema de Compensação"/>
    <x v="6"/>
    <x v="4"/>
    <x v="2"/>
    <x v="0"/>
    <x v="0"/>
    <x v="1"/>
    <x v="0"/>
    <x v="4"/>
    <n v="0"/>
    <n v="0"/>
    <n v="-4.76"/>
    <n v="-4.76"/>
    <n v="-4.76"/>
    <n v="-4.76"/>
    <n v="0"/>
    <x v="1"/>
    <n v="0"/>
    <n v="0"/>
    <n v="66"/>
    <n v="3"/>
    <n v="0"/>
    <n v="432.02"/>
    <n v="107.79"/>
    <m/>
    <n v="497.50790459014416"/>
    <n v="224.57633816173018"/>
    <n v="0"/>
    <n v="-2056.4151999999999"/>
    <n v="-513.08040000000005"/>
    <n v="0"/>
    <n v="-2368.1376258490859"/>
    <n v="-1068.9833696498356"/>
  </r>
  <r>
    <s v="Regular"/>
    <x v="6"/>
    <x v="4"/>
    <x v="2"/>
    <x v="0"/>
    <x v="0"/>
    <x v="1"/>
    <x v="0"/>
    <x v="5"/>
    <n v="0"/>
    <n v="0"/>
    <n v="11080.031999999999"/>
    <n v="11080.031999999999"/>
    <n v="11080.031999999999"/>
    <n v="11080.031999999999"/>
    <n v="15159"/>
    <x v="1"/>
    <n v="0"/>
    <n v="0"/>
    <n v="66"/>
    <n v="3"/>
    <n v="0"/>
    <n v="432.02"/>
    <n v="107.79"/>
    <m/>
    <n v="497.50790459014416"/>
    <n v="224.57633816173018"/>
    <n v="0"/>
    <n v="4786795.4246399999"/>
    <n v="1194316.64928"/>
    <n v="0"/>
    <n v="5512403.5031117443"/>
    <n v="2488313.0132747912"/>
  </r>
  <r>
    <s v="Refaturamento - Regular"/>
    <x v="6"/>
    <x v="4"/>
    <x v="2"/>
    <x v="0"/>
    <x v="0"/>
    <x v="1"/>
    <x v="0"/>
    <x v="5"/>
    <n v="0"/>
    <n v="0"/>
    <n v="-594.08399999999995"/>
    <n v="-594.08399999999995"/>
    <n v="-594.08399999999995"/>
    <n v="-594.08399999999995"/>
    <n v="-243"/>
    <x v="1"/>
    <n v="0"/>
    <n v="0"/>
    <n v="66"/>
    <n v="3"/>
    <n v="0"/>
    <n v="432.02"/>
    <n v="107.79"/>
    <m/>
    <n v="497.50790459014416"/>
    <n v="224.57633816173018"/>
    <n v="0"/>
    <n v="-256656.16967999996"/>
    <n v="-64036.314359999997"/>
    <n v="0"/>
    <n v="-295561.48599053116"/>
    <n v="-133417.2092804733"/>
  </r>
  <r>
    <s v="Sistema de Compensação"/>
    <x v="6"/>
    <x v="4"/>
    <x v="2"/>
    <x v="0"/>
    <x v="0"/>
    <x v="1"/>
    <x v="0"/>
    <x v="5"/>
    <n v="0"/>
    <n v="0"/>
    <n v="314.38299999999998"/>
    <n v="314.38299999999998"/>
    <n v="314.38299999999998"/>
    <n v="314.38299999999998"/>
    <n v="249"/>
    <x v="1"/>
    <n v="0"/>
    <n v="0"/>
    <n v="66"/>
    <n v="3"/>
    <n v="0"/>
    <n v="432.02"/>
    <n v="107.79"/>
    <m/>
    <n v="497.50790459014416"/>
    <n v="224.57633816173018"/>
    <n v="0"/>
    <n v="135819.74365999998"/>
    <n v="33887.343569999997"/>
    <n v="0"/>
    <n v="156408.0275687633"/>
    <n v="70602.982920299211"/>
  </r>
  <r>
    <s v="Sistema de Compensação"/>
    <x v="6"/>
    <x v="4"/>
    <x v="2"/>
    <x v="0"/>
    <x v="0"/>
    <x v="1"/>
    <x v="0"/>
    <x v="5"/>
    <n v="0"/>
    <n v="0"/>
    <n v="-18"/>
    <n v="-18"/>
    <n v="-18"/>
    <n v="-18"/>
    <n v="0"/>
    <x v="1"/>
    <n v="0"/>
    <n v="0"/>
    <n v="66"/>
    <n v="3"/>
    <n v="0"/>
    <n v="432.02"/>
    <n v="107.79"/>
    <m/>
    <n v="497.50790459014416"/>
    <n v="224.57633816173018"/>
    <n v="0"/>
    <n v="-7776.36"/>
    <n v="-1940.22"/>
    <n v="0"/>
    <n v="-8955.1422826225953"/>
    <n v="-4042.3740869111434"/>
  </r>
  <r>
    <s v="Regular"/>
    <x v="6"/>
    <x v="4"/>
    <x v="2"/>
    <x v="0"/>
    <x v="0"/>
    <x v="1"/>
    <x v="0"/>
    <x v="6"/>
    <n v="0"/>
    <n v="0"/>
    <n v="11374.653"/>
    <n v="11374.653"/>
    <n v="11374.653"/>
    <n v="11374.653"/>
    <n v="15252"/>
    <x v="1"/>
    <n v="0"/>
    <n v="0"/>
    <n v="66"/>
    <n v="3"/>
    <n v="0"/>
    <n v="432.02"/>
    <n v="107.79"/>
    <m/>
    <n v="497.50790459014416"/>
    <n v="224.57633816173018"/>
    <n v="0"/>
    <n v="4914077.5890600001"/>
    <n v="1226073.84687"/>
    <n v="0"/>
    <n v="5658979.7794699976"/>
    <n v="2554477.9186003385"/>
  </r>
  <r>
    <s v="Refaturamento - Regular"/>
    <x v="6"/>
    <x v="4"/>
    <x v="2"/>
    <x v="0"/>
    <x v="0"/>
    <x v="1"/>
    <x v="0"/>
    <x v="6"/>
    <n v="0"/>
    <n v="0"/>
    <n v="-116.081"/>
    <n v="-116.081"/>
    <n v="-116.081"/>
    <n v="-116.081"/>
    <n v="-174"/>
    <x v="1"/>
    <n v="0"/>
    <n v="0"/>
    <n v="66"/>
    <n v="3"/>
    <n v="0"/>
    <n v="432.02"/>
    <n v="107.79"/>
    <m/>
    <n v="497.50790459014416"/>
    <n v="224.57633816173018"/>
    <n v="0"/>
    <n v="-50149.313620000001"/>
    <n v="-12512.370990000001"/>
    <n v="0"/>
    <n v="-57751.215072728526"/>
    <n v="-26069.045910151803"/>
  </r>
  <r>
    <s v="Sistema de Compensação"/>
    <x v="6"/>
    <x v="4"/>
    <x v="2"/>
    <x v="0"/>
    <x v="0"/>
    <x v="1"/>
    <x v="0"/>
    <x v="6"/>
    <n v="0"/>
    <n v="0"/>
    <n v="355.75099999999998"/>
    <n v="355.75099999999998"/>
    <n v="355.75099999999998"/>
    <n v="355.75099999999998"/>
    <n v="257"/>
    <x v="1"/>
    <n v="0"/>
    <n v="0"/>
    <n v="66"/>
    <n v="3"/>
    <n v="0"/>
    <n v="432.02"/>
    <n v="107.79"/>
    <m/>
    <n v="497.50790459014416"/>
    <n v="224.57633816173018"/>
    <n v="0"/>
    <n v="153691.54701999997"/>
    <n v="38346.400289999998"/>
    <n v="0"/>
    <n v="176988.93456584835"/>
    <n v="79893.256877373671"/>
  </r>
  <r>
    <s v="Regular"/>
    <x v="6"/>
    <x v="4"/>
    <x v="2"/>
    <x v="0"/>
    <x v="0"/>
    <x v="1"/>
    <x v="0"/>
    <x v="7"/>
    <n v="0"/>
    <n v="0"/>
    <n v="10852.985000000001"/>
    <n v="10852.985000000001"/>
    <n v="10852.985000000001"/>
    <n v="10852.985000000001"/>
    <n v="15212"/>
    <x v="1"/>
    <n v="0"/>
    <n v="0"/>
    <n v="66"/>
    <n v="3"/>
    <n v="0"/>
    <n v="432.02"/>
    <n v="107.79"/>
    <m/>
    <n v="497.50790459014416"/>
    <n v="224.57633816173018"/>
    <n v="0"/>
    <n v="4688706.5796999997"/>
    <n v="1169843.2531500002"/>
    <n v="0"/>
    <n v="5399445.8258982664"/>
    <n v="2437323.6294241855"/>
  </r>
  <r>
    <s v="Refaturamento - Regular"/>
    <x v="6"/>
    <x v="4"/>
    <x v="2"/>
    <x v="0"/>
    <x v="0"/>
    <x v="1"/>
    <x v="0"/>
    <x v="7"/>
    <n v="0"/>
    <n v="0"/>
    <n v="-307.89299999999997"/>
    <n v="-307.89299999999997"/>
    <n v="-307.89299999999997"/>
    <n v="-307.89299999999997"/>
    <n v="-616"/>
    <x v="1"/>
    <n v="0"/>
    <n v="0"/>
    <n v="66"/>
    <n v="3"/>
    <n v="0"/>
    <n v="432.02"/>
    <n v="107.79"/>
    <m/>
    <n v="497.50790459014416"/>
    <n v="224.57633816173018"/>
    <n v="0"/>
    <n v="-133015.93385999999"/>
    <n v="-33187.786469999999"/>
    <n v="0"/>
    <n v="-153179.20126797326"/>
    <n v="-69145.482485629589"/>
  </r>
  <r>
    <s v="Sistema de Compensação"/>
    <x v="6"/>
    <x v="4"/>
    <x v="2"/>
    <x v="0"/>
    <x v="0"/>
    <x v="1"/>
    <x v="0"/>
    <x v="7"/>
    <n v="0"/>
    <n v="0"/>
    <n v="311.613"/>
    <n v="311.613"/>
    <n v="311.613"/>
    <n v="311.613"/>
    <n v="265"/>
    <x v="1"/>
    <n v="0"/>
    <n v="0"/>
    <n v="66"/>
    <n v="3"/>
    <n v="0"/>
    <n v="432.02"/>
    <n v="107.79"/>
    <m/>
    <n v="497.50790459014416"/>
    <n v="224.57633816173018"/>
    <n v="0"/>
    <n v="134623.04825999998"/>
    <n v="33588.765270000004"/>
    <n v="0"/>
    <n v="155029.9306730486"/>
    <n v="69980.906463591222"/>
  </r>
  <r>
    <s v="Regular"/>
    <x v="6"/>
    <x v="4"/>
    <x v="2"/>
    <x v="0"/>
    <x v="0"/>
    <x v="1"/>
    <x v="0"/>
    <x v="8"/>
    <n v="0"/>
    <n v="0"/>
    <n v="11725.965"/>
    <n v="11725.965"/>
    <n v="11725.965"/>
    <n v="11725.965"/>
    <n v="15661"/>
    <x v="1"/>
    <n v="0"/>
    <n v="0"/>
    <n v="66"/>
    <n v="3"/>
    <n v="0"/>
    <n v="432.02"/>
    <n v="107.79"/>
    <m/>
    <n v="497.50790459014416"/>
    <n v="224.57633816173018"/>
    <n v="0"/>
    <n v="5065851.3992999997"/>
    <n v="1263941.7673500001"/>
    <n v="0"/>
    <n v="5833760.2764473697"/>
    <n v="2633374.2811126122"/>
  </r>
  <r>
    <s v="Refaturamento - Regular"/>
    <x v="6"/>
    <x v="4"/>
    <x v="2"/>
    <x v="0"/>
    <x v="0"/>
    <x v="1"/>
    <x v="0"/>
    <x v="8"/>
    <n v="0"/>
    <n v="0"/>
    <n v="-287.28500000000003"/>
    <n v="-287.28500000000003"/>
    <n v="-287.28500000000003"/>
    <n v="-287.28500000000003"/>
    <n v="-334"/>
    <x v="1"/>
    <n v="0"/>
    <n v="0"/>
    <n v="66"/>
    <n v="3"/>
    <n v="0"/>
    <n v="432.02"/>
    <n v="107.79"/>
    <m/>
    <n v="497.50790459014416"/>
    <n v="224.57633816173018"/>
    <n v="0"/>
    <n v="-124112.86570000001"/>
    <n v="-30966.450150000004"/>
    <n v="0"/>
    <n v="-142926.55837017958"/>
    <n v="-64517.41330879266"/>
  </r>
  <r>
    <s v="Sistema de Compensação"/>
    <x v="6"/>
    <x v="4"/>
    <x v="2"/>
    <x v="0"/>
    <x v="0"/>
    <x v="1"/>
    <x v="0"/>
    <x v="8"/>
    <n v="0"/>
    <n v="0"/>
    <n v="357.03899999999999"/>
    <n v="357.03899999999999"/>
    <n v="357.03899999999999"/>
    <n v="357.03899999999999"/>
    <n v="277"/>
    <x v="1"/>
    <n v="0"/>
    <n v="0"/>
    <n v="66"/>
    <n v="3"/>
    <n v="0"/>
    <n v="432.02"/>
    <n v="107.79"/>
    <m/>
    <n v="497.50790459014416"/>
    <n v="224.57633816173018"/>
    <n v="0"/>
    <n v="154247.98877999999"/>
    <n v="38485.233809999998"/>
    <n v="0"/>
    <n v="177629.72474696048"/>
    <n v="80182.511200925976"/>
  </r>
  <r>
    <s v="Regular"/>
    <x v="6"/>
    <x v="4"/>
    <x v="2"/>
    <x v="0"/>
    <x v="0"/>
    <x v="1"/>
    <x v="0"/>
    <x v="9"/>
    <n v="0"/>
    <n v="0"/>
    <n v="12587.894"/>
    <n v="12587.894"/>
    <n v="12587.894"/>
    <n v="12587.894"/>
    <n v="14906"/>
    <x v="1"/>
    <n v="0"/>
    <n v="0"/>
    <n v="66"/>
    <n v="3"/>
    <n v="0"/>
    <n v="432.02"/>
    <n v="107.79"/>
    <m/>
    <n v="497.50790459014416"/>
    <n v="224.57633816173018"/>
    <n v="0"/>
    <n v="5438221.96588"/>
    <n v="1356849.0942600002"/>
    <n v="0"/>
    <n v="6262576.7671428481"/>
    <n v="2826943.1396880145"/>
  </r>
  <r>
    <s v="Refaturamento - Regular"/>
    <x v="6"/>
    <x v="4"/>
    <x v="2"/>
    <x v="0"/>
    <x v="0"/>
    <x v="1"/>
    <x v="0"/>
    <x v="9"/>
    <n v="0"/>
    <n v="0"/>
    <n v="-358.16300000000001"/>
    <n v="-358.16300000000001"/>
    <n v="-358.16300000000001"/>
    <n v="-358.16300000000001"/>
    <n v="-1091"/>
    <x v="1"/>
    <n v="0"/>
    <n v="0"/>
    <n v="66"/>
    <n v="3"/>
    <n v="0"/>
    <n v="432.02"/>
    <n v="107.79"/>
    <m/>
    <n v="497.50790459014416"/>
    <n v="224.57633816173018"/>
    <n v="0"/>
    <n v="-154733.57926"/>
    <n v="-38606.389770000002"/>
    <n v="0"/>
    <n v="-178188.92363171981"/>
    <n v="-80434.935005019768"/>
  </r>
  <r>
    <s v="Sistema de Compensação"/>
    <x v="6"/>
    <x v="4"/>
    <x v="2"/>
    <x v="0"/>
    <x v="0"/>
    <x v="1"/>
    <x v="0"/>
    <x v="9"/>
    <n v="0"/>
    <n v="0"/>
    <n v="366.21499999999997"/>
    <n v="366.21499999999997"/>
    <n v="366.21499999999997"/>
    <n v="366.21499999999997"/>
    <n v="281"/>
    <x v="1"/>
    <n v="0"/>
    <n v="0"/>
    <n v="66"/>
    <n v="3"/>
    <n v="0"/>
    <n v="432.02"/>
    <n v="107.79"/>
    <m/>
    <n v="497.50790459014416"/>
    <n v="224.57633816173018"/>
    <n v="0"/>
    <n v="158212.20429999998"/>
    <n v="39474.314850000002"/>
    <n v="0"/>
    <n v="182194.85727947962"/>
    <n v="82243.223679898016"/>
  </r>
  <r>
    <s v="Sistema de Compensação"/>
    <x v="6"/>
    <x v="4"/>
    <x v="2"/>
    <x v="0"/>
    <x v="0"/>
    <x v="1"/>
    <x v="0"/>
    <x v="9"/>
    <n v="0"/>
    <n v="0"/>
    <n v="-0.1"/>
    <n v="-0.1"/>
    <n v="-0.1"/>
    <n v="-0.1"/>
    <n v="-2"/>
    <x v="1"/>
    <n v="0"/>
    <n v="0"/>
    <n v="66"/>
    <n v="3"/>
    <n v="0"/>
    <n v="432.02"/>
    <n v="107.79"/>
    <m/>
    <n v="497.50790459014416"/>
    <n v="224.57633816173018"/>
    <n v="0"/>
    <n v="-43.201999999999998"/>
    <n v="-10.779000000000002"/>
    <n v="0"/>
    <n v="-49.750790459014418"/>
    <n v="-22.457633816173018"/>
  </r>
  <r>
    <s v="Regular"/>
    <x v="6"/>
    <x v="4"/>
    <x v="2"/>
    <x v="0"/>
    <x v="0"/>
    <x v="1"/>
    <x v="0"/>
    <x v="10"/>
    <n v="0"/>
    <n v="0"/>
    <n v="13376.085999999999"/>
    <n v="13376.085999999999"/>
    <n v="13376.085999999999"/>
    <n v="13376.085999999999"/>
    <n v="15151"/>
    <x v="1"/>
    <n v="0"/>
    <n v="0"/>
    <n v="66"/>
    <n v="3"/>
    <n v="0"/>
    <n v="432.02"/>
    <n v="107.79"/>
    <m/>
    <n v="497.50790459014416"/>
    <n v="224.57633816173018"/>
    <n v="0"/>
    <n v="5778736.6737199994"/>
    <n v="1441808.3099400001"/>
    <n v="0"/>
    <n v="6654708.5174775627"/>
    <n v="3003952.4128163848"/>
  </r>
  <r>
    <s v="Refaturamento - Regular"/>
    <x v="6"/>
    <x v="4"/>
    <x v="2"/>
    <x v="0"/>
    <x v="0"/>
    <x v="1"/>
    <x v="0"/>
    <x v="10"/>
    <n v="0"/>
    <n v="0"/>
    <n v="-476.08300000000003"/>
    <n v="-476.08300000000003"/>
    <n v="-476.08300000000003"/>
    <n v="-476.08300000000003"/>
    <n v="-223"/>
    <x v="1"/>
    <n v="0"/>
    <n v="0"/>
    <n v="66"/>
    <n v="3"/>
    <n v="0"/>
    <n v="432.02"/>
    <n v="107.79"/>
    <m/>
    <n v="497.50790459014416"/>
    <n v="224.57633816173018"/>
    <n v="0"/>
    <n v="-205677.37766"/>
    <n v="-51316.986570000008"/>
    <n v="0"/>
    <n v="-236855.05574098963"/>
    <n v="-106916.97680105099"/>
  </r>
  <r>
    <s v="Sistema de Compensação"/>
    <x v="6"/>
    <x v="4"/>
    <x v="2"/>
    <x v="0"/>
    <x v="0"/>
    <x v="1"/>
    <x v="0"/>
    <x v="10"/>
    <n v="0"/>
    <n v="0"/>
    <n v="363.98700000000002"/>
    <n v="363.98700000000002"/>
    <n v="363.98700000000002"/>
    <n v="363.98700000000002"/>
    <n v="294"/>
    <x v="1"/>
    <n v="0"/>
    <n v="0"/>
    <n v="66"/>
    <n v="3"/>
    <n v="0"/>
    <n v="432.02"/>
    <n v="107.79"/>
    <m/>
    <n v="497.50790459014416"/>
    <n v="224.57633816173018"/>
    <n v="0"/>
    <n v="157249.66373999999"/>
    <n v="39234.158730000003"/>
    <n v="0"/>
    <n v="181086.4096680528"/>
    <n v="81742.867598473691"/>
  </r>
  <r>
    <s v="PROJETADO"/>
    <x v="6"/>
    <x v="4"/>
    <x v="2"/>
    <x v="0"/>
    <x v="0"/>
    <x v="1"/>
    <x v="0"/>
    <x v="11"/>
    <n v="0"/>
    <n v="0"/>
    <n v="13376.085999999999"/>
    <n v="13376.085999999999"/>
    <n v="13376.085999999999"/>
    <n v="13376.085999999999"/>
    <n v="15151"/>
    <x v="1"/>
    <n v="0"/>
    <n v="0"/>
    <n v="66"/>
    <n v="3"/>
    <n v="0"/>
    <n v="432.02"/>
    <n v="107.79"/>
    <m/>
    <n v="497.50790459014416"/>
    <n v="224.57633816173018"/>
    <n v="0"/>
    <n v="5778736.6737199994"/>
    <n v="1441808.3099400001"/>
    <n v="0"/>
    <n v="6654708.5174775627"/>
    <n v="3003952.4128163848"/>
  </r>
  <r>
    <s v="PROJETADO"/>
    <x v="6"/>
    <x v="4"/>
    <x v="2"/>
    <x v="0"/>
    <x v="0"/>
    <x v="1"/>
    <x v="0"/>
    <x v="11"/>
    <n v="0"/>
    <n v="0"/>
    <n v="-476.08300000000003"/>
    <n v="-476.08300000000003"/>
    <n v="-476.08300000000003"/>
    <n v="-476.08300000000003"/>
    <n v="-223"/>
    <x v="1"/>
    <n v="0"/>
    <n v="0"/>
    <n v="66"/>
    <n v="3"/>
    <n v="0"/>
    <n v="432.02"/>
    <n v="107.79"/>
    <m/>
    <n v="497.50790459014416"/>
    <n v="224.57633816173018"/>
    <n v="0"/>
    <n v="-205677.37766"/>
    <n v="-51316.986570000008"/>
    <n v="0"/>
    <n v="-236855.05574098963"/>
    <n v="-106916.97680105099"/>
  </r>
  <r>
    <s v="PROJETADO"/>
    <x v="6"/>
    <x v="4"/>
    <x v="2"/>
    <x v="0"/>
    <x v="0"/>
    <x v="1"/>
    <x v="0"/>
    <x v="11"/>
    <n v="0"/>
    <n v="0"/>
    <n v="363.98700000000002"/>
    <n v="363.98700000000002"/>
    <n v="363.98700000000002"/>
    <n v="363.98700000000002"/>
    <n v="294"/>
    <x v="1"/>
    <n v="0"/>
    <n v="0"/>
    <n v="66"/>
    <n v="3"/>
    <n v="0"/>
    <n v="432.02"/>
    <n v="107.79"/>
    <m/>
    <n v="497.50790459014416"/>
    <n v="224.57633816173018"/>
    <n v="0"/>
    <n v="157249.66373999999"/>
    <n v="39234.158730000003"/>
    <n v="0"/>
    <n v="181086.4096680528"/>
    <n v="81742.867598473691"/>
  </r>
  <r>
    <s v="Regular"/>
    <x v="6"/>
    <x v="4"/>
    <x v="5"/>
    <x v="0"/>
    <x v="0"/>
    <x v="1"/>
    <x v="0"/>
    <x v="0"/>
    <n v="0"/>
    <n v="0"/>
    <n v="253.71"/>
    <n v="253.71"/>
    <n v="253.71"/>
    <n v="253.71"/>
    <n v="39"/>
    <x v="1"/>
    <n v="0"/>
    <n v="0"/>
    <n v="66"/>
    <n v="3"/>
    <n v="0"/>
    <n v="432.02"/>
    <n v="107.79"/>
    <m/>
    <n v="497.50790459014416"/>
    <n v="224.57633816173018"/>
    <n v="0"/>
    <n v="109607.7942"/>
    <n v="27347.400900000004"/>
    <n v="0"/>
    <n v="126222.73047356548"/>
    <n v="56977.262755012562"/>
  </r>
  <r>
    <s v="Regular"/>
    <x v="6"/>
    <x v="4"/>
    <x v="5"/>
    <x v="0"/>
    <x v="0"/>
    <x v="1"/>
    <x v="0"/>
    <x v="1"/>
    <n v="0"/>
    <n v="0"/>
    <n v="187.81700000000001"/>
    <n v="187.81700000000001"/>
    <n v="187.81700000000001"/>
    <n v="187.81700000000001"/>
    <n v="38"/>
    <x v="1"/>
    <n v="0"/>
    <n v="0"/>
    <n v="66"/>
    <n v="3"/>
    <n v="0"/>
    <n v="432.02"/>
    <n v="107.79"/>
    <m/>
    <n v="497.50790459014416"/>
    <n v="224.57633816173018"/>
    <n v="0"/>
    <n v="81140.700339999996"/>
    <n v="20244.794430000002"/>
    <n v="0"/>
    <n v="93440.44211640711"/>
    <n v="42179.254104521679"/>
  </r>
  <r>
    <s v="Regular"/>
    <x v="6"/>
    <x v="4"/>
    <x v="5"/>
    <x v="0"/>
    <x v="0"/>
    <x v="1"/>
    <x v="0"/>
    <x v="2"/>
    <n v="0"/>
    <n v="0"/>
    <n v="207.43799999999999"/>
    <n v="207.43799999999999"/>
    <n v="207.43799999999999"/>
    <n v="207.43799999999999"/>
    <n v="28"/>
    <x v="1"/>
    <n v="0"/>
    <n v="0"/>
    <n v="66"/>
    <n v="3"/>
    <n v="0"/>
    <n v="432.02"/>
    <n v="107.79"/>
    <m/>
    <n v="497.50790459014416"/>
    <n v="224.57633816173018"/>
    <n v="0"/>
    <n v="89617.364759999997"/>
    <n v="22359.742020000002"/>
    <n v="0"/>
    <n v="103202.04471237032"/>
    <n v="46585.666435592982"/>
  </r>
  <r>
    <s v="Regular"/>
    <x v="6"/>
    <x v="4"/>
    <x v="5"/>
    <x v="0"/>
    <x v="0"/>
    <x v="1"/>
    <x v="0"/>
    <x v="3"/>
    <n v="0"/>
    <n v="0"/>
    <n v="152.38499999999999"/>
    <n v="152.38499999999999"/>
    <n v="152.38499999999999"/>
    <n v="152.38499999999999"/>
    <n v="31"/>
    <x v="1"/>
    <n v="0"/>
    <n v="0"/>
    <n v="66"/>
    <n v="3"/>
    <n v="0"/>
    <n v="432.02"/>
    <n v="107.79"/>
    <m/>
    <n v="497.50790459014416"/>
    <n v="224.57633816173018"/>
    <n v="0"/>
    <n v="65833.367699999988"/>
    <n v="16425.579150000001"/>
    <n v="0"/>
    <n v="75812.742040969111"/>
    <n v="34222.065290775252"/>
  </r>
  <r>
    <s v="Regular"/>
    <x v="6"/>
    <x v="4"/>
    <x v="5"/>
    <x v="0"/>
    <x v="0"/>
    <x v="1"/>
    <x v="0"/>
    <x v="4"/>
    <n v="0"/>
    <n v="0"/>
    <n v="197.62"/>
    <n v="197.62"/>
    <n v="197.62"/>
    <n v="197.62"/>
    <n v="28"/>
    <x v="1"/>
    <n v="0"/>
    <n v="0"/>
    <n v="66"/>
    <n v="3"/>
    <n v="0"/>
    <n v="432.02"/>
    <n v="107.79"/>
    <m/>
    <n v="497.50790459014416"/>
    <n v="224.57633816173018"/>
    <n v="0"/>
    <n v="85375.792399999991"/>
    <n v="21301.459800000001"/>
    <n v="0"/>
    <n v="98317.512105104295"/>
    <n v="44380.775947521121"/>
  </r>
  <r>
    <s v="Regular"/>
    <x v="6"/>
    <x v="4"/>
    <x v="5"/>
    <x v="0"/>
    <x v="0"/>
    <x v="1"/>
    <x v="0"/>
    <x v="5"/>
    <n v="0"/>
    <n v="0"/>
    <n v="167.821"/>
    <n v="167.821"/>
    <n v="167.821"/>
    <n v="167.821"/>
    <n v="31"/>
    <x v="1"/>
    <n v="0"/>
    <n v="0"/>
    <n v="66"/>
    <n v="3"/>
    <n v="0"/>
    <n v="432.02"/>
    <n v="107.79"/>
    <m/>
    <n v="497.50790459014416"/>
    <n v="224.57633816173018"/>
    <n v="0"/>
    <n v="72502.028420000002"/>
    <n v="18089.425590000003"/>
    <n v="0"/>
    <n v="83492.274056222581"/>
    <n v="37688.625646639717"/>
  </r>
  <r>
    <s v="Regular"/>
    <x v="6"/>
    <x v="4"/>
    <x v="5"/>
    <x v="0"/>
    <x v="0"/>
    <x v="1"/>
    <x v="0"/>
    <x v="6"/>
    <n v="0"/>
    <n v="0"/>
    <n v="129.22800000000001"/>
    <n v="129.22800000000001"/>
    <n v="129.22800000000001"/>
    <n v="129.22800000000001"/>
    <n v="31"/>
    <x v="1"/>
    <n v="0"/>
    <n v="0"/>
    <n v="66"/>
    <n v="3"/>
    <n v="0"/>
    <n v="432.02"/>
    <n v="107.79"/>
    <m/>
    <n v="497.50790459014416"/>
    <n v="224.57633816173018"/>
    <n v="0"/>
    <n v="55829.080560000002"/>
    <n v="13929.486120000001"/>
    <n v="0"/>
    <n v="64291.951494375156"/>
    <n v="29021.551027964069"/>
  </r>
  <r>
    <s v="Regular"/>
    <x v="6"/>
    <x v="4"/>
    <x v="5"/>
    <x v="0"/>
    <x v="0"/>
    <x v="1"/>
    <x v="0"/>
    <x v="7"/>
    <n v="0"/>
    <n v="0"/>
    <n v="147.977"/>
    <n v="147.977"/>
    <n v="147.977"/>
    <n v="147.977"/>
    <n v="32"/>
    <x v="1"/>
    <n v="0"/>
    <n v="0"/>
    <n v="66"/>
    <n v="3"/>
    <n v="0"/>
    <n v="432.02"/>
    <n v="107.79"/>
    <m/>
    <n v="497.50790459014416"/>
    <n v="224.57633816173018"/>
    <n v="0"/>
    <n v="63929.023540000002"/>
    <n v="15950.440830000001"/>
    <n v="0"/>
    <n v="73619.727197535758"/>
    <n v="33232.132792158351"/>
  </r>
  <r>
    <s v="Regular"/>
    <x v="6"/>
    <x v="4"/>
    <x v="5"/>
    <x v="0"/>
    <x v="0"/>
    <x v="1"/>
    <x v="0"/>
    <x v="8"/>
    <n v="0"/>
    <n v="0"/>
    <n v="170.96"/>
    <n v="170.96"/>
    <n v="170.96"/>
    <n v="170.96"/>
    <n v="38"/>
    <x v="1"/>
    <n v="0"/>
    <n v="0"/>
    <n v="66"/>
    <n v="3"/>
    <n v="0"/>
    <n v="432.02"/>
    <n v="107.79"/>
    <m/>
    <n v="497.50790459014416"/>
    <n v="224.57633816173018"/>
    <n v="0"/>
    <n v="73858.139200000005"/>
    <n v="18427.778400000003"/>
    <n v="0"/>
    <n v="85053.951368731054"/>
    <n v="38393.570772129395"/>
  </r>
  <r>
    <s v="Regular"/>
    <x v="6"/>
    <x v="4"/>
    <x v="5"/>
    <x v="0"/>
    <x v="0"/>
    <x v="1"/>
    <x v="0"/>
    <x v="9"/>
    <n v="0"/>
    <n v="0"/>
    <n v="159.78"/>
    <n v="159.78"/>
    <n v="159.78"/>
    <n v="159.78"/>
    <n v="36"/>
    <x v="1"/>
    <n v="0"/>
    <n v="0"/>
    <n v="66"/>
    <n v="3"/>
    <n v="0"/>
    <n v="432.02"/>
    <n v="107.79"/>
    <m/>
    <n v="497.50790459014416"/>
    <n v="224.57633816173018"/>
    <n v="0"/>
    <n v="69028.155599999998"/>
    <n v="17222.6862"/>
    <n v="0"/>
    <n v="79491.812995413231"/>
    <n v="35882.807311481251"/>
  </r>
  <r>
    <s v="Regular"/>
    <x v="6"/>
    <x v="4"/>
    <x v="5"/>
    <x v="0"/>
    <x v="0"/>
    <x v="1"/>
    <x v="0"/>
    <x v="10"/>
    <n v="0"/>
    <n v="0"/>
    <n v="187.661"/>
    <n v="187.661"/>
    <n v="187.661"/>
    <n v="187.661"/>
    <n v="35"/>
    <x v="1"/>
    <n v="0"/>
    <n v="0"/>
    <n v="66"/>
    <n v="3"/>
    <n v="0"/>
    <n v="432.02"/>
    <n v="107.79"/>
    <m/>
    <n v="497.50790459014416"/>
    <n v="224.57633816173018"/>
    <n v="0"/>
    <n v="81073.305219999995"/>
    <n v="20227.979190000002"/>
    <n v="0"/>
    <n v="93362.830883291041"/>
    <n v="42144.220195768445"/>
  </r>
  <r>
    <s v="PROJETADO"/>
    <x v="6"/>
    <x v="4"/>
    <x v="5"/>
    <x v="0"/>
    <x v="0"/>
    <x v="1"/>
    <x v="0"/>
    <x v="11"/>
    <n v="0"/>
    <n v="0"/>
    <n v="187.661"/>
    <n v="187.661"/>
    <n v="187.661"/>
    <n v="187.661"/>
    <n v="35"/>
    <x v="1"/>
    <n v="0"/>
    <n v="0"/>
    <n v="66"/>
    <n v="3"/>
    <n v="0"/>
    <n v="432.02"/>
    <n v="107.79"/>
    <m/>
    <n v="497.50790459014416"/>
    <n v="224.57633816173018"/>
    <n v="0"/>
    <n v="81073.305219999995"/>
    <n v="20227.979190000002"/>
    <n v="0"/>
    <n v="93362.830883291041"/>
    <n v="42144.220195768445"/>
  </r>
  <r>
    <s v="Regular"/>
    <x v="6"/>
    <x v="4"/>
    <x v="1"/>
    <x v="0"/>
    <x v="0"/>
    <x v="1"/>
    <x v="0"/>
    <x v="0"/>
    <n v="0"/>
    <n v="0"/>
    <n v="274.173"/>
    <n v="274.173"/>
    <n v="274.173"/>
    <n v="274.173"/>
    <n v="254"/>
    <x v="1"/>
    <n v="0"/>
    <n v="0"/>
    <n v="66"/>
    <n v="3"/>
    <n v="0"/>
    <n v="432.02"/>
    <n v="107.79"/>
    <m/>
    <n v="497.50790459014416"/>
    <n v="224.57633816173018"/>
    <n v="0"/>
    <n v="118448.21945999999"/>
    <n v="29553.107670000001"/>
    <n v="0"/>
    <n v="136403.23472519359"/>
    <n v="61572.768362816045"/>
  </r>
  <r>
    <s v="Refaturamento - Regular"/>
    <x v="6"/>
    <x v="4"/>
    <x v="1"/>
    <x v="0"/>
    <x v="0"/>
    <x v="1"/>
    <x v="0"/>
    <x v="0"/>
    <n v="0"/>
    <n v="0"/>
    <n v="-0.376"/>
    <n v="-0.376"/>
    <n v="-0.376"/>
    <n v="-0.376"/>
    <n v="0"/>
    <x v="1"/>
    <n v="0"/>
    <n v="0"/>
    <n v="66"/>
    <n v="3"/>
    <n v="0"/>
    <n v="432.02"/>
    <n v="107.79"/>
    <m/>
    <n v="497.50790459014416"/>
    <n v="224.57633816173018"/>
    <n v="0"/>
    <n v="-162.43951999999999"/>
    <n v="-40.529040000000002"/>
    <n v="0"/>
    <n v="-187.06297212589422"/>
    <n v="-84.440703148810542"/>
  </r>
  <r>
    <s v="Sistema de Compensação"/>
    <x v="6"/>
    <x v="4"/>
    <x v="1"/>
    <x v="0"/>
    <x v="0"/>
    <x v="1"/>
    <x v="0"/>
    <x v="0"/>
    <n v="0"/>
    <n v="0"/>
    <n v="0.1"/>
    <n v="0.1"/>
    <n v="0.1"/>
    <n v="0.1"/>
    <n v="1"/>
    <x v="1"/>
    <n v="0"/>
    <n v="0"/>
    <n v="66"/>
    <n v="3"/>
    <n v="0"/>
    <n v="432.02"/>
    <n v="107.79"/>
    <m/>
    <n v="497.50790459014416"/>
    <n v="224.57633816173018"/>
    <n v="0"/>
    <n v="43.201999999999998"/>
    <n v="10.779000000000002"/>
    <n v="0"/>
    <n v="49.750790459014418"/>
    <n v="22.457633816173018"/>
  </r>
  <r>
    <s v="Regular"/>
    <x v="6"/>
    <x v="4"/>
    <x v="1"/>
    <x v="0"/>
    <x v="0"/>
    <x v="1"/>
    <x v="0"/>
    <x v="1"/>
    <n v="0"/>
    <n v="0"/>
    <n v="257.28899999999999"/>
    <n v="257.28899999999999"/>
    <n v="257.28899999999999"/>
    <n v="257.28899999999999"/>
    <n v="250"/>
    <x v="1"/>
    <n v="0"/>
    <n v="0"/>
    <n v="66"/>
    <n v="3"/>
    <n v="0"/>
    <n v="432.02"/>
    <n v="107.79"/>
    <m/>
    <n v="497.50790459014416"/>
    <n v="224.57633816173018"/>
    <n v="0"/>
    <n v="111153.99377999999"/>
    <n v="27733.18131"/>
    <n v="0"/>
    <n v="128003.3112640936"/>
    <n v="57781.021469293395"/>
  </r>
  <r>
    <s v="Refaturamento - Regular"/>
    <x v="6"/>
    <x v="4"/>
    <x v="1"/>
    <x v="0"/>
    <x v="0"/>
    <x v="1"/>
    <x v="0"/>
    <x v="1"/>
    <n v="0"/>
    <n v="0"/>
    <n v="-8.4369999999999994"/>
    <n v="-8.4369999999999994"/>
    <n v="-8.4369999999999994"/>
    <n v="-8.4369999999999994"/>
    <n v="-18"/>
    <x v="1"/>
    <n v="0"/>
    <n v="0"/>
    <n v="66"/>
    <n v="3"/>
    <n v="0"/>
    <n v="432.02"/>
    <n v="107.79"/>
    <m/>
    <n v="497.50790459014416"/>
    <n v="224.57633816173018"/>
    <n v="0"/>
    <n v="-3644.9527399999997"/>
    <n v="-909.42422999999997"/>
    <n v="0"/>
    <n v="-4197.4741910270459"/>
    <n v="-1894.7505650705173"/>
  </r>
  <r>
    <s v="Sistema de Compensação"/>
    <x v="6"/>
    <x v="4"/>
    <x v="1"/>
    <x v="0"/>
    <x v="0"/>
    <x v="1"/>
    <x v="0"/>
    <x v="1"/>
    <n v="0"/>
    <n v="0"/>
    <n v="11.589"/>
    <n v="11.589"/>
    <n v="11.589"/>
    <n v="11.589"/>
    <n v="3"/>
    <x v="1"/>
    <n v="0"/>
    <n v="0"/>
    <n v="66"/>
    <n v="3"/>
    <n v="0"/>
    <n v="432.02"/>
    <n v="107.79"/>
    <m/>
    <n v="497.50790459014416"/>
    <n v="224.57633816173018"/>
    <n v="0"/>
    <n v="5006.6797800000004"/>
    <n v="1249.17831"/>
    <n v="0"/>
    <n v="5765.6191062951812"/>
    <n v="2602.6151829562909"/>
  </r>
  <r>
    <s v="Regular"/>
    <x v="6"/>
    <x v="4"/>
    <x v="1"/>
    <x v="0"/>
    <x v="0"/>
    <x v="1"/>
    <x v="0"/>
    <x v="2"/>
    <n v="0"/>
    <n v="0"/>
    <n v="215.87200000000001"/>
    <n v="215.87200000000001"/>
    <n v="215.87200000000001"/>
    <n v="215.87200000000001"/>
    <n v="219"/>
    <x v="1"/>
    <n v="0"/>
    <n v="0"/>
    <n v="66"/>
    <n v="3"/>
    <n v="0"/>
    <n v="432.02"/>
    <n v="107.79"/>
    <m/>
    <n v="497.50790459014416"/>
    <n v="224.57633816173018"/>
    <n v="0"/>
    <n v="93261.021439999997"/>
    <n v="23268.842880000004"/>
    <n v="0"/>
    <n v="107398.02637968361"/>
    <n v="48479.743271649022"/>
  </r>
  <r>
    <s v="Sistema de Compensação"/>
    <x v="6"/>
    <x v="4"/>
    <x v="1"/>
    <x v="0"/>
    <x v="0"/>
    <x v="1"/>
    <x v="0"/>
    <x v="2"/>
    <n v="0"/>
    <n v="0"/>
    <n v="11.587999999999999"/>
    <n v="11.587999999999999"/>
    <n v="11.587999999999999"/>
    <n v="11.587999999999999"/>
    <n v="3"/>
    <x v="1"/>
    <n v="0"/>
    <n v="0"/>
    <n v="66"/>
    <n v="3"/>
    <n v="0"/>
    <n v="432.02"/>
    <n v="107.79"/>
    <m/>
    <n v="497.50790459014416"/>
    <n v="224.57633816173018"/>
    <n v="0"/>
    <n v="5006.2477599999993"/>
    <n v="1249.07052"/>
    <n v="0"/>
    <n v="5765.1215983905904"/>
    <n v="2602.3906066181289"/>
  </r>
  <r>
    <s v="Regular"/>
    <x v="6"/>
    <x v="4"/>
    <x v="1"/>
    <x v="0"/>
    <x v="0"/>
    <x v="1"/>
    <x v="0"/>
    <x v="3"/>
    <n v="0"/>
    <n v="0"/>
    <n v="228.69399999999999"/>
    <n v="228.69399999999999"/>
    <n v="228.69399999999999"/>
    <n v="228.69399999999999"/>
    <n v="218"/>
    <x v="1"/>
    <n v="0"/>
    <n v="0"/>
    <n v="66"/>
    <n v="3"/>
    <n v="0"/>
    <n v="432.02"/>
    <n v="107.79"/>
    <m/>
    <n v="497.50790459014416"/>
    <n v="224.57633816173018"/>
    <n v="0"/>
    <n v="98800.381879999986"/>
    <n v="24650.92626"/>
    <n v="0"/>
    <n v="113777.07273233842"/>
    <n v="51359.261079558717"/>
  </r>
  <r>
    <s v="Refaturamento - Regular"/>
    <x v="6"/>
    <x v="4"/>
    <x v="1"/>
    <x v="0"/>
    <x v="0"/>
    <x v="1"/>
    <x v="0"/>
    <x v="3"/>
    <n v="0"/>
    <n v="0"/>
    <n v="-3.1070000000000002"/>
    <n v="-3.1070000000000002"/>
    <n v="-3.1070000000000002"/>
    <n v="-3.1070000000000002"/>
    <n v="0"/>
    <x v="1"/>
    <n v="0"/>
    <n v="0"/>
    <n v="66"/>
    <n v="3"/>
    <n v="0"/>
    <n v="432.02"/>
    <n v="107.79"/>
    <m/>
    <n v="497.50790459014416"/>
    <n v="224.57633816173018"/>
    <n v="0"/>
    <n v="-1342.2861399999999"/>
    <n v="-334.90353000000005"/>
    <n v="0"/>
    <n v="-1545.757059561578"/>
    <n v="-697.75868266849568"/>
  </r>
  <r>
    <s v="Sistema de Compensação"/>
    <x v="6"/>
    <x v="4"/>
    <x v="1"/>
    <x v="0"/>
    <x v="0"/>
    <x v="1"/>
    <x v="0"/>
    <x v="3"/>
    <n v="0"/>
    <n v="0"/>
    <n v="11.62"/>
    <n v="11.62"/>
    <n v="11.62"/>
    <n v="11.62"/>
    <n v="3"/>
    <x v="1"/>
    <n v="0"/>
    <n v="0"/>
    <n v="66"/>
    <n v="3"/>
    <n v="0"/>
    <n v="432.02"/>
    <n v="107.79"/>
    <m/>
    <n v="497.50790459014416"/>
    <n v="224.57633816173018"/>
    <n v="0"/>
    <n v="5020.0723999999991"/>
    <n v="1252.5198"/>
    <n v="0"/>
    <n v="5781.0418513374752"/>
    <n v="2609.5770494393046"/>
  </r>
  <r>
    <s v="Regular"/>
    <x v="6"/>
    <x v="4"/>
    <x v="1"/>
    <x v="0"/>
    <x v="0"/>
    <x v="1"/>
    <x v="0"/>
    <x v="4"/>
    <n v="0"/>
    <n v="0"/>
    <n v="239.10300000000001"/>
    <n v="239.10300000000001"/>
    <n v="239.10300000000001"/>
    <n v="239.10300000000001"/>
    <n v="212"/>
    <x v="1"/>
    <n v="0"/>
    <n v="0"/>
    <n v="66"/>
    <n v="3"/>
    <n v="0"/>
    <n v="432.02"/>
    <n v="107.79"/>
    <m/>
    <n v="497.50790459014416"/>
    <n v="224.57633816173018"/>
    <n v="0"/>
    <n v="103297.27806"/>
    <n v="25772.912370000002"/>
    <n v="0"/>
    <n v="118955.63251121725"/>
    <n v="53696.876183484172"/>
  </r>
  <r>
    <s v="Sistema de Compensação"/>
    <x v="6"/>
    <x v="4"/>
    <x v="1"/>
    <x v="0"/>
    <x v="0"/>
    <x v="1"/>
    <x v="0"/>
    <x v="4"/>
    <n v="0"/>
    <n v="0"/>
    <n v="11.978"/>
    <n v="11.978"/>
    <n v="11.978"/>
    <n v="11.978"/>
    <n v="3"/>
    <x v="1"/>
    <n v="0"/>
    <n v="0"/>
    <n v="66"/>
    <n v="3"/>
    <n v="0"/>
    <n v="432.02"/>
    <n v="107.79"/>
    <m/>
    <n v="497.50790459014416"/>
    <n v="224.57633816173018"/>
    <n v="0"/>
    <n v="5174.7355600000001"/>
    <n v="1291.10862"/>
    <n v="0"/>
    <n v="5959.1496811807465"/>
    <n v="2689.975378501204"/>
  </r>
  <r>
    <s v="Regular"/>
    <x v="6"/>
    <x v="4"/>
    <x v="1"/>
    <x v="0"/>
    <x v="0"/>
    <x v="1"/>
    <x v="0"/>
    <x v="5"/>
    <n v="0"/>
    <n v="0"/>
    <n v="247.72300000000001"/>
    <n v="247.72300000000001"/>
    <n v="247.72300000000001"/>
    <n v="247.72300000000001"/>
    <n v="214"/>
    <x v="1"/>
    <n v="0"/>
    <n v="0"/>
    <n v="66"/>
    <n v="3"/>
    <n v="0"/>
    <n v="432.02"/>
    <n v="107.79"/>
    <m/>
    <n v="497.50790459014416"/>
    <n v="224.57633816173018"/>
    <n v="0"/>
    <n v="107021.29046"/>
    <n v="26702.062170000005"/>
    <n v="0"/>
    <n v="123244.15064878429"/>
    <n v="55632.724218438285"/>
  </r>
  <r>
    <s v="Refaturamento - Regular"/>
    <x v="6"/>
    <x v="4"/>
    <x v="1"/>
    <x v="0"/>
    <x v="0"/>
    <x v="1"/>
    <x v="0"/>
    <x v="5"/>
    <n v="0"/>
    <n v="0"/>
    <n v="-6.4779999999999998"/>
    <n v="-6.4779999999999998"/>
    <n v="-6.4779999999999998"/>
    <n v="-6.4779999999999998"/>
    <n v="0"/>
    <x v="1"/>
    <n v="0"/>
    <n v="0"/>
    <n v="66"/>
    <n v="3"/>
    <n v="0"/>
    <n v="432.02"/>
    <n v="107.79"/>
    <m/>
    <n v="497.50790459014416"/>
    <n v="224.57633816173018"/>
    <n v="0"/>
    <n v="-2798.62556"/>
    <n v="-698.26362000000006"/>
    <n v="0"/>
    <n v="-3222.8562059349538"/>
    <n v="-1454.8055186116881"/>
  </r>
  <r>
    <s v="Sistema de Compensação"/>
    <x v="6"/>
    <x v="4"/>
    <x v="1"/>
    <x v="0"/>
    <x v="0"/>
    <x v="1"/>
    <x v="0"/>
    <x v="5"/>
    <n v="0"/>
    <n v="0"/>
    <n v="7.5049999999999999"/>
    <n v="7.5049999999999999"/>
    <n v="7.5049999999999999"/>
    <n v="7.5049999999999999"/>
    <n v="3"/>
    <x v="1"/>
    <n v="0"/>
    <n v="0"/>
    <n v="66"/>
    <n v="3"/>
    <n v="0"/>
    <n v="432.02"/>
    <n v="107.79"/>
    <m/>
    <n v="497.50790459014416"/>
    <n v="224.57633816173018"/>
    <n v="0"/>
    <n v="3242.3100999999997"/>
    <n v="808.96395000000007"/>
    <n v="0"/>
    <n v="3733.7968239490319"/>
    <n v="1685.445417903785"/>
  </r>
  <r>
    <s v="Regular"/>
    <x v="6"/>
    <x v="4"/>
    <x v="1"/>
    <x v="0"/>
    <x v="0"/>
    <x v="1"/>
    <x v="0"/>
    <x v="6"/>
    <n v="0"/>
    <n v="0"/>
    <n v="280.84399999999999"/>
    <n v="280.84399999999999"/>
    <n v="280.84399999999999"/>
    <n v="280.84399999999999"/>
    <n v="220"/>
    <x v="1"/>
    <n v="0"/>
    <n v="0"/>
    <n v="66"/>
    <n v="3"/>
    <n v="0"/>
    <n v="432.02"/>
    <n v="107.79"/>
    <m/>
    <n v="497.50790459014416"/>
    <n v="224.57633816173018"/>
    <n v="0"/>
    <n v="121330.22487999999"/>
    <n v="30272.174760000002"/>
    <n v="0"/>
    <n v="139722.10995671444"/>
    <n v="63070.917114692951"/>
  </r>
  <r>
    <s v="Sistema de Compensação"/>
    <x v="6"/>
    <x v="4"/>
    <x v="1"/>
    <x v="0"/>
    <x v="0"/>
    <x v="1"/>
    <x v="0"/>
    <x v="6"/>
    <n v="0"/>
    <n v="0"/>
    <n v="16.222000000000001"/>
    <n v="16.222000000000001"/>
    <n v="16.222000000000001"/>
    <n v="16.222000000000001"/>
    <n v="3"/>
    <x v="1"/>
    <n v="0"/>
    <n v="0"/>
    <n v="66"/>
    <n v="3"/>
    <n v="0"/>
    <n v="432.02"/>
    <n v="107.79"/>
    <m/>
    <n v="497.50790459014416"/>
    <n v="224.57633816173018"/>
    <n v="0"/>
    <n v="7008.2284399999999"/>
    <n v="1748.5693800000001"/>
    <n v="0"/>
    <n v="8070.5732282613189"/>
    <n v="3643.0773576595871"/>
  </r>
  <r>
    <s v="Regular"/>
    <x v="6"/>
    <x v="4"/>
    <x v="1"/>
    <x v="0"/>
    <x v="0"/>
    <x v="1"/>
    <x v="0"/>
    <x v="7"/>
    <n v="0"/>
    <n v="0"/>
    <n v="237.977"/>
    <n v="237.977"/>
    <n v="237.977"/>
    <n v="237.977"/>
    <n v="217"/>
    <x v="1"/>
    <n v="0"/>
    <n v="0"/>
    <n v="66"/>
    <n v="3"/>
    <n v="0"/>
    <n v="432.02"/>
    <n v="107.79"/>
    <m/>
    <n v="497.50790459014416"/>
    <n v="224.57633816173018"/>
    <n v="0"/>
    <n v="102810.82354"/>
    <n v="25651.540830000002"/>
    <n v="0"/>
    <n v="118395.43861064874"/>
    <n v="53444.003226714063"/>
  </r>
  <r>
    <s v="Refaturamento - Regular"/>
    <x v="6"/>
    <x v="4"/>
    <x v="1"/>
    <x v="0"/>
    <x v="0"/>
    <x v="1"/>
    <x v="0"/>
    <x v="7"/>
    <n v="0"/>
    <n v="0"/>
    <n v="-13.643000000000001"/>
    <n v="-13.643000000000001"/>
    <n v="-13.643000000000001"/>
    <n v="-13.643000000000001"/>
    <n v="2"/>
    <x v="1"/>
    <n v="0"/>
    <n v="0"/>
    <n v="66"/>
    <n v="3"/>
    <n v="0"/>
    <n v="432.02"/>
    <n v="107.79"/>
    <m/>
    <n v="497.50790459014416"/>
    <n v="224.57633816173018"/>
    <n v="0"/>
    <n v="-5894.0488599999999"/>
    <n v="-1470.5789700000003"/>
    <n v="0"/>
    <n v="-6787.5003423233375"/>
    <n v="-3063.8949815404849"/>
  </r>
  <r>
    <s v="Sistema de Compensação"/>
    <x v="6"/>
    <x v="4"/>
    <x v="1"/>
    <x v="0"/>
    <x v="0"/>
    <x v="1"/>
    <x v="0"/>
    <x v="7"/>
    <n v="0"/>
    <n v="0"/>
    <n v="16.492000000000001"/>
    <n v="16.492000000000001"/>
    <n v="16.492000000000001"/>
    <n v="16.492000000000001"/>
    <n v="4"/>
    <x v="1"/>
    <n v="0"/>
    <n v="0"/>
    <n v="66"/>
    <n v="3"/>
    <n v="0"/>
    <n v="432.02"/>
    <n v="107.79"/>
    <m/>
    <n v="497.50790459014416"/>
    <n v="224.57633816173018"/>
    <n v="0"/>
    <n v="7124.8738400000002"/>
    <n v="1777.6726800000001"/>
    <n v="0"/>
    <n v="8204.9003625006571"/>
    <n v="3703.7129689632543"/>
  </r>
  <r>
    <s v="Regular"/>
    <x v="6"/>
    <x v="4"/>
    <x v="1"/>
    <x v="0"/>
    <x v="0"/>
    <x v="1"/>
    <x v="0"/>
    <x v="8"/>
    <n v="0"/>
    <n v="0"/>
    <n v="265.57400000000001"/>
    <n v="265.57400000000001"/>
    <n v="265.57400000000001"/>
    <n v="265.57400000000001"/>
    <n v="222"/>
    <x v="1"/>
    <n v="0"/>
    <n v="0"/>
    <n v="66"/>
    <n v="3"/>
    <n v="0"/>
    <n v="432.02"/>
    <n v="107.79"/>
    <m/>
    <n v="497.50790459014416"/>
    <n v="224.57633816173018"/>
    <n v="0"/>
    <n v="114733.27948"/>
    <n v="28626.221460000004"/>
    <n v="0"/>
    <n v="132125.16425362296"/>
    <n v="59641.636430963335"/>
  </r>
  <r>
    <s v="Refaturamento - Regular"/>
    <x v="6"/>
    <x v="4"/>
    <x v="1"/>
    <x v="0"/>
    <x v="0"/>
    <x v="1"/>
    <x v="0"/>
    <x v="8"/>
    <n v="0"/>
    <n v="0"/>
    <n v="-4.3769999999999998"/>
    <n v="-4.3769999999999998"/>
    <n v="-4.3769999999999998"/>
    <n v="-4.3769999999999998"/>
    <n v="0"/>
    <x v="1"/>
    <n v="0"/>
    <n v="0"/>
    <n v="66"/>
    <n v="3"/>
    <n v="0"/>
    <n v="432.02"/>
    <n v="107.79"/>
    <m/>
    <n v="497.50790459014416"/>
    <n v="224.57633816173018"/>
    <n v="0"/>
    <n v="-1890.9515399999998"/>
    <n v="-471.79683"/>
    <n v="0"/>
    <n v="-2177.592098391061"/>
    <n v="-982.97063213389299"/>
  </r>
  <r>
    <s v="Sistema de Compensação"/>
    <x v="6"/>
    <x v="4"/>
    <x v="1"/>
    <x v="0"/>
    <x v="0"/>
    <x v="1"/>
    <x v="0"/>
    <x v="8"/>
    <n v="0"/>
    <n v="0"/>
    <n v="36.944000000000003"/>
    <n v="36.944000000000003"/>
    <n v="36.944000000000003"/>
    <n v="36.944000000000003"/>
    <n v="4"/>
    <x v="1"/>
    <n v="0"/>
    <n v="0"/>
    <n v="66"/>
    <n v="3"/>
    <n v="0"/>
    <n v="432.02"/>
    <n v="107.79"/>
    <m/>
    <n v="497.50790459014416"/>
    <n v="224.57633816173018"/>
    <n v="0"/>
    <n v="15960.54688"/>
    <n v="3982.1937600000006"/>
    <n v="0"/>
    <n v="18379.932027178289"/>
    <n v="8296.7482370469606"/>
  </r>
  <r>
    <s v="Regular"/>
    <x v="6"/>
    <x v="4"/>
    <x v="1"/>
    <x v="0"/>
    <x v="0"/>
    <x v="1"/>
    <x v="0"/>
    <x v="9"/>
    <n v="0"/>
    <n v="0"/>
    <n v="310.55500000000001"/>
    <n v="310.55500000000001"/>
    <n v="310.55500000000001"/>
    <n v="310.55500000000001"/>
    <n v="205"/>
    <x v="1"/>
    <n v="0"/>
    <n v="0"/>
    <n v="66"/>
    <n v="3"/>
    <n v="0"/>
    <n v="432.02"/>
    <n v="107.79"/>
    <m/>
    <n v="497.50790459014416"/>
    <n v="224.57633816173018"/>
    <n v="0"/>
    <n v="134165.9711"/>
    <n v="33474.723450000005"/>
    <n v="0"/>
    <n v="154503.56730999221"/>
    <n v="69743.304697816115"/>
  </r>
  <r>
    <s v="Refaturamento - Regular"/>
    <x v="6"/>
    <x v="4"/>
    <x v="1"/>
    <x v="0"/>
    <x v="0"/>
    <x v="1"/>
    <x v="0"/>
    <x v="9"/>
    <n v="0"/>
    <n v="0"/>
    <n v="-1.1000000000000001"/>
    <n v="-1.1000000000000001"/>
    <n v="-1.1000000000000001"/>
    <n v="-1.1000000000000001"/>
    <n v="-12"/>
    <x v="1"/>
    <n v="0"/>
    <n v="0"/>
    <n v="66"/>
    <n v="3"/>
    <n v="0"/>
    <n v="432.02"/>
    <n v="107.79"/>
    <m/>
    <n v="497.50790459014416"/>
    <n v="224.57633816173018"/>
    <n v="0"/>
    <n v="-475.22200000000004"/>
    <n v="-118.56900000000002"/>
    <n v="0"/>
    <n v="-547.25869504915863"/>
    <n v="-247.03397197790321"/>
  </r>
  <r>
    <s v="Sistema de Compensação"/>
    <x v="6"/>
    <x v="4"/>
    <x v="1"/>
    <x v="0"/>
    <x v="0"/>
    <x v="1"/>
    <x v="0"/>
    <x v="9"/>
    <n v="0"/>
    <n v="0"/>
    <n v="50.341999999999999"/>
    <n v="50.341999999999999"/>
    <n v="50.341999999999999"/>
    <n v="50.341999999999999"/>
    <n v="4"/>
    <x v="1"/>
    <n v="0"/>
    <n v="0"/>
    <n v="66"/>
    <n v="3"/>
    <n v="0"/>
    <n v="432.02"/>
    <n v="107.79"/>
    <m/>
    <n v="497.50790459014416"/>
    <n v="224.57633816173018"/>
    <n v="0"/>
    <n v="21748.750839999997"/>
    <n v="5426.3641800000005"/>
    <n v="0"/>
    <n v="25045.542932877037"/>
    <n v="11305.622015737821"/>
  </r>
  <r>
    <s v="Regular"/>
    <x v="6"/>
    <x v="4"/>
    <x v="1"/>
    <x v="0"/>
    <x v="0"/>
    <x v="1"/>
    <x v="0"/>
    <x v="10"/>
    <n v="0"/>
    <n v="0"/>
    <n v="293.90899999999999"/>
    <n v="293.90899999999999"/>
    <n v="293.90899999999999"/>
    <n v="293.90899999999999"/>
    <n v="213"/>
    <x v="1"/>
    <n v="0"/>
    <n v="0"/>
    <n v="66"/>
    <n v="3"/>
    <n v="0"/>
    <n v="432.02"/>
    <n v="107.79"/>
    <m/>
    <n v="497.50790459014416"/>
    <n v="224.57633816173018"/>
    <n v="0"/>
    <n v="126974.56617999999"/>
    <n v="31680.451110000002"/>
    <n v="0"/>
    <n v="146222.05073018468"/>
    <n v="66005.006972775955"/>
  </r>
  <r>
    <s v="Refaturamento - Regular"/>
    <x v="6"/>
    <x v="4"/>
    <x v="1"/>
    <x v="0"/>
    <x v="0"/>
    <x v="1"/>
    <x v="0"/>
    <x v="10"/>
    <n v="0"/>
    <n v="0"/>
    <n v="-52.406999999999996"/>
    <n v="-52.406999999999996"/>
    <n v="-52.406999999999996"/>
    <n v="-52.406999999999996"/>
    <n v="-4"/>
    <x v="1"/>
    <n v="0"/>
    <n v="0"/>
    <n v="66"/>
    <n v="3"/>
    <n v="0"/>
    <n v="432.02"/>
    <n v="107.79"/>
    <m/>
    <n v="497.50790459014416"/>
    <n v="224.57633816173018"/>
    <n v="0"/>
    <n v="-22640.872139999996"/>
    <n v="-5648.9505300000001"/>
    <n v="0"/>
    <n v="-26072.896755855683"/>
    <n v="-11769.372154041792"/>
  </r>
  <r>
    <s v="Sistema de Compensação"/>
    <x v="6"/>
    <x v="4"/>
    <x v="1"/>
    <x v="0"/>
    <x v="0"/>
    <x v="1"/>
    <x v="0"/>
    <x v="10"/>
    <n v="0"/>
    <n v="0"/>
    <n v="27.434000000000001"/>
    <n v="27.434000000000001"/>
    <n v="27.434000000000001"/>
    <n v="27.434000000000001"/>
    <n v="4"/>
    <x v="1"/>
    <n v="0"/>
    <n v="0"/>
    <n v="66"/>
    <n v="3"/>
    <n v="0"/>
    <n v="432.02"/>
    <n v="107.79"/>
    <m/>
    <n v="497.50790459014416"/>
    <n v="224.57633816173018"/>
    <n v="0"/>
    <n v="11852.036679999999"/>
    <n v="2957.1108600000002"/>
    <n v="0"/>
    <n v="13648.631854526015"/>
    <n v="6161.0272611289056"/>
  </r>
  <r>
    <s v="PROJETADO"/>
    <x v="6"/>
    <x v="4"/>
    <x v="1"/>
    <x v="0"/>
    <x v="0"/>
    <x v="1"/>
    <x v="0"/>
    <x v="11"/>
    <n v="0"/>
    <n v="0"/>
    <n v="293.90899999999999"/>
    <n v="293.90899999999999"/>
    <n v="293.90899999999999"/>
    <n v="293.90899999999999"/>
    <n v="213"/>
    <x v="1"/>
    <n v="0"/>
    <n v="0"/>
    <n v="66"/>
    <n v="3"/>
    <n v="0"/>
    <n v="432.02"/>
    <n v="107.79"/>
    <m/>
    <n v="497.50790459014416"/>
    <n v="224.57633816173018"/>
    <n v="0"/>
    <n v="126974.56617999999"/>
    <n v="31680.451110000002"/>
    <n v="0"/>
    <n v="146222.05073018468"/>
    <n v="66005.006972775955"/>
  </r>
  <r>
    <s v="PROJETADO"/>
    <x v="6"/>
    <x v="4"/>
    <x v="1"/>
    <x v="0"/>
    <x v="0"/>
    <x v="1"/>
    <x v="0"/>
    <x v="11"/>
    <n v="0"/>
    <n v="0"/>
    <n v="-52.406999999999996"/>
    <n v="-52.406999999999996"/>
    <n v="-52.406999999999996"/>
    <n v="-52.406999999999996"/>
    <n v="-4"/>
    <x v="1"/>
    <n v="0"/>
    <n v="0"/>
    <n v="66"/>
    <n v="3"/>
    <n v="0"/>
    <n v="432.02"/>
    <n v="107.79"/>
    <m/>
    <n v="497.50790459014416"/>
    <n v="224.57633816173018"/>
    <n v="0"/>
    <n v="-22640.872139999996"/>
    <n v="-5648.9505300000001"/>
    <n v="0"/>
    <n v="-26072.896755855683"/>
    <n v="-11769.372154041792"/>
  </r>
  <r>
    <s v="PROJETADO"/>
    <x v="6"/>
    <x v="4"/>
    <x v="1"/>
    <x v="0"/>
    <x v="0"/>
    <x v="1"/>
    <x v="0"/>
    <x v="11"/>
    <n v="0"/>
    <n v="0"/>
    <n v="27.434000000000001"/>
    <n v="27.434000000000001"/>
    <n v="27.434000000000001"/>
    <n v="27.434000000000001"/>
    <n v="4"/>
    <x v="1"/>
    <n v="0"/>
    <n v="0"/>
    <n v="66"/>
    <n v="3"/>
    <n v="0"/>
    <n v="432.02"/>
    <n v="107.79"/>
    <m/>
    <n v="497.50790459014416"/>
    <n v="224.57633816173018"/>
    <n v="0"/>
    <n v="11852.036679999999"/>
    <n v="2957.1108600000002"/>
    <n v="0"/>
    <n v="13648.631854526015"/>
    <n v="6161.0272611289056"/>
  </r>
  <r>
    <s v="Regular"/>
    <x v="6"/>
    <x v="4"/>
    <x v="3"/>
    <x v="0"/>
    <x v="0"/>
    <x v="1"/>
    <x v="0"/>
    <x v="0"/>
    <n v="0"/>
    <n v="0"/>
    <n v="2860.585"/>
    <n v="2860.585"/>
    <n v="2860.585"/>
    <n v="2860.585"/>
    <n v="1866"/>
    <x v="1"/>
    <n v="0"/>
    <n v="0"/>
    <n v="66"/>
    <n v="3"/>
    <n v="0"/>
    <n v="432.02"/>
    <n v="107.79"/>
    <m/>
    <n v="497.50790459014416"/>
    <n v="224.57633816173018"/>
    <n v="0"/>
    <n v="1235829.9317000001"/>
    <n v="308342.45715000003"/>
    <n v="0"/>
    <n v="1423163.6492519975"/>
    <n v="642419.70430037298"/>
  </r>
  <r>
    <s v="Refaturamento - Regular"/>
    <x v="6"/>
    <x v="4"/>
    <x v="3"/>
    <x v="0"/>
    <x v="0"/>
    <x v="1"/>
    <x v="0"/>
    <x v="0"/>
    <n v="0"/>
    <n v="0"/>
    <n v="-24.808"/>
    <n v="-24.808"/>
    <n v="-24.808"/>
    <n v="-24.808"/>
    <n v="-12"/>
    <x v="1"/>
    <n v="0"/>
    <n v="0"/>
    <n v="66"/>
    <n v="3"/>
    <n v="0"/>
    <n v="432.02"/>
    <n v="107.79"/>
    <m/>
    <n v="497.50790459014416"/>
    <n v="224.57633816173018"/>
    <n v="0"/>
    <n v="-10717.552159999999"/>
    <n v="-2674.0543200000002"/>
    <n v="0"/>
    <n v="-12342.176097072297"/>
    <n v="-5571.289797116202"/>
  </r>
  <r>
    <s v="Sistema de Compensação"/>
    <x v="6"/>
    <x v="4"/>
    <x v="3"/>
    <x v="0"/>
    <x v="0"/>
    <x v="1"/>
    <x v="0"/>
    <x v="0"/>
    <n v="0"/>
    <n v="0"/>
    <n v="8.1449999999999996"/>
    <n v="8.1449999999999996"/>
    <n v="8.1449999999999996"/>
    <n v="8.1449999999999996"/>
    <n v="9"/>
    <x v="1"/>
    <n v="0"/>
    <n v="0"/>
    <n v="66"/>
    <n v="3"/>
    <n v="0"/>
    <n v="432.02"/>
    <n v="107.79"/>
    <m/>
    <n v="497.50790459014416"/>
    <n v="224.57633816173018"/>
    <n v="0"/>
    <n v="3518.8028999999997"/>
    <n v="877.94955000000004"/>
    <n v="0"/>
    <n v="4052.201882886724"/>
    <n v="1829.1742743272921"/>
  </r>
  <r>
    <s v="Regular"/>
    <x v="6"/>
    <x v="4"/>
    <x v="3"/>
    <x v="0"/>
    <x v="0"/>
    <x v="1"/>
    <x v="0"/>
    <x v="1"/>
    <n v="0"/>
    <n v="0"/>
    <n v="2535.5030000000002"/>
    <n v="2535.5030000000002"/>
    <n v="2535.5030000000002"/>
    <n v="2535.5030000000002"/>
    <n v="1872"/>
    <x v="1"/>
    <n v="0"/>
    <n v="0"/>
    <n v="66"/>
    <n v="3"/>
    <n v="0"/>
    <n v="432.02"/>
    <n v="107.79"/>
    <m/>
    <n v="497.50790459014416"/>
    <n v="224.57633816173018"/>
    <n v="0"/>
    <n v="1095388.00606"/>
    <n v="273301.86837000004"/>
    <n v="0"/>
    <n v="1261432.7846120244"/>
    <n v="569413.97913808143"/>
  </r>
  <r>
    <s v="Refaturamento - Regular"/>
    <x v="6"/>
    <x v="4"/>
    <x v="3"/>
    <x v="0"/>
    <x v="0"/>
    <x v="1"/>
    <x v="0"/>
    <x v="1"/>
    <n v="0"/>
    <n v="0"/>
    <n v="0.20499999999999999"/>
    <n v="0.20499999999999999"/>
    <n v="0.20499999999999999"/>
    <n v="0.20499999999999999"/>
    <n v="1"/>
    <x v="1"/>
    <n v="0"/>
    <n v="0"/>
    <n v="66"/>
    <n v="3"/>
    <n v="0"/>
    <n v="432.02"/>
    <n v="107.79"/>
    <m/>
    <n v="497.50790459014416"/>
    <n v="224.57633816173018"/>
    <n v="0"/>
    <n v="88.564099999999996"/>
    <n v="22.09695"/>
    <n v="0"/>
    <n v="101.98912044097955"/>
    <n v="46.038149323154684"/>
  </r>
  <r>
    <s v="Sistema de Compensação"/>
    <x v="6"/>
    <x v="4"/>
    <x v="3"/>
    <x v="0"/>
    <x v="0"/>
    <x v="1"/>
    <x v="0"/>
    <x v="1"/>
    <n v="0"/>
    <n v="0"/>
    <n v="4.8109999999999999"/>
    <n v="4.8109999999999999"/>
    <n v="4.8109999999999999"/>
    <n v="4.8109999999999999"/>
    <n v="9"/>
    <x v="1"/>
    <n v="0"/>
    <n v="0"/>
    <n v="66"/>
    <n v="3"/>
    <n v="0"/>
    <n v="432.02"/>
    <n v="107.79"/>
    <m/>
    <n v="497.50790459014416"/>
    <n v="224.57633816173018"/>
    <n v="0"/>
    <n v="2078.4482199999998"/>
    <n v="518.57769000000008"/>
    <n v="0"/>
    <n v="2393.5105289831836"/>
    <n v="1080.4367628960838"/>
  </r>
  <r>
    <s v="Regular"/>
    <x v="6"/>
    <x v="4"/>
    <x v="3"/>
    <x v="0"/>
    <x v="0"/>
    <x v="1"/>
    <x v="0"/>
    <x v="2"/>
    <n v="0"/>
    <n v="0"/>
    <n v="2085.9789999999998"/>
    <n v="2085.9789999999998"/>
    <n v="2085.9789999999998"/>
    <n v="2085.9789999999998"/>
    <n v="1834"/>
    <x v="1"/>
    <n v="0"/>
    <n v="0"/>
    <n v="66"/>
    <n v="3"/>
    <n v="0"/>
    <n v="432.02"/>
    <n v="107.79"/>
    <m/>
    <n v="497.50790459014416"/>
    <n v="224.57633816173018"/>
    <n v="0"/>
    <n v="901184.64757999987"/>
    <n v="224847.67640999999"/>
    <n v="0"/>
    <n v="1037791.0413090442"/>
    <n v="468461.52530226769"/>
  </r>
  <r>
    <s v="Refaturamento - Regular"/>
    <x v="6"/>
    <x v="4"/>
    <x v="3"/>
    <x v="0"/>
    <x v="0"/>
    <x v="1"/>
    <x v="0"/>
    <x v="2"/>
    <n v="0"/>
    <n v="0"/>
    <n v="-18.402999999999999"/>
    <n v="-18.402999999999999"/>
    <n v="-18.402999999999999"/>
    <n v="-18.402999999999999"/>
    <n v="19"/>
    <x v="1"/>
    <n v="0"/>
    <n v="0"/>
    <n v="66"/>
    <n v="3"/>
    <n v="0"/>
    <n v="432.02"/>
    <n v="107.79"/>
    <m/>
    <n v="497.50790459014416"/>
    <n v="224.57633816173018"/>
    <n v="0"/>
    <n v="-7950.4640599999993"/>
    <n v="-1983.6593700000001"/>
    <n v="0"/>
    <n v="-9155.6379681724229"/>
    <n v="-4132.8783511903202"/>
  </r>
  <r>
    <s v="Sistema de Compensação"/>
    <x v="6"/>
    <x v="4"/>
    <x v="3"/>
    <x v="0"/>
    <x v="0"/>
    <x v="1"/>
    <x v="0"/>
    <x v="2"/>
    <n v="0"/>
    <n v="0"/>
    <n v="7.6559999999999997"/>
    <n v="7.6559999999999997"/>
    <n v="7.6559999999999997"/>
    <n v="7.6559999999999997"/>
    <n v="9"/>
    <x v="1"/>
    <n v="0"/>
    <n v="0"/>
    <n v="66"/>
    <n v="3"/>
    <n v="0"/>
    <n v="432.02"/>
    <n v="107.79"/>
    <m/>
    <n v="497.50790459014416"/>
    <n v="224.57633816173018"/>
    <n v="0"/>
    <n v="3307.5451199999998"/>
    <n v="825.24023999999997"/>
    <n v="0"/>
    <n v="3808.9205175421434"/>
    <n v="1719.3564449662063"/>
  </r>
  <r>
    <s v="Regular"/>
    <x v="6"/>
    <x v="4"/>
    <x v="3"/>
    <x v="0"/>
    <x v="0"/>
    <x v="1"/>
    <x v="0"/>
    <x v="3"/>
    <n v="0"/>
    <n v="0"/>
    <n v="2498.623"/>
    <n v="2498.623"/>
    <n v="2498.623"/>
    <n v="2498.623"/>
    <n v="1874"/>
    <x v="1"/>
    <n v="0"/>
    <n v="0"/>
    <n v="66"/>
    <n v="3"/>
    <n v="0"/>
    <n v="432.02"/>
    <n v="107.79"/>
    <m/>
    <n v="497.50790459014416"/>
    <n v="224.57633816173018"/>
    <n v="0"/>
    <n v="1079455.10846"/>
    <n v="269326.57317000005"/>
    <n v="0"/>
    <n v="1243084.6930907399"/>
    <n v="561131.60378667677"/>
  </r>
  <r>
    <s v="Refaturamento - Regular"/>
    <x v="6"/>
    <x v="4"/>
    <x v="3"/>
    <x v="0"/>
    <x v="0"/>
    <x v="1"/>
    <x v="0"/>
    <x v="3"/>
    <n v="0"/>
    <n v="0"/>
    <n v="90.575000000000003"/>
    <n v="90.575000000000003"/>
    <n v="90.575000000000003"/>
    <n v="90.575000000000003"/>
    <n v="32"/>
    <x v="1"/>
    <n v="0"/>
    <n v="0"/>
    <n v="66"/>
    <n v="3"/>
    <n v="0"/>
    <n v="432.02"/>
    <n v="107.79"/>
    <m/>
    <n v="497.50790459014416"/>
    <n v="224.57633816173018"/>
    <n v="0"/>
    <n v="39130.211499999998"/>
    <n v="9763.0792500000007"/>
    <n v="0"/>
    <n v="45061.778458252309"/>
    <n v="20341.001828998713"/>
  </r>
  <r>
    <s v="Sistema de Compensação"/>
    <x v="6"/>
    <x v="4"/>
    <x v="3"/>
    <x v="0"/>
    <x v="0"/>
    <x v="1"/>
    <x v="0"/>
    <x v="3"/>
    <n v="0"/>
    <n v="0"/>
    <n v="7.0389999999999997"/>
    <n v="7.0389999999999997"/>
    <n v="7.0389999999999997"/>
    <n v="7.0389999999999997"/>
    <n v="9"/>
    <x v="1"/>
    <n v="0"/>
    <n v="0"/>
    <n v="66"/>
    <n v="3"/>
    <n v="0"/>
    <n v="432.02"/>
    <n v="107.79"/>
    <m/>
    <n v="497.50790459014416"/>
    <n v="224.57633816173018"/>
    <n v="0"/>
    <n v="3040.9887799999997"/>
    <n v="758.73381000000006"/>
    <n v="0"/>
    <n v="3501.9581404100245"/>
    <n v="1580.7928443204187"/>
  </r>
  <r>
    <s v="Regular"/>
    <x v="6"/>
    <x v="4"/>
    <x v="3"/>
    <x v="0"/>
    <x v="0"/>
    <x v="1"/>
    <x v="0"/>
    <x v="4"/>
    <n v="0"/>
    <n v="0"/>
    <n v="2695.93"/>
    <n v="2695.93"/>
    <n v="2695.93"/>
    <n v="2695.93"/>
    <n v="1842"/>
    <x v="1"/>
    <n v="0"/>
    <n v="0"/>
    <n v="66"/>
    <n v="3"/>
    <n v="0"/>
    <n v="432.02"/>
    <n v="107.79"/>
    <m/>
    <n v="497.50790459014416"/>
    <n v="224.57633816173018"/>
    <n v="0"/>
    <n v="1164695.6786"/>
    <n v="290594.29470000003"/>
    <n v="0"/>
    <n v="1341246.4852217073"/>
    <n v="605442.08734035317"/>
  </r>
  <r>
    <s v="Refaturamento - Regular"/>
    <x v="6"/>
    <x v="4"/>
    <x v="3"/>
    <x v="0"/>
    <x v="0"/>
    <x v="1"/>
    <x v="0"/>
    <x v="4"/>
    <n v="0"/>
    <n v="0"/>
    <n v="-164.83699999999999"/>
    <n v="-164.83699999999999"/>
    <n v="-164.83699999999999"/>
    <n v="-164.83699999999999"/>
    <n v="-37"/>
    <x v="1"/>
    <n v="0"/>
    <n v="0"/>
    <n v="66"/>
    <n v="3"/>
    <n v="0"/>
    <n v="432.02"/>
    <n v="107.79"/>
    <m/>
    <n v="497.50790459014416"/>
    <n v="224.57633816173018"/>
    <n v="0"/>
    <n v="-71212.880739999993"/>
    <n v="-17767.78023"/>
    <n v="0"/>
    <n v="-82007.710468925594"/>
    <n v="-37018.489853565115"/>
  </r>
  <r>
    <s v="Sistema de Compensação"/>
    <x v="6"/>
    <x v="4"/>
    <x v="3"/>
    <x v="0"/>
    <x v="0"/>
    <x v="1"/>
    <x v="0"/>
    <x v="4"/>
    <n v="0"/>
    <n v="0"/>
    <n v="4.6139999999999999"/>
    <n v="4.6139999999999999"/>
    <n v="4.6139999999999999"/>
    <n v="4.6139999999999999"/>
    <n v="9"/>
    <x v="1"/>
    <n v="0"/>
    <n v="0"/>
    <n v="66"/>
    <n v="3"/>
    <n v="0"/>
    <n v="432.02"/>
    <n v="107.79"/>
    <m/>
    <n v="497.50790459014416"/>
    <n v="224.57633816173018"/>
    <n v="0"/>
    <n v="1993.3402799999999"/>
    <n v="497.34306000000004"/>
    <n v="0"/>
    <n v="2295.501471778925"/>
    <n v="1036.1952242782231"/>
  </r>
  <r>
    <s v="Regular"/>
    <x v="6"/>
    <x v="4"/>
    <x v="3"/>
    <x v="0"/>
    <x v="0"/>
    <x v="1"/>
    <x v="0"/>
    <x v="5"/>
    <n v="0"/>
    <n v="0"/>
    <n v="2962.3449999999998"/>
    <n v="2962.3449999999998"/>
    <n v="2962.3449999999998"/>
    <n v="2962.3449999999998"/>
    <n v="1871"/>
    <x v="1"/>
    <n v="0"/>
    <n v="0"/>
    <n v="66"/>
    <n v="3"/>
    <n v="0"/>
    <n v="432.02"/>
    <n v="107.79"/>
    <m/>
    <n v="497.50790459014416"/>
    <n v="224.57633816173018"/>
    <n v="0"/>
    <n v="1279792.2868999999"/>
    <n v="319311.16755000001"/>
    <n v="0"/>
    <n v="1473790.0536230905"/>
    <n v="665272.59247171052"/>
  </r>
  <r>
    <s v="Refaturamento - Regular"/>
    <x v="6"/>
    <x v="4"/>
    <x v="3"/>
    <x v="0"/>
    <x v="0"/>
    <x v="1"/>
    <x v="0"/>
    <x v="5"/>
    <n v="0"/>
    <n v="0"/>
    <n v="8.19"/>
    <n v="8.19"/>
    <n v="8.19"/>
    <n v="8.19"/>
    <n v="4"/>
    <x v="1"/>
    <n v="0"/>
    <n v="0"/>
    <n v="66"/>
    <n v="3"/>
    <n v="0"/>
    <n v="432.02"/>
    <n v="107.79"/>
    <m/>
    <n v="497.50790459014416"/>
    <n v="224.57633816173018"/>
    <n v="0"/>
    <n v="3538.2437999999997"/>
    <n v="882.80010000000004"/>
    <n v="0"/>
    <n v="4074.5897385932803"/>
    <n v="1839.28020954457"/>
  </r>
  <r>
    <s v="Sistema de Compensação"/>
    <x v="6"/>
    <x v="4"/>
    <x v="3"/>
    <x v="0"/>
    <x v="0"/>
    <x v="1"/>
    <x v="0"/>
    <x v="5"/>
    <n v="0"/>
    <n v="0"/>
    <n v="6.5419999999999998"/>
    <n v="6.5419999999999998"/>
    <n v="6.5419999999999998"/>
    <n v="6.5419999999999998"/>
    <n v="9"/>
    <x v="1"/>
    <n v="0"/>
    <n v="0"/>
    <n v="66"/>
    <n v="3"/>
    <n v="0"/>
    <n v="432.02"/>
    <n v="107.79"/>
    <m/>
    <n v="497.50790459014416"/>
    <n v="224.57633816173018"/>
    <n v="0"/>
    <n v="2826.2748399999996"/>
    <n v="705.16218000000003"/>
    <n v="0"/>
    <n v="3254.696711828723"/>
    <n v="1469.1784042540387"/>
  </r>
  <r>
    <s v="Regular"/>
    <x v="6"/>
    <x v="4"/>
    <x v="3"/>
    <x v="0"/>
    <x v="0"/>
    <x v="1"/>
    <x v="0"/>
    <x v="6"/>
    <n v="0"/>
    <n v="0"/>
    <n v="3183.72"/>
    <n v="3183.72"/>
    <n v="3183.72"/>
    <n v="3183.72"/>
    <n v="1878"/>
    <x v="1"/>
    <n v="0"/>
    <n v="0"/>
    <n v="66"/>
    <n v="3"/>
    <n v="0"/>
    <n v="432.02"/>
    <n v="107.79"/>
    <m/>
    <n v="497.50790459014416"/>
    <n v="224.57633816173018"/>
    <n v="0"/>
    <n v="1375430.7143999999"/>
    <n v="343173.17879999999"/>
    <n v="0"/>
    <n v="1583925.8660017336"/>
    <n v="714988.17933226353"/>
  </r>
  <r>
    <s v="Refaturamento - Regular"/>
    <x v="6"/>
    <x v="4"/>
    <x v="3"/>
    <x v="0"/>
    <x v="0"/>
    <x v="1"/>
    <x v="0"/>
    <x v="6"/>
    <n v="0"/>
    <n v="0"/>
    <n v="-9.2460000000000004"/>
    <n v="-9.2460000000000004"/>
    <n v="-9.2460000000000004"/>
    <n v="-9.2460000000000004"/>
    <n v="2"/>
    <x v="1"/>
    <n v="0"/>
    <n v="0"/>
    <n v="66"/>
    <n v="3"/>
    <n v="0"/>
    <n v="432.02"/>
    <n v="107.79"/>
    <m/>
    <n v="497.50790459014416"/>
    <n v="224.57633816173018"/>
    <n v="0"/>
    <n v="-3994.4569200000001"/>
    <n v="-996.62634000000014"/>
    <n v="0"/>
    <n v="-4599.9580858404734"/>
    <n v="-2076.4328226433572"/>
  </r>
  <r>
    <s v="Sistema de Compensação"/>
    <x v="6"/>
    <x v="4"/>
    <x v="3"/>
    <x v="0"/>
    <x v="0"/>
    <x v="1"/>
    <x v="0"/>
    <x v="6"/>
    <n v="0"/>
    <n v="0"/>
    <n v="8.3290000000000006"/>
    <n v="8.3290000000000006"/>
    <n v="8.3290000000000006"/>
    <n v="8.3290000000000006"/>
    <n v="9"/>
    <x v="1"/>
    <n v="0"/>
    <n v="0"/>
    <n v="66"/>
    <n v="3"/>
    <n v="0"/>
    <n v="432.02"/>
    <n v="107.79"/>
    <m/>
    <n v="497.50790459014416"/>
    <n v="224.57633816173018"/>
    <n v="0"/>
    <n v="3598.2945800000002"/>
    <n v="897.78291000000013"/>
    <n v="0"/>
    <n v="4143.7433373313106"/>
    <n v="1870.4963205490508"/>
  </r>
  <r>
    <s v="Regular"/>
    <x v="6"/>
    <x v="4"/>
    <x v="3"/>
    <x v="0"/>
    <x v="0"/>
    <x v="1"/>
    <x v="0"/>
    <x v="7"/>
    <n v="0"/>
    <n v="0"/>
    <n v="2502.7530000000002"/>
    <n v="2502.7530000000002"/>
    <n v="2502.7530000000002"/>
    <n v="2502.7530000000002"/>
    <n v="1865"/>
    <x v="1"/>
    <n v="0"/>
    <n v="0"/>
    <n v="66"/>
    <n v="3"/>
    <n v="0"/>
    <n v="432.02"/>
    <n v="107.79"/>
    <m/>
    <n v="497.50790459014416"/>
    <n v="224.57633816173018"/>
    <n v="0"/>
    <n v="1081239.35106"/>
    <n v="269771.74587000004"/>
    <n v="0"/>
    <n v="1245139.4007366973"/>
    <n v="562059.1040632847"/>
  </r>
  <r>
    <s v="Refaturamento - Regular"/>
    <x v="6"/>
    <x v="4"/>
    <x v="3"/>
    <x v="0"/>
    <x v="0"/>
    <x v="1"/>
    <x v="0"/>
    <x v="7"/>
    <n v="0"/>
    <n v="0"/>
    <n v="4.6120000000000001"/>
    <n v="4.6120000000000001"/>
    <n v="4.6120000000000001"/>
    <n v="4.6120000000000001"/>
    <n v="1"/>
    <x v="1"/>
    <n v="0"/>
    <n v="0"/>
    <n v="66"/>
    <n v="3"/>
    <n v="0"/>
    <n v="432.02"/>
    <n v="107.79"/>
    <m/>
    <n v="497.50790459014416"/>
    <n v="224.57633816173018"/>
    <n v="0"/>
    <n v="1992.47624"/>
    <n v="497.12748000000005"/>
    <n v="0"/>
    <n v="2294.5064559697448"/>
    <n v="1035.7460716018995"/>
  </r>
  <r>
    <s v="Sistema de Compensação"/>
    <x v="6"/>
    <x v="4"/>
    <x v="3"/>
    <x v="0"/>
    <x v="0"/>
    <x v="1"/>
    <x v="0"/>
    <x v="7"/>
    <n v="0"/>
    <n v="0"/>
    <n v="8.2140000000000004"/>
    <n v="8.2140000000000004"/>
    <n v="8.2140000000000004"/>
    <n v="8.2140000000000004"/>
    <n v="9"/>
    <x v="1"/>
    <n v="0"/>
    <n v="0"/>
    <n v="66"/>
    <n v="3"/>
    <n v="0"/>
    <n v="432.02"/>
    <n v="107.79"/>
    <m/>
    <n v="497.50790459014416"/>
    <n v="224.57633816173018"/>
    <n v="0"/>
    <n v="3548.6122799999998"/>
    <n v="885.38706000000013"/>
    <n v="0"/>
    <n v="4086.5299283034442"/>
    <n v="1844.6700416604517"/>
  </r>
  <r>
    <s v="Regular"/>
    <x v="6"/>
    <x v="4"/>
    <x v="3"/>
    <x v="0"/>
    <x v="0"/>
    <x v="1"/>
    <x v="0"/>
    <x v="8"/>
    <n v="0"/>
    <n v="0"/>
    <n v="3074.973"/>
    <n v="3074.973"/>
    <n v="3074.973"/>
    <n v="3074.973"/>
    <n v="1839"/>
    <x v="1"/>
    <n v="0"/>
    <n v="0"/>
    <n v="66"/>
    <n v="3"/>
    <n v="0"/>
    <n v="432.02"/>
    <n v="107.79"/>
    <m/>
    <n v="497.50790459014416"/>
    <n v="224.57633816173018"/>
    <n v="0"/>
    <n v="1328449.83546"/>
    <n v="331451.33967000002"/>
    <n v="0"/>
    <n v="1529823.3739012694"/>
    <n v="690566.17628618993"/>
  </r>
  <r>
    <s v="Refaturamento - Regular"/>
    <x v="6"/>
    <x v="4"/>
    <x v="3"/>
    <x v="0"/>
    <x v="0"/>
    <x v="1"/>
    <x v="0"/>
    <x v="8"/>
    <n v="0"/>
    <n v="0"/>
    <n v="10.625"/>
    <n v="10.625"/>
    <n v="10.625"/>
    <n v="10.625"/>
    <n v="2"/>
    <x v="1"/>
    <n v="0"/>
    <n v="0"/>
    <n v="66"/>
    <n v="3"/>
    <n v="0"/>
    <n v="432.02"/>
    <n v="107.79"/>
    <m/>
    <n v="497.50790459014416"/>
    <n v="224.57633816173018"/>
    <n v="0"/>
    <n v="4590.2124999999996"/>
    <n v="1145.26875"/>
    <n v="0"/>
    <n v="5286.0214862702815"/>
    <n v="2386.123592968383"/>
  </r>
  <r>
    <s v="Sistema de Compensação"/>
    <x v="6"/>
    <x v="4"/>
    <x v="3"/>
    <x v="0"/>
    <x v="0"/>
    <x v="1"/>
    <x v="0"/>
    <x v="8"/>
    <n v="0"/>
    <n v="0"/>
    <n v="12.186999999999999"/>
    <n v="12.186999999999999"/>
    <n v="12.186999999999999"/>
    <n v="12.186999999999999"/>
    <n v="9"/>
    <x v="1"/>
    <n v="0"/>
    <n v="0"/>
    <n v="66"/>
    <n v="3"/>
    <n v="0"/>
    <n v="432.02"/>
    <n v="107.79"/>
    <m/>
    <n v="497.50790459014416"/>
    <n v="224.57633816173018"/>
    <n v="0"/>
    <n v="5265.0277399999995"/>
    <n v="1313.6367299999999"/>
    <n v="0"/>
    <n v="6063.1288332400864"/>
    <n v="2736.9118331770055"/>
  </r>
  <r>
    <s v="Regular"/>
    <x v="6"/>
    <x v="4"/>
    <x v="3"/>
    <x v="0"/>
    <x v="0"/>
    <x v="1"/>
    <x v="0"/>
    <x v="9"/>
    <n v="0"/>
    <n v="0"/>
    <n v="3740.067"/>
    <n v="3740.067"/>
    <n v="3740.067"/>
    <n v="3740.067"/>
    <n v="1834"/>
    <x v="1"/>
    <n v="0"/>
    <n v="0"/>
    <n v="66"/>
    <n v="3"/>
    <n v="0"/>
    <n v="432.02"/>
    <n v="107.79"/>
    <m/>
    <n v="497.50790459014416"/>
    <n v="224.57633816173018"/>
    <n v="0"/>
    <n v="1615783.7453399999"/>
    <n v="403141.82193000003"/>
    <n v="0"/>
    <n v="1860712.8961967467"/>
    <n v="839930.55133952771"/>
  </r>
  <r>
    <s v="Refaturamento - Regular"/>
    <x v="6"/>
    <x v="4"/>
    <x v="3"/>
    <x v="0"/>
    <x v="0"/>
    <x v="1"/>
    <x v="0"/>
    <x v="9"/>
    <n v="0"/>
    <n v="0"/>
    <n v="-304.98700000000002"/>
    <n v="-304.98700000000002"/>
    <n v="-304.98700000000002"/>
    <n v="-304.98700000000002"/>
    <n v="-3"/>
    <x v="1"/>
    <n v="0"/>
    <n v="0"/>
    <n v="66"/>
    <n v="3"/>
    <n v="0"/>
    <n v="432.02"/>
    <n v="107.79"/>
    <m/>
    <n v="497.50790459014416"/>
    <n v="224.57633816173018"/>
    <n v="0"/>
    <n v="-131760.48374"/>
    <n v="-32874.548730000002"/>
    <n v="0"/>
    <n v="-151733.44329723431"/>
    <n v="-68492.863646931612"/>
  </r>
  <r>
    <s v="Sistema de Compensação"/>
    <x v="6"/>
    <x v="4"/>
    <x v="3"/>
    <x v="0"/>
    <x v="0"/>
    <x v="1"/>
    <x v="0"/>
    <x v="9"/>
    <n v="0"/>
    <n v="0"/>
    <n v="17.782"/>
    <n v="17.782"/>
    <n v="17.782"/>
    <n v="17.782"/>
    <n v="9"/>
    <x v="1"/>
    <n v="0"/>
    <n v="0"/>
    <n v="66"/>
    <n v="3"/>
    <n v="0"/>
    <n v="432.02"/>
    <n v="107.79"/>
    <m/>
    <n v="497.50790459014416"/>
    <n v="224.57633816173018"/>
    <n v="0"/>
    <n v="7682.1796399999994"/>
    <n v="1916.7217800000001"/>
    <n v="0"/>
    <n v="8846.6855594219433"/>
    <n v="3993.4164451918859"/>
  </r>
  <r>
    <s v="Regular"/>
    <x v="6"/>
    <x v="4"/>
    <x v="3"/>
    <x v="0"/>
    <x v="0"/>
    <x v="1"/>
    <x v="0"/>
    <x v="10"/>
    <n v="0"/>
    <n v="0"/>
    <n v="4127.8090000000002"/>
    <n v="4127.8090000000002"/>
    <n v="4127.8090000000002"/>
    <n v="4127.8090000000002"/>
    <n v="1887"/>
    <x v="1"/>
    <n v="0"/>
    <n v="0"/>
    <n v="66"/>
    <n v="3"/>
    <n v="0"/>
    <n v="432.02"/>
    <n v="107.79"/>
    <m/>
    <n v="497.50790459014416"/>
    <n v="224.57633816173018"/>
    <n v="0"/>
    <n v="1783296.04418"/>
    <n v="444936.53211000003"/>
    <n v="0"/>
    <n v="2053617.6061383386"/>
    <n v="927008.22985103331"/>
  </r>
  <r>
    <s v="Refaturamento - Regular"/>
    <x v="6"/>
    <x v="4"/>
    <x v="3"/>
    <x v="0"/>
    <x v="0"/>
    <x v="1"/>
    <x v="0"/>
    <x v="10"/>
    <n v="0"/>
    <n v="0"/>
    <n v="-5.6749999999999998"/>
    <n v="-5.6749999999999998"/>
    <n v="-5.6749999999999998"/>
    <n v="-5.6749999999999998"/>
    <n v="2"/>
    <x v="1"/>
    <n v="0"/>
    <n v="0"/>
    <n v="66"/>
    <n v="3"/>
    <n v="0"/>
    <n v="432.02"/>
    <n v="107.79"/>
    <m/>
    <n v="497.50790459014416"/>
    <n v="224.57633816173018"/>
    <n v="0"/>
    <n v="-2451.7134999999998"/>
    <n v="-611.70825000000002"/>
    <n v="0"/>
    <n v="-2823.3573585490681"/>
    <n v="-1274.4707190678187"/>
  </r>
  <r>
    <s v="Sistema de Compensação"/>
    <x v="6"/>
    <x v="4"/>
    <x v="3"/>
    <x v="0"/>
    <x v="0"/>
    <x v="1"/>
    <x v="0"/>
    <x v="10"/>
    <n v="0"/>
    <n v="0"/>
    <n v="19.748999999999999"/>
    <n v="19.748999999999999"/>
    <n v="19.748999999999999"/>
    <n v="19.748999999999999"/>
    <n v="9"/>
    <x v="1"/>
    <n v="0"/>
    <n v="0"/>
    <n v="66"/>
    <n v="3"/>
    <n v="0"/>
    <n v="432.02"/>
    <n v="107.79"/>
    <m/>
    <n v="497.50790459014416"/>
    <n v="224.57633816173018"/>
    <n v="0"/>
    <n v="8531.9629799999984"/>
    <n v="2128.7447099999999"/>
    <n v="0"/>
    <n v="9825.2836077507563"/>
    <n v="4435.1581023560093"/>
  </r>
  <r>
    <s v="PROJETADO"/>
    <x v="6"/>
    <x v="4"/>
    <x v="3"/>
    <x v="0"/>
    <x v="0"/>
    <x v="1"/>
    <x v="0"/>
    <x v="11"/>
    <n v="0"/>
    <n v="0"/>
    <n v="4127.8090000000002"/>
    <n v="4127.8090000000002"/>
    <n v="4127.8090000000002"/>
    <n v="4127.8090000000002"/>
    <n v="1887"/>
    <x v="1"/>
    <n v="0"/>
    <n v="0"/>
    <n v="66"/>
    <n v="3"/>
    <n v="0"/>
    <n v="432.02"/>
    <n v="107.79"/>
    <m/>
    <n v="497.50790459014416"/>
    <n v="224.57633816173018"/>
    <n v="0"/>
    <n v="1783296.04418"/>
    <n v="444936.53211000003"/>
    <n v="0"/>
    <n v="2053617.6061383386"/>
    <n v="927008.22985103331"/>
  </r>
  <r>
    <s v="PROJETADO"/>
    <x v="6"/>
    <x v="4"/>
    <x v="3"/>
    <x v="0"/>
    <x v="0"/>
    <x v="1"/>
    <x v="0"/>
    <x v="11"/>
    <n v="0"/>
    <n v="0"/>
    <n v="-5.6749999999999998"/>
    <n v="-5.6749999999999998"/>
    <n v="-5.6749999999999998"/>
    <n v="-5.6749999999999998"/>
    <n v="2"/>
    <x v="1"/>
    <n v="0"/>
    <n v="0"/>
    <n v="66"/>
    <n v="3"/>
    <n v="0"/>
    <n v="432.02"/>
    <n v="107.79"/>
    <m/>
    <n v="497.50790459014416"/>
    <n v="224.57633816173018"/>
    <n v="0"/>
    <n v="-2451.7134999999998"/>
    <n v="-611.70825000000002"/>
    <n v="0"/>
    <n v="-2823.3573585490681"/>
    <n v="-1274.4707190678187"/>
  </r>
  <r>
    <s v="PROJETADO"/>
    <x v="6"/>
    <x v="4"/>
    <x v="3"/>
    <x v="0"/>
    <x v="0"/>
    <x v="1"/>
    <x v="0"/>
    <x v="11"/>
    <n v="0"/>
    <n v="0"/>
    <n v="19.748999999999999"/>
    <n v="19.748999999999999"/>
    <n v="19.748999999999999"/>
    <n v="19.748999999999999"/>
    <n v="9"/>
    <x v="1"/>
    <n v="0"/>
    <n v="0"/>
    <n v="66"/>
    <n v="3"/>
    <n v="0"/>
    <n v="432.02"/>
    <n v="107.79"/>
    <m/>
    <n v="497.50790459014416"/>
    <n v="224.57633816173018"/>
    <n v="0"/>
    <n v="8531.9629799999984"/>
    <n v="2128.7447099999999"/>
    <n v="0"/>
    <n v="9825.2836077507563"/>
    <n v="4435.1581023560093"/>
  </r>
  <r>
    <s v="Regular"/>
    <x v="6"/>
    <x v="4"/>
    <x v="4"/>
    <x v="1"/>
    <x v="0"/>
    <x v="1"/>
    <x v="0"/>
    <x v="0"/>
    <n v="0"/>
    <n v="0"/>
    <n v="328.87"/>
    <n v="309.13779999999997"/>
    <n v="328.87"/>
    <n v="309.13779999999997"/>
    <n v="87"/>
    <x v="1"/>
    <n v="0"/>
    <n v="0"/>
    <n v="66"/>
    <n v="3"/>
    <n v="0"/>
    <n v="432.02"/>
    <n v="107.79"/>
    <m/>
    <n v="497.50790459014416"/>
    <n v="224.57633816173018"/>
    <n v="0"/>
    <n v="133553.71235599997"/>
    <n v="33321.963462"/>
    <n v="0"/>
    <n v="153798.49910760706"/>
    <n v="69425.035111373305"/>
  </r>
  <r>
    <s v="Refaturamento - Regular"/>
    <x v="6"/>
    <x v="4"/>
    <x v="4"/>
    <x v="1"/>
    <x v="0"/>
    <x v="1"/>
    <x v="0"/>
    <x v="0"/>
    <n v="0"/>
    <n v="0"/>
    <n v="-81.617999999999995"/>
    <n v="-76.720919999999992"/>
    <n v="-81.617999999999995"/>
    <n v="-76.720919999999992"/>
    <n v="-15"/>
    <x v="1"/>
    <n v="0"/>
    <n v="0"/>
    <n v="66"/>
    <n v="3"/>
    <n v="0"/>
    <n v="432.02"/>
    <n v="107.79"/>
    <m/>
    <n v="497.50790459014416"/>
    <n v="224.57633816173018"/>
    <n v="0"/>
    <n v="-33144.971858399993"/>
    <n v="-8269.7479667999996"/>
    <n v="0"/>
    <n v="-38169.264147428083"/>
    <n v="-17229.703273999046"/>
  </r>
  <r>
    <s v="Regular"/>
    <x v="6"/>
    <x v="4"/>
    <x v="4"/>
    <x v="1"/>
    <x v="0"/>
    <x v="1"/>
    <x v="0"/>
    <x v="1"/>
    <n v="0"/>
    <n v="0"/>
    <n v="317.13900000000001"/>
    <n v="298.11066"/>
    <n v="317.13900000000001"/>
    <n v="298.11066"/>
    <n v="87"/>
    <x v="1"/>
    <n v="0"/>
    <n v="0"/>
    <n v="66"/>
    <n v="3"/>
    <n v="0"/>
    <n v="432.02"/>
    <n v="107.79"/>
    <m/>
    <n v="497.50790459014416"/>
    <n v="224.57633816173018"/>
    <n v="0"/>
    <n v="128789.7673332"/>
    <n v="32133.348041400001"/>
    <n v="0"/>
    <n v="148312.40979258489"/>
    <n v="66948.600389776562"/>
  </r>
  <r>
    <s v="Regular"/>
    <x v="6"/>
    <x v="4"/>
    <x v="4"/>
    <x v="1"/>
    <x v="0"/>
    <x v="1"/>
    <x v="0"/>
    <x v="2"/>
    <n v="0"/>
    <n v="0"/>
    <n v="295.197"/>
    <n v="277.48518000000001"/>
    <n v="295.197"/>
    <n v="277.48518000000001"/>
    <n v="90"/>
    <x v="1"/>
    <n v="0"/>
    <n v="0"/>
    <n v="66"/>
    <n v="3"/>
    <n v="0"/>
    <n v="432.02"/>
    <n v="107.79"/>
    <m/>
    <n v="497.50790459014416"/>
    <n v="224.57633816173018"/>
    <n v="0"/>
    <n v="119879.14746360001"/>
    <n v="29910.127552200003"/>
    <n v="0"/>
    <n v="138051.070456619"/>
    <n v="62316.605618548572"/>
  </r>
  <r>
    <s v="Regular"/>
    <x v="6"/>
    <x v="4"/>
    <x v="4"/>
    <x v="1"/>
    <x v="0"/>
    <x v="1"/>
    <x v="0"/>
    <x v="3"/>
    <n v="0"/>
    <n v="0"/>
    <n v="341.46100000000001"/>
    <n v="320.97334000000001"/>
    <n v="341.46100000000001"/>
    <n v="320.97334000000001"/>
    <n v="92"/>
    <x v="1"/>
    <n v="0"/>
    <n v="0"/>
    <n v="66"/>
    <n v="3"/>
    <n v="0"/>
    <n v="432.02"/>
    <n v="107.79"/>
    <m/>
    <n v="497.50790459014416"/>
    <n v="224.57633816173018"/>
    <n v="0"/>
    <n v="138666.90234679999"/>
    <n v="34597.716318600003"/>
    <n v="0"/>
    <n v="159686.77381269992"/>
    <n v="72083.017344740001"/>
  </r>
  <r>
    <s v="Regular"/>
    <x v="6"/>
    <x v="4"/>
    <x v="4"/>
    <x v="1"/>
    <x v="0"/>
    <x v="1"/>
    <x v="0"/>
    <x v="4"/>
    <n v="0"/>
    <n v="0"/>
    <n v="628.62199999999996"/>
    <n v="590.90467999999987"/>
    <n v="628.62199999999996"/>
    <n v="590.90467999999987"/>
    <n v="93"/>
    <x v="1"/>
    <n v="0"/>
    <n v="0"/>
    <n v="66"/>
    <n v="3"/>
    <n v="0"/>
    <n v="432.02"/>
    <n v="107.79"/>
    <m/>
    <n v="497.50790459014416"/>
    <n v="224.57633816173018"/>
    <n v="0"/>
    <n v="255282.63985359995"/>
    <n v="63693.615457199987"/>
    <n v="0"/>
    <n v="293979.74915930961"/>
    <n v="132703.20923702893"/>
  </r>
  <r>
    <s v="Regular"/>
    <x v="6"/>
    <x v="4"/>
    <x v="4"/>
    <x v="1"/>
    <x v="0"/>
    <x v="1"/>
    <x v="0"/>
    <x v="5"/>
    <n v="0"/>
    <n v="0"/>
    <n v="398.37599999999998"/>
    <n v="374.47343999999998"/>
    <n v="398.37599999999998"/>
    <n v="374.47343999999998"/>
    <n v="91"/>
    <x v="1"/>
    <n v="0"/>
    <n v="0"/>
    <n v="66"/>
    <n v="3"/>
    <n v="0"/>
    <n v="432.02"/>
    <n v="107.79"/>
    <m/>
    <n v="497.50790459014416"/>
    <n v="224.57633816173018"/>
    <n v="0"/>
    <n v="161780.01554879997"/>
    <n v="40364.492097599999"/>
    <n v="0"/>
    <n v="186303.49645906306"/>
    <n v="84097.873894026372"/>
  </r>
  <r>
    <s v="Refaturamento - Regular"/>
    <x v="6"/>
    <x v="4"/>
    <x v="4"/>
    <x v="1"/>
    <x v="0"/>
    <x v="1"/>
    <x v="0"/>
    <x v="5"/>
    <n v="0"/>
    <n v="0"/>
    <n v="9.8970000000000002"/>
    <n v="9.3031799999999993"/>
    <n v="9.8970000000000002"/>
    <n v="9.3031799999999993"/>
    <n v="0"/>
    <x v="1"/>
    <n v="0"/>
    <n v="0"/>
    <n v="66"/>
    <n v="3"/>
    <n v="0"/>
    <n v="432.02"/>
    <n v="107.79"/>
    <m/>
    <n v="497.50790459014416"/>
    <n v="224.57633816173018"/>
    <n v="0"/>
    <n v="4019.1598235999995"/>
    <n v="1002.7897722"/>
    <n v="0"/>
    <n v="4628.4055878249374"/>
    <n v="2089.2740976594446"/>
  </r>
  <r>
    <s v="Regular"/>
    <x v="6"/>
    <x v="4"/>
    <x v="4"/>
    <x v="1"/>
    <x v="0"/>
    <x v="1"/>
    <x v="0"/>
    <x v="6"/>
    <n v="0"/>
    <n v="0"/>
    <n v="470.43299999999999"/>
    <n v="442.20701999999994"/>
    <n v="470.43299999999999"/>
    <n v="442.20701999999994"/>
    <n v="95"/>
    <x v="1"/>
    <n v="0"/>
    <n v="0"/>
    <n v="66"/>
    <n v="3"/>
    <n v="0"/>
    <n v="432.02"/>
    <n v="107.79"/>
    <m/>
    <n v="497.50790459014416"/>
    <n v="224.57633816173018"/>
    <n v="0"/>
    <n v="191042.27678039996"/>
    <n v="47665.494685799997"/>
    <n v="0"/>
    <n v="220001.48791525196"/>
    <n v="99309.233261010973"/>
  </r>
  <r>
    <s v="Refaturamento - Regular"/>
    <x v="6"/>
    <x v="4"/>
    <x v="4"/>
    <x v="1"/>
    <x v="0"/>
    <x v="1"/>
    <x v="0"/>
    <x v="6"/>
    <n v="0"/>
    <n v="0"/>
    <n v="0.74299999999999999"/>
    <n v="0.69841999999999993"/>
    <n v="0.74299999999999999"/>
    <n v="0.69841999999999993"/>
    <n v="0"/>
    <x v="1"/>
    <n v="0"/>
    <n v="0"/>
    <n v="66"/>
    <n v="3"/>
    <n v="0"/>
    <n v="432.02"/>
    <n v="107.79"/>
    <m/>
    <n v="497.50790459014416"/>
    <n v="224.57633816173018"/>
    <n v="0"/>
    <n v="301.73140839999996"/>
    <n v="75.282691799999995"/>
    <n v="0"/>
    <n v="347.46947072384847"/>
    <n v="156.84860609891558"/>
  </r>
  <r>
    <s v="Regular"/>
    <x v="6"/>
    <x v="4"/>
    <x v="4"/>
    <x v="1"/>
    <x v="0"/>
    <x v="1"/>
    <x v="0"/>
    <x v="7"/>
    <n v="0"/>
    <n v="0"/>
    <n v="176.07900000000001"/>
    <n v="165.51426000000001"/>
    <n v="176.07900000000001"/>
    <n v="165.51426000000001"/>
    <n v="64"/>
    <x v="1"/>
    <n v="0"/>
    <n v="0"/>
    <n v="66"/>
    <n v="3"/>
    <n v="0"/>
    <n v="432.02"/>
    <n v="107.79"/>
    <m/>
    <n v="497.50790459014416"/>
    <n v="224.57633816173018"/>
    <n v="0"/>
    <n v="71505.470605199996"/>
    <n v="17840.782085400002"/>
    <n v="0"/>
    <n v="82344.652672388314"/>
    <n v="37170.586424348534"/>
  </r>
  <r>
    <s v="Refaturamento - Regular"/>
    <x v="6"/>
    <x v="4"/>
    <x v="4"/>
    <x v="1"/>
    <x v="0"/>
    <x v="1"/>
    <x v="0"/>
    <x v="7"/>
    <n v="0"/>
    <n v="0"/>
    <n v="44.823999999999998"/>
    <n v="42.134559999999993"/>
    <n v="44.823999999999998"/>
    <n v="42.134559999999993"/>
    <n v="10"/>
    <x v="1"/>
    <n v="0"/>
    <n v="0"/>
    <n v="66"/>
    <n v="3"/>
    <n v="0"/>
    <n v="432.02"/>
    <n v="107.79"/>
    <m/>
    <n v="497.50790459014416"/>
    <n v="224.57633816173018"/>
    <n v="0"/>
    <n v="18202.972611199995"/>
    <n v="4541.6842223999993"/>
    <n v="0"/>
    <n v="20962.276656427701"/>
    <n v="9462.4251948557085"/>
  </r>
  <r>
    <s v="Regular"/>
    <x v="6"/>
    <x v="4"/>
    <x v="4"/>
    <x v="1"/>
    <x v="0"/>
    <x v="1"/>
    <x v="0"/>
    <x v="8"/>
    <n v="0"/>
    <n v="0"/>
    <n v="595.03399999999999"/>
    <n v="559.33195999999998"/>
    <n v="595.03399999999999"/>
    <n v="559.33195999999998"/>
    <n v="98"/>
    <x v="1"/>
    <n v="0"/>
    <n v="0"/>
    <n v="66"/>
    <n v="3"/>
    <n v="0"/>
    <n v="432.02"/>
    <n v="107.79"/>
    <m/>
    <n v="497.50790459014416"/>
    <n v="224.57633816173018"/>
    <n v="0"/>
    <n v="241642.59335919999"/>
    <n v="60290.391968399999"/>
    <n v="0"/>
    <n v="278272.07138989831"/>
    <n v="125612.72339362334"/>
  </r>
  <r>
    <s v="Regular"/>
    <x v="6"/>
    <x v="4"/>
    <x v="4"/>
    <x v="1"/>
    <x v="0"/>
    <x v="1"/>
    <x v="0"/>
    <x v="9"/>
    <n v="0"/>
    <n v="0"/>
    <n v="467.83499999999998"/>
    <n v="439.76489999999995"/>
    <n v="467.83499999999998"/>
    <n v="439.76489999999995"/>
    <n v="116"/>
    <x v="1"/>
    <n v="0"/>
    <n v="0"/>
    <n v="66"/>
    <n v="3"/>
    <n v="0"/>
    <n v="432.02"/>
    <n v="107.79"/>
    <m/>
    <n v="497.50790459014416"/>
    <n v="224.57633816173018"/>
    <n v="0"/>
    <n v="189987.23209799998"/>
    <n v="47402.258570999998"/>
    <n v="0"/>
    <n v="218786.51391129426"/>
    <n v="98760.79089405945"/>
  </r>
  <r>
    <s v="Regular"/>
    <x v="6"/>
    <x v="4"/>
    <x v="4"/>
    <x v="1"/>
    <x v="0"/>
    <x v="1"/>
    <x v="0"/>
    <x v="10"/>
    <n v="0"/>
    <n v="0"/>
    <n v="510.91500000000002"/>
    <n v="480.26009999999997"/>
    <n v="510.91500000000002"/>
    <n v="480.26009999999997"/>
    <n v="119"/>
    <x v="1"/>
    <n v="0"/>
    <n v="0"/>
    <n v="66"/>
    <n v="3"/>
    <n v="0"/>
    <n v="432.02"/>
    <n v="107.79"/>
    <m/>
    <n v="497.50790459014416"/>
    <n v="224.57633816173018"/>
    <n v="0"/>
    <n v="207481.96840199997"/>
    <n v="51767.236179"/>
    <n v="0"/>
    <n v="238933.19600925306"/>
    <n v="107855.05462318634"/>
  </r>
  <r>
    <s v="PROJETADO"/>
    <x v="6"/>
    <x v="4"/>
    <x v="4"/>
    <x v="1"/>
    <x v="0"/>
    <x v="1"/>
    <x v="0"/>
    <x v="11"/>
    <n v="0"/>
    <n v="0"/>
    <n v="510.91500000000002"/>
    <n v="480.26009999999997"/>
    <n v="510.91500000000002"/>
    <n v="480.26009999999997"/>
    <n v="119"/>
    <x v="1"/>
    <n v="0"/>
    <n v="0"/>
    <n v="66"/>
    <n v="3"/>
    <n v="0"/>
    <n v="432.02"/>
    <n v="107.79"/>
    <m/>
    <n v="497.50790459014416"/>
    <n v="224.57633816173018"/>
    <n v="0"/>
    <n v="207481.96840199997"/>
    <n v="51767.236179"/>
    <n v="0"/>
    <n v="238933.19600925306"/>
    <n v="107855.05462318634"/>
  </r>
  <r>
    <s v="Regular"/>
    <x v="7"/>
    <x v="4"/>
    <x v="8"/>
    <x v="7"/>
    <x v="0"/>
    <x v="1"/>
    <x v="0"/>
    <x v="0"/>
    <n v="0"/>
    <n v="0"/>
    <n v="2874.451"/>
    <n v="2874.451"/>
    <n v="2874.451"/>
    <n v="2874.451"/>
    <n v="95"/>
    <x v="1"/>
    <n v="0"/>
    <n v="0"/>
    <n v="68"/>
    <n v="8"/>
    <n v="0"/>
    <n v="237.61"/>
    <n v="59.28"/>
    <m/>
    <n v="273.62934752457937"/>
    <n v="123.51698598895159"/>
    <n v="0"/>
    <n v="682998.30211000005"/>
    <n v="170397.45527999999"/>
    <n v="0"/>
    <n v="786534.15162137477"/>
    <n v="355043.52389292791"/>
  </r>
  <r>
    <s v="Regular"/>
    <x v="7"/>
    <x v="4"/>
    <x v="8"/>
    <x v="7"/>
    <x v="0"/>
    <x v="1"/>
    <x v="0"/>
    <x v="1"/>
    <n v="0"/>
    <n v="0"/>
    <n v="2871.97"/>
    <n v="2871.97"/>
    <n v="2871.97"/>
    <n v="2871.97"/>
    <n v="95"/>
    <x v="1"/>
    <n v="0"/>
    <n v="0"/>
    <n v="68"/>
    <n v="8"/>
    <n v="0"/>
    <n v="237.61"/>
    <n v="59.28"/>
    <m/>
    <n v="273.62934752457937"/>
    <n v="123.51698598895159"/>
    <n v="0"/>
    <n v="682408.79169999994"/>
    <n v="170250.38159999999"/>
    <n v="0"/>
    <n v="785855.27721016621"/>
    <n v="354737.07825068926"/>
  </r>
  <r>
    <s v="Regular"/>
    <x v="7"/>
    <x v="4"/>
    <x v="8"/>
    <x v="7"/>
    <x v="0"/>
    <x v="1"/>
    <x v="0"/>
    <x v="2"/>
    <n v="0"/>
    <n v="0"/>
    <n v="2586.9229999999998"/>
    <n v="2586.9229999999998"/>
    <n v="2586.9229999999998"/>
    <n v="2586.9229999999998"/>
    <n v="94"/>
    <x v="1"/>
    <n v="0"/>
    <n v="0"/>
    <n v="68"/>
    <n v="8"/>
    <n v="0"/>
    <n v="237.61"/>
    <n v="59.28"/>
    <m/>
    <n v="273.62934752457937"/>
    <n v="123.51698598895159"/>
    <n v="0"/>
    <n v="614678.77402999997"/>
    <n v="153352.79543999999"/>
    <n v="0"/>
    <n v="707858.05258632742"/>
    <n v="319528.93194549659"/>
  </r>
  <r>
    <s v="Regular"/>
    <x v="7"/>
    <x v="4"/>
    <x v="8"/>
    <x v="7"/>
    <x v="0"/>
    <x v="1"/>
    <x v="0"/>
    <x v="3"/>
    <n v="0"/>
    <n v="0"/>
    <n v="2763.259"/>
    <n v="2763.259"/>
    <n v="2763.259"/>
    <n v="2763.259"/>
    <n v="82"/>
    <x v="1"/>
    <n v="0"/>
    <n v="0"/>
    <n v="68"/>
    <n v="8"/>
    <n v="0"/>
    <n v="237.61"/>
    <n v="59.28"/>
    <m/>
    <n v="273.62934752457937"/>
    <n v="123.51698598895159"/>
    <n v="0"/>
    <n v="656577.97099000006"/>
    <n v="163805.99352000002"/>
    <n v="0"/>
    <n v="756108.75721142173"/>
    <n v="341309.42318684439"/>
  </r>
  <r>
    <s v="Regular"/>
    <x v="7"/>
    <x v="4"/>
    <x v="8"/>
    <x v="7"/>
    <x v="0"/>
    <x v="1"/>
    <x v="0"/>
    <x v="4"/>
    <n v="0"/>
    <n v="0"/>
    <n v="2732.0239999999999"/>
    <n v="2732.0239999999999"/>
    <n v="2732.0239999999999"/>
    <n v="2732.0239999999999"/>
    <n v="66"/>
    <x v="1"/>
    <n v="0"/>
    <n v="0"/>
    <n v="68"/>
    <n v="8"/>
    <n v="0"/>
    <n v="237.61"/>
    <n v="59.28"/>
    <m/>
    <n v="273.62934752457937"/>
    <n v="123.51698598895159"/>
    <n v="0"/>
    <n v="649156.22264000005"/>
    <n v="161954.38271999999"/>
    <n v="0"/>
    <n v="747561.94454149145"/>
    <n v="337451.37012947944"/>
  </r>
  <r>
    <s v="Regular"/>
    <x v="7"/>
    <x v="4"/>
    <x v="8"/>
    <x v="7"/>
    <x v="0"/>
    <x v="1"/>
    <x v="0"/>
    <x v="5"/>
    <n v="0"/>
    <n v="0"/>
    <n v="2803.7130000000002"/>
    <n v="2803.7130000000002"/>
    <n v="2803.7130000000002"/>
    <n v="2803.7130000000002"/>
    <n v="47"/>
    <x v="1"/>
    <n v="0"/>
    <n v="0"/>
    <n v="68"/>
    <n v="8"/>
    <n v="0"/>
    <n v="237.61"/>
    <n v="59.28"/>
    <m/>
    <n v="273.62934752457937"/>
    <n v="123.51698598895159"/>
    <n v="0"/>
    <n v="666190.24593000009"/>
    <n v="166204.10664000001"/>
    <n v="0"/>
    <n v="767178.15883618104"/>
    <n v="346306.17933804146"/>
  </r>
  <r>
    <s v="Refaturamento - Regular"/>
    <x v="7"/>
    <x v="4"/>
    <x v="8"/>
    <x v="7"/>
    <x v="0"/>
    <x v="1"/>
    <x v="0"/>
    <x v="5"/>
    <n v="0"/>
    <n v="0"/>
    <n v="23.556000000000001"/>
    <n v="23.556000000000001"/>
    <n v="23.556000000000001"/>
    <n v="23.556000000000001"/>
    <n v="0"/>
    <x v="1"/>
    <n v="0"/>
    <n v="0"/>
    <n v="68"/>
    <n v="8"/>
    <n v="0"/>
    <n v="237.61"/>
    <n v="59.28"/>
    <m/>
    <n v="273.62934752457937"/>
    <n v="123.51698598895159"/>
    <n v="0"/>
    <n v="5597.1411600000001"/>
    <n v="1396.39968"/>
    <n v="0"/>
    <n v="6445.6129102889918"/>
    <n v="2909.5661219557437"/>
  </r>
  <r>
    <s v="Regular"/>
    <x v="7"/>
    <x v="4"/>
    <x v="8"/>
    <x v="7"/>
    <x v="0"/>
    <x v="1"/>
    <x v="0"/>
    <x v="6"/>
    <n v="0"/>
    <n v="0"/>
    <n v="3943.5160000000001"/>
    <n v="3943.5160000000001"/>
    <n v="3943.5160000000001"/>
    <n v="3943.5160000000001"/>
    <n v="46"/>
    <x v="1"/>
    <n v="0"/>
    <n v="0"/>
    <n v="68"/>
    <n v="8"/>
    <n v="0"/>
    <n v="237.61"/>
    <n v="59.28"/>
    <m/>
    <n v="273.62934752457937"/>
    <n v="123.51698598895159"/>
    <n v="0"/>
    <n v="937018.83676000009"/>
    <n v="233771.62848000001"/>
    <n v="0"/>
    <n v="1079061.7100327392"/>
    <n v="487091.21051920642"/>
  </r>
  <r>
    <s v="Regular"/>
    <x v="7"/>
    <x v="4"/>
    <x v="8"/>
    <x v="7"/>
    <x v="0"/>
    <x v="1"/>
    <x v="0"/>
    <x v="7"/>
    <n v="0"/>
    <n v="0"/>
    <n v="2955.9229999999998"/>
    <n v="2955.9229999999998"/>
    <n v="2955.9229999999998"/>
    <n v="2955.9229999999998"/>
    <n v="46"/>
    <x v="1"/>
    <n v="0"/>
    <n v="0"/>
    <n v="68"/>
    <n v="8"/>
    <n v="0"/>
    <n v="237.61"/>
    <n v="59.28"/>
    <m/>
    <n v="273.62934752457937"/>
    <n v="123.51698598895159"/>
    <n v="0"/>
    <n v="702356.86402999994"/>
    <n v="175227.11543999999"/>
    <n v="0"/>
    <n v="808827.28182289714"/>
    <n v="365106.69977541972"/>
  </r>
  <r>
    <s v="Refaturamento - Regular"/>
    <x v="7"/>
    <x v="4"/>
    <x v="8"/>
    <x v="7"/>
    <x v="0"/>
    <x v="1"/>
    <x v="0"/>
    <x v="7"/>
    <n v="0"/>
    <n v="0"/>
    <n v="35.521999999999998"/>
    <n v="35.521999999999998"/>
    <n v="35.521999999999998"/>
    <n v="35.521999999999998"/>
    <n v="0"/>
    <x v="1"/>
    <n v="0"/>
    <n v="0"/>
    <n v="68"/>
    <n v="8"/>
    <n v="0"/>
    <n v="237.61"/>
    <n v="59.28"/>
    <m/>
    <n v="273.62934752457937"/>
    <n v="123.51698598895159"/>
    <n v="0"/>
    <n v="8440.3824199999999"/>
    <n v="2105.7441599999997"/>
    <n v="0"/>
    <n v="9719.8616827681089"/>
    <n v="4387.5703762995381"/>
  </r>
  <r>
    <s v="Regular"/>
    <x v="7"/>
    <x v="4"/>
    <x v="8"/>
    <x v="7"/>
    <x v="0"/>
    <x v="1"/>
    <x v="0"/>
    <x v="8"/>
    <n v="0"/>
    <n v="0"/>
    <n v="4028.8229999999999"/>
    <n v="4028.8229999999999"/>
    <n v="4028.8229999999999"/>
    <n v="4028.8229999999999"/>
    <n v="47"/>
    <x v="1"/>
    <n v="0"/>
    <n v="0"/>
    <n v="68"/>
    <n v="8"/>
    <n v="0"/>
    <n v="237.61"/>
    <n v="59.28"/>
    <m/>
    <n v="273.62934752457937"/>
    <n v="123.51698598895159"/>
    <n v="0"/>
    <n v="957288.63303000003"/>
    <n v="238828.62744000001"/>
    <n v="0"/>
    <n v="1102404.2087820184"/>
    <n v="497628.07404296589"/>
  </r>
  <r>
    <s v="Regular"/>
    <x v="7"/>
    <x v="4"/>
    <x v="8"/>
    <x v="7"/>
    <x v="0"/>
    <x v="1"/>
    <x v="0"/>
    <x v="9"/>
    <n v="0"/>
    <n v="0"/>
    <n v="3755.174"/>
    <n v="3755.174"/>
    <n v="3755.174"/>
    <n v="3755.174"/>
    <n v="46"/>
    <x v="1"/>
    <n v="0"/>
    <n v="0"/>
    <n v="68"/>
    <n v="8"/>
    <n v="0"/>
    <n v="237.61"/>
    <n v="59.28"/>
    <m/>
    <n v="273.62934752457937"/>
    <n v="123.51698598895159"/>
    <n v="0"/>
    <n v="892266.89413999999"/>
    <n v="222606.71471999999"/>
    <n v="0"/>
    <n v="1027525.8114612648"/>
    <n v="463827.7743440753"/>
  </r>
  <r>
    <s v="Refaturamento - Regular"/>
    <x v="7"/>
    <x v="4"/>
    <x v="8"/>
    <x v="7"/>
    <x v="0"/>
    <x v="1"/>
    <x v="0"/>
    <x v="9"/>
    <n v="0"/>
    <n v="0"/>
    <n v="-33.250999999999998"/>
    <n v="-33.250999999999998"/>
    <n v="-33.250999999999998"/>
    <n v="-33.250999999999998"/>
    <n v="0"/>
    <x v="1"/>
    <n v="0"/>
    <n v="0"/>
    <n v="68"/>
    <n v="8"/>
    <n v="0"/>
    <n v="237.61"/>
    <n v="59.28"/>
    <m/>
    <n v="273.62934752457937"/>
    <n v="123.51698598895159"/>
    <n v="0"/>
    <n v="-7900.7701099999995"/>
    <n v="-1971.1192799999999"/>
    <n v="0"/>
    <n v="-9098.4494345397889"/>
    <n v="-4107.0633011186292"/>
  </r>
  <r>
    <s v="Regular"/>
    <x v="7"/>
    <x v="4"/>
    <x v="8"/>
    <x v="7"/>
    <x v="0"/>
    <x v="1"/>
    <x v="0"/>
    <x v="10"/>
    <n v="0"/>
    <n v="0"/>
    <n v="4071.0349999999999"/>
    <n v="4071.0349999999999"/>
    <n v="4071.0349999999999"/>
    <n v="4071.0349999999999"/>
    <n v="48"/>
    <x v="1"/>
    <n v="0"/>
    <n v="0"/>
    <n v="68"/>
    <n v="8"/>
    <n v="0"/>
    <n v="237.61"/>
    <n v="59.28"/>
    <m/>
    <n v="273.62934752457937"/>
    <n v="123.51698598895159"/>
    <n v="0"/>
    <n v="967318.62635000004"/>
    <n v="241330.95480000001"/>
    <n v="0"/>
    <n v="1113954.6507997259"/>
    <n v="502841.9730555315"/>
  </r>
  <r>
    <s v="PROJETADO"/>
    <x v="7"/>
    <x v="4"/>
    <x v="8"/>
    <x v="7"/>
    <x v="0"/>
    <x v="1"/>
    <x v="0"/>
    <x v="11"/>
    <n v="0"/>
    <n v="0"/>
    <n v="4071.0349999999999"/>
    <n v="4071.0349999999999"/>
    <n v="4071.0349999999999"/>
    <n v="4071.0349999999999"/>
    <n v="48"/>
    <x v="1"/>
    <n v="0"/>
    <n v="0"/>
    <n v="68"/>
    <n v="8"/>
    <n v="0"/>
    <n v="237.61"/>
    <n v="59.28"/>
    <m/>
    <n v="273.62934752457937"/>
    <n v="123.51698598895159"/>
    <n v="0"/>
    <n v="967318.62635000004"/>
    <n v="241330.95480000001"/>
    <n v="0"/>
    <n v="1113954.6507997259"/>
    <n v="502841.97305553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">
  <r>
    <s v="Regular"/>
    <x v="0"/>
    <x v="0"/>
    <x v="0"/>
    <x v="0"/>
    <x v="0"/>
    <x v="0"/>
    <x v="0"/>
    <x v="0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1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2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3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4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5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6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7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8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9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0"/>
    <x v="0"/>
    <x v="0"/>
    <x v="0"/>
    <x v="0"/>
    <x v="0"/>
    <x v="0"/>
    <x v="10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PROJETADO"/>
    <x v="0"/>
    <x v="0"/>
    <x v="0"/>
    <x v="0"/>
    <x v="0"/>
    <x v="0"/>
    <x v="0"/>
    <x v="11"/>
    <n v="77720"/>
    <n v="77720"/>
    <n v="0"/>
    <n v="0"/>
    <n v="0"/>
    <n v="0"/>
    <n v="0"/>
    <s v="GERAÇÃO"/>
    <n v="783"/>
    <n v="1"/>
    <n v="0"/>
    <n v="0"/>
    <n v="6.92"/>
    <n v="0"/>
    <n v="0"/>
    <n v="6.4717342487178033"/>
    <m/>
    <m/>
    <n v="0"/>
    <n v="0"/>
    <n v="0"/>
    <n v="0"/>
    <x v="0"/>
  </r>
  <r>
    <s v="Regular"/>
    <x v="1"/>
    <x v="1"/>
    <x v="1"/>
    <x v="1"/>
    <x v="0"/>
    <x v="1"/>
    <x v="1"/>
    <x v="0"/>
    <n v="1440"/>
    <n v="1224"/>
    <n v="758.4"/>
    <n v="712.89599999999996"/>
    <n v="758.4"/>
    <n v="712.89599999999996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9361.0828800000054"/>
    <n v="4580.2559444277158"/>
    <n v="18075.375550433855"/>
    <x v="1"/>
  </r>
  <r>
    <s v="Regular"/>
    <x v="1"/>
    <x v="1"/>
    <x v="1"/>
    <x v="1"/>
    <x v="0"/>
    <x v="1"/>
    <x v="1"/>
    <x v="1"/>
    <n v="1440"/>
    <n v="1224"/>
    <n v="745.9"/>
    <n v="701.14599999999996"/>
    <n v="745.9"/>
    <n v="701.14599999999996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9206.7928800000045"/>
    <n v="4580.2559444277158"/>
    <n v="17777.455990333088"/>
    <x v="1"/>
  </r>
  <r>
    <s v="Regular"/>
    <x v="1"/>
    <x v="1"/>
    <x v="1"/>
    <x v="1"/>
    <x v="0"/>
    <x v="1"/>
    <x v="1"/>
    <x v="2"/>
    <n v="1440"/>
    <n v="1224"/>
    <n v="805.87199999999996"/>
    <n v="757.51967999999988"/>
    <n v="805.87199999999996"/>
    <n v="757.51967999999988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9947.0392704000151"/>
    <n v="4580.2559444277158"/>
    <n v="19206.802539002172"/>
    <x v="1"/>
  </r>
  <r>
    <s v="Regular"/>
    <x v="1"/>
    <x v="1"/>
    <x v="1"/>
    <x v="1"/>
    <x v="0"/>
    <x v="1"/>
    <x v="1"/>
    <x v="3"/>
    <n v="1440"/>
    <n v="1224"/>
    <n v="769.41099999999994"/>
    <n v="723.24633999999992"/>
    <n v="769.41099999999994"/>
    <n v="723.24633999999992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9496.9938552000058"/>
    <n v="4580.2559444277158"/>
    <n v="18337.806932535423"/>
    <x v="1"/>
  </r>
  <r>
    <s v="Regular"/>
    <x v="1"/>
    <x v="1"/>
    <x v="1"/>
    <x v="1"/>
    <x v="0"/>
    <x v="1"/>
    <x v="1"/>
    <x v="4"/>
    <n v="1440"/>
    <n v="1224"/>
    <n v="755.971"/>
    <n v="710.61273999999992"/>
    <n v="755.971"/>
    <n v="710.61273999999992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9331.1012472000184"/>
    <n v="4580.2559444277158"/>
    <n v="18017.483821515103"/>
    <x v="1"/>
  </r>
  <r>
    <s v="Regular"/>
    <x v="1"/>
    <x v="1"/>
    <x v="1"/>
    <x v="1"/>
    <x v="0"/>
    <x v="1"/>
    <x v="1"/>
    <x v="5"/>
    <n v="1440"/>
    <n v="1224"/>
    <n v="719.404"/>
    <n v="676.23975999999993"/>
    <n v="719.404"/>
    <n v="676.23975999999993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8879.747452800013"/>
    <n v="4580.2559444277158"/>
    <n v="17145.961857178707"/>
    <x v="1"/>
  </r>
  <r>
    <s v="Regular"/>
    <x v="1"/>
    <x v="1"/>
    <x v="1"/>
    <x v="1"/>
    <x v="0"/>
    <x v="1"/>
    <x v="1"/>
    <x v="6"/>
    <n v="1440"/>
    <n v="1224"/>
    <n v="664.29100000000005"/>
    <n v="624.43353999999999"/>
    <n v="664.29100000000005"/>
    <n v="624.43353999999999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8199.4766712000128"/>
    <n v="4580.2559444277158"/>
    <n v="15832.42259991201"/>
    <x v="1"/>
  </r>
  <r>
    <s v="Refaturamento - Regular"/>
    <x v="1"/>
    <x v="1"/>
    <x v="1"/>
    <x v="1"/>
    <x v="0"/>
    <x v="1"/>
    <x v="1"/>
    <x v="7"/>
    <n v="1440"/>
    <n v="1224"/>
    <n v="260.39999999999998"/>
    <n v="244.77599999999995"/>
    <n v="260.39999999999998"/>
    <n v="244.77599999999995"/>
    <n v="0"/>
    <s v="CATIVO"/>
    <n v="0"/>
    <n v="43"/>
    <n v="46"/>
    <n v="76"/>
    <n v="21.38"/>
    <n v="102.62"/>
    <n v="103.1"/>
    <n v="21.204888631609794"/>
    <n v="181.53179145831209"/>
    <n v="215.6942886760464"/>
    <n v="4618.08"/>
    <n v="3214.1692800000046"/>
    <n v="4580.2559444277158"/>
    <n v="6206.2602760192258"/>
    <x v="1"/>
  </r>
  <r>
    <s v="Regular"/>
    <x v="1"/>
    <x v="1"/>
    <x v="1"/>
    <x v="1"/>
    <x v="0"/>
    <x v="1"/>
    <x v="1"/>
    <x v="8"/>
    <n v="1075"/>
    <n v="913.75"/>
    <n v="579.24400000000003"/>
    <n v="544.48936000000003"/>
    <n v="579.24400000000003"/>
    <n v="544.48936000000003"/>
    <n v="0"/>
    <s v="CATIVO"/>
    <n v="0"/>
    <n v="43"/>
    <n v="46"/>
    <n v="76"/>
    <n v="21.38"/>
    <n v="102.62"/>
    <n v="103.1"/>
    <n v="21.204888631609794"/>
    <n v="181.53179145831209"/>
    <n v="215.6942886760464"/>
    <n v="3447.5249999999996"/>
    <n v="7149.724540799999"/>
    <n v="3419.2882918470791"/>
    <n v="13805.449413680779"/>
    <x v="1"/>
  </r>
  <r>
    <s v="Refaturamento - Regular"/>
    <x v="1"/>
    <x v="1"/>
    <x v="1"/>
    <x v="1"/>
    <x v="0"/>
    <x v="1"/>
    <x v="1"/>
    <x v="8"/>
    <n v="0"/>
    <n v="0"/>
    <n v="414.90199999999999"/>
    <n v="390.00787999999994"/>
    <n v="414.90199999999999"/>
    <n v="390.00787999999994"/>
    <n v="0"/>
    <s v="CATIVO"/>
    <n v="0"/>
    <n v="0"/>
    <n v="46"/>
    <n v="76"/>
    <n v="0"/>
    <n v="102.62"/>
    <n v="103.1"/>
    <n v="21.204888631609794"/>
    <n v="181.53179145831209"/>
    <n v="215.6942886760464"/>
    <n v="0"/>
    <n v="5121.2183664000095"/>
    <n v="0"/>
    <n v="9888.5937059943535"/>
    <x v="1"/>
  </r>
  <r>
    <s v="Regular"/>
    <x v="1"/>
    <x v="1"/>
    <x v="1"/>
    <x v="1"/>
    <x v="0"/>
    <x v="1"/>
    <x v="1"/>
    <x v="9"/>
    <n v="1113"/>
    <n v="946.05"/>
    <n v="551.00099999999998"/>
    <n v="517.94093999999996"/>
    <n v="551.00099999999998"/>
    <n v="517.94093999999996"/>
    <n v="0"/>
    <s v="CATIVO"/>
    <n v="0"/>
    <n v="43"/>
    <n v="46"/>
    <n v="76"/>
    <n v="21.38"/>
    <n v="102.62"/>
    <n v="103.1"/>
    <n v="21.204888631609794"/>
    <n v="181.53179145831209"/>
    <n v="215.6942886760464"/>
    <n v="3569.391000000001"/>
    <n v="6801.115543200005"/>
    <n v="3540.1561570472563"/>
    <n v="13132.318042806708"/>
    <x v="1"/>
  </r>
  <r>
    <s v="Regular"/>
    <x v="1"/>
    <x v="1"/>
    <x v="1"/>
    <x v="1"/>
    <x v="0"/>
    <x v="1"/>
    <x v="1"/>
    <x v="10"/>
    <n v="1113"/>
    <n v="946.05"/>
    <n v="617.971"/>
    <n v="580.89274"/>
    <n v="617.971"/>
    <n v="580.89274"/>
    <n v="0"/>
    <s v="CATIVO"/>
    <n v="0"/>
    <n v="43"/>
    <n v="46"/>
    <n v="76"/>
    <n v="21.38"/>
    <n v="102.62"/>
    <n v="103.1"/>
    <n v="21.204888631609794"/>
    <n v="181.53179145831209"/>
    <n v="215.6942886760464"/>
    <n v="3569.391000000001"/>
    <n v="7627.7396472"/>
    <n v="3540.1561570472563"/>
    <n v="14728.451878002579"/>
    <x v="1"/>
  </r>
  <r>
    <s v="PROJETADO"/>
    <x v="1"/>
    <x v="1"/>
    <x v="1"/>
    <x v="1"/>
    <x v="0"/>
    <x v="1"/>
    <x v="1"/>
    <x v="11"/>
    <n v="1113"/>
    <n v="946.05"/>
    <n v="617.971"/>
    <n v="580.89274"/>
    <n v="617.971"/>
    <n v="580.89274"/>
    <n v="0"/>
    <s v="CATIVO"/>
    <n v="0"/>
    <n v="43"/>
    <n v="46"/>
    <n v="76"/>
    <n v="21.38"/>
    <n v="102.62"/>
    <n v="103.1"/>
    <n v="21.204888631609794"/>
    <n v="181.53179145831209"/>
    <n v="215.6942886760464"/>
    <n v="3569.391000000001"/>
    <n v="7627.7396472"/>
    <n v="3540.1561570472563"/>
    <n v="14728.451878002579"/>
    <x v="1"/>
  </r>
  <r>
    <s v="Regular"/>
    <x v="1"/>
    <x v="1"/>
    <x v="1"/>
    <x v="1"/>
    <x v="0"/>
    <x v="1"/>
    <x v="2"/>
    <x v="0"/>
    <n v="1344"/>
    <n v="1142.3999999999999"/>
    <n v="76.8"/>
    <n v="72.191999999999993"/>
    <n v="76.8"/>
    <n v="72.191999999999993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207.5264000000011"/>
    <n v="10945.185791051726"/>
    <n v="2321.5595856194941"/>
    <x v="1"/>
  </r>
  <r>
    <s v="Regular"/>
    <x v="1"/>
    <x v="1"/>
    <x v="1"/>
    <x v="1"/>
    <x v="0"/>
    <x v="1"/>
    <x v="2"/>
    <x v="1"/>
    <n v="1344"/>
    <n v="1142.3999999999999"/>
    <n v="74.236000000000004"/>
    <n v="69.781840000000003"/>
    <n v="74.236000000000004"/>
    <n v="69.781840000000003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167.2126280000004"/>
    <n v="10945.185791051726"/>
    <n v="2244.0533515370921"/>
    <x v="1"/>
  </r>
  <r>
    <s v="Regular"/>
    <x v="1"/>
    <x v="1"/>
    <x v="1"/>
    <x v="1"/>
    <x v="0"/>
    <x v="1"/>
    <x v="2"/>
    <x v="2"/>
    <n v="1344"/>
    <n v="1142.3999999999999"/>
    <n v="82.531000000000006"/>
    <n v="77.579139999999995"/>
    <n v="82.531000000000006"/>
    <n v="77.579139999999995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297.6349130000028"/>
    <n v="10945.185791051726"/>
    <n v="2494.7999239682645"/>
    <x v="1"/>
  </r>
  <r>
    <s v="Regular"/>
    <x v="1"/>
    <x v="1"/>
    <x v="1"/>
    <x v="1"/>
    <x v="0"/>
    <x v="1"/>
    <x v="2"/>
    <x v="3"/>
    <n v="1344"/>
    <n v="1142.3999999999999"/>
    <n v="76.837999999999994"/>
    <n v="72.227719999999991"/>
    <n v="76.837999999999994"/>
    <n v="72.227719999999991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208.1238740000008"/>
    <n v="10945.185791051726"/>
    <n v="2322.7082739561283"/>
    <x v="1"/>
  </r>
  <r>
    <s v="Regular"/>
    <x v="1"/>
    <x v="1"/>
    <x v="1"/>
    <x v="1"/>
    <x v="0"/>
    <x v="1"/>
    <x v="2"/>
    <x v="4"/>
    <n v="1344"/>
    <n v="1142.3999999999999"/>
    <n v="65.721000000000004"/>
    <n v="61.777740000000001"/>
    <n v="65.721000000000004"/>
    <n v="61.777740000000001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033.3312830000007"/>
    <n v="10945.185791051726"/>
    <n v="1986.6564782096186"/>
    <x v="1"/>
  </r>
  <r>
    <s v="Regular"/>
    <x v="1"/>
    <x v="1"/>
    <x v="1"/>
    <x v="1"/>
    <x v="0"/>
    <x v="1"/>
    <x v="2"/>
    <x v="5"/>
    <n v="1344"/>
    <n v="1142.3999999999999"/>
    <n v="69.638000000000005"/>
    <n v="65.459720000000004"/>
    <n v="69.638000000000005"/>
    <n v="65.459720000000004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094.9182740000001"/>
    <n v="10945.185791051726"/>
    <n v="2105.0620628042998"/>
    <x v="1"/>
  </r>
  <r>
    <s v="Regular"/>
    <x v="1"/>
    <x v="1"/>
    <x v="1"/>
    <x v="1"/>
    <x v="0"/>
    <x v="1"/>
    <x v="2"/>
    <x v="6"/>
    <n v="1344"/>
    <n v="1142.3999999999999"/>
    <n v="65.289000000000001"/>
    <n v="61.371659999999999"/>
    <n v="65.289000000000001"/>
    <n v="61.371659999999999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1026.5389470000009"/>
    <n v="10945.185791051726"/>
    <n v="1973.5977055405094"/>
    <x v="1"/>
  </r>
  <r>
    <s v="Refaturamento - Regular"/>
    <x v="1"/>
    <x v="1"/>
    <x v="1"/>
    <x v="1"/>
    <x v="0"/>
    <x v="1"/>
    <x v="2"/>
    <x v="7"/>
    <n v="1344"/>
    <n v="1142.3999999999999"/>
    <n v="23.366"/>
    <n v="21.964039999999997"/>
    <n v="23.366"/>
    <n v="21.964039999999997"/>
    <n v="0"/>
    <s v="CATIVO"/>
    <n v="0"/>
    <n v="42"/>
    <n v="46"/>
    <n v="75"/>
    <n v="55.8"/>
    <n v="102.62"/>
    <n v="159.43"/>
    <n v="54.291596185772413"/>
    <n v="181.53179145831209"/>
    <n v="322.27888250425127"/>
    <n v="11249.280000000008"/>
    <n v="367.38361800000069"/>
    <n v="10945.185791051726"/>
    <n v="706.32241246855665"/>
    <x v="1"/>
  </r>
  <r>
    <s v="Regular"/>
    <x v="1"/>
    <x v="1"/>
    <x v="1"/>
    <x v="1"/>
    <x v="0"/>
    <x v="1"/>
    <x v="2"/>
    <x v="8"/>
    <n v="1075"/>
    <n v="913.75"/>
    <n v="62.908000000000001"/>
    <n v="59.133519999999997"/>
    <n v="62.908000000000001"/>
    <n v="59.133519999999997"/>
    <n v="0"/>
    <s v="CATIVO"/>
    <n v="0"/>
    <n v="42"/>
    <n v="46"/>
    <n v="75"/>
    <n v="55.8"/>
    <n v="102.62"/>
    <n v="159.43"/>
    <n v="54.291596185772413"/>
    <n v="181.53179145831209"/>
    <n v="322.27888250425127"/>
    <n v="8997.75"/>
    <n v="989.10248400000114"/>
    <n v="8754.5198849558019"/>
    <n v="1901.6233126582183"/>
    <x v="1"/>
  </r>
  <r>
    <s v="Refaturamento - Regular"/>
    <x v="1"/>
    <x v="1"/>
    <x v="1"/>
    <x v="1"/>
    <x v="0"/>
    <x v="1"/>
    <x v="2"/>
    <x v="8"/>
    <n v="0"/>
    <n v="0"/>
    <n v="39.014000000000003"/>
    <n v="36.673160000000003"/>
    <n v="39.014000000000003"/>
    <n v="36.673160000000003"/>
    <n v="0"/>
    <s v="CATIVO"/>
    <n v="0"/>
    <n v="0"/>
    <n v="46"/>
    <n v="75"/>
    <n v="0"/>
    <n v="102.62"/>
    <n v="159.43"/>
    <n v="54.291596185772413"/>
    <n v="181.53179145831209"/>
    <n v="322.27888250425127"/>
    <n v="0"/>
    <n v="613.41712200000006"/>
    <n v="0"/>
    <n v="1179.3401780385268"/>
    <x v="1"/>
  </r>
  <r>
    <s v="Regular"/>
    <x v="1"/>
    <x v="1"/>
    <x v="1"/>
    <x v="1"/>
    <x v="0"/>
    <x v="1"/>
    <x v="2"/>
    <x v="9"/>
    <n v="1075"/>
    <n v="913.75"/>
    <n v="54.47"/>
    <n v="51.201799999999999"/>
    <n v="54.47"/>
    <n v="51.201799999999999"/>
    <n v="0"/>
    <s v="CATIVO"/>
    <n v="0"/>
    <n v="42"/>
    <n v="46"/>
    <n v="75"/>
    <n v="55.8"/>
    <n v="102.62"/>
    <n v="159.43"/>
    <n v="54.291596185772413"/>
    <n v="181.53179145831209"/>
    <n v="322.27888250425127"/>
    <n v="8997.75"/>
    <n v="856.43181000000004"/>
    <n v="8754.5198849558019"/>
    <n v="1646.5540446444497"/>
    <x v="1"/>
  </r>
  <r>
    <s v="Regular"/>
    <x v="1"/>
    <x v="1"/>
    <x v="1"/>
    <x v="1"/>
    <x v="0"/>
    <x v="1"/>
    <x v="2"/>
    <x v="10"/>
    <n v="1075"/>
    <n v="913.75"/>
    <n v="54.71"/>
    <n v="51.427399999999999"/>
    <n v="54.71"/>
    <n v="51.427399999999999"/>
    <n v="0"/>
    <s v="CATIVO"/>
    <n v="0"/>
    <n v="42"/>
    <n v="46"/>
    <n v="75"/>
    <n v="55.8"/>
    <n v="102.62"/>
    <n v="159.43"/>
    <n v="54.291596185772413"/>
    <n v="181.53179145831209"/>
    <n v="322.27888250425127"/>
    <n v="8997.75"/>
    <n v="860.20533000000057"/>
    <n v="8754.5198849558019"/>
    <n v="1653.8089183495117"/>
    <x v="1"/>
  </r>
  <r>
    <s v="PROJETADO"/>
    <x v="1"/>
    <x v="1"/>
    <x v="1"/>
    <x v="1"/>
    <x v="0"/>
    <x v="1"/>
    <x v="2"/>
    <x v="11"/>
    <n v="1075"/>
    <n v="913.75"/>
    <n v="54.71"/>
    <n v="51.427399999999999"/>
    <n v="54.71"/>
    <n v="51.427399999999999"/>
    <n v="0"/>
    <s v="CATIVO"/>
    <n v="0"/>
    <n v="42"/>
    <n v="46"/>
    <n v="75"/>
    <n v="55.8"/>
    <n v="102.62"/>
    <n v="159.43"/>
    <n v="54.291596185772413"/>
    <n v="181.53179145831209"/>
    <n v="322.27888250425127"/>
    <n v="8997.75"/>
    <n v="860.20533000000057"/>
    <n v="8754.5198849558019"/>
    <n v="1653.8089183495117"/>
    <x v="1"/>
  </r>
  <r>
    <s v="Regular"/>
    <x v="1"/>
    <x v="2"/>
    <x v="2"/>
    <x v="0"/>
    <x v="1"/>
    <x v="1"/>
    <x v="1"/>
    <x v="0"/>
    <n v="0"/>
    <n v="0"/>
    <n v="705.88300000000004"/>
    <n v="705.88300000000004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1"/>
    <n v="0"/>
    <n v="0"/>
    <n v="66.093000000000004"/>
    <n v="66.093000000000004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2"/>
    <n v="0"/>
    <n v="0"/>
    <n v="71.325999999999993"/>
    <n v="71.325999999999993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3"/>
    <n v="0"/>
    <n v="0"/>
    <n v="87.573999999999998"/>
    <n v="87.573999999999998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4"/>
    <n v="0"/>
    <n v="0"/>
    <n v="112.223"/>
    <n v="112.223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5"/>
    <n v="0"/>
    <n v="0"/>
    <n v="131.78"/>
    <n v="131.78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6"/>
    <n v="0"/>
    <n v="0"/>
    <n v="130.40799999999999"/>
    <n v="130.40799999999999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7"/>
    <n v="0"/>
    <n v="0"/>
    <n v="116.18899999999999"/>
    <n v="116.18899999999999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8"/>
    <n v="0"/>
    <n v="0"/>
    <n v="148.827"/>
    <n v="148.827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9"/>
    <n v="0"/>
    <n v="0"/>
    <n v="137.489"/>
    <n v="137.489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1"/>
    <x v="10"/>
    <n v="0"/>
    <n v="0"/>
    <n v="143.334"/>
    <n v="143.334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PROJETADO"/>
    <x v="1"/>
    <x v="2"/>
    <x v="2"/>
    <x v="0"/>
    <x v="1"/>
    <x v="1"/>
    <x v="1"/>
    <x v="11"/>
    <n v="0"/>
    <n v="0"/>
    <n v="143.334"/>
    <n v="143.334"/>
    <n v="0"/>
    <n v="0"/>
    <n v="0"/>
    <s v="LIVRE"/>
    <n v="0"/>
    <n v="0"/>
    <n v="7"/>
    <n v="0"/>
    <n v="0"/>
    <n v="102.62"/>
    <n v="0"/>
    <m/>
    <n v="181.53179145831209"/>
    <m/>
    <n v="0"/>
    <n v="0"/>
    <n v="0"/>
    <n v="0"/>
    <x v="2"/>
  </r>
  <r>
    <s v="Regular"/>
    <x v="1"/>
    <x v="2"/>
    <x v="2"/>
    <x v="0"/>
    <x v="1"/>
    <x v="1"/>
    <x v="0"/>
    <x v="0"/>
    <n v="3683"/>
    <n v="752.18008440999995"/>
    <n v="0"/>
    <n v="0"/>
    <n v="0"/>
    <n v="0"/>
    <n v="9"/>
    <s v="LIVRE"/>
    <n v="0"/>
    <n v="2"/>
    <n v="0"/>
    <n v="0"/>
    <n v="21.38"/>
    <n v="0"/>
    <n v="0"/>
    <n v="21.204888631609794"/>
    <m/>
    <m/>
    <n v="62660.929795314201"/>
    <n v="0"/>
    <n v="62147.709909389974"/>
    <n v="0"/>
    <x v="2"/>
  </r>
  <r>
    <s v="Regular"/>
    <x v="1"/>
    <x v="2"/>
    <x v="2"/>
    <x v="0"/>
    <x v="1"/>
    <x v="1"/>
    <x v="0"/>
    <x v="1"/>
    <n v="3678"/>
    <n v="1327.758"/>
    <n v="0"/>
    <n v="0"/>
    <n v="0"/>
    <n v="0"/>
    <n v="9"/>
    <s v="LIVRE"/>
    <n v="0"/>
    <n v="2"/>
    <n v="0"/>
    <n v="0"/>
    <n v="21.38"/>
    <n v="0"/>
    <n v="0"/>
    <n v="21.204888631609794"/>
    <m/>
    <m/>
    <n v="50248.17396"/>
    <n v="0"/>
    <n v="49836.619867331872"/>
    <n v="0"/>
    <x v="2"/>
  </r>
  <r>
    <s v="Regular"/>
    <x v="1"/>
    <x v="2"/>
    <x v="2"/>
    <x v="0"/>
    <x v="1"/>
    <x v="1"/>
    <x v="0"/>
    <x v="2"/>
    <n v="3681"/>
    <n v="1500.3756000000001"/>
    <n v="0"/>
    <n v="0"/>
    <n v="0"/>
    <n v="0"/>
    <n v="9"/>
    <s v="LIVRE"/>
    <n v="0"/>
    <n v="2"/>
    <n v="0"/>
    <n v="0"/>
    <n v="21.38"/>
    <n v="0"/>
    <n v="0"/>
    <n v="21.204888631609794"/>
    <m/>
    <m/>
    <n v="46621.749671999991"/>
    <n v="0"/>
    <n v="46239.897549370922"/>
    <n v="0"/>
    <x v="2"/>
  </r>
  <r>
    <s v="Regular"/>
    <x v="1"/>
    <x v="2"/>
    <x v="2"/>
    <x v="0"/>
    <x v="1"/>
    <x v="1"/>
    <x v="0"/>
    <x v="3"/>
    <n v="3684"/>
    <n v="1918.6271999999999"/>
    <n v="0"/>
    <n v="0"/>
    <n v="0"/>
    <n v="0"/>
    <n v="9"/>
    <s v="LIVRE"/>
    <n v="0"/>
    <n v="2"/>
    <n v="0"/>
    <n v="0"/>
    <n v="21.38"/>
    <n v="0"/>
    <n v="0"/>
    <n v="21.204888631609794"/>
    <m/>
    <m/>
    <n v="37743.670464000003"/>
    <n v="0"/>
    <n v="37434.533617273155"/>
    <n v="0"/>
    <x v="2"/>
  </r>
  <r>
    <s v="Regular"/>
    <x v="1"/>
    <x v="2"/>
    <x v="2"/>
    <x v="0"/>
    <x v="1"/>
    <x v="1"/>
    <x v="0"/>
    <x v="4"/>
    <n v="4528"/>
    <n v="2571.904"/>
    <n v="0"/>
    <n v="0"/>
    <n v="0"/>
    <n v="0"/>
    <n v="10"/>
    <s v="LIVRE"/>
    <n v="0"/>
    <n v="2"/>
    <n v="0"/>
    <n v="0"/>
    <n v="21.38"/>
    <n v="0"/>
    <n v="0"/>
    <n v="21.204888631609794"/>
    <m/>
    <m/>
    <n v="41821.332479999997"/>
    <n v="0"/>
    <n v="41478.797832737393"/>
    <n v="0"/>
    <x v="2"/>
  </r>
  <r>
    <s v="Regular"/>
    <x v="1"/>
    <x v="2"/>
    <x v="2"/>
    <x v="0"/>
    <x v="1"/>
    <x v="1"/>
    <x v="0"/>
    <x v="5"/>
    <n v="4635"/>
    <n v="2917.7325000000001"/>
    <n v="0"/>
    <n v="0"/>
    <n v="0"/>
    <n v="0"/>
    <n v="11"/>
    <s v="LIVRE"/>
    <n v="0"/>
    <n v="2"/>
    <n v="0"/>
    <n v="0"/>
    <n v="21.38"/>
    <n v="0"/>
    <n v="0"/>
    <n v="21.204888631609794"/>
    <m/>
    <m/>
    <n v="36715.179149999996"/>
    <n v="0"/>
    <n v="36414.46608818297"/>
    <n v="0"/>
    <x v="2"/>
  </r>
  <r>
    <s v="Regular"/>
    <x v="1"/>
    <x v="2"/>
    <x v="2"/>
    <x v="0"/>
    <x v="1"/>
    <x v="1"/>
    <x v="0"/>
    <x v="6"/>
    <n v="4694"/>
    <n v="2970.8326000000002"/>
    <n v="0"/>
    <n v="0"/>
    <n v="0"/>
    <n v="0"/>
    <n v="12"/>
    <s v="LIVRE"/>
    <n v="0"/>
    <n v="2"/>
    <n v="0"/>
    <n v="0"/>
    <n v="21.38"/>
    <n v="0"/>
    <n v="0"/>
    <n v="21.204888631609794"/>
    <m/>
    <m/>
    <n v="36841.319011999993"/>
    <n v="0"/>
    <n v="36539.572810620601"/>
    <n v="0"/>
    <x v="2"/>
  </r>
  <r>
    <s v="Regular"/>
    <x v="1"/>
    <x v="2"/>
    <x v="2"/>
    <x v="0"/>
    <x v="1"/>
    <x v="1"/>
    <x v="0"/>
    <x v="7"/>
    <n v="5006"/>
    <n v="2841.9061999999999"/>
    <n v="0"/>
    <n v="0"/>
    <n v="0"/>
    <n v="0"/>
    <n v="13"/>
    <s v="LIVRE"/>
    <n v="0"/>
    <n v="2"/>
    <n v="0"/>
    <n v="0"/>
    <n v="21.38"/>
    <n v="0"/>
    <n v="0"/>
    <n v="21.204888631609794"/>
    <m/>
    <m/>
    <n v="46268.325444000002"/>
    <n v="0"/>
    <n v="45889.368017357243"/>
    <n v="0"/>
    <x v="2"/>
  </r>
  <r>
    <s v="Regular"/>
    <x v="1"/>
    <x v="2"/>
    <x v="2"/>
    <x v="0"/>
    <x v="1"/>
    <x v="1"/>
    <x v="0"/>
    <x v="8"/>
    <n v="5132"/>
    <n v="3368.1316000000002"/>
    <n v="0"/>
    <n v="0"/>
    <n v="0"/>
    <n v="0"/>
    <n v="13"/>
    <s v="LIVRE"/>
    <n v="0"/>
    <n v="2"/>
    <n v="0"/>
    <n v="0"/>
    <n v="21.38"/>
    <n v="0"/>
    <n v="0"/>
    <n v="21.204888631609794"/>
    <m/>
    <m/>
    <n v="37711.506391999996"/>
    <n v="0"/>
    <n v="37402.632982815754"/>
    <n v="0"/>
    <x v="2"/>
  </r>
  <r>
    <s v="Regular"/>
    <x v="1"/>
    <x v="2"/>
    <x v="2"/>
    <x v="0"/>
    <x v="1"/>
    <x v="1"/>
    <x v="0"/>
    <x v="9"/>
    <n v="5029"/>
    <n v="3364.9038999999998"/>
    <n v="0"/>
    <n v="0"/>
    <n v="0"/>
    <n v="0"/>
    <n v="13"/>
    <s v="LIVRE"/>
    <n v="0"/>
    <n v="2"/>
    <n v="0"/>
    <n v="0"/>
    <n v="21.38"/>
    <n v="0"/>
    <n v="0"/>
    <n v="21.204888631609794"/>
    <m/>
    <m/>
    <n v="35578.374618000002"/>
    <n v="0"/>
    <n v="35286.972472796202"/>
    <n v="0"/>
    <x v="2"/>
  </r>
  <r>
    <s v="Regular"/>
    <x v="1"/>
    <x v="2"/>
    <x v="2"/>
    <x v="0"/>
    <x v="1"/>
    <x v="1"/>
    <x v="0"/>
    <x v="10"/>
    <n v="5023"/>
    <n v="3196.6372000000001"/>
    <n v="0"/>
    <n v="0"/>
    <n v="0"/>
    <n v="0"/>
    <n v="13"/>
    <s v="LIVRE"/>
    <n v="0"/>
    <n v="2"/>
    <n v="0"/>
    <n v="0"/>
    <n v="21.38"/>
    <n v="0"/>
    <n v="0"/>
    <n v="21.204888631609794"/>
    <m/>
    <m/>
    <n v="39047.636663999998"/>
    <n v="0"/>
    <n v="38727.819774915028"/>
    <n v="0"/>
    <x v="2"/>
  </r>
  <r>
    <s v="PROJETADO"/>
    <x v="1"/>
    <x v="2"/>
    <x v="2"/>
    <x v="0"/>
    <x v="1"/>
    <x v="1"/>
    <x v="0"/>
    <x v="11"/>
    <n v="5023"/>
    <n v="3196.6372000000001"/>
    <n v="0"/>
    <n v="0"/>
    <n v="0"/>
    <n v="0"/>
    <n v="13"/>
    <s v="LIVRE"/>
    <n v="0"/>
    <n v="2"/>
    <n v="0"/>
    <n v="0"/>
    <n v="21.38"/>
    <n v="0"/>
    <n v="0"/>
    <n v="21.204888631609794"/>
    <m/>
    <m/>
    <n v="39047.636663999998"/>
    <n v="0"/>
    <n v="38727.819774915028"/>
    <n v="0"/>
    <x v="2"/>
  </r>
  <r>
    <s v="Regular"/>
    <x v="1"/>
    <x v="2"/>
    <x v="2"/>
    <x v="0"/>
    <x v="1"/>
    <x v="1"/>
    <x v="2"/>
    <x v="0"/>
    <n v="0"/>
    <n v="0"/>
    <n v="79.353999999999999"/>
    <n v="32.726844186740003"/>
    <n v="0"/>
    <n v="0"/>
    <n v="0"/>
    <s v="LIVRE"/>
    <n v="0"/>
    <n v="0"/>
    <n v="5"/>
    <n v="0"/>
    <n v="0"/>
    <n v="1454.96"/>
    <n v="0"/>
    <m/>
    <n v="1498.9908599166342"/>
    <m/>
    <n v="0"/>
    <n v="67840.646622060769"/>
    <n v="0"/>
    <n v="69893.6803879855"/>
    <x v="2"/>
  </r>
  <r>
    <s v="Regular"/>
    <x v="1"/>
    <x v="2"/>
    <x v="2"/>
    <x v="0"/>
    <x v="1"/>
    <x v="1"/>
    <x v="2"/>
    <x v="1"/>
    <n v="0"/>
    <n v="0"/>
    <n v="656.43799999999999"/>
    <n v="248.461783"/>
    <n v="0"/>
    <n v="0"/>
    <n v="0"/>
    <s v="LIVRE"/>
    <n v="0"/>
    <n v="0"/>
    <n v="5"/>
    <n v="0"/>
    <n v="0"/>
    <n v="1454.96"/>
    <n v="0"/>
    <m/>
    <n v="1498.9908599166342"/>
    <m/>
    <n v="0"/>
    <n v="593589.07668632001"/>
    <n v="0"/>
    <n v="611552.62034636538"/>
    <x v="2"/>
  </r>
  <r>
    <s v="Regular"/>
    <x v="1"/>
    <x v="2"/>
    <x v="2"/>
    <x v="0"/>
    <x v="1"/>
    <x v="1"/>
    <x v="2"/>
    <x v="2"/>
    <n v="0"/>
    <n v="0"/>
    <n v="636.64099999999996"/>
    <n v="311.44477719999998"/>
    <n v="0"/>
    <n v="0"/>
    <n v="0"/>
    <s v="LIVRE"/>
    <n v="0"/>
    <n v="0"/>
    <n v="5"/>
    <n v="0"/>
    <n v="0"/>
    <n v="1454.96"/>
    <n v="0"/>
    <m/>
    <n v="1498.9908599166342"/>
    <m/>
    <n v="0"/>
    <n v="473147.49632508797"/>
    <n v="0"/>
    <n v="487466.16565661336"/>
    <x v="2"/>
  </r>
  <r>
    <s v="Regular"/>
    <x v="1"/>
    <x v="2"/>
    <x v="2"/>
    <x v="0"/>
    <x v="1"/>
    <x v="1"/>
    <x v="2"/>
    <x v="3"/>
    <n v="0"/>
    <n v="0"/>
    <n v="724.59900000000005"/>
    <n v="61.953214500000001"/>
    <n v="0"/>
    <n v="0"/>
    <n v="0"/>
    <s v="LIVRE"/>
    <n v="0"/>
    <n v="0"/>
    <n v="5"/>
    <n v="0"/>
    <n v="0"/>
    <n v="1454.96"/>
    <n v="0"/>
    <m/>
    <n v="1498.9908599166342"/>
    <m/>
    <n v="0"/>
    <n v="964123.11207108013"/>
    <n v="0"/>
    <n v="993299.97582677868"/>
    <x v="2"/>
  </r>
  <r>
    <s v="Regular"/>
    <x v="1"/>
    <x v="2"/>
    <x v="2"/>
    <x v="0"/>
    <x v="1"/>
    <x v="1"/>
    <x v="2"/>
    <x v="4"/>
    <n v="0"/>
    <n v="0"/>
    <n v="1063.9159999999999"/>
    <n v="128.0954864"/>
    <n v="0"/>
    <n v="0"/>
    <n v="0"/>
    <s v="LIVRE"/>
    <n v="0"/>
    <n v="0"/>
    <n v="5"/>
    <n v="0"/>
    <n v="0"/>
    <n v="1454.96"/>
    <n v="0"/>
    <m/>
    <n v="1498.9908599166342"/>
    <m/>
    <n v="0"/>
    <n v="1361581.4144674558"/>
    <n v="0"/>
    <n v="1402786.3964088901"/>
    <x v="2"/>
  </r>
  <r>
    <s v="Regular"/>
    <x v="1"/>
    <x v="2"/>
    <x v="2"/>
    <x v="0"/>
    <x v="1"/>
    <x v="1"/>
    <x v="2"/>
    <x v="5"/>
    <n v="0"/>
    <n v="0"/>
    <n v="1145.528"/>
    <n v="-11.684385600000001"/>
    <n v="0"/>
    <n v="0"/>
    <n v="0"/>
    <s v="LIVRE"/>
    <n v="0"/>
    <n v="0"/>
    <n v="5"/>
    <n v="0"/>
    <n v="0"/>
    <n v="1454.96"/>
    <n v="0"/>
    <m/>
    <n v="1498.9908599166342"/>
    <m/>
    <n v="0"/>
    <n v="1683697.7325525761"/>
    <n v="0"/>
    <n v="1734650.7889967237"/>
    <x v="2"/>
  </r>
  <r>
    <s v="Regular"/>
    <x v="1"/>
    <x v="2"/>
    <x v="2"/>
    <x v="0"/>
    <x v="1"/>
    <x v="1"/>
    <x v="2"/>
    <x v="6"/>
    <n v="0"/>
    <n v="0"/>
    <n v="1190.585"/>
    <n v="95.842092500000007"/>
    <n v="0"/>
    <n v="0"/>
    <n v="0"/>
    <s v="LIVRE"/>
    <n v="0"/>
    <n v="0"/>
    <n v="5"/>
    <n v="0"/>
    <n v="0"/>
    <n v="1454.96"/>
    <n v="0"/>
    <m/>
    <n v="1498.9908599166342"/>
    <m/>
    <n v="0"/>
    <n v="1592807.1406962001"/>
    <n v="0"/>
    <n v="1641009.6123010614"/>
    <x v="2"/>
  </r>
  <r>
    <s v="Regular"/>
    <x v="1"/>
    <x v="2"/>
    <x v="2"/>
    <x v="0"/>
    <x v="1"/>
    <x v="1"/>
    <x v="2"/>
    <x v="7"/>
    <n v="0"/>
    <n v="0"/>
    <n v="1201.797"/>
    <n v="332.5372299"/>
    <n v="0"/>
    <n v="0"/>
    <n v="0"/>
    <s v="LIVRE"/>
    <n v="0"/>
    <n v="0"/>
    <n v="5"/>
    <n v="0"/>
    <n v="0"/>
    <n v="1454.96"/>
    <n v="0"/>
    <m/>
    <n v="1498.9908599166342"/>
    <m/>
    <n v="0"/>
    <n v="1264738.1951046961"/>
    <n v="0"/>
    <n v="1303012.4502731347"/>
    <x v="2"/>
  </r>
  <r>
    <s v="Regular"/>
    <x v="1"/>
    <x v="2"/>
    <x v="2"/>
    <x v="0"/>
    <x v="1"/>
    <x v="1"/>
    <x v="2"/>
    <x v="8"/>
    <n v="0"/>
    <n v="0"/>
    <n v="1344.97"/>
    <n v="-158.033975"/>
    <n v="0"/>
    <n v="0"/>
    <n v="0"/>
    <s v="LIVRE"/>
    <n v="0"/>
    <n v="0"/>
    <n v="5"/>
    <n v="0"/>
    <n v="0"/>
    <n v="1454.96"/>
    <n v="0"/>
    <m/>
    <n v="1498.9908599166342"/>
    <m/>
    <n v="0"/>
    <n v="2186810.663466"/>
    <n v="0"/>
    <n v="2252989.2209433694"/>
    <x v="2"/>
  </r>
  <r>
    <s v="Regular"/>
    <x v="1"/>
    <x v="2"/>
    <x v="2"/>
    <x v="0"/>
    <x v="1"/>
    <x v="1"/>
    <x v="2"/>
    <x v="9"/>
    <n v="0"/>
    <n v="0"/>
    <n v="1285.78"/>
    <n v="150.43626"/>
    <n v="0"/>
    <n v="0"/>
    <n v="0"/>
    <s v="LIVRE"/>
    <n v="0"/>
    <n v="0"/>
    <n v="5"/>
    <n v="0"/>
    <n v="0"/>
    <n v="1454.96"/>
    <n v="0"/>
    <m/>
    <n v="1498.9908599166342"/>
    <m/>
    <n v="0"/>
    <n v="1651879.7279504"/>
    <n v="0"/>
    <n v="1701869.8891235676"/>
    <x v="2"/>
  </r>
  <r>
    <s v="Regular"/>
    <x v="1"/>
    <x v="2"/>
    <x v="2"/>
    <x v="0"/>
    <x v="1"/>
    <x v="1"/>
    <x v="2"/>
    <x v="10"/>
    <n v="0"/>
    <n v="0"/>
    <n v="1357.423"/>
    <n v="-199.8126656"/>
    <n v="0"/>
    <n v="0"/>
    <n v="0"/>
    <s v="LIVRE"/>
    <n v="0"/>
    <n v="0"/>
    <n v="5"/>
    <n v="0"/>
    <n v="0"/>
    <n v="1454.96"/>
    <n v="0"/>
    <m/>
    <n v="1498.9908599166342"/>
    <m/>
    <n v="0"/>
    <n v="2265715.604021376"/>
    <n v="0"/>
    <n v="2334282.029470596"/>
    <x v="2"/>
  </r>
  <r>
    <s v="PROJETADO"/>
    <x v="1"/>
    <x v="2"/>
    <x v="2"/>
    <x v="0"/>
    <x v="1"/>
    <x v="1"/>
    <x v="2"/>
    <x v="11"/>
    <n v="0"/>
    <n v="0"/>
    <n v="1357.423"/>
    <n v="-199.8126656"/>
    <n v="0"/>
    <n v="0"/>
    <n v="0"/>
    <s v="LIVRE"/>
    <n v="0"/>
    <n v="0"/>
    <n v="5"/>
    <n v="0"/>
    <n v="0"/>
    <n v="1454.96"/>
    <n v="0"/>
    <m/>
    <n v="1498.9908599166342"/>
    <m/>
    <n v="0"/>
    <n v="2265715.604021376"/>
    <n v="0"/>
    <n v="2334282.029470596"/>
    <x v="2"/>
  </r>
  <r>
    <s v="Regular"/>
    <x v="1"/>
    <x v="2"/>
    <x v="1"/>
    <x v="1"/>
    <x v="0"/>
    <x v="1"/>
    <x v="1"/>
    <x v="0"/>
    <n v="0"/>
    <n v="0"/>
    <n v="533.77"/>
    <n v="501.74379999999996"/>
    <n v="533.77"/>
    <n v="501.74379999999996"/>
    <n v="0"/>
    <s v="CATIVO"/>
    <n v="0"/>
    <n v="0"/>
    <n v="7"/>
    <n v="76"/>
    <n v="0"/>
    <n v="102.62"/>
    <n v="103.1"/>
    <m/>
    <n v="181.53179145831209"/>
    <n v="215.6942886760464"/>
    <n v="0"/>
    <n v="6588.4298640000034"/>
    <n v="0"/>
    <n v="12721.641887598998"/>
    <x v="1"/>
  </r>
  <r>
    <s v="Regular"/>
    <x v="1"/>
    <x v="2"/>
    <x v="1"/>
    <x v="1"/>
    <x v="0"/>
    <x v="1"/>
    <x v="1"/>
    <x v="1"/>
    <n v="0"/>
    <n v="0"/>
    <n v="541.12599999999998"/>
    <n v="508.65843999999993"/>
    <n v="541.12599999999998"/>
    <n v="508.65843999999993"/>
    <n v="0"/>
    <s v="CATIVO"/>
    <n v="0"/>
    <n v="0"/>
    <n v="7"/>
    <n v="76"/>
    <n v="0"/>
    <n v="102.62"/>
    <n v="103.1"/>
    <m/>
    <n v="181.53179145831209"/>
    <n v="215.6942886760464"/>
    <n v="0"/>
    <n v="6679.2264432000102"/>
    <n v="0"/>
    <n v="12896.961590327111"/>
    <x v="1"/>
  </r>
  <r>
    <s v="Regular"/>
    <x v="1"/>
    <x v="2"/>
    <x v="1"/>
    <x v="1"/>
    <x v="0"/>
    <x v="1"/>
    <x v="1"/>
    <x v="2"/>
    <n v="0"/>
    <n v="0"/>
    <n v="454.30099999999999"/>
    <n v="427.04293999999999"/>
    <n v="454.30099999999999"/>
    <n v="427.04293999999999"/>
    <n v="0"/>
    <s v="CATIVO"/>
    <n v="0"/>
    <n v="0"/>
    <n v="7"/>
    <n v="76"/>
    <n v="0"/>
    <n v="102.62"/>
    <n v="103.1"/>
    <m/>
    <n v="181.53179145831209"/>
    <n v="215.6942886760464"/>
    <n v="0"/>
    <n v="5607.5281032000003"/>
    <n v="0"/>
    <n v="10827.612325867152"/>
    <x v="1"/>
  </r>
  <r>
    <s v="Regular"/>
    <x v="1"/>
    <x v="2"/>
    <x v="1"/>
    <x v="1"/>
    <x v="0"/>
    <x v="1"/>
    <x v="1"/>
    <x v="3"/>
    <n v="0"/>
    <n v="0"/>
    <n v="575.00099999999998"/>
    <n v="540.5009399999999"/>
    <n v="575.00099999999998"/>
    <n v="540.5009399999999"/>
    <n v="0"/>
    <s v="CATIVO"/>
    <n v="0"/>
    <n v="0"/>
    <n v="7"/>
    <n v="76"/>
    <n v="0"/>
    <n v="102.62"/>
    <n v="103.1"/>
    <m/>
    <n v="181.53179145831209"/>
    <n v="215.6942886760464"/>
    <n v="0"/>
    <n v="7097.3523432000156"/>
    <n v="0"/>
    <n v="13704.323598200206"/>
    <x v="1"/>
  </r>
  <r>
    <s v="Refaturamento - Regular"/>
    <x v="1"/>
    <x v="2"/>
    <x v="1"/>
    <x v="1"/>
    <x v="0"/>
    <x v="1"/>
    <x v="1"/>
    <x v="3"/>
    <n v="0"/>
    <n v="0"/>
    <n v="10.036"/>
    <n v="9.4338399999999982"/>
    <n v="10.036"/>
    <n v="9.4338399999999982"/>
    <n v="0"/>
    <s v="CATIVO"/>
    <n v="0"/>
    <n v="0"/>
    <n v="7"/>
    <n v="76"/>
    <n v="0"/>
    <n v="102.62"/>
    <n v="103.1"/>
    <m/>
    <n v="181.53179145831209"/>
    <n v="215.6942886760464"/>
    <n v="0"/>
    <n v="123.87635520000028"/>
    <n v="0"/>
    <n v="239.19365641370587"/>
    <x v="1"/>
  </r>
  <r>
    <s v="Regular"/>
    <x v="1"/>
    <x v="2"/>
    <x v="1"/>
    <x v="1"/>
    <x v="0"/>
    <x v="1"/>
    <x v="1"/>
    <x v="4"/>
    <n v="0"/>
    <n v="0"/>
    <n v="509.452"/>
    <n v="478.88487999999995"/>
    <n v="509.452"/>
    <n v="478.88487999999995"/>
    <n v="0"/>
    <s v="CATIVO"/>
    <n v="0"/>
    <n v="0"/>
    <n v="7"/>
    <n v="76"/>
    <n v="0"/>
    <n v="102.62"/>
    <n v="103.1"/>
    <m/>
    <n v="181.53179145831209"/>
    <n v="215.6942886760464"/>
    <n v="0"/>
    <n v="6288.2679264000089"/>
    <n v="0"/>
    <n v="12142.057258596571"/>
    <x v="1"/>
  </r>
  <r>
    <s v="Regular"/>
    <x v="1"/>
    <x v="2"/>
    <x v="1"/>
    <x v="1"/>
    <x v="0"/>
    <x v="1"/>
    <x v="1"/>
    <x v="5"/>
    <n v="0"/>
    <n v="0"/>
    <n v="502.738"/>
    <n v="472.57371999999998"/>
    <n v="502.738"/>
    <n v="472.57371999999998"/>
    <n v="0"/>
    <s v="CATIVO"/>
    <n v="0"/>
    <n v="0"/>
    <n v="7"/>
    <n v="76"/>
    <n v="0"/>
    <n v="102.62"/>
    <n v="103.1"/>
    <m/>
    <n v="181.53179145831209"/>
    <n v="215.6942886760464"/>
    <n v="0"/>
    <n v="6205.3956816000045"/>
    <n v="0"/>
    <n v="11982.038704475235"/>
    <x v="1"/>
  </r>
  <r>
    <s v="Regular"/>
    <x v="1"/>
    <x v="2"/>
    <x v="1"/>
    <x v="1"/>
    <x v="0"/>
    <x v="1"/>
    <x v="1"/>
    <x v="6"/>
    <n v="0"/>
    <n v="0"/>
    <n v="484.745"/>
    <n v="455.66030000000001"/>
    <n v="484.745"/>
    <n v="455.66030000000001"/>
    <n v="0"/>
    <s v="CATIVO"/>
    <n v="0"/>
    <n v="0"/>
    <n v="7"/>
    <n v="76"/>
    <n v="0"/>
    <n v="102.62"/>
    <n v="103.1"/>
    <m/>
    <n v="181.53179145831209"/>
    <n v="215.6942886760464"/>
    <n v="0"/>
    <n v="5983.3044840000002"/>
    <n v="0"/>
    <n v="11553.201372883774"/>
    <x v="1"/>
  </r>
  <r>
    <s v="Regular"/>
    <x v="1"/>
    <x v="2"/>
    <x v="1"/>
    <x v="1"/>
    <x v="0"/>
    <x v="1"/>
    <x v="1"/>
    <x v="7"/>
    <n v="0"/>
    <n v="0"/>
    <n v="11.79"/>
    <n v="11.082599999999999"/>
    <n v="11.79"/>
    <n v="11.082599999999999"/>
    <n v="0"/>
    <s v="CATIVO"/>
    <n v="0"/>
    <n v="0"/>
    <n v="7"/>
    <n v="76"/>
    <n v="0"/>
    <n v="102.62"/>
    <n v="103.1"/>
    <m/>
    <n v="181.53179145831209"/>
    <n v="215.6942886760464"/>
    <n v="0"/>
    <n v="145.52632799999998"/>
    <n v="0"/>
    <n v="280.99772908704512"/>
    <x v="1"/>
  </r>
  <r>
    <s v="Refaturamento - Regular"/>
    <x v="1"/>
    <x v="2"/>
    <x v="1"/>
    <x v="1"/>
    <x v="0"/>
    <x v="1"/>
    <x v="1"/>
    <x v="7"/>
    <n v="0"/>
    <n v="0"/>
    <n v="178.679"/>
    <n v="167.95826"/>
    <n v="178.679"/>
    <n v="167.95826"/>
    <n v="0"/>
    <s v="CATIVO"/>
    <n v="0"/>
    <n v="0"/>
    <n v="7"/>
    <n v="76"/>
    <n v="0"/>
    <n v="102.62"/>
    <n v="103.1"/>
    <m/>
    <n v="181.53179145831209"/>
    <n v="215.6942886760464"/>
    <n v="0"/>
    <n v="2205.4706328000011"/>
    <n v="0"/>
    <n v="4258.5575263396249"/>
    <x v="1"/>
  </r>
  <r>
    <s v="Regular"/>
    <x v="1"/>
    <x v="2"/>
    <x v="1"/>
    <x v="1"/>
    <x v="0"/>
    <x v="1"/>
    <x v="1"/>
    <x v="8"/>
    <n v="0"/>
    <n v="0"/>
    <n v="599.32600000000002"/>
    <n v="563.36644000000001"/>
    <n v="599.32600000000002"/>
    <n v="563.36644000000001"/>
    <n v="0"/>
    <s v="CATIVO"/>
    <n v="0"/>
    <n v="0"/>
    <n v="7"/>
    <n v="76"/>
    <n v="0"/>
    <n v="102.62"/>
    <n v="103.1"/>
    <m/>
    <n v="181.53179145831209"/>
    <n v="215.6942886760464"/>
    <n v="0"/>
    <n v="7397.6006832000021"/>
    <n v="0"/>
    <n v="14284.075062156277"/>
    <x v="1"/>
  </r>
  <r>
    <s v="Refaturamento - Regular"/>
    <x v="1"/>
    <x v="2"/>
    <x v="1"/>
    <x v="1"/>
    <x v="0"/>
    <x v="1"/>
    <x v="1"/>
    <x v="8"/>
    <n v="0"/>
    <n v="0"/>
    <n v="338.64400000000001"/>
    <n v="318.32535999999999"/>
    <n v="338.64400000000001"/>
    <n v="318.32535999999999"/>
    <n v="0"/>
    <s v="CATIVO"/>
    <n v="0"/>
    <n v="0"/>
    <n v="7"/>
    <n v="76"/>
    <n v="0"/>
    <n v="102.62"/>
    <n v="103.1"/>
    <m/>
    <n v="181.53179145831209"/>
    <n v="215.6942886760464"/>
    <n v="0"/>
    <n v="4179.9506208000039"/>
    <n v="0"/>
    <n v="8071.0937208611886"/>
    <x v="1"/>
  </r>
  <r>
    <s v="Regular"/>
    <x v="1"/>
    <x v="2"/>
    <x v="1"/>
    <x v="1"/>
    <x v="0"/>
    <x v="1"/>
    <x v="1"/>
    <x v="9"/>
    <n v="0"/>
    <n v="0"/>
    <n v="547.43100000000004"/>
    <n v="514.58514000000002"/>
    <n v="547.43100000000004"/>
    <n v="514.58514000000002"/>
    <n v="0"/>
    <s v="CATIVO"/>
    <n v="0"/>
    <n v="0"/>
    <n v="7"/>
    <n v="76"/>
    <n v="0"/>
    <n v="102.62"/>
    <n v="103.1"/>
    <m/>
    <n v="181.53179145831209"/>
    <n v="215.6942886760464"/>
    <n v="0"/>
    <n v="6757.0503192000033"/>
    <n v="0"/>
    <n v="13047.232216441927"/>
    <x v="1"/>
  </r>
  <r>
    <s v="Regular"/>
    <x v="1"/>
    <x v="2"/>
    <x v="1"/>
    <x v="1"/>
    <x v="0"/>
    <x v="1"/>
    <x v="1"/>
    <x v="10"/>
    <n v="0"/>
    <n v="0"/>
    <n v="622.745"/>
    <n v="585.38029999999992"/>
    <n v="622.745"/>
    <n v="585.38029999999992"/>
    <n v="0"/>
    <s v="CATIVO"/>
    <n v="0"/>
    <n v="0"/>
    <n v="7"/>
    <n v="76"/>
    <n v="0"/>
    <n v="102.62"/>
    <n v="103.1"/>
    <m/>
    <n v="181.53179145831209"/>
    <n v="215.6942886760464"/>
    <n v="0"/>
    <n v="7686.6660840000168"/>
    <n v="0"/>
    <n v="14842.233316396298"/>
    <x v="1"/>
  </r>
  <r>
    <s v="PROJETADO"/>
    <x v="1"/>
    <x v="2"/>
    <x v="1"/>
    <x v="1"/>
    <x v="0"/>
    <x v="1"/>
    <x v="1"/>
    <x v="11"/>
    <n v="0"/>
    <n v="0"/>
    <n v="622.745"/>
    <n v="585.38029999999992"/>
    <n v="622.745"/>
    <n v="585.38029999999992"/>
    <n v="0"/>
    <s v="CATIVO"/>
    <n v="0"/>
    <n v="0"/>
    <n v="7"/>
    <n v="76"/>
    <n v="0"/>
    <n v="102.62"/>
    <n v="103.1"/>
    <m/>
    <n v="181.53179145831209"/>
    <n v="215.6942886760464"/>
    <n v="0"/>
    <n v="7686.6660840000168"/>
    <n v="0"/>
    <n v="14842.233316396298"/>
    <x v="1"/>
  </r>
  <r>
    <s v="Regular"/>
    <x v="1"/>
    <x v="2"/>
    <x v="1"/>
    <x v="1"/>
    <x v="0"/>
    <x v="1"/>
    <x v="0"/>
    <x v="0"/>
    <n v="1554"/>
    <n v="1320.8999999999999"/>
    <n v="0"/>
    <n v="0"/>
    <n v="0"/>
    <n v="0"/>
    <n v="11"/>
    <s v="CATIVO"/>
    <n v="0"/>
    <n v="2"/>
    <n v="0"/>
    <n v="0"/>
    <n v="21.38"/>
    <n v="0"/>
    <n v="0"/>
    <n v="21.204888631609794"/>
    <m/>
    <m/>
    <n v="4983.6780000000026"/>
    <n v="0"/>
    <n v="4942.8595400282456"/>
    <n v="0"/>
    <x v="1"/>
  </r>
  <r>
    <s v="Regular"/>
    <x v="1"/>
    <x v="2"/>
    <x v="1"/>
    <x v="1"/>
    <x v="0"/>
    <x v="1"/>
    <x v="0"/>
    <x v="1"/>
    <n v="1542"/>
    <n v="1310.7"/>
    <n v="0"/>
    <n v="0"/>
    <n v="0"/>
    <n v="0"/>
    <n v="11"/>
    <s v="CATIVO"/>
    <n v="0"/>
    <n v="2"/>
    <n v="0"/>
    <n v="0"/>
    <n v="21.38"/>
    <n v="0"/>
    <n v="0"/>
    <n v="21.204888631609794"/>
    <m/>
    <m/>
    <n v="4945.1939999999986"/>
    <n v="0"/>
    <n v="4904.6907404913445"/>
    <n v="0"/>
    <x v="1"/>
  </r>
  <r>
    <s v="Regular"/>
    <x v="1"/>
    <x v="2"/>
    <x v="1"/>
    <x v="1"/>
    <x v="0"/>
    <x v="1"/>
    <x v="0"/>
    <x v="2"/>
    <n v="1507"/>
    <n v="1280.95"/>
    <n v="0"/>
    <n v="0"/>
    <n v="0"/>
    <n v="0"/>
    <n v="12"/>
    <s v="CATIVO"/>
    <n v="0"/>
    <n v="2"/>
    <n v="0"/>
    <n v="0"/>
    <n v="21.38"/>
    <n v="0"/>
    <n v="0"/>
    <n v="21.204888631609794"/>
    <m/>
    <m/>
    <n v="4832.9489999999987"/>
    <n v="0"/>
    <n v="4793.365075175393"/>
    <n v="0"/>
    <x v="1"/>
  </r>
  <r>
    <s v="Regular"/>
    <x v="1"/>
    <x v="2"/>
    <x v="1"/>
    <x v="1"/>
    <x v="0"/>
    <x v="1"/>
    <x v="0"/>
    <x v="3"/>
    <n v="1544"/>
    <n v="1312.3999999999999"/>
    <n v="0"/>
    <n v="0"/>
    <n v="0"/>
    <n v="0"/>
    <n v="12"/>
    <s v="CATIVO"/>
    <n v="0"/>
    <n v="2"/>
    <n v="0"/>
    <n v="0"/>
    <n v="21.38"/>
    <n v="0"/>
    <n v="0"/>
    <n v="21.204888631609794"/>
    <m/>
    <m/>
    <n v="4951.6080000000029"/>
    <n v="0"/>
    <n v="4911.0522070808311"/>
    <n v="0"/>
    <x v="1"/>
  </r>
  <r>
    <s v="Regular"/>
    <x v="1"/>
    <x v="2"/>
    <x v="1"/>
    <x v="1"/>
    <x v="0"/>
    <x v="1"/>
    <x v="0"/>
    <x v="4"/>
    <n v="1543"/>
    <n v="1311.55"/>
    <n v="0"/>
    <n v="0"/>
    <n v="0"/>
    <n v="0"/>
    <n v="12"/>
    <s v="CATIVO"/>
    <n v="0"/>
    <n v="2"/>
    <n v="0"/>
    <n v="0"/>
    <n v="21.38"/>
    <n v="0"/>
    <n v="0"/>
    <n v="21.204888631609794"/>
    <m/>
    <m/>
    <n v="4948.4010000000007"/>
    <n v="0"/>
    <n v="4907.8714737860882"/>
    <n v="0"/>
    <x v="1"/>
  </r>
  <r>
    <s v="Regular"/>
    <x v="1"/>
    <x v="2"/>
    <x v="1"/>
    <x v="1"/>
    <x v="0"/>
    <x v="1"/>
    <x v="0"/>
    <x v="5"/>
    <n v="1543"/>
    <n v="1311.55"/>
    <n v="0"/>
    <n v="0"/>
    <n v="0"/>
    <n v="0"/>
    <n v="12"/>
    <s v="CATIVO"/>
    <n v="0"/>
    <n v="2"/>
    <n v="0"/>
    <n v="0"/>
    <n v="21.38"/>
    <n v="0"/>
    <n v="0"/>
    <n v="21.204888631609794"/>
    <m/>
    <m/>
    <n v="4948.4010000000007"/>
    <n v="0"/>
    <n v="4907.8714737860882"/>
    <n v="0"/>
    <x v="1"/>
  </r>
  <r>
    <s v="Regular"/>
    <x v="1"/>
    <x v="2"/>
    <x v="1"/>
    <x v="1"/>
    <x v="0"/>
    <x v="1"/>
    <x v="0"/>
    <x v="6"/>
    <n v="1625"/>
    <n v="1381.25"/>
    <n v="0"/>
    <n v="0"/>
    <n v="0"/>
    <n v="0"/>
    <n v="12"/>
    <s v="CATIVO"/>
    <n v="0"/>
    <n v="2"/>
    <n v="0"/>
    <n v="0"/>
    <n v="21.38"/>
    <n v="0"/>
    <n v="0"/>
    <n v="21.204888631609794"/>
    <m/>
    <m/>
    <n v="5211.375"/>
    <n v="0"/>
    <n v="5168.6916039548869"/>
    <n v="0"/>
    <x v="1"/>
  </r>
  <r>
    <s v="Regular"/>
    <x v="1"/>
    <x v="2"/>
    <x v="1"/>
    <x v="1"/>
    <x v="0"/>
    <x v="1"/>
    <x v="0"/>
    <x v="7"/>
    <n v="111"/>
    <n v="94.35"/>
    <n v="0"/>
    <n v="0"/>
    <n v="0"/>
    <n v="0"/>
    <n v="1"/>
    <s v="CATIVO"/>
    <n v="0"/>
    <n v="2"/>
    <n v="0"/>
    <n v="0"/>
    <n v="21.38"/>
    <n v="0"/>
    <n v="0"/>
    <n v="21.204888631609794"/>
    <m/>
    <m/>
    <n v="355.97700000000009"/>
    <n v="0"/>
    <n v="353.0613957163032"/>
    <n v="0"/>
    <x v="1"/>
  </r>
  <r>
    <s v="Refaturamento - Regular"/>
    <x v="1"/>
    <x v="2"/>
    <x v="1"/>
    <x v="1"/>
    <x v="0"/>
    <x v="1"/>
    <x v="0"/>
    <x v="7"/>
    <n v="1506"/>
    <n v="1280.0999999999999"/>
    <n v="0"/>
    <n v="0"/>
    <n v="0"/>
    <n v="0"/>
    <n v="11"/>
    <s v="CATIVO"/>
    <n v="0"/>
    <n v="2"/>
    <n v="0"/>
    <n v="0"/>
    <n v="21.38"/>
    <n v="0"/>
    <n v="0"/>
    <n v="21.204888631609794"/>
    <m/>
    <m/>
    <n v="4829.742000000002"/>
    <n v="0"/>
    <n v="4790.1843418806548"/>
    <n v="0"/>
    <x v="1"/>
  </r>
  <r>
    <s v="Regular"/>
    <x v="1"/>
    <x v="2"/>
    <x v="1"/>
    <x v="1"/>
    <x v="0"/>
    <x v="1"/>
    <x v="0"/>
    <x v="8"/>
    <n v="1577"/>
    <n v="1340.45"/>
    <n v="0"/>
    <n v="0"/>
    <n v="0"/>
    <n v="0"/>
    <n v="15"/>
    <s v="CATIVO"/>
    <n v="0"/>
    <n v="2"/>
    <n v="0"/>
    <n v="0"/>
    <n v="21.38"/>
    <n v="0"/>
    <n v="0"/>
    <n v="21.204888631609794"/>
    <m/>
    <m/>
    <n v="5057.4389999999985"/>
    <n v="0"/>
    <n v="5016.016405807296"/>
    <n v="0"/>
    <x v="1"/>
  </r>
  <r>
    <s v="Refaturamento - Regular"/>
    <x v="1"/>
    <x v="2"/>
    <x v="1"/>
    <x v="1"/>
    <x v="0"/>
    <x v="1"/>
    <x v="0"/>
    <x v="8"/>
    <n v="201"/>
    <n v="170.85"/>
    <n v="0"/>
    <n v="0"/>
    <n v="0"/>
    <n v="0"/>
    <n v="13"/>
    <s v="CATIVO"/>
    <n v="0"/>
    <n v="2"/>
    <n v="0"/>
    <n v="0"/>
    <n v="21.38"/>
    <n v="0"/>
    <n v="0"/>
    <n v="21.204888631609794"/>
    <m/>
    <m/>
    <n v="644.60700000000008"/>
    <n v="0"/>
    <n v="639.32739224303543"/>
    <n v="0"/>
    <x v="1"/>
  </r>
  <r>
    <s v="Regular"/>
    <x v="1"/>
    <x v="2"/>
    <x v="1"/>
    <x v="1"/>
    <x v="0"/>
    <x v="1"/>
    <x v="0"/>
    <x v="9"/>
    <n v="1634"/>
    <n v="1388.8999999999999"/>
    <n v="0"/>
    <n v="0"/>
    <n v="0"/>
    <n v="0"/>
    <n v="15"/>
    <s v="CATIVO"/>
    <n v="0"/>
    <n v="2"/>
    <n v="0"/>
    <n v="0"/>
    <n v="21.38"/>
    <n v="0"/>
    <n v="0"/>
    <n v="21.204888631609794"/>
    <m/>
    <m/>
    <n v="5240.238000000003"/>
    <n v="0"/>
    <n v="5197.3182036075632"/>
    <n v="0"/>
    <x v="1"/>
  </r>
  <r>
    <s v="Regular"/>
    <x v="1"/>
    <x v="2"/>
    <x v="1"/>
    <x v="1"/>
    <x v="0"/>
    <x v="1"/>
    <x v="0"/>
    <x v="10"/>
    <n v="1676"/>
    <n v="1424.6"/>
    <n v="0"/>
    <n v="0"/>
    <n v="0"/>
    <n v="0"/>
    <n v="16"/>
    <s v="CATIVO"/>
    <n v="0"/>
    <n v="2"/>
    <n v="0"/>
    <n v="0"/>
    <n v="21.38"/>
    <n v="0"/>
    <n v="0"/>
    <n v="21.204888631609794"/>
    <m/>
    <m/>
    <n v="5374.9320000000016"/>
    <n v="0"/>
    <n v="5330.9090019867044"/>
    <n v="0"/>
    <x v="1"/>
  </r>
  <r>
    <s v="PROJETADO"/>
    <x v="1"/>
    <x v="2"/>
    <x v="1"/>
    <x v="1"/>
    <x v="0"/>
    <x v="1"/>
    <x v="0"/>
    <x v="11"/>
    <n v="1676"/>
    <n v="1424.6"/>
    <n v="0"/>
    <n v="0"/>
    <n v="0"/>
    <n v="0"/>
    <n v="16"/>
    <s v="CATIVO"/>
    <n v="0"/>
    <n v="2"/>
    <n v="0"/>
    <n v="0"/>
    <n v="21.38"/>
    <n v="0"/>
    <n v="0"/>
    <n v="21.204888631609794"/>
    <m/>
    <m/>
    <n v="5374.9320000000016"/>
    <n v="0"/>
    <n v="5330.9090019867044"/>
    <n v="0"/>
    <x v="1"/>
  </r>
  <r>
    <s v="Regular"/>
    <x v="1"/>
    <x v="2"/>
    <x v="1"/>
    <x v="1"/>
    <x v="0"/>
    <x v="1"/>
    <x v="2"/>
    <x v="0"/>
    <n v="0"/>
    <n v="0"/>
    <n v="54.091999999999999"/>
    <n v="50.846479999999993"/>
    <n v="54.091999999999999"/>
    <n v="50.846479999999993"/>
    <n v="0"/>
    <s v="CATIVO"/>
    <n v="0"/>
    <n v="0"/>
    <n v="5"/>
    <n v="75"/>
    <n v="0"/>
    <n v="1454.96"/>
    <n v="159.43"/>
    <m/>
    <n v="1498.9908599166342"/>
    <n v="322.27888250425127"/>
    <n v="0"/>
    <n v="5239.5350328000104"/>
    <n v="0"/>
    <n v="5910.9673744218435"/>
    <x v="1"/>
  </r>
  <r>
    <s v="Regular"/>
    <x v="1"/>
    <x v="2"/>
    <x v="1"/>
    <x v="1"/>
    <x v="0"/>
    <x v="1"/>
    <x v="2"/>
    <x v="1"/>
    <n v="0"/>
    <n v="0"/>
    <n v="48.482999999999997"/>
    <n v="45.574019999999997"/>
    <n v="48.482999999999997"/>
    <n v="45.574019999999997"/>
    <n v="0"/>
    <s v="CATIVO"/>
    <n v="0"/>
    <n v="0"/>
    <n v="5"/>
    <n v="75"/>
    <n v="0"/>
    <n v="1454.96"/>
    <n v="159.43"/>
    <m/>
    <n v="1498.9908599166342"/>
    <n v="322.27888250425127"/>
    <n v="0"/>
    <n v="4696.2282221999994"/>
    <n v="0"/>
    <n v="5298.0372553075067"/>
    <x v="1"/>
  </r>
  <r>
    <s v="Regular"/>
    <x v="1"/>
    <x v="2"/>
    <x v="1"/>
    <x v="1"/>
    <x v="0"/>
    <x v="1"/>
    <x v="2"/>
    <x v="2"/>
    <n v="0"/>
    <n v="0"/>
    <n v="38.82"/>
    <n v="36.4908"/>
    <n v="38.82"/>
    <n v="36.4908"/>
    <n v="0"/>
    <s v="CATIVO"/>
    <n v="0"/>
    <n v="0"/>
    <n v="5"/>
    <n v="75"/>
    <n v="0"/>
    <n v="1454.96"/>
    <n v="159.43"/>
    <m/>
    <n v="1498.9908599166342"/>
    <n v="322.27888250425127"/>
    <n v="0"/>
    <n v="3760.2371880000005"/>
    <n v="0"/>
    <n v="4242.1014840467269"/>
    <x v="1"/>
  </r>
  <r>
    <s v="Regular"/>
    <x v="1"/>
    <x v="2"/>
    <x v="1"/>
    <x v="1"/>
    <x v="0"/>
    <x v="1"/>
    <x v="2"/>
    <x v="3"/>
    <n v="0"/>
    <n v="0"/>
    <n v="57.051000000000002"/>
    <n v="53.627939999999995"/>
    <n v="57.051000000000002"/>
    <n v="53.627939999999995"/>
    <n v="0"/>
    <s v="CATIVO"/>
    <n v="0"/>
    <n v="0"/>
    <n v="5"/>
    <n v="75"/>
    <n v="0"/>
    <n v="1454.96"/>
    <n v="159.43"/>
    <m/>
    <n v="1498.9908599166342"/>
    <n v="322.27888250425127"/>
    <n v="0"/>
    <n v="5526.1538334000106"/>
    <n v="0"/>
    <n v="6234.3156044912485"/>
    <x v="1"/>
  </r>
  <r>
    <s v="Refaturamento - Regular"/>
    <x v="1"/>
    <x v="2"/>
    <x v="1"/>
    <x v="1"/>
    <x v="0"/>
    <x v="1"/>
    <x v="2"/>
    <x v="3"/>
    <n v="0"/>
    <n v="0"/>
    <n v="-5.1660000000000004"/>
    <n v="-4.8560400000000001"/>
    <n v="-5.1660000000000004"/>
    <n v="-4.8560400000000001"/>
    <n v="0"/>
    <s v="CATIVO"/>
    <n v="0"/>
    <n v="0"/>
    <n v="5"/>
    <n v="75"/>
    <n v="0"/>
    <n v="1454.96"/>
    <n v="159.43"/>
    <m/>
    <n v="1498.9908599166342"/>
    <n v="322.27888250425127"/>
    <n v="0"/>
    <n v="-500.39632440000037"/>
    <n v="0"/>
    <n v="-564.5207693607781"/>
    <x v="1"/>
  </r>
  <r>
    <s v="Regular"/>
    <x v="1"/>
    <x v="2"/>
    <x v="1"/>
    <x v="1"/>
    <x v="0"/>
    <x v="1"/>
    <x v="2"/>
    <x v="4"/>
    <n v="0"/>
    <n v="0"/>
    <n v="43.582999999999998"/>
    <n v="40.968019999999996"/>
    <n v="43.582999999999998"/>
    <n v="40.968019999999996"/>
    <n v="0"/>
    <s v="CATIVO"/>
    <n v="0"/>
    <n v="0"/>
    <n v="5"/>
    <n v="75"/>
    <n v="0"/>
    <n v="1454.96"/>
    <n v="159.43"/>
    <m/>
    <n v="1498.9908599166342"/>
    <n v="322.27888250425127"/>
    <n v="0"/>
    <n v="4221.5975622000051"/>
    <n v="0"/>
    <n v="4762.5839510357728"/>
    <x v="1"/>
  </r>
  <r>
    <s v="Regular"/>
    <x v="1"/>
    <x v="2"/>
    <x v="1"/>
    <x v="1"/>
    <x v="0"/>
    <x v="1"/>
    <x v="2"/>
    <x v="5"/>
    <n v="0"/>
    <n v="0"/>
    <n v="45.466000000000001"/>
    <n v="42.738039999999998"/>
    <n v="45.466000000000001"/>
    <n v="42.738039999999998"/>
    <n v="0"/>
    <s v="CATIVO"/>
    <n v="0"/>
    <n v="0"/>
    <n v="5"/>
    <n v="75"/>
    <n v="0"/>
    <n v="1454.96"/>
    <n v="159.43"/>
    <m/>
    <n v="1498.9908599166342"/>
    <n v="322.27888250425127"/>
    <n v="0"/>
    <n v="4403.9913444000049"/>
    <n v="0"/>
    <n v="4968.3510065344844"/>
    <x v="1"/>
  </r>
  <r>
    <s v="Regular"/>
    <x v="1"/>
    <x v="2"/>
    <x v="1"/>
    <x v="1"/>
    <x v="0"/>
    <x v="1"/>
    <x v="2"/>
    <x v="6"/>
    <n v="0"/>
    <n v="0"/>
    <n v="44.741"/>
    <n v="42.056539999999998"/>
    <n v="44.741"/>
    <n v="42.056539999999998"/>
    <n v="0"/>
    <s v="CATIVO"/>
    <n v="0"/>
    <n v="0"/>
    <n v="5"/>
    <n v="75"/>
    <n v="0"/>
    <n v="1454.96"/>
    <n v="159.43"/>
    <m/>
    <n v="1498.9908599166342"/>
    <n v="322.27888250425127"/>
    <n v="0"/>
    <n v="4333.7653794000025"/>
    <n v="0"/>
    <n v="4889.125772739173"/>
    <x v="1"/>
  </r>
  <r>
    <s v="Regular"/>
    <x v="1"/>
    <x v="2"/>
    <x v="1"/>
    <x v="1"/>
    <x v="0"/>
    <x v="1"/>
    <x v="2"/>
    <x v="7"/>
    <n v="0"/>
    <n v="0"/>
    <n v="1.903"/>
    <n v="1.7888199999999999"/>
    <n v="1.903"/>
    <n v="1.7888199999999999"/>
    <n v="0"/>
    <s v="CATIVO"/>
    <n v="0"/>
    <n v="0"/>
    <n v="5"/>
    <n v="75"/>
    <n v="0"/>
    <n v="1454.96"/>
    <n v="159.43"/>
    <m/>
    <n v="1498.9908599166342"/>
    <n v="322.27888250425127"/>
    <n v="0"/>
    <n v="184.33105020000028"/>
    <n v="0"/>
    <n v="207.95257918961704"/>
    <x v="1"/>
  </r>
  <r>
    <s v="Refaturamento - Regular"/>
    <x v="1"/>
    <x v="2"/>
    <x v="1"/>
    <x v="1"/>
    <x v="0"/>
    <x v="1"/>
    <x v="2"/>
    <x v="7"/>
    <n v="0"/>
    <n v="0"/>
    <n v="14.6"/>
    <n v="13.723999999999998"/>
    <n v="14.6"/>
    <n v="13.723999999999998"/>
    <n v="0"/>
    <s v="CATIVO"/>
    <n v="0"/>
    <n v="0"/>
    <n v="5"/>
    <n v="75"/>
    <n v="0"/>
    <n v="1454.96"/>
    <n v="159.43"/>
    <m/>
    <n v="1498.9908599166342"/>
    <n v="322.27888250425127"/>
    <n v="0"/>
    <n v="1414.2056400000019"/>
    <n v="0"/>
    <n v="1595.4322943606981"/>
    <x v="1"/>
  </r>
  <r>
    <s v="Regular"/>
    <x v="1"/>
    <x v="2"/>
    <x v="1"/>
    <x v="1"/>
    <x v="0"/>
    <x v="1"/>
    <x v="2"/>
    <x v="8"/>
    <n v="0"/>
    <n v="0"/>
    <n v="56.722999999999999"/>
    <n v="53.319619999999993"/>
    <n v="56.722999999999999"/>
    <n v="53.319619999999993"/>
    <n v="0"/>
    <s v="CATIVO"/>
    <n v="0"/>
    <n v="0"/>
    <n v="5"/>
    <n v="75"/>
    <n v="0"/>
    <n v="1454.96"/>
    <n v="159.43"/>
    <m/>
    <n v="1498.9908599166342"/>
    <n v="322.27888250425127"/>
    <n v="0"/>
    <n v="5494.3826382000088"/>
    <n v="0"/>
    <n v="6198.4730159604042"/>
    <x v="1"/>
  </r>
  <r>
    <s v="Refaturamento - Regular"/>
    <x v="1"/>
    <x v="2"/>
    <x v="1"/>
    <x v="1"/>
    <x v="0"/>
    <x v="1"/>
    <x v="2"/>
    <x v="8"/>
    <n v="0"/>
    <n v="0"/>
    <n v="30.300999999999998"/>
    <n v="28.482939999999996"/>
    <n v="30.300999999999998"/>
    <n v="28.482939999999996"/>
    <n v="0"/>
    <s v="CATIVO"/>
    <n v="0"/>
    <n v="0"/>
    <n v="5"/>
    <n v="75"/>
    <n v="0"/>
    <n v="1454.96"/>
    <n v="159.43"/>
    <m/>
    <n v="1498.9908599166342"/>
    <n v="322.27888250425127"/>
    <n v="0"/>
    <n v="2935.0578834000044"/>
    <n v="0"/>
    <n v="3311.1776679057198"/>
    <x v="1"/>
  </r>
  <r>
    <s v="Regular"/>
    <x v="1"/>
    <x v="2"/>
    <x v="1"/>
    <x v="1"/>
    <x v="0"/>
    <x v="1"/>
    <x v="2"/>
    <x v="9"/>
    <n v="0"/>
    <n v="0"/>
    <n v="49.582999999999998"/>
    <n v="46.608019999999996"/>
    <n v="49.582999999999998"/>
    <n v="46.608019999999996"/>
    <n v="0"/>
    <s v="CATIVO"/>
    <n v="0"/>
    <n v="0"/>
    <n v="5"/>
    <n v="75"/>
    <n v="0"/>
    <n v="1454.96"/>
    <n v="159.43"/>
    <m/>
    <n v="1498.9908599166342"/>
    <n v="322.27888250425127"/>
    <n v="0"/>
    <n v="4802.7779622000035"/>
    <n v="0"/>
    <n v="5418.2410583072906"/>
    <x v="1"/>
  </r>
  <r>
    <s v="Regular"/>
    <x v="1"/>
    <x v="2"/>
    <x v="1"/>
    <x v="1"/>
    <x v="0"/>
    <x v="1"/>
    <x v="2"/>
    <x v="10"/>
    <n v="0"/>
    <n v="0"/>
    <n v="51.789000000000001"/>
    <n v="48.681660000000001"/>
    <n v="51.789000000000001"/>
    <n v="48.681660000000001"/>
    <n v="0"/>
    <s v="CATIVO"/>
    <n v="0"/>
    <n v="0"/>
    <n v="5"/>
    <n v="75"/>
    <n v="0"/>
    <n v="1454.96"/>
    <n v="159.43"/>
    <m/>
    <n v="1498.9908599166342"/>
    <n v="322.27888250425127"/>
    <n v="0"/>
    <n v="5016.458622600001"/>
    <n v="0"/>
    <n v="5659.3043214141162"/>
    <x v="1"/>
  </r>
  <r>
    <s v="PROJETADO"/>
    <x v="1"/>
    <x v="2"/>
    <x v="1"/>
    <x v="1"/>
    <x v="0"/>
    <x v="1"/>
    <x v="2"/>
    <x v="11"/>
    <n v="0"/>
    <n v="0"/>
    <n v="51.789000000000001"/>
    <n v="48.681660000000001"/>
    <n v="51.789000000000001"/>
    <n v="48.681660000000001"/>
    <n v="0"/>
    <s v="CATIVO"/>
    <n v="0"/>
    <n v="0"/>
    <n v="5"/>
    <n v="75"/>
    <n v="0"/>
    <n v="1454.96"/>
    <n v="159.43"/>
    <m/>
    <n v="1498.9908599166342"/>
    <n v="322.27888250425127"/>
    <n v="0"/>
    <n v="5016.458622600001"/>
    <n v="0"/>
    <n v="5659.3043214141162"/>
    <x v="1"/>
  </r>
  <r>
    <s v="Regular"/>
    <x v="2"/>
    <x v="3"/>
    <x v="3"/>
    <x v="2"/>
    <x v="0"/>
    <x v="1"/>
    <x v="0"/>
    <x v="0"/>
    <n v="0"/>
    <n v="0"/>
    <n v="40253.358"/>
    <n v="40253.358"/>
    <n v="40253.358"/>
    <n v="40253.358"/>
    <n v="147531"/>
    <s v="CATIVO"/>
    <n v="0"/>
    <n v="0"/>
    <n v="25"/>
    <n v="80"/>
    <n v="0"/>
    <n v="432.02"/>
    <n v="107.79"/>
    <m/>
    <n v="497.50790459014416"/>
    <n v="224.57633816173018"/>
    <n v="0"/>
    <n v="0"/>
    <n v="0"/>
    <n v="0"/>
    <x v="3"/>
  </r>
  <r>
    <s v="Regular"/>
    <x v="2"/>
    <x v="3"/>
    <x v="3"/>
    <x v="3"/>
    <x v="0"/>
    <x v="1"/>
    <x v="0"/>
    <x v="0"/>
    <n v="0"/>
    <n v="0"/>
    <n v="883.92"/>
    <n v="883.92"/>
    <n v="883.92"/>
    <n v="883.92"/>
    <n v="7608"/>
    <s v="CATIVO"/>
    <n v="0"/>
    <n v="0"/>
    <n v="28"/>
    <n v="81"/>
    <n v="0"/>
    <n v="132.01"/>
    <n v="37.729999999999997"/>
    <m/>
    <n v="139.20836400191462"/>
    <n v="78.601718356605559"/>
    <n v="0"/>
    <n v="278638.10159999999"/>
    <n v="0"/>
    <n v="357549.56342549442"/>
    <x v="4"/>
  </r>
  <r>
    <s v="Refaturamento - Regular"/>
    <x v="2"/>
    <x v="3"/>
    <x v="3"/>
    <x v="3"/>
    <x v="0"/>
    <x v="1"/>
    <x v="0"/>
    <x v="0"/>
    <n v="0"/>
    <n v="0"/>
    <n v="-1.26"/>
    <n v="-1.26"/>
    <n v="-1.26"/>
    <n v="-1.26"/>
    <n v="10"/>
    <s v="CATIVO"/>
    <n v="0"/>
    <n v="0"/>
    <n v="28"/>
    <n v="81"/>
    <n v="0"/>
    <n v="132.01"/>
    <n v="37.729999999999997"/>
    <m/>
    <n v="139.20836400191462"/>
    <n v="78.601718356605559"/>
    <n v="0"/>
    <n v="-397.18980000000005"/>
    <n v="0"/>
    <n v="-509.6755927189372"/>
    <x v="4"/>
  </r>
  <r>
    <s v="Regular"/>
    <x v="2"/>
    <x v="3"/>
    <x v="3"/>
    <x v="3"/>
    <x v="0"/>
    <x v="1"/>
    <x v="0"/>
    <x v="1"/>
    <n v="0"/>
    <n v="0"/>
    <n v="1005.244"/>
    <n v="1005.244"/>
    <n v="1005.244"/>
    <n v="1005.244"/>
    <n v="8298"/>
    <s v="CATIVO"/>
    <n v="0"/>
    <n v="0"/>
    <n v="28"/>
    <n v="81"/>
    <n v="0"/>
    <n v="132.01"/>
    <n v="37.729999999999997"/>
    <m/>
    <n v="139.20836400191462"/>
    <n v="78.601718356605559"/>
    <n v="0"/>
    <n v="316883.06612000003"/>
    <n v="0"/>
    <n v="406625.65994218673"/>
    <x v="4"/>
  </r>
  <r>
    <s v="Refaturamento - Regular"/>
    <x v="2"/>
    <x v="3"/>
    <x v="3"/>
    <x v="3"/>
    <x v="0"/>
    <x v="1"/>
    <x v="0"/>
    <x v="1"/>
    <n v="0"/>
    <n v="0"/>
    <n v="-2.88"/>
    <n v="-2.88"/>
    <n v="-2.88"/>
    <n v="-2.88"/>
    <n v="41"/>
    <s v="CATIVO"/>
    <n v="0"/>
    <n v="0"/>
    <n v="28"/>
    <n v="81"/>
    <n v="0"/>
    <n v="132.01"/>
    <n v="37.729999999999997"/>
    <m/>
    <n v="139.20836400191462"/>
    <n v="78.601718356605559"/>
    <n v="0"/>
    <n v="-907.86239999999998"/>
    <n v="0"/>
    <n v="-1164.9727833575707"/>
    <x v="4"/>
  </r>
  <r>
    <s v="Regular"/>
    <x v="2"/>
    <x v="3"/>
    <x v="3"/>
    <x v="3"/>
    <x v="0"/>
    <x v="1"/>
    <x v="0"/>
    <x v="2"/>
    <n v="0"/>
    <n v="0"/>
    <n v="986.51300000000003"/>
    <n v="986.51300000000003"/>
    <n v="986.51300000000003"/>
    <n v="986.51300000000003"/>
    <n v="7055"/>
    <s v="CATIVO"/>
    <n v="0"/>
    <n v="0"/>
    <n v="28"/>
    <n v="81"/>
    <n v="0"/>
    <n v="132.01"/>
    <n v="37.729999999999997"/>
    <m/>
    <n v="139.20836400191462"/>
    <n v="78.601718356605559"/>
    <n v="0"/>
    <n v="310978.49299000006"/>
    <n v="0"/>
    <n v="399048.88730153721"/>
    <x v="4"/>
  </r>
  <r>
    <s v="Refaturamento - Regular"/>
    <x v="2"/>
    <x v="3"/>
    <x v="3"/>
    <x v="3"/>
    <x v="0"/>
    <x v="1"/>
    <x v="0"/>
    <x v="2"/>
    <n v="0"/>
    <n v="0"/>
    <n v="-5.37"/>
    <n v="-5.37"/>
    <n v="-5.37"/>
    <n v="-5.37"/>
    <n v="-95"/>
    <s v="CATIVO"/>
    <n v="0"/>
    <n v="0"/>
    <n v="28"/>
    <n v="81"/>
    <n v="0"/>
    <n v="132.01"/>
    <n v="37.729999999999997"/>
    <m/>
    <n v="139.20836400191462"/>
    <n v="78.601718356605559"/>
    <n v="0"/>
    <n v="-1692.7851000000001"/>
    <n v="0"/>
    <n v="-2172.1888356354702"/>
    <x v="4"/>
  </r>
  <r>
    <s v="Regular"/>
    <x v="2"/>
    <x v="3"/>
    <x v="3"/>
    <x v="3"/>
    <x v="0"/>
    <x v="1"/>
    <x v="0"/>
    <x v="3"/>
    <n v="0"/>
    <n v="0"/>
    <n v="977.62699999999995"/>
    <n v="977.62699999999995"/>
    <n v="977.62699999999995"/>
    <n v="977.62699999999995"/>
    <n v="6688"/>
    <s v="CATIVO"/>
    <n v="0"/>
    <n v="0"/>
    <n v="28"/>
    <n v="81"/>
    <n v="0"/>
    <n v="132.01"/>
    <n v="37.729999999999997"/>
    <m/>
    <n v="139.20836400191462"/>
    <n v="78.601718356605559"/>
    <n v="0"/>
    <n v="308177.35921000002"/>
    <n v="0"/>
    <n v="395454.46085955267"/>
    <x v="4"/>
  </r>
  <r>
    <s v="Refaturamento - Regular"/>
    <x v="2"/>
    <x v="3"/>
    <x v="3"/>
    <x v="3"/>
    <x v="0"/>
    <x v="1"/>
    <x v="0"/>
    <x v="3"/>
    <n v="0"/>
    <n v="0"/>
    <n v="-7.5"/>
    <n v="-7.5"/>
    <n v="-7.5"/>
    <n v="-7.5"/>
    <n v="-11"/>
    <s v="CATIVO"/>
    <n v="0"/>
    <n v="0"/>
    <n v="28"/>
    <n v="81"/>
    <n v="0"/>
    <n v="132.01"/>
    <n v="37.729999999999997"/>
    <m/>
    <n v="139.20836400191462"/>
    <n v="78.601718356605559"/>
    <n v="0"/>
    <n v="-2364.2250000000004"/>
    <n v="0"/>
    <n v="-3033.7832899936739"/>
    <x v="4"/>
  </r>
  <r>
    <s v="Regular"/>
    <x v="2"/>
    <x v="3"/>
    <x v="3"/>
    <x v="3"/>
    <x v="0"/>
    <x v="1"/>
    <x v="0"/>
    <x v="4"/>
    <n v="0"/>
    <n v="0"/>
    <n v="1040.925"/>
    <n v="1040.925"/>
    <n v="1040.925"/>
    <n v="1040.925"/>
    <n v="6942"/>
    <s v="CATIVO"/>
    <n v="0"/>
    <n v="0"/>
    <n v="28"/>
    <n v="81"/>
    <n v="0"/>
    <n v="132.01"/>
    <n v="37.729999999999997"/>
    <m/>
    <n v="139.20836400191462"/>
    <n v="78.601718356605559"/>
    <n v="0"/>
    <n v="328130.78775000002"/>
    <n v="0"/>
    <n v="421058.78281822195"/>
    <x v="4"/>
  </r>
  <r>
    <s v="Refaturamento - Regular"/>
    <x v="2"/>
    <x v="3"/>
    <x v="3"/>
    <x v="3"/>
    <x v="0"/>
    <x v="1"/>
    <x v="0"/>
    <x v="4"/>
    <n v="0"/>
    <n v="0"/>
    <n v="-12.09"/>
    <n v="-12.09"/>
    <n v="-12.09"/>
    <n v="-12.09"/>
    <n v="-197"/>
    <s v="CATIVO"/>
    <n v="0"/>
    <n v="0"/>
    <n v="28"/>
    <n v="81"/>
    <n v="0"/>
    <n v="132.01"/>
    <n v="37.729999999999997"/>
    <m/>
    <n v="139.20836400191462"/>
    <n v="78.601718356605559"/>
    <n v="0"/>
    <n v="-3811.1307000000002"/>
    <n v="0"/>
    <n v="-4890.4586634698016"/>
    <x v="4"/>
  </r>
  <r>
    <s v="Regular"/>
    <x v="2"/>
    <x v="3"/>
    <x v="3"/>
    <x v="3"/>
    <x v="0"/>
    <x v="1"/>
    <x v="0"/>
    <x v="5"/>
    <n v="0"/>
    <n v="0"/>
    <n v="1032.271"/>
    <n v="1032.271"/>
    <n v="1032.271"/>
    <n v="1032.271"/>
    <n v="6826"/>
    <s v="CATIVO"/>
    <n v="0"/>
    <n v="0"/>
    <n v="28"/>
    <n v="81"/>
    <n v="0"/>
    <n v="132.01"/>
    <n v="37.729999999999997"/>
    <m/>
    <n v="139.20836400191462"/>
    <n v="78.601718356605559"/>
    <n v="0"/>
    <n v="325402.78733000002"/>
    <n v="0"/>
    <n v="417558.20140600792"/>
    <x v="4"/>
  </r>
  <r>
    <s v="Refaturamento - Regular"/>
    <x v="2"/>
    <x v="3"/>
    <x v="3"/>
    <x v="3"/>
    <x v="0"/>
    <x v="1"/>
    <x v="0"/>
    <x v="5"/>
    <n v="0"/>
    <n v="0"/>
    <n v="-2.34"/>
    <n v="-2.34"/>
    <n v="-2.34"/>
    <n v="-2.34"/>
    <n v="27"/>
    <s v="CATIVO"/>
    <n v="0"/>
    <n v="0"/>
    <n v="28"/>
    <n v="81"/>
    <n v="0"/>
    <n v="132.01"/>
    <n v="37.729999999999997"/>
    <m/>
    <n v="139.20836400191462"/>
    <n v="78.601718356605559"/>
    <n v="0"/>
    <n v="-737.63819999999998"/>
    <n v="0"/>
    <n v="-946.54038647802611"/>
    <x v="4"/>
  </r>
  <r>
    <s v="Regular"/>
    <x v="2"/>
    <x v="3"/>
    <x v="3"/>
    <x v="3"/>
    <x v="0"/>
    <x v="1"/>
    <x v="0"/>
    <x v="6"/>
    <n v="0"/>
    <n v="0"/>
    <n v="1067.4469999999999"/>
    <n v="1067.4469999999999"/>
    <n v="1067.4469999999999"/>
    <n v="1067.4469999999999"/>
    <n v="6811"/>
    <s v="CATIVO"/>
    <n v="0"/>
    <n v="0"/>
    <n v="28"/>
    <n v="81"/>
    <n v="0"/>
    <n v="132.01"/>
    <n v="37.729999999999997"/>
    <m/>
    <n v="139.20836400191462"/>
    <n v="78.601718356605559"/>
    <n v="0"/>
    <n v="336491.31780999998"/>
    <n v="0"/>
    <n v="431787.04954051686"/>
    <x v="4"/>
  </r>
  <r>
    <s v="Refaturamento - Regular"/>
    <x v="2"/>
    <x v="3"/>
    <x v="3"/>
    <x v="3"/>
    <x v="0"/>
    <x v="1"/>
    <x v="0"/>
    <x v="6"/>
    <n v="0"/>
    <n v="0"/>
    <n v="-1.98"/>
    <n v="-1.98"/>
    <n v="-1.98"/>
    <n v="-1.98"/>
    <n v="79"/>
    <s v="CATIVO"/>
    <n v="0"/>
    <n v="0"/>
    <n v="28"/>
    <n v="81"/>
    <n v="0"/>
    <n v="132.01"/>
    <n v="37.729999999999997"/>
    <m/>
    <n v="139.20836400191462"/>
    <n v="78.601718356605559"/>
    <n v="0"/>
    <n v="-624.15539999999999"/>
    <n v="0"/>
    <n v="-800.91878855832988"/>
    <x v="4"/>
  </r>
  <r>
    <s v="Regular"/>
    <x v="2"/>
    <x v="3"/>
    <x v="3"/>
    <x v="3"/>
    <x v="0"/>
    <x v="1"/>
    <x v="0"/>
    <x v="7"/>
    <n v="0"/>
    <n v="0"/>
    <n v="1099.7139999999999"/>
    <n v="1099.7139999999999"/>
    <n v="1099.7139999999999"/>
    <n v="1099.7139999999999"/>
    <n v="6636"/>
    <s v="CATIVO"/>
    <n v="0"/>
    <n v="0"/>
    <n v="28"/>
    <n v="81"/>
    <n v="0"/>
    <n v="132.01"/>
    <n v="37.729999999999997"/>
    <m/>
    <n v="139.20836400191462"/>
    <n v="78.601718356605559"/>
    <n v="0"/>
    <n v="346662.84422000003"/>
    <n v="0"/>
    <n v="444839.19426294701"/>
    <x v="4"/>
  </r>
  <r>
    <s v="Refaturamento - Regular"/>
    <x v="2"/>
    <x v="3"/>
    <x v="3"/>
    <x v="3"/>
    <x v="0"/>
    <x v="1"/>
    <x v="0"/>
    <x v="7"/>
    <n v="0"/>
    <n v="0"/>
    <n v="-4.26"/>
    <n v="-4.26"/>
    <n v="-4.26"/>
    <n v="-4.26"/>
    <n v="-64"/>
    <s v="CATIVO"/>
    <n v="0"/>
    <n v="0"/>
    <n v="28"/>
    <n v="81"/>
    <n v="0"/>
    <n v="132.01"/>
    <n v="37.729999999999997"/>
    <m/>
    <n v="139.20836400191462"/>
    <n v="78.601718356605559"/>
    <n v="0"/>
    <n v="-1342.8797999999999"/>
    <n v="0"/>
    <n v="-1723.1889087164066"/>
    <x v="4"/>
  </r>
  <r>
    <s v="Regular"/>
    <x v="2"/>
    <x v="3"/>
    <x v="3"/>
    <x v="3"/>
    <x v="0"/>
    <x v="1"/>
    <x v="0"/>
    <x v="8"/>
    <n v="0"/>
    <n v="0"/>
    <n v="1137.1130000000001"/>
    <n v="1137.1130000000001"/>
    <n v="1137.1130000000001"/>
    <n v="1137.1130000000001"/>
    <n v="6528"/>
    <s v="CATIVO"/>
    <n v="0"/>
    <n v="0"/>
    <n v="28"/>
    <n v="81"/>
    <n v="0"/>
    <n v="132.01"/>
    <n v="37.729999999999997"/>
    <m/>
    <n v="139.20836400191462"/>
    <n v="78.601718356605559"/>
    <n v="0"/>
    <n v="358452.13099000003"/>
    <n v="0"/>
    <n v="459967.25576461019"/>
    <x v="4"/>
  </r>
  <r>
    <s v="Refaturamento - Regular"/>
    <x v="2"/>
    <x v="3"/>
    <x v="3"/>
    <x v="3"/>
    <x v="0"/>
    <x v="1"/>
    <x v="0"/>
    <x v="8"/>
    <n v="0"/>
    <n v="0"/>
    <n v="-6.84"/>
    <n v="-6.84"/>
    <n v="-6.84"/>
    <n v="-6.84"/>
    <n v="-59"/>
    <s v="CATIVO"/>
    <n v="0"/>
    <n v="0"/>
    <n v="28"/>
    <n v="81"/>
    <n v="0"/>
    <n v="132.01"/>
    <n v="37.729999999999997"/>
    <m/>
    <n v="139.20836400191462"/>
    <n v="78.601718356605559"/>
    <n v="0"/>
    <n v="-2156.1732000000002"/>
    <n v="0"/>
    <n v="-2766.8103604742305"/>
    <x v="4"/>
  </r>
  <r>
    <s v="Regular"/>
    <x v="2"/>
    <x v="3"/>
    <x v="3"/>
    <x v="3"/>
    <x v="0"/>
    <x v="1"/>
    <x v="0"/>
    <x v="9"/>
    <n v="0"/>
    <n v="0"/>
    <n v="1680.2909999999999"/>
    <n v="1680.2909999999999"/>
    <n v="1680.2909999999999"/>
    <n v="1680.2909999999999"/>
    <n v="6635"/>
    <s v="CATIVO"/>
    <n v="0"/>
    <n v="0"/>
    <n v="28"/>
    <n v="81"/>
    <n v="0"/>
    <n v="132.01"/>
    <n v="37.729999999999997"/>
    <m/>
    <n v="139.20836400191462"/>
    <n v="78.601718356605559"/>
    <n v="0"/>
    <n v="529678.13193000003"/>
    <n v="0"/>
    <n v="679685.1677502346"/>
    <x v="4"/>
  </r>
  <r>
    <s v="Refaturamento - Regular"/>
    <x v="2"/>
    <x v="3"/>
    <x v="3"/>
    <x v="3"/>
    <x v="0"/>
    <x v="1"/>
    <x v="0"/>
    <x v="9"/>
    <n v="0"/>
    <n v="0"/>
    <n v="-11.98"/>
    <n v="-11.98"/>
    <n v="-11.98"/>
    <n v="-11.98"/>
    <n v="-228"/>
    <s v="CATIVO"/>
    <n v="0"/>
    <n v="0"/>
    <n v="28"/>
    <n v="81"/>
    <n v="0"/>
    <n v="132.01"/>
    <n v="37.729999999999997"/>
    <m/>
    <n v="139.20836400191462"/>
    <n v="78.601718356605559"/>
    <n v="0"/>
    <n v="-3776.4554000000003"/>
    <n v="0"/>
    <n v="-4845.9631752165615"/>
    <x v="4"/>
  </r>
  <r>
    <s v="Regular"/>
    <x v="2"/>
    <x v="3"/>
    <x v="3"/>
    <x v="3"/>
    <x v="0"/>
    <x v="1"/>
    <x v="0"/>
    <x v="10"/>
    <n v="0"/>
    <n v="0"/>
    <n v="2223.8090000000002"/>
    <n v="2223.8090000000002"/>
    <n v="2223.8090000000002"/>
    <n v="2223.8090000000002"/>
    <n v="6831"/>
    <s v="CATIVO"/>
    <n v="0"/>
    <n v="0"/>
    <n v="28"/>
    <n v="81"/>
    <n v="0"/>
    <n v="132.01"/>
    <n v="37.729999999999997"/>
    <m/>
    <n v="139.20836400191462"/>
    <n v="78.601718356605559"/>
    <n v="0"/>
    <n v="701011.31107000005"/>
    <n v="0"/>
    <n v="899540.61124500562"/>
    <x v="4"/>
  </r>
  <r>
    <s v="Refaturamento - Regular"/>
    <x v="2"/>
    <x v="3"/>
    <x v="3"/>
    <x v="3"/>
    <x v="0"/>
    <x v="1"/>
    <x v="0"/>
    <x v="10"/>
    <n v="0"/>
    <n v="0"/>
    <n v="-11.718"/>
    <n v="-11.718"/>
    <n v="-11.718"/>
    <n v="-11.718"/>
    <n v="-21"/>
    <s v="CATIVO"/>
    <n v="0"/>
    <n v="0"/>
    <n v="28"/>
    <n v="81"/>
    <n v="0"/>
    <n v="132.01"/>
    <n v="37.729999999999997"/>
    <m/>
    <n v="139.20836400191462"/>
    <n v="78.601718356605559"/>
    <n v="0"/>
    <n v="-3693.8651400000003"/>
    <n v="0"/>
    <n v="-4739.9830122861158"/>
    <x v="4"/>
  </r>
  <r>
    <s v="PROJETADO"/>
    <x v="2"/>
    <x v="3"/>
    <x v="3"/>
    <x v="3"/>
    <x v="0"/>
    <x v="1"/>
    <x v="0"/>
    <x v="11"/>
    <n v="0"/>
    <n v="0"/>
    <n v="2223.8090000000002"/>
    <n v="2223.8090000000002"/>
    <n v="2223.8090000000002"/>
    <n v="2223.8090000000002"/>
    <n v="6831"/>
    <s v="CATIVO"/>
    <n v="0"/>
    <n v="0"/>
    <n v="28"/>
    <n v="81"/>
    <n v="0"/>
    <n v="132.01"/>
    <n v="37.729999999999997"/>
    <m/>
    <n v="139.20836400191462"/>
    <n v="78.601718356605559"/>
    <n v="0"/>
    <n v="701011.31107000005"/>
    <n v="0"/>
    <n v="899540.61124500562"/>
    <x v="4"/>
  </r>
  <r>
    <s v="PROJETADO"/>
    <x v="2"/>
    <x v="3"/>
    <x v="3"/>
    <x v="3"/>
    <x v="0"/>
    <x v="1"/>
    <x v="0"/>
    <x v="11"/>
    <n v="0"/>
    <n v="0"/>
    <n v="-11.718"/>
    <n v="-11.718"/>
    <n v="-11.718"/>
    <n v="-11.718"/>
    <n v="-21"/>
    <s v="CATIVO"/>
    <n v="0"/>
    <n v="0"/>
    <n v="28"/>
    <n v="81"/>
    <n v="0"/>
    <n v="132.01"/>
    <n v="37.729999999999997"/>
    <m/>
    <n v="139.20836400191462"/>
    <n v="78.601718356605559"/>
    <n v="0"/>
    <n v="-3693.8651400000003"/>
    <n v="0"/>
    <n v="-4739.9830122861158"/>
    <x v="4"/>
  </r>
  <r>
    <s v="Regular"/>
    <x v="2"/>
    <x v="3"/>
    <x v="3"/>
    <x v="4"/>
    <x v="0"/>
    <x v="1"/>
    <x v="0"/>
    <x v="0"/>
    <n v="0"/>
    <n v="0"/>
    <n v="1317.2180000000001"/>
    <n v="1317.2180000000001"/>
    <n v="1317.2180000000001"/>
    <n v="1317.2180000000001"/>
    <n v="5849"/>
    <s v="CATIVO"/>
    <n v="0"/>
    <n v="0"/>
    <n v="29"/>
    <n v="82"/>
    <n v="0"/>
    <n v="226.31"/>
    <n v="64.67"/>
    <m/>
    <n v="238.6429097175679"/>
    <n v="134.74580289703809"/>
    <n v="0"/>
    <n v="255527.11982000002"/>
    <n v="0"/>
    <n v="327889.55550185737"/>
    <x v="4"/>
  </r>
  <r>
    <s v="Refaturamento - Regular"/>
    <x v="2"/>
    <x v="3"/>
    <x v="3"/>
    <x v="4"/>
    <x v="0"/>
    <x v="1"/>
    <x v="0"/>
    <x v="0"/>
    <n v="0"/>
    <n v="0"/>
    <n v="-4.6029999999999998"/>
    <n v="-4.6029999999999998"/>
    <n v="-4.6029999999999998"/>
    <n v="-4.6029999999999998"/>
    <n v="16"/>
    <s v="CATIVO"/>
    <n v="0"/>
    <n v="0"/>
    <n v="29"/>
    <n v="82"/>
    <n v="0"/>
    <n v="226.31"/>
    <n v="64.67"/>
    <m/>
    <n v="238.6429097175679"/>
    <n v="134.74580289703809"/>
    <n v="0"/>
    <n v="-892.93597"/>
    <n v="0"/>
    <n v="-1145.8054961100208"/>
    <x v="4"/>
  </r>
  <r>
    <s v="Regular"/>
    <x v="2"/>
    <x v="3"/>
    <x v="3"/>
    <x v="4"/>
    <x v="0"/>
    <x v="1"/>
    <x v="0"/>
    <x v="1"/>
    <n v="0"/>
    <n v="0"/>
    <n v="1504.6690000000001"/>
    <n v="1504.6690000000001"/>
    <n v="1504.6690000000001"/>
    <n v="1504.6690000000001"/>
    <n v="7343"/>
    <s v="CATIVO"/>
    <n v="0"/>
    <n v="0"/>
    <n v="29"/>
    <n v="82"/>
    <n v="0"/>
    <n v="226.31"/>
    <n v="64.67"/>
    <m/>
    <n v="238.6429097175679"/>
    <n v="134.74580289703809"/>
    <n v="0"/>
    <n v="291890.73931000003"/>
    <n v="0"/>
    <n v="374550.94721407106"/>
    <x v="4"/>
  </r>
  <r>
    <s v="Refaturamento - Regular"/>
    <x v="2"/>
    <x v="3"/>
    <x v="3"/>
    <x v="4"/>
    <x v="0"/>
    <x v="1"/>
    <x v="0"/>
    <x v="1"/>
    <n v="0"/>
    <n v="0"/>
    <n v="-9.2029999999999994"/>
    <n v="-9.2029999999999994"/>
    <n v="-9.2029999999999994"/>
    <n v="-9.2029999999999994"/>
    <n v="-9"/>
    <s v="CATIVO"/>
    <n v="0"/>
    <n v="0"/>
    <n v="29"/>
    <n v="82"/>
    <n v="0"/>
    <n v="226.31"/>
    <n v="64.67"/>
    <m/>
    <n v="238.6429097175679"/>
    <n v="134.74580289703809"/>
    <n v="0"/>
    <n v="-1785.28997"/>
    <n v="0"/>
    <n v="-2290.8642147948121"/>
    <x v="4"/>
  </r>
  <r>
    <s v="Regular"/>
    <x v="2"/>
    <x v="3"/>
    <x v="3"/>
    <x v="4"/>
    <x v="0"/>
    <x v="1"/>
    <x v="0"/>
    <x v="2"/>
    <n v="0"/>
    <n v="0"/>
    <n v="1523.7850000000001"/>
    <n v="1523.7850000000001"/>
    <n v="1523.7850000000001"/>
    <n v="1523.7850000000001"/>
    <n v="8117"/>
    <s v="CATIVO"/>
    <n v="0"/>
    <n v="0"/>
    <n v="29"/>
    <n v="82"/>
    <n v="0"/>
    <n v="226.31"/>
    <n v="64.67"/>
    <m/>
    <n v="238.6429097175679"/>
    <n v="134.74580289703809"/>
    <n v="0"/>
    <n v="295599.05215"/>
    <n v="0"/>
    <n v="379309.41296763159"/>
    <x v="4"/>
  </r>
  <r>
    <s v="Refaturamento - Regular"/>
    <x v="2"/>
    <x v="3"/>
    <x v="3"/>
    <x v="4"/>
    <x v="0"/>
    <x v="1"/>
    <x v="0"/>
    <x v="2"/>
    <n v="0"/>
    <n v="0"/>
    <n v="-7.7850000000000001"/>
    <n v="-7.7850000000000001"/>
    <n v="-7.7850000000000001"/>
    <n v="-7.7850000000000001"/>
    <n v="14"/>
    <s v="CATIVO"/>
    <n v="0"/>
    <n v="0"/>
    <n v="29"/>
    <n v="82"/>
    <n v="0"/>
    <n v="226.31"/>
    <n v="64.67"/>
    <m/>
    <n v="238.6429097175679"/>
    <n v="134.74580289703809"/>
    <n v="0"/>
    <n v="-1510.2121500000001"/>
    <n v="0"/>
    <n v="-1937.887418469805"/>
    <x v="4"/>
  </r>
  <r>
    <s v="Regular"/>
    <x v="2"/>
    <x v="3"/>
    <x v="3"/>
    <x v="4"/>
    <x v="0"/>
    <x v="1"/>
    <x v="0"/>
    <x v="3"/>
    <n v="0"/>
    <n v="0"/>
    <n v="1548.165"/>
    <n v="1548.165"/>
    <n v="1548.165"/>
    <n v="1548.165"/>
    <n v="7631"/>
    <s v="CATIVO"/>
    <n v="0"/>
    <n v="0"/>
    <n v="29"/>
    <n v="82"/>
    <n v="0"/>
    <n v="226.31"/>
    <n v="64.67"/>
    <m/>
    <n v="238.6429097175679"/>
    <n v="134.74580289703809"/>
    <n v="0"/>
    <n v="300328.52834999998"/>
    <n v="0"/>
    <n v="385378.22417666094"/>
    <x v="4"/>
  </r>
  <r>
    <s v="Refaturamento - Regular"/>
    <x v="2"/>
    <x v="3"/>
    <x v="3"/>
    <x v="4"/>
    <x v="0"/>
    <x v="1"/>
    <x v="0"/>
    <x v="3"/>
    <n v="0"/>
    <n v="0"/>
    <n v="-14.787000000000001"/>
    <n v="-14.787000000000001"/>
    <n v="-14.787000000000001"/>
    <n v="-14.787000000000001"/>
    <n v="-63"/>
    <s v="CATIVO"/>
    <n v="0"/>
    <n v="0"/>
    <n v="29"/>
    <n v="82"/>
    <n v="0"/>
    <n v="226.31"/>
    <n v="64.67"/>
    <m/>
    <n v="238.6429097175679"/>
    <n v="134.74580289703809"/>
    <n v="0"/>
    <n v="-2868.5301300000001"/>
    <n v="0"/>
    <n v="-3680.8659289547854"/>
    <x v="4"/>
  </r>
  <r>
    <s v="Regular"/>
    <x v="2"/>
    <x v="3"/>
    <x v="3"/>
    <x v="4"/>
    <x v="0"/>
    <x v="1"/>
    <x v="0"/>
    <x v="4"/>
    <n v="0"/>
    <n v="0"/>
    <n v="1651.316"/>
    <n v="1651.316"/>
    <n v="1651.316"/>
    <n v="1651.316"/>
    <n v="8321"/>
    <s v="CATIVO"/>
    <n v="0"/>
    <n v="0"/>
    <n v="29"/>
    <n v="82"/>
    <n v="0"/>
    <n v="226.31"/>
    <n v="64.67"/>
    <m/>
    <n v="238.6429097175679"/>
    <n v="134.74580289703809"/>
    <n v="0"/>
    <n v="320338.79084000003"/>
    <n v="0"/>
    <n v="411055.17023993377"/>
    <x v="4"/>
  </r>
  <r>
    <s v="Refaturamento - Regular"/>
    <x v="2"/>
    <x v="3"/>
    <x v="3"/>
    <x v="4"/>
    <x v="0"/>
    <x v="1"/>
    <x v="0"/>
    <x v="4"/>
    <n v="0"/>
    <n v="0"/>
    <n v="-14.840999999999999"/>
    <n v="-14.840999999999999"/>
    <n v="-14.840999999999999"/>
    <n v="-14.840999999999999"/>
    <n v="-9"/>
    <s v="CATIVO"/>
    <n v="0"/>
    <n v="0"/>
    <n v="29"/>
    <n v="82"/>
    <n v="0"/>
    <n v="226.31"/>
    <n v="64.67"/>
    <m/>
    <n v="238.6429097175679"/>
    <n v="134.74580289703809"/>
    <n v="0"/>
    <n v="-2879.0055900000002"/>
    <n v="0"/>
    <n v="-3694.3079226089112"/>
    <x v="4"/>
  </r>
  <r>
    <s v="Regular"/>
    <x v="2"/>
    <x v="3"/>
    <x v="3"/>
    <x v="4"/>
    <x v="0"/>
    <x v="1"/>
    <x v="0"/>
    <x v="5"/>
    <n v="0"/>
    <n v="0"/>
    <n v="1662.25"/>
    <n v="1662.25"/>
    <n v="1662.25"/>
    <n v="1662.25"/>
    <n v="7645"/>
    <s v="CATIVO"/>
    <n v="0"/>
    <n v="0"/>
    <n v="29"/>
    <n v="82"/>
    <n v="0"/>
    <n v="226.31"/>
    <n v="64.67"/>
    <m/>
    <n v="238.6429097175679"/>
    <n v="134.74580289703809"/>
    <n v="0"/>
    <n v="322459.8775"/>
    <n v="0"/>
    <n v="413776.92502908583"/>
    <x v="4"/>
  </r>
  <r>
    <s v="Refaturamento - Regular"/>
    <x v="2"/>
    <x v="3"/>
    <x v="3"/>
    <x v="4"/>
    <x v="0"/>
    <x v="1"/>
    <x v="0"/>
    <x v="5"/>
    <n v="0"/>
    <n v="0"/>
    <n v="-8.1579999999999995"/>
    <n v="-8.1579999999999995"/>
    <n v="-8.1579999999999995"/>
    <n v="-8.1579999999999995"/>
    <n v="9"/>
    <s v="CATIVO"/>
    <n v="0"/>
    <n v="0"/>
    <n v="29"/>
    <n v="82"/>
    <n v="0"/>
    <n v="226.31"/>
    <n v="64.67"/>
    <m/>
    <n v="238.6429097175679"/>
    <n v="134.74580289703809"/>
    <n v="0"/>
    <n v="-1582.57042"/>
    <n v="0"/>
    <n v="-2030.7367450066367"/>
    <x v="4"/>
  </r>
  <r>
    <s v="Regular"/>
    <x v="2"/>
    <x v="3"/>
    <x v="3"/>
    <x v="4"/>
    <x v="0"/>
    <x v="1"/>
    <x v="0"/>
    <x v="6"/>
    <n v="0"/>
    <n v="0"/>
    <n v="1752.2"/>
    <n v="1752.2"/>
    <n v="1752.2"/>
    <n v="1752.2"/>
    <n v="7669"/>
    <s v="CATIVO"/>
    <n v="0"/>
    <n v="0"/>
    <n v="29"/>
    <n v="82"/>
    <n v="0"/>
    <n v="226.31"/>
    <n v="64.67"/>
    <m/>
    <n v="238.6429097175679"/>
    <n v="134.74580289703809"/>
    <n v="0"/>
    <n v="339909.27800000005"/>
    <n v="0"/>
    <n v="436167.8014955417"/>
    <x v="4"/>
  </r>
  <r>
    <s v="Refaturamento - Regular"/>
    <x v="2"/>
    <x v="3"/>
    <x v="3"/>
    <x v="4"/>
    <x v="0"/>
    <x v="1"/>
    <x v="0"/>
    <x v="6"/>
    <n v="0"/>
    <n v="0"/>
    <n v="-8.2530000000000001"/>
    <n v="-8.2530000000000001"/>
    <n v="-8.2530000000000001"/>
    <n v="-8.2530000000000001"/>
    <n v="-51"/>
    <s v="CATIVO"/>
    <n v="0"/>
    <n v="0"/>
    <n v="29"/>
    <n v="82"/>
    <n v="0"/>
    <n v="226.31"/>
    <n v="64.67"/>
    <m/>
    <n v="238.6429097175679"/>
    <n v="134.74580289703809"/>
    <n v="0"/>
    <n v="-1600.9994700000002"/>
    <n v="0"/>
    <n v="-2054.3846968055618"/>
    <x v="4"/>
  </r>
  <r>
    <s v="Regular"/>
    <x v="2"/>
    <x v="3"/>
    <x v="3"/>
    <x v="4"/>
    <x v="0"/>
    <x v="1"/>
    <x v="0"/>
    <x v="7"/>
    <n v="0"/>
    <n v="0"/>
    <n v="1832.152"/>
    <n v="1832.152"/>
    <n v="1832.152"/>
    <n v="1832.152"/>
    <n v="7922"/>
    <s v="CATIVO"/>
    <n v="0"/>
    <n v="0"/>
    <n v="29"/>
    <n v="82"/>
    <n v="0"/>
    <n v="226.31"/>
    <n v="64.67"/>
    <m/>
    <n v="238.6429097175679"/>
    <n v="134.74580289703809"/>
    <n v="0"/>
    <n v="355419.16648000001"/>
    <n v="0"/>
    <n v="456069.91772951704"/>
    <x v="4"/>
  </r>
  <r>
    <s v="Refaturamento - Regular"/>
    <x v="2"/>
    <x v="3"/>
    <x v="3"/>
    <x v="4"/>
    <x v="0"/>
    <x v="1"/>
    <x v="0"/>
    <x v="7"/>
    <n v="0"/>
    <n v="0"/>
    <n v="-5.266"/>
    <n v="-5.266"/>
    <n v="-5.266"/>
    <n v="-5.266"/>
    <n v="-3"/>
    <s v="CATIVO"/>
    <n v="0"/>
    <n v="0"/>
    <n v="29"/>
    <n v="82"/>
    <n v="0"/>
    <n v="226.31"/>
    <n v="64.67"/>
    <m/>
    <n v="238.6429097175679"/>
    <n v="134.74580289703809"/>
    <n v="0"/>
    <n v="-1021.5513400000001"/>
    <n v="0"/>
    <n v="-1310.8433070856765"/>
    <x v="4"/>
  </r>
  <r>
    <s v="Regular"/>
    <x v="2"/>
    <x v="3"/>
    <x v="3"/>
    <x v="4"/>
    <x v="0"/>
    <x v="1"/>
    <x v="0"/>
    <x v="8"/>
    <n v="0"/>
    <n v="0"/>
    <n v="1927.788"/>
    <n v="1927.788"/>
    <n v="1927.788"/>
    <n v="1927.788"/>
    <n v="7662"/>
    <s v="CATIVO"/>
    <n v="0"/>
    <n v="0"/>
    <n v="29"/>
    <n v="82"/>
    <n v="0"/>
    <n v="226.31"/>
    <n v="64.67"/>
    <m/>
    <n v="238.6429097175679"/>
    <n v="134.74580289703809"/>
    <n v="0"/>
    <n v="373971.59412000002"/>
    <n v="0"/>
    <n v="479876.18634259066"/>
    <x v="4"/>
  </r>
  <r>
    <s v="Refaturamento - Regular"/>
    <x v="2"/>
    <x v="3"/>
    <x v="3"/>
    <x v="4"/>
    <x v="0"/>
    <x v="1"/>
    <x v="0"/>
    <x v="8"/>
    <n v="0"/>
    <n v="0"/>
    <n v="-12.115"/>
    <n v="-12.115"/>
    <n v="-12.115"/>
    <n v="-12.115"/>
    <n v="17"/>
    <s v="CATIVO"/>
    <n v="0"/>
    <n v="0"/>
    <n v="29"/>
    <n v="82"/>
    <n v="0"/>
    <n v="226.31"/>
    <n v="64.67"/>
    <m/>
    <n v="238.6429097175679"/>
    <n v="134.74580289703809"/>
    <n v="0"/>
    <n v="-2350.18885"/>
    <n v="0"/>
    <n v="-3015.7361688839674"/>
    <x v="4"/>
  </r>
  <r>
    <s v="Regular"/>
    <x v="2"/>
    <x v="3"/>
    <x v="3"/>
    <x v="4"/>
    <x v="0"/>
    <x v="1"/>
    <x v="0"/>
    <x v="9"/>
    <n v="0"/>
    <n v="0"/>
    <n v="2150.6619999999998"/>
    <n v="2150.6619999999998"/>
    <n v="2150.6619999999998"/>
    <n v="2150.6619999999998"/>
    <n v="7870"/>
    <s v="CATIVO"/>
    <n v="0"/>
    <n v="0"/>
    <n v="29"/>
    <n v="82"/>
    <n v="0"/>
    <n v="226.31"/>
    <n v="64.67"/>
    <m/>
    <n v="238.6429097175679"/>
    <n v="134.74580289703809"/>
    <n v="0"/>
    <n v="417206.92137999996"/>
    <n v="0"/>
    <n v="535355.27696610242"/>
    <x v="4"/>
  </r>
  <r>
    <s v="Refaturamento - Regular"/>
    <x v="2"/>
    <x v="3"/>
    <x v="3"/>
    <x v="4"/>
    <x v="0"/>
    <x v="1"/>
    <x v="0"/>
    <x v="9"/>
    <n v="0"/>
    <n v="0"/>
    <n v="-6.8410000000000002"/>
    <n v="-6.8410000000000002"/>
    <n v="-6.8410000000000002"/>
    <n v="-6.8410000000000002"/>
    <n v="-117"/>
    <s v="CATIVO"/>
    <n v="0"/>
    <n v="0"/>
    <n v="29"/>
    <n v="82"/>
    <n v="0"/>
    <n v="226.31"/>
    <n v="64.67"/>
    <m/>
    <n v="238.6429097175679"/>
    <n v="134.74580289703809"/>
    <n v="0"/>
    <n v="-1327.0855900000001"/>
    <n v="0"/>
    <n v="-1702.9014553310128"/>
    <x v="4"/>
  </r>
  <r>
    <s v="Regular"/>
    <x v="2"/>
    <x v="3"/>
    <x v="3"/>
    <x v="4"/>
    <x v="0"/>
    <x v="1"/>
    <x v="0"/>
    <x v="10"/>
    <n v="0"/>
    <n v="0"/>
    <n v="2597.5"/>
    <n v="2597.5"/>
    <n v="2597.5"/>
    <n v="2597.5"/>
    <n v="8914"/>
    <s v="CATIVO"/>
    <n v="0"/>
    <n v="0"/>
    <n v="29"/>
    <n v="82"/>
    <n v="0"/>
    <n v="226.31"/>
    <n v="64.67"/>
    <m/>
    <n v="238.6429097175679"/>
    <n v="134.74580289703809"/>
    <n v="0"/>
    <n v="503889.02500000002"/>
    <n v="0"/>
    <n v="646584.78734429262"/>
    <x v="4"/>
  </r>
  <r>
    <s v="Refaturamento - Regular"/>
    <x v="2"/>
    <x v="3"/>
    <x v="3"/>
    <x v="4"/>
    <x v="0"/>
    <x v="1"/>
    <x v="0"/>
    <x v="10"/>
    <n v="0"/>
    <n v="0"/>
    <n v="-3.2989999999999999"/>
    <n v="-3.2989999999999999"/>
    <n v="-3.2989999999999999"/>
    <n v="-3.2989999999999999"/>
    <n v="8"/>
    <s v="CATIVO"/>
    <n v="0"/>
    <n v="0"/>
    <n v="29"/>
    <n v="82"/>
    <n v="0"/>
    <n v="226.31"/>
    <n v="64.67"/>
    <m/>
    <n v="238.6429097175679"/>
    <n v="134.74580289703809"/>
    <n v="0"/>
    <n v="-639.97301000000004"/>
    <n v="0"/>
    <n v="-821.20624194372328"/>
    <x v="4"/>
  </r>
  <r>
    <s v="PROJETADO"/>
    <x v="2"/>
    <x v="3"/>
    <x v="3"/>
    <x v="4"/>
    <x v="0"/>
    <x v="1"/>
    <x v="0"/>
    <x v="11"/>
    <n v="0"/>
    <n v="0"/>
    <n v="2597.5"/>
    <n v="2597.5"/>
    <n v="2597.5"/>
    <n v="2597.5"/>
    <n v="8914"/>
    <s v="CATIVO"/>
    <n v="0"/>
    <n v="0"/>
    <n v="29"/>
    <n v="82"/>
    <n v="0"/>
    <n v="226.31"/>
    <n v="64.67"/>
    <m/>
    <n v="238.6429097175679"/>
    <n v="134.74580289703809"/>
    <n v="0"/>
    <n v="503889.02500000002"/>
    <n v="0"/>
    <n v="646584.78734429262"/>
    <x v="4"/>
  </r>
  <r>
    <s v="PROJETADO"/>
    <x v="2"/>
    <x v="3"/>
    <x v="3"/>
    <x v="4"/>
    <x v="0"/>
    <x v="1"/>
    <x v="0"/>
    <x v="11"/>
    <n v="0"/>
    <n v="0"/>
    <n v="-3.2989999999999999"/>
    <n v="-3.2989999999999999"/>
    <n v="-3.2989999999999999"/>
    <n v="-3.2989999999999999"/>
    <n v="8"/>
    <s v="CATIVO"/>
    <n v="0"/>
    <n v="0"/>
    <n v="29"/>
    <n v="82"/>
    <n v="0"/>
    <n v="226.31"/>
    <n v="64.67"/>
    <m/>
    <n v="238.6429097175679"/>
    <n v="134.74580289703809"/>
    <n v="0"/>
    <n v="-639.97301000000004"/>
    <n v="0"/>
    <n v="-821.20624194372328"/>
    <x v="4"/>
  </r>
  <r>
    <s v="Regular"/>
    <x v="2"/>
    <x v="3"/>
    <x v="3"/>
    <x v="5"/>
    <x v="0"/>
    <x v="1"/>
    <x v="0"/>
    <x v="0"/>
    <n v="0"/>
    <n v="0"/>
    <n v="1446.778"/>
    <n v="1446.778"/>
    <n v="1446.778"/>
    <n v="1446.778"/>
    <n v="7434"/>
    <s v="CATIVO"/>
    <n v="0"/>
    <n v="0"/>
    <n v="32"/>
    <n v="83"/>
    <n v="0"/>
    <n v="339.46"/>
    <n v="97.01"/>
    <m/>
    <n v="357.9643645763519"/>
    <n v="202.11870434555718"/>
    <n v="0"/>
    <n v="70168.733000000066"/>
    <n v="0"/>
    <n v="90035.095809855615"/>
    <x v="4"/>
  </r>
  <r>
    <s v="Refaturamento - Regular"/>
    <x v="2"/>
    <x v="3"/>
    <x v="3"/>
    <x v="5"/>
    <x v="0"/>
    <x v="1"/>
    <x v="0"/>
    <x v="0"/>
    <n v="0"/>
    <n v="0"/>
    <n v="-7.7969999999999997"/>
    <n v="-7.7969999999999997"/>
    <n v="-7.7969999999999997"/>
    <n v="-7.7969999999999997"/>
    <n v="-9"/>
    <s v="CATIVO"/>
    <n v="0"/>
    <n v="0"/>
    <n v="32"/>
    <n v="83"/>
    <n v="0"/>
    <n v="339.46"/>
    <n v="97.01"/>
    <m/>
    <n v="357.9643645763519"/>
    <n v="202.11870434555718"/>
    <n v="0"/>
    <n v="-378.15450000000033"/>
    <n v="0"/>
    <n v="-485.21863204267981"/>
    <x v="4"/>
  </r>
  <r>
    <s v="Regular"/>
    <x v="2"/>
    <x v="3"/>
    <x v="3"/>
    <x v="5"/>
    <x v="0"/>
    <x v="1"/>
    <x v="0"/>
    <x v="1"/>
    <n v="0"/>
    <n v="0"/>
    <n v="1583.713"/>
    <n v="1583.713"/>
    <n v="1583.713"/>
    <n v="1583.713"/>
    <n v="8831"/>
    <s v="CATIVO"/>
    <n v="0"/>
    <n v="0"/>
    <n v="32"/>
    <n v="83"/>
    <n v="0"/>
    <n v="339.46"/>
    <n v="97.01"/>
    <m/>
    <n v="357.9643645763519"/>
    <n v="202.11870434555718"/>
    <n v="0"/>
    <n v="76810.080500000069"/>
    <n v="0"/>
    <n v="98556.759703502452"/>
    <x v="4"/>
  </r>
  <r>
    <s v="Refaturamento - Regular"/>
    <x v="2"/>
    <x v="3"/>
    <x v="3"/>
    <x v="5"/>
    <x v="0"/>
    <x v="1"/>
    <x v="0"/>
    <x v="1"/>
    <n v="0"/>
    <n v="0"/>
    <n v="-14.875999999999999"/>
    <n v="-14.875999999999999"/>
    <n v="-14.875999999999999"/>
    <n v="-14.875999999999999"/>
    <n v="-28"/>
    <s v="CATIVO"/>
    <n v="0"/>
    <n v="0"/>
    <n v="32"/>
    <n v="83"/>
    <n v="0"/>
    <n v="339.46"/>
    <n v="97.01"/>
    <m/>
    <n v="357.9643645763519"/>
    <n v="202.11870434555718"/>
    <n v="0"/>
    <n v="-721.48600000000056"/>
    <n v="0"/>
    <n v="-925.75508147581183"/>
    <x v="4"/>
  </r>
  <r>
    <s v="Regular"/>
    <x v="2"/>
    <x v="3"/>
    <x v="3"/>
    <x v="5"/>
    <x v="0"/>
    <x v="1"/>
    <x v="0"/>
    <x v="2"/>
    <n v="0"/>
    <n v="0"/>
    <n v="1502.5309999999999"/>
    <n v="1502.5309999999999"/>
    <n v="1502.5309999999999"/>
    <n v="1502.5309999999999"/>
    <n v="9634"/>
    <s v="CATIVO"/>
    <n v="0"/>
    <n v="0"/>
    <n v="32"/>
    <n v="83"/>
    <n v="0"/>
    <n v="339.46"/>
    <n v="97.01"/>
    <m/>
    <n v="357.9643645763519"/>
    <n v="202.11870434555718"/>
    <n v="0"/>
    <n v="72872.753500000064"/>
    <n v="0"/>
    <n v="93504.685958922622"/>
    <x v="4"/>
  </r>
  <r>
    <s v="Refaturamento - Regular"/>
    <x v="2"/>
    <x v="3"/>
    <x v="3"/>
    <x v="5"/>
    <x v="0"/>
    <x v="1"/>
    <x v="0"/>
    <x v="2"/>
    <n v="0"/>
    <n v="0"/>
    <n v="-10.614000000000001"/>
    <n v="-10.614000000000001"/>
    <n v="-10.614000000000001"/>
    <n v="-10.614000000000001"/>
    <n v="-19"/>
    <s v="CATIVO"/>
    <n v="0"/>
    <n v="0"/>
    <n v="32"/>
    <n v="83"/>
    <n v="0"/>
    <n v="339.46"/>
    <n v="97.01"/>
    <m/>
    <n v="357.9643645763519"/>
    <n v="202.11870434555718"/>
    <n v="0"/>
    <n v="-514.77900000000045"/>
    <n v="0"/>
    <n v="-660.52463261523712"/>
    <x v="4"/>
  </r>
  <r>
    <s v="Regular"/>
    <x v="2"/>
    <x v="3"/>
    <x v="3"/>
    <x v="5"/>
    <x v="0"/>
    <x v="1"/>
    <x v="0"/>
    <x v="3"/>
    <n v="0"/>
    <n v="0"/>
    <n v="1598.336"/>
    <n v="1598.336"/>
    <n v="1598.336"/>
    <n v="1598.336"/>
    <n v="9376"/>
    <s v="CATIVO"/>
    <n v="0"/>
    <n v="0"/>
    <n v="32"/>
    <n v="83"/>
    <n v="0"/>
    <n v="339.46"/>
    <n v="97.01"/>
    <m/>
    <n v="357.9643645763519"/>
    <n v="202.11870434555718"/>
    <n v="0"/>
    <n v="77519.296000000075"/>
    <n v="0"/>
    <n v="99466.770227596338"/>
    <x v="4"/>
  </r>
  <r>
    <s v="Refaturamento - Regular"/>
    <x v="2"/>
    <x v="3"/>
    <x v="3"/>
    <x v="5"/>
    <x v="0"/>
    <x v="1"/>
    <x v="0"/>
    <x v="3"/>
    <n v="0"/>
    <n v="0"/>
    <n v="-18.271999999999998"/>
    <n v="-18.271999999999998"/>
    <n v="-18.271999999999998"/>
    <n v="-18.271999999999998"/>
    <n v="-46"/>
    <s v="CATIVO"/>
    <n v="0"/>
    <n v="0"/>
    <n v="32"/>
    <n v="83"/>
    <n v="0"/>
    <n v="339.46"/>
    <n v="97.01"/>
    <m/>
    <n v="357.9643645763519"/>
    <n v="202.11870434555718"/>
    <n v="0"/>
    <n v="-886.19200000000069"/>
    <n v="0"/>
    <n v="-1137.0930928156786"/>
    <x v="4"/>
  </r>
  <r>
    <s v="Regular"/>
    <x v="2"/>
    <x v="3"/>
    <x v="3"/>
    <x v="5"/>
    <x v="0"/>
    <x v="1"/>
    <x v="0"/>
    <x v="4"/>
    <n v="0"/>
    <n v="0"/>
    <n v="1669.4960000000001"/>
    <n v="1669.4960000000001"/>
    <n v="1669.4960000000001"/>
    <n v="1669.4960000000001"/>
    <n v="10349"/>
    <s v="CATIVO"/>
    <n v="0"/>
    <n v="0"/>
    <n v="32"/>
    <n v="83"/>
    <n v="0"/>
    <n v="339.46"/>
    <n v="97.01"/>
    <m/>
    <n v="357.9643645763519"/>
    <n v="202.11870434555718"/>
    <n v="0"/>
    <n v="80970.55600000007"/>
    <n v="0"/>
    <n v="103895.16035920558"/>
    <x v="4"/>
  </r>
  <r>
    <s v="Refaturamento - Regular"/>
    <x v="2"/>
    <x v="3"/>
    <x v="3"/>
    <x v="5"/>
    <x v="0"/>
    <x v="1"/>
    <x v="0"/>
    <x v="4"/>
    <n v="0"/>
    <n v="0"/>
    <n v="-22.542000000000002"/>
    <n v="-22.542000000000002"/>
    <n v="-22.542000000000002"/>
    <n v="-22.542000000000002"/>
    <n v="-23"/>
    <s v="CATIVO"/>
    <n v="0"/>
    <n v="0"/>
    <n v="32"/>
    <n v="83"/>
    <n v="0"/>
    <n v="339.46"/>
    <n v="97.01"/>
    <m/>
    <n v="357.9643645763519"/>
    <n v="202.11870434555718"/>
    <n v="0"/>
    <n v="-1093.2870000000009"/>
    <n v="0"/>
    <n v="-1402.8213932930728"/>
    <x v="4"/>
  </r>
  <r>
    <s v="Regular"/>
    <x v="2"/>
    <x v="3"/>
    <x v="3"/>
    <x v="5"/>
    <x v="0"/>
    <x v="1"/>
    <x v="0"/>
    <x v="5"/>
    <n v="0"/>
    <n v="0"/>
    <n v="1776.654"/>
    <n v="1776.654"/>
    <n v="1776.654"/>
    <n v="1776.654"/>
    <n v="9812"/>
    <s v="CATIVO"/>
    <n v="0"/>
    <n v="0"/>
    <n v="32"/>
    <n v="83"/>
    <n v="0"/>
    <n v="339.46"/>
    <n v="97.01"/>
    <m/>
    <n v="357.9643645763519"/>
    <n v="202.11870434555718"/>
    <n v="0"/>
    <n v="86167.71900000007"/>
    <n v="0"/>
    <n v="110563.75830359821"/>
    <x v="4"/>
  </r>
  <r>
    <s v="Refaturamento - Regular"/>
    <x v="2"/>
    <x v="3"/>
    <x v="3"/>
    <x v="5"/>
    <x v="0"/>
    <x v="1"/>
    <x v="0"/>
    <x v="5"/>
    <n v="0"/>
    <n v="0"/>
    <n v="-13.287000000000001"/>
    <n v="-13.287000000000001"/>
    <n v="-13.287000000000001"/>
    <n v="-13.287000000000001"/>
    <n v="-16"/>
    <s v="CATIVO"/>
    <n v="0"/>
    <n v="0"/>
    <n v="32"/>
    <n v="83"/>
    <n v="0"/>
    <n v="339.46"/>
    <n v="97.01"/>
    <m/>
    <n v="357.9643645763519"/>
    <n v="202.11870434555718"/>
    <n v="0"/>
    <n v="-644.41950000000065"/>
    <n v="0"/>
    <n v="-826.86930408504384"/>
    <x v="4"/>
  </r>
  <r>
    <s v="Regular"/>
    <x v="2"/>
    <x v="3"/>
    <x v="3"/>
    <x v="5"/>
    <x v="0"/>
    <x v="1"/>
    <x v="0"/>
    <x v="6"/>
    <n v="0"/>
    <n v="0"/>
    <n v="1894.8389999999999"/>
    <n v="1894.8389999999999"/>
    <n v="1894.8389999999999"/>
    <n v="1894.8389999999999"/>
    <n v="10274"/>
    <s v="CATIVO"/>
    <n v="0"/>
    <n v="0"/>
    <n v="32"/>
    <n v="83"/>
    <n v="0"/>
    <n v="339.46"/>
    <n v="97.01"/>
    <m/>
    <n v="357.9643645763519"/>
    <n v="202.11870434555718"/>
    <n v="0"/>
    <n v="91899.691500000074"/>
    <n v="0"/>
    <n v="117918.5824703244"/>
    <x v="4"/>
  </r>
  <r>
    <s v="Refaturamento - Regular"/>
    <x v="2"/>
    <x v="3"/>
    <x v="3"/>
    <x v="5"/>
    <x v="0"/>
    <x v="1"/>
    <x v="0"/>
    <x v="6"/>
    <n v="0"/>
    <n v="0"/>
    <n v="-7.3659999999999997"/>
    <n v="-7.3659999999999997"/>
    <n v="-7.3659999999999997"/>
    <n v="-7.3659999999999997"/>
    <n v="-59"/>
    <s v="CATIVO"/>
    <n v="0"/>
    <n v="0"/>
    <n v="32"/>
    <n v="83"/>
    <n v="0"/>
    <n v="339.46"/>
    <n v="97.01"/>
    <m/>
    <n v="357.9643645763519"/>
    <n v="202.11870434555718"/>
    <n v="0"/>
    <n v="-357.25100000000032"/>
    <n v="0"/>
    <n v="-458.39687618653062"/>
    <x v="4"/>
  </r>
  <r>
    <s v="Regular"/>
    <x v="2"/>
    <x v="3"/>
    <x v="3"/>
    <x v="5"/>
    <x v="0"/>
    <x v="1"/>
    <x v="0"/>
    <x v="7"/>
    <n v="0"/>
    <n v="0"/>
    <n v="1965.155"/>
    <n v="1965.155"/>
    <n v="1965.155"/>
    <n v="1965.155"/>
    <n v="10991"/>
    <s v="CATIVO"/>
    <n v="0"/>
    <n v="0"/>
    <n v="32"/>
    <n v="83"/>
    <n v="0"/>
    <n v="339.46"/>
    <n v="97.01"/>
    <m/>
    <n v="357.9643645763519"/>
    <n v="202.11870434555718"/>
    <n v="0"/>
    <n v="95310.017500000089"/>
    <n v="0"/>
    <n v="122294.44925635918"/>
    <x v="4"/>
  </r>
  <r>
    <s v="Refaturamento - Regular"/>
    <x v="2"/>
    <x v="3"/>
    <x v="3"/>
    <x v="5"/>
    <x v="0"/>
    <x v="1"/>
    <x v="0"/>
    <x v="7"/>
    <n v="0"/>
    <n v="0"/>
    <n v="-6.7290000000000001"/>
    <n v="-6.7290000000000001"/>
    <n v="-6.7290000000000001"/>
    <n v="-6.7290000000000001"/>
    <n v="-41"/>
    <s v="CATIVO"/>
    <n v="0"/>
    <n v="0"/>
    <n v="32"/>
    <n v="83"/>
    <n v="0"/>
    <n v="339.46"/>
    <n v="97.01"/>
    <m/>
    <n v="357.9643645763519"/>
    <n v="202.11870434555718"/>
    <n v="0"/>
    <n v="-326.35650000000027"/>
    <n v="0"/>
    <n v="-418.75544119728005"/>
    <x v="4"/>
  </r>
  <r>
    <s v="Regular"/>
    <x v="2"/>
    <x v="3"/>
    <x v="3"/>
    <x v="5"/>
    <x v="0"/>
    <x v="1"/>
    <x v="0"/>
    <x v="8"/>
    <n v="0"/>
    <n v="0"/>
    <n v="2148.2510000000002"/>
    <n v="2148.2510000000002"/>
    <n v="2148.2510000000002"/>
    <n v="2148.2510000000002"/>
    <n v="10981"/>
    <s v="CATIVO"/>
    <n v="0"/>
    <n v="0"/>
    <n v="32"/>
    <n v="83"/>
    <n v="0"/>
    <n v="339.46"/>
    <n v="97.01"/>
    <m/>
    <n v="357.9643645763519"/>
    <n v="202.11870434555718"/>
    <n v="0"/>
    <n v="104190.17350000011"/>
    <n v="0"/>
    <n v="133688.77921050647"/>
    <x v="4"/>
  </r>
  <r>
    <s v="Refaturamento - Regular"/>
    <x v="2"/>
    <x v="3"/>
    <x v="3"/>
    <x v="5"/>
    <x v="0"/>
    <x v="1"/>
    <x v="0"/>
    <x v="8"/>
    <n v="0"/>
    <n v="0"/>
    <n v="-17.472999999999999"/>
    <n v="-17.472999999999999"/>
    <n v="-17.472999999999999"/>
    <n v="-17.472999999999999"/>
    <n v="-79"/>
    <s v="CATIVO"/>
    <n v="0"/>
    <n v="0"/>
    <n v="32"/>
    <n v="83"/>
    <n v="0"/>
    <n v="339.46"/>
    <n v="97.01"/>
    <m/>
    <n v="357.9643645763519"/>
    <n v="202.11870434555718"/>
    <n v="0"/>
    <n v="-847.44050000000072"/>
    <n v="0"/>
    <n v="-1087.3701625858334"/>
    <x v="4"/>
  </r>
  <r>
    <s v="Regular"/>
    <x v="2"/>
    <x v="3"/>
    <x v="3"/>
    <x v="5"/>
    <x v="0"/>
    <x v="1"/>
    <x v="0"/>
    <x v="9"/>
    <n v="0"/>
    <n v="0"/>
    <n v="2478.875"/>
    <n v="2478.875"/>
    <n v="2478.875"/>
    <n v="2478.875"/>
    <n v="11784"/>
    <s v="CATIVO"/>
    <n v="0"/>
    <n v="0"/>
    <n v="32"/>
    <n v="83"/>
    <n v="0"/>
    <n v="339.46"/>
    <n v="97.01"/>
    <m/>
    <n v="357.9643645763519"/>
    <n v="202.11870434555718"/>
    <n v="0"/>
    <n v="120225.4375000001"/>
    <n v="0"/>
    <n v="154263.99083042168"/>
    <x v="4"/>
  </r>
  <r>
    <s v="Refaturamento - Regular"/>
    <x v="2"/>
    <x v="3"/>
    <x v="3"/>
    <x v="5"/>
    <x v="0"/>
    <x v="1"/>
    <x v="0"/>
    <x v="9"/>
    <n v="0"/>
    <n v="0"/>
    <n v="-6.4969999999999999"/>
    <n v="-6.4969999999999999"/>
    <n v="-6.4969999999999999"/>
    <n v="-6.4969999999999999"/>
    <n v="-8"/>
    <s v="CATIVO"/>
    <n v="0"/>
    <n v="0"/>
    <n v="32"/>
    <n v="83"/>
    <n v="0"/>
    <n v="339.46"/>
    <n v="97.01"/>
    <m/>
    <n v="357.9643645763519"/>
    <n v="202.11870434555718"/>
    <n v="0"/>
    <n v="-315.10450000000026"/>
    <n v="0"/>
    <n v="-404.31774430951532"/>
    <x v="4"/>
  </r>
  <r>
    <s v="Regular"/>
    <x v="2"/>
    <x v="3"/>
    <x v="3"/>
    <x v="5"/>
    <x v="0"/>
    <x v="1"/>
    <x v="0"/>
    <x v="10"/>
    <n v="0"/>
    <n v="0"/>
    <n v="3078.2750000000001"/>
    <n v="3078.2750000000001"/>
    <n v="3078.2750000000001"/>
    <n v="3078.2750000000001"/>
    <n v="13481"/>
    <s v="CATIVO"/>
    <n v="0"/>
    <n v="0"/>
    <n v="32"/>
    <n v="83"/>
    <n v="0"/>
    <n v="339.46"/>
    <n v="97.01"/>
    <m/>
    <n v="357.9643645763519"/>
    <n v="202.11870434555718"/>
    <n v="0"/>
    <n v="149296.33750000014"/>
    <n v="0"/>
    <n v="191565.52322062079"/>
    <x v="4"/>
  </r>
  <r>
    <s v="Refaturamento - Regular"/>
    <x v="2"/>
    <x v="3"/>
    <x v="3"/>
    <x v="5"/>
    <x v="0"/>
    <x v="1"/>
    <x v="0"/>
    <x v="10"/>
    <n v="0"/>
    <n v="0"/>
    <n v="-6.1369999999999996"/>
    <n v="-6.1369999999999996"/>
    <n v="-6.1369999999999996"/>
    <n v="-6.1369999999999996"/>
    <n v="4"/>
    <s v="CATIVO"/>
    <n v="0"/>
    <n v="0"/>
    <n v="32"/>
    <n v="83"/>
    <n v="0"/>
    <n v="339.46"/>
    <n v="97.01"/>
    <m/>
    <n v="357.9643645763519"/>
    <n v="202.11870434555718"/>
    <n v="0"/>
    <n v="-297.64450000000022"/>
    <n v="0"/>
    <n v="-381.91442155263894"/>
    <x v="4"/>
  </r>
  <r>
    <s v="PROJETADO"/>
    <x v="2"/>
    <x v="3"/>
    <x v="3"/>
    <x v="5"/>
    <x v="0"/>
    <x v="1"/>
    <x v="0"/>
    <x v="11"/>
    <n v="0"/>
    <n v="0"/>
    <n v="3078.2750000000001"/>
    <n v="3078.2750000000001"/>
    <n v="3078.2750000000001"/>
    <n v="3078.2750000000001"/>
    <n v="13481"/>
    <s v="CATIVO"/>
    <n v="0"/>
    <n v="0"/>
    <n v="32"/>
    <n v="83"/>
    <n v="0"/>
    <n v="339.46"/>
    <n v="97.01"/>
    <m/>
    <n v="357.9643645763519"/>
    <n v="202.11870434555718"/>
    <n v="0"/>
    <n v="149296.33750000014"/>
    <n v="0"/>
    <n v="191565.52322062079"/>
    <x v="4"/>
  </r>
  <r>
    <s v="PROJETADO"/>
    <x v="2"/>
    <x v="3"/>
    <x v="3"/>
    <x v="5"/>
    <x v="0"/>
    <x v="1"/>
    <x v="0"/>
    <x v="11"/>
    <n v="0"/>
    <n v="0"/>
    <n v="-6.1369999999999996"/>
    <n v="-6.1369999999999996"/>
    <n v="-6.1369999999999996"/>
    <n v="-6.1369999999999996"/>
    <n v="4"/>
    <s v="CATIVO"/>
    <n v="0"/>
    <n v="0"/>
    <n v="32"/>
    <n v="83"/>
    <n v="0"/>
    <n v="339.46"/>
    <n v="97.01"/>
    <m/>
    <n v="357.9643645763519"/>
    <n v="202.11870434555718"/>
    <n v="0"/>
    <n v="-297.64450000000022"/>
    <n v="0"/>
    <n v="-381.91442155263894"/>
    <x v="4"/>
  </r>
  <r>
    <s v="Regular"/>
    <x v="2"/>
    <x v="3"/>
    <x v="3"/>
    <x v="6"/>
    <x v="0"/>
    <x v="1"/>
    <x v="0"/>
    <x v="0"/>
    <n v="0"/>
    <n v="0"/>
    <n v="1796.682"/>
    <n v="1796.682"/>
    <n v="1796.682"/>
    <n v="1796.682"/>
    <n v="8573"/>
    <s v="CATIVO"/>
    <n v="0"/>
    <n v="0"/>
    <n v="33"/>
    <n v="84"/>
    <n v="0"/>
    <n v="377.18"/>
    <n v="107.79"/>
    <m/>
    <n v="397.7381828626132"/>
    <n v="224.57633816173018"/>
    <n v="0"/>
    <n v="2.5532386871418567E-11"/>
    <n v="0"/>
    <n v="-1.0212954748567427E-10"/>
    <x v="4"/>
  </r>
  <r>
    <s v="Refaturamento - Regular"/>
    <x v="2"/>
    <x v="3"/>
    <x v="3"/>
    <x v="6"/>
    <x v="0"/>
    <x v="1"/>
    <x v="0"/>
    <x v="0"/>
    <n v="0"/>
    <n v="0"/>
    <n v="-12.752000000000001"/>
    <n v="-12.752000000000001"/>
    <n v="-12.752000000000001"/>
    <n v="-12.752000000000001"/>
    <n v="-62"/>
    <s v="CATIVO"/>
    <n v="0"/>
    <n v="0"/>
    <n v="33"/>
    <n v="84"/>
    <n v="0"/>
    <n v="377.18"/>
    <n v="107.79"/>
    <m/>
    <n v="397.7381828626132"/>
    <n v="224.57633816173018"/>
    <n v="0"/>
    <n v="-1.8121681932825596E-13"/>
    <n v="0"/>
    <n v="7.2486727731302384E-13"/>
    <x v="4"/>
  </r>
  <r>
    <s v="Regular"/>
    <x v="2"/>
    <x v="3"/>
    <x v="3"/>
    <x v="6"/>
    <x v="0"/>
    <x v="1"/>
    <x v="0"/>
    <x v="1"/>
    <n v="0"/>
    <n v="0"/>
    <n v="1846.6020000000001"/>
    <n v="1846.6020000000001"/>
    <n v="1846.6020000000001"/>
    <n v="1846.6020000000001"/>
    <n v="9123"/>
    <s v="CATIVO"/>
    <n v="0"/>
    <n v="0"/>
    <n v="33"/>
    <n v="84"/>
    <n v="0"/>
    <n v="377.18"/>
    <n v="107.79"/>
    <m/>
    <n v="397.7381828626132"/>
    <n v="224.57633816173018"/>
    <n v="0"/>
    <n v="2.6241792738801452E-11"/>
    <n v="0"/>
    <n v="-1.0496717095520581E-10"/>
    <x v="4"/>
  </r>
  <r>
    <s v="Refaturamento - Regular"/>
    <x v="2"/>
    <x v="3"/>
    <x v="3"/>
    <x v="6"/>
    <x v="0"/>
    <x v="1"/>
    <x v="0"/>
    <x v="1"/>
    <n v="0"/>
    <n v="0"/>
    <n v="-55.451000000000001"/>
    <n v="-55.451000000000001"/>
    <n v="-55.451000000000001"/>
    <n v="-55.451000000000001"/>
    <n v="-99"/>
    <s v="CATIVO"/>
    <n v="0"/>
    <n v="0"/>
    <n v="33"/>
    <n v="84"/>
    <n v="0"/>
    <n v="377.18"/>
    <n v="107.79"/>
    <m/>
    <n v="397.7381828626132"/>
    <n v="224.57633816173018"/>
    <n v="0"/>
    <n v="-7.8800610481266632E-13"/>
    <n v="0"/>
    <n v="3.1520244192506653E-12"/>
    <x v="4"/>
  </r>
  <r>
    <s v="Regular"/>
    <x v="2"/>
    <x v="3"/>
    <x v="3"/>
    <x v="6"/>
    <x v="0"/>
    <x v="1"/>
    <x v="0"/>
    <x v="2"/>
    <n v="0"/>
    <n v="0"/>
    <n v="1427.7460000000001"/>
    <n v="1427.7460000000001"/>
    <n v="1427.7460000000001"/>
    <n v="1427.7460000000001"/>
    <n v="8158"/>
    <s v="CATIVO"/>
    <n v="0"/>
    <n v="0"/>
    <n v="33"/>
    <n v="84"/>
    <n v="0"/>
    <n v="377.18"/>
    <n v="107.79"/>
    <m/>
    <n v="397.7381828626132"/>
    <n v="224.57633816173018"/>
    <n v="0"/>
    <n v="2.0289490976210801E-11"/>
    <n v="0"/>
    <n v="-8.1157963904843205E-11"/>
    <x v="4"/>
  </r>
  <r>
    <s v="Refaturamento - Regular"/>
    <x v="2"/>
    <x v="3"/>
    <x v="3"/>
    <x v="6"/>
    <x v="0"/>
    <x v="1"/>
    <x v="0"/>
    <x v="2"/>
    <n v="0"/>
    <n v="0"/>
    <n v="-59.71"/>
    <n v="-59.71"/>
    <n v="-59.71"/>
    <n v="-59.71"/>
    <n v="-81"/>
    <s v="CATIVO"/>
    <n v="0"/>
    <n v="0"/>
    <n v="33"/>
    <n v="84"/>
    <n v="0"/>
    <n v="377.18"/>
    <n v="107.79"/>
    <m/>
    <n v="397.7381828626132"/>
    <n v="224.57633816173018"/>
    <n v="0"/>
    <n v="-8.4853013504471165E-13"/>
    <n v="0"/>
    <n v="3.3941205401788466E-12"/>
    <x v="4"/>
  </r>
  <r>
    <s v="Regular"/>
    <x v="2"/>
    <x v="3"/>
    <x v="3"/>
    <x v="6"/>
    <x v="0"/>
    <x v="1"/>
    <x v="0"/>
    <x v="3"/>
    <n v="0"/>
    <n v="0"/>
    <n v="1669.0609999999999"/>
    <n v="1669.0609999999999"/>
    <n v="1669.0609999999999"/>
    <n v="1669.0609999999999"/>
    <n v="8976"/>
    <s v="CATIVO"/>
    <n v="0"/>
    <n v="0"/>
    <n v="33"/>
    <n v="84"/>
    <n v="0"/>
    <n v="377.18"/>
    <n v="107.79"/>
    <m/>
    <n v="397.7381828626132"/>
    <n v="224.57633816173018"/>
    <n v="0"/>
    <n v="2.371878338180977E-11"/>
    <n v="0"/>
    <n v="-9.4875133527239082E-11"/>
    <x v="4"/>
  </r>
  <r>
    <s v="Refaturamento - Regular"/>
    <x v="2"/>
    <x v="3"/>
    <x v="3"/>
    <x v="6"/>
    <x v="0"/>
    <x v="1"/>
    <x v="0"/>
    <x v="3"/>
    <n v="0"/>
    <n v="0"/>
    <n v="-164.14400000000001"/>
    <n v="-164.14400000000001"/>
    <n v="-164.14400000000001"/>
    <n v="-164.14400000000001"/>
    <n v="-127"/>
    <s v="CATIVO"/>
    <n v="0"/>
    <n v="0"/>
    <n v="33"/>
    <n v="84"/>
    <n v="0"/>
    <n v="377.18"/>
    <n v="107.79"/>
    <m/>
    <n v="397.7381828626132"/>
    <n v="224.57633816173018"/>
    <n v="0"/>
    <n v="-2.3326265363721178E-12"/>
    <n v="0"/>
    <n v="9.3305061454884711E-12"/>
    <x v="4"/>
  </r>
  <r>
    <s v="Regular"/>
    <x v="2"/>
    <x v="3"/>
    <x v="3"/>
    <x v="6"/>
    <x v="0"/>
    <x v="1"/>
    <x v="0"/>
    <x v="4"/>
    <n v="0"/>
    <n v="0"/>
    <n v="1654.9190000000001"/>
    <n v="1654.9190000000001"/>
    <n v="1654.9190000000001"/>
    <n v="1654.9190000000001"/>
    <n v="9165"/>
    <s v="CATIVO"/>
    <n v="0"/>
    <n v="0"/>
    <n v="33"/>
    <n v="84"/>
    <n v="0"/>
    <n v="377.18"/>
    <n v="107.79"/>
    <m/>
    <n v="397.7381828626132"/>
    <n v="224.57633816173018"/>
    <n v="0"/>
    <n v="2.3517813474427386E-11"/>
    <n v="0"/>
    <n v="-9.4071253897709545E-11"/>
    <x v="4"/>
  </r>
  <r>
    <s v="Refaturamento - Regular"/>
    <x v="2"/>
    <x v="3"/>
    <x v="3"/>
    <x v="6"/>
    <x v="0"/>
    <x v="1"/>
    <x v="0"/>
    <x v="4"/>
    <n v="0"/>
    <n v="0"/>
    <n v="-69.838999999999999"/>
    <n v="-69.838999999999999"/>
    <n v="-69.838999999999999"/>
    <n v="-69.838999999999999"/>
    <n v="-174"/>
    <s v="CATIVO"/>
    <n v="0"/>
    <n v="0"/>
    <n v="33"/>
    <n v="84"/>
    <n v="0"/>
    <n v="377.18"/>
    <n v="107.79"/>
    <m/>
    <n v="397.7381828626132"/>
    <n v="224.57633816173018"/>
    <n v="0"/>
    <n v="-9.9247188245499272E-13"/>
    <n v="0"/>
    <n v="3.9698875298199709E-12"/>
    <x v="4"/>
  </r>
  <r>
    <s v="Regular"/>
    <x v="2"/>
    <x v="3"/>
    <x v="3"/>
    <x v="6"/>
    <x v="0"/>
    <x v="1"/>
    <x v="0"/>
    <x v="5"/>
    <n v="0"/>
    <n v="0"/>
    <n v="2099.8310000000001"/>
    <n v="2099.8310000000001"/>
    <n v="2099.8310000000001"/>
    <n v="2099.8310000000001"/>
    <n v="10220"/>
    <s v="CATIVO"/>
    <n v="0"/>
    <n v="0"/>
    <n v="33"/>
    <n v="84"/>
    <n v="0"/>
    <n v="377.18"/>
    <n v="107.79"/>
    <m/>
    <n v="397.7381828626132"/>
    <n v="224.57633816173018"/>
    <n v="0"/>
    <n v="2.9840393267477341E-11"/>
    <n v="0"/>
    <n v="-1.1936157306990936E-10"/>
    <x v="4"/>
  </r>
  <r>
    <s v="Refaturamento - Regular"/>
    <x v="2"/>
    <x v="3"/>
    <x v="3"/>
    <x v="6"/>
    <x v="0"/>
    <x v="1"/>
    <x v="0"/>
    <x v="5"/>
    <n v="0"/>
    <n v="0"/>
    <n v="-39.298000000000002"/>
    <n v="-39.298000000000002"/>
    <n v="-39.298000000000002"/>
    <n v="-39.298000000000002"/>
    <n v="-100"/>
    <s v="CATIVO"/>
    <n v="0"/>
    <n v="0"/>
    <n v="33"/>
    <n v="84"/>
    <n v="0"/>
    <n v="377.18"/>
    <n v="107.79"/>
    <m/>
    <n v="397.7381828626132"/>
    <n v="224.57633816173018"/>
    <n v="0"/>
    <n v="-5.5845816859800837E-13"/>
    <n v="0"/>
    <n v="2.2338326743920335E-12"/>
    <x v="4"/>
  </r>
  <r>
    <s v="Regular"/>
    <x v="2"/>
    <x v="3"/>
    <x v="3"/>
    <x v="6"/>
    <x v="0"/>
    <x v="1"/>
    <x v="0"/>
    <x v="6"/>
    <n v="0"/>
    <n v="0"/>
    <n v="2218.1909999999998"/>
    <n v="2218.1909999999998"/>
    <n v="2218.1909999999998"/>
    <n v="2218.1909999999998"/>
    <n v="10963"/>
    <s v="CATIVO"/>
    <n v="0"/>
    <n v="0"/>
    <n v="33"/>
    <n v="84"/>
    <n v="0"/>
    <n v="377.18"/>
    <n v="107.79"/>
    <m/>
    <n v="397.7381828626132"/>
    <n v="224.57633816173018"/>
    <n v="0"/>
    <n v="3.1522390031568645E-11"/>
    <n v="0"/>
    <n v="-1.2608956012627458E-10"/>
    <x v="4"/>
  </r>
  <r>
    <s v="Refaturamento - Regular"/>
    <x v="2"/>
    <x v="3"/>
    <x v="3"/>
    <x v="6"/>
    <x v="0"/>
    <x v="1"/>
    <x v="0"/>
    <x v="6"/>
    <n v="0"/>
    <n v="0"/>
    <n v="-16.390999999999998"/>
    <n v="-16.390999999999998"/>
    <n v="-16.390999999999998"/>
    <n v="-16.390999999999998"/>
    <n v="-38"/>
    <s v="CATIVO"/>
    <n v="0"/>
    <n v="0"/>
    <n v="33"/>
    <n v="84"/>
    <n v="0"/>
    <n v="377.18"/>
    <n v="107.79"/>
    <m/>
    <n v="397.7381828626132"/>
    <n v="224.57633816173018"/>
    <n v="0"/>
    <n v="-2.3293011963687602E-13"/>
    <n v="0"/>
    <n v="9.3172047854750407E-13"/>
    <x v="4"/>
  </r>
  <r>
    <s v="Regular"/>
    <x v="2"/>
    <x v="3"/>
    <x v="3"/>
    <x v="6"/>
    <x v="0"/>
    <x v="1"/>
    <x v="0"/>
    <x v="7"/>
    <n v="0"/>
    <n v="0"/>
    <n v="2324.4229999999998"/>
    <n v="2324.4229999999998"/>
    <n v="2324.4229999999998"/>
    <n v="2324.4229999999998"/>
    <n v="11246"/>
    <s v="CATIVO"/>
    <n v="0"/>
    <n v="0"/>
    <n v="33"/>
    <n v="84"/>
    <n v="0"/>
    <n v="377.18"/>
    <n v="107.79"/>
    <m/>
    <n v="397.7381828626132"/>
    <n v="224.57633816173018"/>
    <n v="0"/>
    <n v="3.3032037549673984E-11"/>
    <n v="0"/>
    <n v="-1.3212815019869594E-10"/>
    <x v="4"/>
  </r>
  <r>
    <s v="Refaturamento - Regular"/>
    <x v="2"/>
    <x v="3"/>
    <x v="3"/>
    <x v="6"/>
    <x v="0"/>
    <x v="1"/>
    <x v="0"/>
    <x v="7"/>
    <n v="0"/>
    <n v="0"/>
    <n v="-36.485999999999997"/>
    <n v="-36.485999999999997"/>
    <n v="-36.485999999999997"/>
    <n v="-36.485999999999997"/>
    <n v="-37"/>
    <s v="CATIVO"/>
    <n v="0"/>
    <n v="0"/>
    <n v="33"/>
    <n v="84"/>
    <n v="0"/>
    <n v="377.18"/>
    <n v="107.79"/>
    <m/>
    <n v="397.7381828626132"/>
    <n v="224.57633816173018"/>
    <n v="0"/>
    <n v="-5.1849724513886027E-13"/>
    <n v="0"/>
    <n v="2.0739889805554411E-12"/>
    <x v="4"/>
  </r>
  <r>
    <s v="Regular"/>
    <x v="2"/>
    <x v="3"/>
    <x v="3"/>
    <x v="6"/>
    <x v="0"/>
    <x v="1"/>
    <x v="0"/>
    <x v="8"/>
    <n v="0"/>
    <n v="0"/>
    <n v="2751.3339999999998"/>
    <n v="2751.3339999999998"/>
    <n v="2751.3339999999998"/>
    <n v="2751.3339999999998"/>
    <n v="12752"/>
    <s v="CATIVO"/>
    <n v="0"/>
    <n v="0"/>
    <n v="33"/>
    <n v="84"/>
    <n v="0"/>
    <n v="377.18"/>
    <n v="107.79"/>
    <m/>
    <n v="397.7381828626132"/>
    <n v="224.57633816173018"/>
    <n v="0"/>
    <n v="3.9098807746995587E-11"/>
    <n v="0"/>
    <n v="-1.5639523098798235E-10"/>
    <x v="4"/>
  </r>
  <r>
    <s v="Refaturamento - Regular"/>
    <x v="2"/>
    <x v="3"/>
    <x v="3"/>
    <x v="6"/>
    <x v="0"/>
    <x v="1"/>
    <x v="0"/>
    <x v="8"/>
    <n v="0"/>
    <n v="0"/>
    <n v="-76.405000000000001"/>
    <n v="-76.405000000000001"/>
    <n v="-76.405000000000001"/>
    <n v="-76.405000000000001"/>
    <n v="-98"/>
    <s v="CATIVO"/>
    <n v="0"/>
    <n v="0"/>
    <n v="33"/>
    <n v="84"/>
    <n v="0"/>
    <n v="377.18"/>
    <n v="107.79"/>
    <m/>
    <n v="397.7381828626132"/>
    <n v="224.57633816173018"/>
    <n v="0"/>
    <n v="-1.0857803545150091E-12"/>
    <n v="0"/>
    <n v="4.3431214180600364E-12"/>
    <x v="4"/>
  </r>
  <r>
    <s v="Regular"/>
    <x v="2"/>
    <x v="3"/>
    <x v="3"/>
    <x v="6"/>
    <x v="0"/>
    <x v="1"/>
    <x v="0"/>
    <x v="9"/>
    <n v="0"/>
    <n v="0"/>
    <n v="3566.9639999999999"/>
    <n v="3566.9639999999999"/>
    <n v="3566.9639999999999"/>
    <n v="3566.9639999999999"/>
    <n v="15120"/>
    <s v="CATIVO"/>
    <n v="0"/>
    <n v="0"/>
    <n v="33"/>
    <n v="84"/>
    <n v="0"/>
    <n v="377.18"/>
    <n v="107.79"/>
    <m/>
    <n v="397.7381828626132"/>
    <n v="224.57633816173018"/>
    <n v="0"/>
    <n v="5.0689607178355799E-11"/>
    <n v="0"/>
    <n v="-2.027584287134232E-10"/>
    <x v="4"/>
  </r>
  <r>
    <s v="Refaturamento - Regular"/>
    <x v="2"/>
    <x v="3"/>
    <x v="3"/>
    <x v="6"/>
    <x v="0"/>
    <x v="1"/>
    <x v="0"/>
    <x v="9"/>
    <n v="0"/>
    <n v="0"/>
    <n v="-29.074000000000002"/>
    <n v="-29.074000000000002"/>
    <n v="-29.074000000000002"/>
    <n v="-29.074000000000002"/>
    <n v="-53"/>
    <s v="CATIVO"/>
    <n v="0"/>
    <n v="0"/>
    <n v="33"/>
    <n v="84"/>
    <n v="0"/>
    <n v="377.18"/>
    <n v="107.79"/>
    <m/>
    <n v="397.7381828626132"/>
    <n v="224.57633816173018"/>
    <n v="0"/>
    <n v="-4.1316638998978308E-13"/>
    <n v="0"/>
    <n v="1.6526655599591323E-12"/>
    <x v="4"/>
  </r>
  <r>
    <s v="Regular"/>
    <x v="2"/>
    <x v="3"/>
    <x v="3"/>
    <x v="6"/>
    <x v="0"/>
    <x v="1"/>
    <x v="0"/>
    <x v="10"/>
    <n v="0"/>
    <n v="0"/>
    <n v="4809.5410000000002"/>
    <n v="4809.5410000000002"/>
    <n v="4809.5410000000002"/>
    <n v="4809.5410000000002"/>
    <n v="19336"/>
    <s v="CATIVO"/>
    <n v="0"/>
    <n v="0"/>
    <n v="33"/>
    <n v="84"/>
    <n v="0"/>
    <n v="377.18"/>
    <n v="107.79"/>
    <m/>
    <n v="397.7381828626132"/>
    <n v="224.57633816173018"/>
    <n v="0"/>
    <n v="6.8347688397807363E-11"/>
    <n v="0"/>
    <n v="-2.7339075359122945E-10"/>
    <x v="4"/>
  </r>
  <r>
    <s v="Refaturamento - Regular"/>
    <x v="2"/>
    <x v="3"/>
    <x v="3"/>
    <x v="6"/>
    <x v="0"/>
    <x v="1"/>
    <x v="0"/>
    <x v="10"/>
    <n v="0"/>
    <n v="0"/>
    <n v="-22.074000000000002"/>
    <n v="-22.074000000000002"/>
    <n v="-22.074000000000002"/>
    <n v="-22.074000000000002"/>
    <n v="-53"/>
    <s v="CATIVO"/>
    <n v="0"/>
    <n v="0"/>
    <n v="33"/>
    <n v="84"/>
    <n v="0"/>
    <n v="377.18"/>
    <n v="107.79"/>
    <m/>
    <n v="397.7381828626132"/>
    <n v="224.57633816173018"/>
    <n v="0"/>
    <n v="-3.1369040698336905E-13"/>
    <n v="0"/>
    <n v="1.2547616279334762E-12"/>
    <x v="4"/>
  </r>
  <r>
    <s v="PROJETADO"/>
    <x v="2"/>
    <x v="3"/>
    <x v="3"/>
    <x v="6"/>
    <x v="0"/>
    <x v="1"/>
    <x v="0"/>
    <x v="11"/>
    <n v="0"/>
    <n v="0"/>
    <n v="4809.5410000000002"/>
    <n v="4809.5410000000002"/>
    <n v="4809.5410000000002"/>
    <n v="4809.5410000000002"/>
    <n v="19336"/>
    <s v="CATIVO"/>
    <n v="0"/>
    <n v="0"/>
    <n v="33"/>
    <n v="84"/>
    <n v="0"/>
    <n v="377.18"/>
    <n v="107.79"/>
    <m/>
    <n v="397.7381828626132"/>
    <n v="224.57633816173018"/>
    <n v="0"/>
    <n v="6.8347688397807363E-11"/>
    <n v="0"/>
    <n v="-2.7339075359122945E-10"/>
    <x v="4"/>
  </r>
  <r>
    <s v="PROJETADO"/>
    <x v="2"/>
    <x v="3"/>
    <x v="3"/>
    <x v="6"/>
    <x v="0"/>
    <x v="1"/>
    <x v="0"/>
    <x v="11"/>
    <n v="0"/>
    <n v="0"/>
    <n v="-22.074000000000002"/>
    <n v="-22.074000000000002"/>
    <n v="-22.074000000000002"/>
    <n v="-22.074000000000002"/>
    <n v="-53"/>
    <s v="CATIVO"/>
    <n v="0"/>
    <n v="0"/>
    <n v="33"/>
    <n v="84"/>
    <n v="0"/>
    <n v="377.18"/>
    <n v="107.79"/>
    <m/>
    <n v="397.7381828626132"/>
    <n v="224.57633816173018"/>
    <n v="0"/>
    <n v="-3.1369040698336905E-13"/>
    <n v="0"/>
    <n v="1.2547616279334762E-12"/>
    <x v="4"/>
  </r>
  <r>
    <s v="Regular"/>
    <x v="3"/>
    <x v="3"/>
    <x v="4"/>
    <x v="0"/>
    <x v="0"/>
    <x v="1"/>
    <x v="0"/>
    <x v="0"/>
    <n v="0"/>
    <n v="0"/>
    <n v="352.37299999999999"/>
    <n v="352.37299999999999"/>
    <n v="352.37299999999999"/>
    <n v="352.37299999999999"/>
    <n v="2547"/>
    <s v="CATIVO"/>
    <n v="0"/>
    <n v="0"/>
    <n v="51"/>
    <n v="93"/>
    <n v="0"/>
    <n v="380.18"/>
    <n v="94.86"/>
    <m/>
    <n v="467.65743031473551"/>
    <n v="211.10175787202635"/>
    <n v="0"/>
    <n v="22823.199209999977"/>
    <n v="0"/>
    <n v="15266.579452272399"/>
    <x v="5"/>
  </r>
  <r>
    <s v="Refaturamento - Regular"/>
    <x v="3"/>
    <x v="3"/>
    <x v="4"/>
    <x v="0"/>
    <x v="0"/>
    <x v="1"/>
    <x v="0"/>
    <x v="0"/>
    <n v="0"/>
    <n v="0"/>
    <n v="-3.8420000000000001"/>
    <n v="-3.8420000000000001"/>
    <n v="-3.8420000000000001"/>
    <n v="-3.8420000000000001"/>
    <n v="-3"/>
    <s v="CATIVO"/>
    <n v="0"/>
    <n v="0"/>
    <n v="51"/>
    <n v="93"/>
    <n v="0"/>
    <n v="380.18"/>
    <n v="94.86"/>
    <m/>
    <n v="467.65743031473551"/>
    <n v="211.10175787202635"/>
    <n v="0"/>
    <n v="-248.84633999999977"/>
    <n v="0"/>
    <n v="-166.45485963916238"/>
    <x v="5"/>
  </r>
  <r>
    <s v="Sistema de Compensação"/>
    <x v="3"/>
    <x v="3"/>
    <x v="4"/>
    <x v="0"/>
    <x v="0"/>
    <x v="1"/>
    <x v="0"/>
    <x v="0"/>
    <n v="0"/>
    <n v="0"/>
    <n v="2.8730000000000002"/>
    <n v="2.8730000000000002"/>
    <n v="2.8730000000000002"/>
    <n v="2.8730000000000002"/>
    <n v="4"/>
    <s v="CATIVO"/>
    <n v="0"/>
    <n v="0"/>
    <n v="51"/>
    <n v="93"/>
    <n v="0"/>
    <n v="380.18"/>
    <n v="94.86"/>
    <m/>
    <n v="467.65743031473551"/>
    <n v="211.10175787202635"/>
    <n v="0"/>
    <n v="186.08420999999984"/>
    <n v="0"/>
    <n v="124.47288176556833"/>
    <x v="5"/>
  </r>
  <r>
    <s v="Regular"/>
    <x v="3"/>
    <x v="3"/>
    <x v="4"/>
    <x v="0"/>
    <x v="0"/>
    <x v="1"/>
    <x v="0"/>
    <x v="1"/>
    <n v="0"/>
    <n v="0"/>
    <n v="337.36799999999999"/>
    <n v="337.36799999999999"/>
    <n v="337.36799999999999"/>
    <n v="337.36799999999999"/>
    <n v="2401"/>
    <s v="CATIVO"/>
    <n v="0"/>
    <n v="0"/>
    <n v="51"/>
    <n v="93"/>
    <n v="0"/>
    <n v="380.18"/>
    <n v="94.86"/>
    <m/>
    <n v="467.65743031473551"/>
    <n v="211.10175787202635"/>
    <n v="0"/>
    <n v="21851.325359999981"/>
    <n v="0"/>
    <n v="14616.487008522887"/>
    <x v="5"/>
  </r>
  <r>
    <s v="Refaturamento - Regular"/>
    <x v="3"/>
    <x v="3"/>
    <x v="4"/>
    <x v="0"/>
    <x v="0"/>
    <x v="1"/>
    <x v="0"/>
    <x v="1"/>
    <n v="0"/>
    <n v="0"/>
    <n v="-2.2610000000000001"/>
    <n v="-2.2610000000000001"/>
    <n v="-2.2610000000000001"/>
    <n v="-2.2610000000000001"/>
    <n v="2"/>
    <s v="CATIVO"/>
    <n v="0"/>
    <n v="0"/>
    <n v="51"/>
    <n v="93"/>
    <n v="0"/>
    <n v="380.18"/>
    <n v="94.86"/>
    <m/>
    <n v="467.65743031473551"/>
    <n v="211.10175787202635"/>
    <n v="0"/>
    <n v="-146.44496999999987"/>
    <n v="0"/>
    <n v="-97.957948371719453"/>
    <x v="5"/>
  </r>
  <r>
    <s v="Sistema de Compensação"/>
    <x v="3"/>
    <x v="3"/>
    <x v="4"/>
    <x v="0"/>
    <x v="0"/>
    <x v="1"/>
    <x v="0"/>
    <x v="1"/>
    <n v="0"/>
    <n v="0"/>
    <n v="3.2839999999999998"/>
    <n v="3.2839999999999998"/>
    <n v="3.2839999999999998"/>
    <n v="3.2839999999999998"/>
    <n v="4"/>
    <s v="CATIVO"/>
    <n v="0"/>
    <n v="0"/>
    <n v="51"/>
    <n v="93"/>
    <n v="0"/>
    <n v="380.18"/>
    <n v="94.86"/>
    <m/>
    <n v="467.65743031473551"/>
    <n v="211.10175787202635"/>
    <n v="0"/>
    <n v="212.7046799999998"/>
    <n v="0"/>
    <n v="142.27947919182958"/>
    <x v="5"/>
  </r>
  <r>
    <s v="Regular"/>
    <x v="3"/>
    <x v="3"/>
    <x v="4"/>
    <x v="0"/>
    <x v="0"/>
    <x v="1"/>
    <x v="0"/>
    <x v="2"/>
    <n v="0"/>
    <n v="0"/>
    <n v="284.05799999999999"/>
    <n v="284.05799999999999"/>
    <n v="284.05799999999999"/>
    <n v="284.05799999999999"/>
    <n v="2362"/>
    <s v="CATIVO"/>
    <n v="0"/>
    <n v="0"/>
    <n v="51"/>
    <n v="93"/>
    <n v="0"/>
    <n v="380.18"/>
    <n v="94.86"/>
    <m/>
    <n v="467.65743031473551"/>
    <n v="211.10175787202635"/>
    <n v="0"/>
    <n v="18398.436659999981"/>
    <n v="0"/>
    <n v="12306.828349656736"/>
    <x v="5"/>
  </r>
  <r>
    <s v="Refaturamento - Regular"/>
    <x v="3"/>
    <x v="3"/>
    <x v="4"/>
    <x v="0"/>
    <x v="0"/>
    <x v="1"/>
    <x v="0"/>
    <x v="2"/>
    <n v="0"/>
    <n v="0"/>
    <n v="-29.545000000000002"/>
    <n v="-29.545000000000002"/>
    <n v="-29.545000000000002"/>
    <n v="-29.545000000000002"/>
    <n v="4"/>
    <s v="CATIVO"/>
    <n v="0"/>
    <n v="0"/>
    <n v="51"/>
    <n v="93"/>
    <n v="0"/>
    <n v="380.18"/>
    <n v="94.86"/>
    <m/>
    <n v="467.65743031473551"/>
    <n v="211.10175787202635"/>
    <n v="0"/>
    <n v="-1913.6296499999983"/>
    <n v="0"/>
    <n v="-1280.03873712625"/>
    <x v="5"/>
  </r>
  <r>
    <s v="Sistema de Compensação"/>
    <x v="3"/>
    <x v="3"/>
    <x v="4"/>
    <x v="0"/>
    <x v="0"/>
    <x v="1"/>
    <x v="0"/>
    <x v="2"/>
    <n v="0"/>
    <n v="0"/>
    <n v="4.9169999999999998"/>
    <n v="4.9169999999999998"/>
    <n v="4.9169999999999998"/>
    <n v="4.9169999999999998"/>
    <n v="4"/>
    <s v="CATIVO"/>
    <n v="0"/>
    <n v="0"/>
    <n v="51"/>
    <n v="93"/>
    <n v="0"/>
    <n v="380.18"/>
    <n v="94.86"/>
    <m/>
    <n v="467.65743031473551"/>
    <n v="211.10175787202635"/>
    <n v="0"/>
    <n v="318.47408999999971"/>
    <n v="0"/>
    <n v="213.02929329665835"/>
    <x v="5"/>
  </r>
  <r>
    <s v="Regular"/>
    <x v="3"/>
    <x v="3"/>
    <x v="4"/>
    <x v="0"/>
    <x v="0"/>
    <x v="1"/>
    <x v="0"/>
    <x v="3"/>
    <n v="0"/>
    <n v="0"/>
    <n v="315.51100000000002"/>
    <n v="315.51100000000002"/>
    <n v="315.51100000000002"/>
    <n v="315.51100000000002"/>
    <n v="2441"/>
    <s v="CATIVO"/>
    <n v="0"/>
    <n v="0"/>
    <n v="51"/>
    <n v="93"/>
    <n v="0"/>
    <n v="380.18"/>
    <n v="94.86"/>
    <m/>
    <n v="467.65743031473551"/>
    <n v="211.10175787202635"/>
    <n v="0"/>
    <n v="20435.647469999982"/>
    <n v="0"/>
    <n v="13669.531290893223"/>
    <x v="5"/>
  </r>
  <r>
    <s v="Refaturamento - Regular"/>
    <x v="3"/>
    <x v="3"/>
    <x v="4"/>
    <x v="0"/>
    <x v="0"/>
    <x v="1"/>
    <x v="0"/>
    <x v="3"/>
    <n v="0"/>
    <n v="0"/>
    <n v="-10.433999999999999"/>
    <n v="-10.433999999999999"/>
    <n v="-10.433999999999999"/>
    <n v="-10.433999999999999"/>
    <n v="0"/>
    <s v="CATIVO"/>
    <n v="0"/>
    <n v="0"/>
    <n v="51"/>
    <n v="93"/>
    <n v="0"/>
    <n v="380.18"/>
    <n v="94.86"/>
    <m/>
    <n v="467.65743031473551"/>
    <n v="211.10175787202635"/>
    <n v="0"/>
    <n v="-675.81017999999926"/>
    <n v="0"/>
    <n v="-452.05361933238419"/>
    <x v="5"/>
  </r>
  <r>
    <s v="Sistema de Compensação"/>
    <x v="3"/>
    <x v="3"/>
    <x v="4"/>
    <x v="0"/>
    <x v="0"/>
    <x v="1"/>
    <x v="0"/>
    <x v="3"/>
    <n v="0"/>
    <n v="0"/>
    <n v="2.7290000000000001"/>
    <n v="2.7290000000000001"/>
    <n v="2.7290000000000001"/>
    <n v="2.7290000000000001"/>
    <n v="4"/>
    <s v="CATIVO"/>
    <n v="0"/>
    <n v="0"/>
    <n v="51"/>
    <n v="93"/>
    <n v="0"/>
    <n v="380.18"/>
    <n v="94.86"/>
    <m/>
    <n v="467.65743031473551"/>
    <n v="211.10175787202635"/>
    <n v="0"/>
    <n v="176.75732999999985"/>
    <n v="0"/>
    <n v="118.23407390819212"/>
    <x v="5"/>
  </r>
  <r>
    <s v="Regular"/>
    <x v="3"/>
    <x v="3"/>
    <x v="4"/>
    <x v="0"/>
    <x v="0"/>
    <x v="1"/>
    <x v="0"/>
    <x v="4"/>
    <n v="0"/>
    <n v="0"/>
    <n v="305.85700000000003"/>
    <n v="305.85700000000003"/>
    <n v="305.85700000000003"/>
    <n v="305.85700000000003"/>
    <n v="2361"/>
    <s v="CATIVO"/>
    <n v="0"/>
    <n v="0"/>
    <n v="51"/>
    <n v="93"/>
    <n v="0"/>
    <n v="380.18"/>
    <n v="94.86"/>
    <m/>
    <n v="467.65743031473551"/>
    <n v="211.10175787202635"/>
    <n v="0"/>
    <n v="19810.357889999985"/>
    <n v="0"/>
    <n v="13251.271214121627"/>
    <x v="5"/>
  </r>
  <r>
    <s v="Refaturamento - Regular"/>
    <x v="3"/>
    <x v="3"/>
    <x v="4"/>
    <x v="0"/>
    <x v="0"/>
    <x v="1"/>
    <x v="0"/>
    <x v="4"/>
    <n v="0"/>
    <n v="0"/>
    <n v="-20.111999999999998"/>
    <n v="-20.111999999999998"/>
    <n v="-20.111999999999998"/>
    <n v="-20.111999999999998"/>
    <n v="-1"/>
    <s v="CATIVO"/>
    <n v="0"/>
    <n v="0"/>
    <n v="51"/>
    <n v="93"/>
    <n v="0"/>
    <n v="380.18"/>
    <n v="94.86"/>
    <m/>
    <n v="467.65743031473551"/>
    <n v="211.10175787202635"/>
    <n v="0"/>
    <n v="-1302.6542399999987"/>
    <n v="0"/>
    <n v="-871.35349741354332"/>
    <x v="5"/>
  </r>
  <r>
    <s v="Sistema de Compensação"/>
    <x v="3"/>
    <x v="3"/>
    <x v="4"/>
    <x v="0"/>
    <x v="0"/>
    <x v="1"/>
    <x v="0"/>
    <x v="4"/>
    <n v="0"/>
    <n v="0"/>
    <n v="2.37"/>
    <n v="2.37"/>
    <n v="2.37"/>
    <n v="2.37"/>
    <n v="4"/>
    <s v="CATIVO"/>
    <n v="0"/>
    <n v="0"/>
    <n v="51"/>
    <n v="93"/>
    <n v="0"/>
    <n v="380.18"/>
    <n v="94.86"/>
    <m/>
    <n v="467.65743031473551"/>
    <n v="211.10175787202635"/>
    <n v="0"/>
    <n v="153.50489999999985"/>
    <n v="0"/>
    <n v="102.68037931931671"/>
    <x v="5"/>
  </r>
  <r>
    <s v="Regular"/>
    <x v="3"/>
    <x v="3"/>
    <x v="4"/>
    <x v="0"/>
    <x v="0"/>
    <x v="1"/>
    <x v="0"/>
    <x v="5"/>
    <n v="0"/>
    <n v="0"/>
    <n v="329.78399999999999"/>
    <n v="329.78399999999999"/>
    <n v="329.78399999999999"/>
    <n v="329.78399999999999"/>
    <n v="2390"/>
    <s v="CATIVO"/>
    <n v="0"/>
    <n v="0"/>
    <n v="51"/>
    <n v="93"/>
    <n v="0"/>
    <n v="380.18"/>
    <n v="94.86"/>
    <m/>
    <n v="467.65743031473551"/>
    <n v="211.10175787202635"/>
    <n v="0"/>
    <n v="21360.10967999998"/>
    <n v="0"/>
    <n v="14287.909794701072"/>
    <x v="5"/>
  </r>
  <r>
    <s v="Refaturamento - Regular"/>
    <x v="3"/>
    <x v="3"/>
    <x v="4"/>
    <x v="0"/>
    <x v="0"/>
    <x v="1"/>
    <x v="0"/>
    <x v="5"/>
    <n v="0"/>
    <n v="0"/>
    <n v="-3.359"/>
    <n v="-3.359"/>
    <n v="-3.359"/>
    <n v="-3.359"/>
    <n v="-1"/>
    <s v="CATIVO"/>
    <n v="0"/>
    <n v="0"/>
    <n v="51"/>
    <n v="93"/>
    <n v="0"/>
    <n v="380.18"/>
    <n v="94.86"/>
    <m/>
    <n v="467.65743031473551"/>
    <n v="211.10175787202635"/>
    <n v="0"/>
    <n v="-217.56242999999981"/>
    <n v="0"/>
    <n v="-145.52885828421302"/>
    <x v="5"/>
  </r>
  <r>
    <s v="Sistema de Compensação"/>
    <x v="3"/>
    <x v="3"/>
    <x v="4"/>
    <x v="0"/>
    <x v="0"/>
    <x v="1"/>
    <x v="0"/>
    <x v="5"/>
    <n v="0"/>
    <n v="0"/>
    <n v="1.5449999999999999"/>
    <n v="1.5449999999999999"/>
    <n v="1.5449999999999999"/>
    <n v="1.5449999999999999"/>
    <n v="5"/>
    <s v="CATIVO"/>
    <n v="0"/>
    <n v="0"/>
    <n v="51"/>
    <n v="93"/>
    <n v="0"/>
    <n v="380.18"/>
    <n v="94.86"/>
    <m/>
    <n v="467.65743031473551"/>
    <n v="211.10175787202635"/>
    <n v="0"/>
    <n v="100.0696499999999"/>
    <n v="0"/>
    <n v="66.937209303098868"/>
    <x v="5"/>
  </r>
  <r>
    <s v="Regular"/>
    <x v="3"/>
    <x v="3"/>
    <x v="4"/>
    <x v="0"/>
    <x v="0"/>
    <x v="1"/>
    <x v="0"/>
    <x v="6"/>
    <n v="0"/>
    <n v="0"/>
    <n v="378.04899999999998"/>
    <n v="378.04899999999998"/>
    <n v="378.04899999999998"/>
    <n v="378.04899999999998"/>
    <n v="2428"/>
    <s v="CATIVO"/>
    <n v="0"/>
    <n v="0"/>
    <n v="51"/>
    <n v="93"/>
    <n v="0"/>
    <n v="380.18"/>
    <n v="94.86"/>
    <m/>
    <n v="467.65743031473551"/>
    <n v="211.10175787202635"/>
    <n v="0"/>
    <n v="24486.233729999974"/>
    <n v="0"/>
    <n v="16378.993553286229"/>
    <x v="5"/>
  </r>
  <r>
    <s v="Refaturamento - Regular"/>
    <x v="3"/>
    <x v="3"/>
    <x v="4"/>
    <x v="0"/>
    <x v="0"/>
    <x v="1"/>
    <x v="0"/>
    <x v="6"/>
    <n v="0"/>
    <n v="0"/>
    <n v="-1.4390000000000001"/>
    <n v="-1.4390000000000001"/>
    <n v="-1.4390000000000001"/>
    <n v="-1.4390000000000001"/>
    <n v="-70"/>
    <s v="CATIVO"/>
    <n v="0"/>
    <n v="0"/>
    <n v="51"/>
    <n v="93"/>
    <n v="0"/>
    <n v="380.18"/>
    <n v="94.86"/>
    <m/>
    <n v="467.65743031473551"/>
    <n v="211.10175787202635"/>
    <n v="0"/>
    <n v="-93.204029999999918"/>
    <n v="0"/>
    <n v="-62.344753519196942"/>
    <x v="5"/>
  </r>
  <r>
    <s v="Sistema de Compensação"/>
    <x v="3"/>
    <x v="3"/>
    <x v="4"/>
    <x v="0"/>
    <x v="0"/>
    <x v="1"/>
    <x v="0"/>
    <x v="6"/>
    <n v="0"/>
    <n v="0"/>
    <n v="1.83"/>
    <n v="1.83"/>
    <n v="1.83"/>
    <n v="1.83"/>
    <n v="5"/>
    <s v="CATIVO"/>
    <n v="0"/>
    <n v="0"/>
    <n v="51"/>
    <n v="93"/>
    <n v="0"/>
    <n v="380.18"/>
    <n v="94.86"/>
    <m/>
    <n v="467.65743031473551"/>
    <n v="211.10175787202635"/>
    <n v="0"/>
    <n v="118.5290999999999"/>
    <n v="0"/>
    <n v="79.284849854155951"/>
    <x v="5"/>
  </r>
  <r>
    <s v="Regular"/>
    <x v="3"/>
    <x v="3"/>
    <x v="4"/>
    <x v="0"/>
    <x v="0"/>
    <x v="1"/>
    <x v="0"/>
    <x v="7"/>
    <n v="0"/>
    <n v="0"/>
    <n v="368.03899999999999"/>
    <n v="368.03899999999999"/>
    <n v="368.03899999999999"/>
    <n v="368.03899999999999"/>
    <n v="2429"/>
    <s v="CATIVO"/>
    <n v="0"/>
    <n v="0"/>
    <n v="51"/>
    <n v="93"/>
    <n v="0"/>
    <n v="380.18"/>
    <n v="94.86"/>
    <m/>
    <n v="467.65743031473551"/>
    <n v="211.10175787202635"/>
    <n v="0"/>
    <n v="23837.886029999976"/>
    <n v="0"/>
    <n v="15945.309757089453"/>
    <x v="5"/>
  </r>
  <r>
    <s v="Refaturamento - Regular"/>
    <x v="3"/>
    <x v="3"/>
    <x v="4"/>
    <x v="0"/>
    <x v="0"/>
    <x v="1"/>
    <x v="0"/>
    <x v="7"/>
    <n v="0"/>
    <n v="0"/>
    <n v="-2.6469999999999998"/>
    <n v="-2.6469999999999998"/>
    <n v="-2.6469999999999998"/>
    <n v="-2.6469999999999998"/>
    <n v="3"/>
    <s v="CATIVO"/>
    <n v="0"/>
    <n v="0"/>
    <n v="51"/>
    <n v="93"/>
    <n v="0"/>
    <n v="380.18"/>
    <n v="94.86"/>
    <m/>
    <n v="467.65743031473551"/>
    <n v="211.10175787202635"/>
    <n v="0"/>
    <n v="-171.44618999999983"/>
    <n v="0"/>
    <n v="-114.68141943385288"/>
    <x v="5"/>
  </r>
  <r>
    <s v="Sistema de Compensação"/>
    <x v="3"/>
    <x v="3"/>
    <x v="4"/>
    <x v="0"/>
    <x v="0"/>
    <x v="1"/>
    <x v="0"/>
    <x v="7"/>
    <n v="0"/>
    <n v="0"/>
    <n v="1.6519999999999999"/>
    <n v="1.6519999999999999"/>
    <n v="1.6519999999999999"/>
    <n v="1.6519999999999999"/>
    <n v="5"/>
    <s v="CATIVO"/>
    <n v="0"/>
    <n v="0"/>
    <n v="51"/>
    <n v="93"/>
    <n v="0"/>
    <n v="380.18"/>
    <n v="94.86"/>
    <m/>
    <n v="467.65743031473551"/>
    <n v="211.10175787202635"/>
    <n v="0"/>
    <n v="107.0000399999999"/>
    <n v="0"/>
    <n v="71.57299014156591"/>
    <x v="5"/>
  </r>
  <r>
    <s v="Regular"/>
    <x v="3"/>
    <x v="3"/>
    <x v="4"/>
    <x v="0"/>
    <x v="0"/>
    <x v="1"/>
    <x v="0"/>
    <x v="8"/>
    <n v="0"/>
    <n v="0"/>
    <n v="357.86599999999999"/>
    <n v="357.86599999999999"/>
    <n v="357.86599999999999"/>
    <n v="357.86599999999999"/>
    <n v="2432"/>
    <s v="CATIVO"/>
    <n v="0"/>
    <n v="0"/>
    <n v="51"/>
    <n v="93"/>
    <n v="0"/>
    <n v="380.18"/>
    <n v="94.86"/>
    <m/>
    <n v="467.65743031473551"/>
    <n v="211.10175787202635"/>
    <n v="0"/>
    <n v="23178.980819999979"/>
    <n v="0"/>
    <n v="15504.563976998563"/>
    <x v="5"/>
  </r>
  <r>
    <s v="Refaturamento - Regular"/>
    <x v="3"/>
    <x v="3"/>
    <x v="4"/>
    <x v="0"/>
    <x v="0"/>
    <x v="1"/>
    <x v="0"/>
    <x v="8"/>
    <n v="0"/>
    <n v="0"/>
    <n v="0.192"/>
    <n v="0.192"/>
    <n v="0.192"/>
    <n v="0.192"/>
    <n v="1"/>
    <s v="CATIVO"/>
    <n v="0"/>
    <n v="0"/>
    <n v="51"/>
    <n v="93"/>
    <n v="0"/>
    <n v="380.18"/>
    <n v="94.86"/>
    <m/>
    <n v="467.65743031473551"/>
    <n v="211.10175787202635"/>
    <n v="0"/>
    <n v="12.435839999999988"/>
    <n v="0"/>
    <n v="8.318410476501608"/>
    <x v="5"/>
  </r>
  <r>
    <s v="Sistema de Compensação"/>
    <x v="3"/>
    <x v="3"/>
    <x v="4"/>
    <x v="0"/>
    <x v="0"/>
    <x v="1"/>
    <x v="0"/>
    <x v="8"/>
    <n v="0"/>
    <n v="0"/>
    <n v="2.2200000000000002"/>
    <n v="2.2200000000000002"/>
    <n v="2.2200000000000002"/>
    <n v="2.2200000000000002"/>
    <n v="6"/>
    <s v="CATIVO"/>
    <n v="0"/>
    <n v="0"/>
    <n v="51"/>
    <n v="93"/>
    <n v="0"/>
    <n v="380.18"/>
    <n v="94.86"/>
    <m/>
    <n v="467.65743031473551"/>
    <n v="211.10175787202635"/>
    <n v="0"/>
    <n v="143.78939999999989"/>
    <n v="0"/>
    <n v="96.181621134549843"/>
    <x v="5"/>
  </r>
  <r>
    <s v="Regular"/>
    <x v="3"/>
    <x v="3"/>
    <x v="4"/>
    <x v="0"/>
    <x v="0"/>
    <x v="1"/>
    <x v="0"/>
    <x v="9"/>
    <n v="0"/>
    <n v="0"/>
    <n v="383.43799999999999"/>
    <n v="383.43799999999999"/>
    <n v="383.43799999999999"/>
    <n v="383.43799999999999"/>
    <n v="2393"/>
    <s v="CATIVO"/>
    <n v="0"/>
    <n v="0"/>
    <n v="51"/>
    <n v="93"/>
    <n v="0"/>
    <n v="380.18"/>
    <n v="94.86"/>
    <m/>
    <n v="467.65743031473551"/>
    <n v="211.10175787202635"/>
    <n v="0"/>
    <n v="24835.279259999978"/>
    <n v="0"/>
    <n v="16612.472272337622"/>
    <x v="5"/>
  </r>
  <r>
    <s v="Refaturamento - Regular"/>
    <x v="3"/>
    <x v="3"/>
    <x v="4"/>
    <x v="0"/>
    <x v="0"/>
    <x v="1"/>
    <x v="0"/>
    <x v="9"/>
    <n v="0"/>
    <n v="0"/>
    <n v="-20.170999999999999"/>
    <n v="-20.170999999999999"/>
    <n v="-20.170999999999999"/>
    <n v="-20.170999999999999"/>
    <n v="-76"/>
    <s v="CATIVO"/>
    <n v="0"/>
    <n v="0"/>
    <n v="51"/>
    <n v="93"/>
    <n v="0"/>
    <n v="380.18"/>
    <n v="94.86"/>
    <m/>
    <n v="467.65743031473551"/>
    <n v="211.10175787202635"/>
    <n v="0"/>
    <n v="-1306.4756699999987"/>
    <n v="0"/>
    <n v="-873.90967563288496"/>
    <x v="5"/>
  </r>
  <r>
    <s v="Sistema de Compensação"/>
    <x v="3"/>
    <x v="3"/>
    <x v="4"/>
    <x v="0"/>
    <x v="0"/>
    <x v="1"/>
    <x v="0"/>
    <x v="9"/>
    <n v="0"/>
    <n v="0"/>
    <n v="1.9279999999999999"/>
    <n v="1.9279999999999999"/>
    <n v="1.9279999999999999"/>
    <n v="1.9279999999999999"/>
    <n v="5"/>
    <s v="CATIVO"/>
    <n v="0"/>
    <n v="0"/>
    <n v="51"/>
    <n v="93"/>
    <n v="0"/>
    <n v="380.18"/>
    <n v="94.86"/>
    <m/>
    <n v="467.65743031473551"/>
    <n v="211.10175787202635"/>
    <n v="0"/>
    <n v="124.87655999999988"/>
    <n v="0"/>
    <n v="83.530705201536975"/>
    <x v="5"/>
  </r>
  <r>
    <s v="Regular"/>
    <x v="3"/>
    <x v="3"/>
    <x v="4"/>
    <x v="0"/>
    <x v="0"/>
    <x v="1"/>
    <x v="0"/>
    <x v="10"/>
    <n v="0"/>
    <n v="0"/>
    <n v="412.11599999999999"/>
    <n v="412.11599999999999"/>
    <n v="412.11599999999999"/>
    <n v="412.11599999999999"/>
    <n v="2393"/>
    <s v="CATIVO"/>
    <n v="0"/>
    <n v="0"/>
    <n v="51"/>
    <n v="93"/>
    <n v="0"/>
    <n v="380.18"/>
    <n v="94.86"/>
    <m/>
    <n v="467.65743031473551"/>
    <n v="211.10175787202635"/>
    <n v="0"/>
    <n v="26692.753319999974"/>
    <n v="0"/>
    <n v="17854.948187155918"/>
    <x v="5"/>
  </r>
  <r>
    <s v="Refaturamento - Regular"/>
    <x v="3"/>
    <x v="3"/>
    <x v="4"/>
    <x v="0"/>
    <x v="0"/>
    <x v="1"/>
    <x v="0"/>
    <x v="10"/>
    <n v="0"/>
    <n v="0"/>
    <n v="-13.420999999999999"/>
    <n v="-13.420999999999999"/>
    <n v="-13.420999999999999"/>
    <n v="-13.420999999999999"/>
    <n v="-3"/>
    <s v="CATIVO"/>
    <n v="0"/>
    <n v="0"/>
    <n v="51"/>
    <n v="93"/>
    <n v="0"/>
    <n v="380.18"/>
    <n v="94.86"/>
    <m/>
    <n v="467.65743031473551"/>
    <n v="211.10175787202635"/>
    <n v="0"/>
    <n v="-869.27816999999914"/>
    <n v="0"/>
    <n v="-581.46555731837532"/>
    <x v="5"/>
  </r>
  <r>
    <s v="Sistema de Compensação"/>
    <x v="3"/>
    <x v="3"/>
    <x v="4"/>
    <x v="0"/>
    <x v="0"/>
    <x v="1"/>
    <x v="0"/>
    <x v="10"/>
    <n v="0"/>
    <n v="0"/>
    <n v="2.3210000000000002"/>
    <n v="2.3210000000000002"/>
    <n v="2.3210000000000002"/>
    <n v="2.3210000000000002"/>
    <n v="6"/>
    <s v="CATIVO"/>
    <n v="0"/>
    <n v="0"/>
    <n v="51"/>
    <n v="93"/>
    <n v="0"/>
    <n v="380.18"/>
    <n v="94.86"/>
    <m/>
    <n v="467.65743031473551"/>
    <n v="211.10175787202635"/>
    <n v="0"/>
    <n v="150.33116999999987"/>
    <n v="0"/>
    <n v="100.5574516456262"/>
    <x v="5"/>
  </r>
  <r>
    <s v="PROJETADO"/>
    <x v="3"/>
    <x v="3"/>
    <x v="4"/>
    <x v="0"/>
    <x v="0"/>
    <x v="1"/>
    <x v="0"/>
    <x v="11"/>
    <n v="0"/>
    <n v="0"/>
    <n v="412.11599999999999"/>
    <n v="412.11599999999999"/>
    <n v="412.11599999999999"/>
    <n v="412.11599999999999"/>
    <n v="2393"/>
    <s v="CATIVO"/>
    <n v="0"/>
    <n v="0"/>
    <n v="51"/>
    <n v="93"/>
    <n v="0"/>
    <n v="380.18"/>
    <n v="94.86"/>
    <m/>
    <n v="467.65743031473551"/>
    <n v="211.10175787202635"/>
    <n v="0"/>
    <n v="26692.753319999974"/>
    <n v="0"/>
    <n v="17854.948187155918"/>
    <x v="5"/>
  </r>
  <r>
    <s v="PROJETADO"/>
    <x v="3"/>
    <x v="3"/>
    <x v="4"/>
    <x v="0"/>
    <x v="0"/>
    <x v="1"/>
    <x v="0"/>
    <x v="11"/>
    <n v="0"/>
    <n v="0"/>
    <n v="-13.420999999999999"/>
    <n v="-13.420999999999999"/>
    <n v="-13.420999999999999"/>
    <n v="-13.420999999999999"/>
    <n v="-3"/>
    <s v="CATIVO"/>
    <n v="0"/>
    <n v="0"/>
    <n v="51"/>
    <n v="93"/>
    <n v="0"/>
    <n v="380.18"/>
    <n v="94.86"/>
    <m/>
    <n v="467.65743031473551"/>
    <n v="211.10175787202635"/>
    <n v="0"/>
    <n v="-869.27816999999914"/>
    <n v="0"/>
    <n v="-581.46555731837532"/>
    <x v="5"/>
  </r>
  <r>
    <s v="PROJETADO"/>
    <x v="3"/>
    <x v="3"/>
    <x v="4"/>
    <x v="0"/>
    <x v="0"/>
    <x v="1"/>
    <x v="0"/>
    <x v="11"/>
    <n v="0"/>
    <n v="0"/>
    <n v="2.3210000000000002"/>
    <n v="2.3210000000000002"/>
    <n v="2.3210000000000002"/>
    <n v="2.3210000000000002"/>
    <n v="6"/>
    <s v="CATIVO"/>
    <n v="0"/>
    <n v="0"/>
    <n v="51"/>
    <n v="93"/>
    <n v="0"/>
    <n v="380.18"/>
    <n v="94.86"/>
    <m/>
    <n v="467.65743031473551"/>
    <n v="211.10175787202635"/>
    <n v="0"/>
    <n v="150.33116999999987"/>
    <n v="0"/>
    <n v="100.5574516456262"/>
    <x v="5"/>
  </r>
  <r>
    <s v="Regular"/>
    <x v="4"/>
    <x v="3"/>
    <x v="1"/>
    <x v="1"/>
    <x v="0"/>
    <x v="1"/>
    <x v="0"/>
    <x v="0"/>
    <n v="0"/>
    <n v="0"/>
    <n v="328.87"/>
    <n v="309.13779999999997"/>
    <n v="328.87"/>
    <n v="309.13779999999997"/>
    <n v="87"/>
    <s v="CATIVO"/>
    <n v="0"/>
    <n v="0"/>
    <n v="66"/>
    <n v="3"/>
    <n v="0"/>
    <n v="432.02"/>
    <n v="107.79"/>
    <m/>
    <n v="497.50790459014416"/>
    <n v="224.57633816173018"/>
    <n v="0"/>
    <n v="10651.638882000019"/>
    <n v="0"/>
    <n v="14248.31069482856"/>
    <x v="1"/>
  </r>
  <r>
    <s v="Refaturamento - Regular"/>
    <x v="4"/>
    <x v="3"/>
    <x v="1"/>
    <x v="1"/>
    <x v="0"/>
    <x v="1"/>
    <x v="0"/>
    <x v="0"/>
    <n v="0"/>
    <n v="0"/>
    <n v="-81.617999999999995"/>
    <n v="-76.720919999999992"/>
    <n v="-81.617999999999995"/>
    <n v="-76.720919999999992"/>
    <n v="-15"/>
    <s v="CATIVO"/>
    <n v="0"/>
    <n v="0"/>
    <n v="66"/>
    <n v="3"/>
    <n v="0"/>
    <n v="432.02"/>
    <n v="107.79"/>
    <m/>
    <n v="497.50790459014416"/>
    <n v="224.57633816173018"/>
    <n v="0"/>
    <n v="-2643.4927548000014"/>
    <n v="0"/>
    <n v="-3536.1043034953509"/>
    <x v="1"/>
  </r>
  <r>
    <s v="Regular"/>
    <x v="4"/>
    <x v="3"/>
    <x v="1"/>
    <x v="1"/>
    <x v="0"/>
    <x v="1"/>
    <x v="0"/>
    <x v="1"/>
    <n v="0"/>
    <n v="0"/>
    <n v="317.13900000000001"/>
    <n v="298.11066"/>
    <n v="317.13900000000001"/>
    <n v="298.11066"/>
    <n v="87"/>
    <s v="CATIVO"/>
    <n v="0"/>
    <n v="0"/>
    <n v="66"/>
    <n v="3"/>
    <n v="0"/>
    <n v="432.02"/>
    <n v="107.79"/>
    <m/>
    <n v="497.50790459014416"/>
    <n v="224.57633816173018"/>
    <n v="0"/>
    <n v="10271.688215400007"/>
    <n v="0"/>
    <n v="13740.064479725212"/>
    <x v="1"/>
  </r>
  <r>
    <s v="Regular"/>
    <x v="4"/>
    <x v="3"/>
    <x v="1"/>
    <x v="1"/>
    <x v="0"/>
    <x v="1"/>
    <x v="0"/>
    <x v="2"/>
    <n v="0"/>
    <n v="0"/>
    <n v="295.197"/>
    <n v="277.48518000000001"/>
    <n v="295.197"/>
    <n v="277.48518000000001"/>
    <n v="90"/>
    <s v="CATIVO"/>
    <n v="0"/>
    <n v="0"/>
    <n v="66"/>
    <n v="3"/>
    <n v="0"/>
    <n v="432.02"/>
    <n v="107.79"/>
    <m/>
    <n v="497.50790459014416"/>
    <n v="224.57633816173018"/>
    <n v="0"/>
    <n v="9561.0175541999943"/>
    <n v="0"/>
    <n v="12789.426132457495"/>
    <x v="1"/>
  </r>
  <r>
    <s v="Regular"/>
    <x v="4"/>
    <x v="3"/>
    <x v="1"/>
    <x v="1"/>
    <x v="0"/>
    <x v="1"/>
    <x v="0"/>
    <x v="3"/>
    <n v="0"/>
    <n v="0"/>
    <n v="341.46100000000001"/>
    <n v="320.97334000000001"/>
    <n v="341.46100000000001"/>
    <n v="320.97334000000001"/>
    <n v="92"/>
    <s v="CATIVO"/>
    <n v="0"/>
    <n v="0"/>
    <n v="66"/>
    <n v="3"/>
    <n v="0"/>
    <n v="432.02"/>
    <n v="107.79"/>
    <m/>
    <n v="497.50790459014416"/>
    <n v="224.57633816173018"/>
    <n v="0"/>
    <n v="11059.443744600003"/>
    <n v="0"/>
    <n v="14793.816456857869"/>
    <x v="1"/>
  </r>
  <r>
    <s v="Regular"/>
    <x v="4"/>
    <x v="3"/>
    <x v="1"/>
    <x v="1"/>
    <x v="0"/>
    <x v="1"/>
    <x v="0"/>
    <x v="4"/>
    <n v="0"/>
    <n v="0"/>
    <n v="628.62199999999996"/>
    <n v="590.90467999999987"/>
    <n v="628.62199999999996"/>
    <n v="590.90467999999987"/>
    <n v="93"/>
    <s v="CATIVO"/>
    <n v="0"/>
    <n v="0"/>
    <n v="66"/>
    <n v="3"/>
    <n v="0"/>
    <n v="432.02"/>
    <n v="107.79"/>
    <m/>
    <n v="497.50790459014416"/>
    <n v="224.57633816173018"/>
    <n v="0"/>
    <n v="20360.186509200044"/>
    <n v="0"/>
    <n v="27235.082450830188"/>
    <x v="1"/>
  </r>
  <r>
    <s v="Regular"/>
    <x v="4"/>
    <x v="3"/>
    <x v="1"/>
    <x v="1"/>
    <x v="0"/>
    <x v="1"/>
    <x v="0"/>
    <x v="5"/>
    <n v="0"/>
    <n v="0"/>
    <n v="398.37599999999998"/>
    <n v="374.47343999999998"/>
    <n v="398.37599999999998"/>
    <n v="374.47343999999998"/>
    <n v="91"/>
    <s v="CATIVO"/>
    <n v="0"/>
    <n v="0"/>
    <n v="66"/>
    <n v="3"/>
    <n v="0"/>
    <n v="432.02"/>
    <n v="107.79"/>
    <m/>
    <n v="497.50790459014416"/>
    <n v="224.57633816173018"/>
    <n v="0"/>
    <n v="12902.840913599997"/>
    <n v="0"/>
    <n v="17259.661937431236"/>
    <x v="1"/>
  </r>
  <r>
    <s v="Refaturamento - Regular"/>
    <x v="4"/>
    <x v="3"/>
    <x v="1"/>
    <x v="1"/>
    <x v="0"/>
    <x v="1"/>
    <x v="0"/>
    <x v="5"/>
    <n v="0"/>
    <n v="0"/>
    <n v="9.8970000000000002"/>
    <n v="9.3031799999999993"/>
    <n v="9.8970000000000002"/>
    <n v="9.3031799999999993"/>
    <n v="0"/>
    <s v="CATIVO"/>
    <n v="0"/>
    <n v="0"/>
    <n v="66"/>
    <n v="3"/>
    <n v="0"/>
    <n v="432.02"/>
    <n v="107.79"/>
    <m/>
    <n v="497.50790459014416"/>
    <n v="224.57633816173018"/>
    <n v="0"/>
    <n v="320.54997420000052"/>
    <n v="0"/>
    <n v="428.78806503091869"/>
    <x v="1"/>
  </r>
  <r>
    <s v="Regular"/>
    <x v="4"/>
    <x v="3"/>
    <x v="1"/>
    <x v="1"/>
    <x v="0"/>
    <x v="1"/>
    <x v="0"/>
    <x v="6"/>
    <n v="0"/>
    <n v="0"/>
    <n v="470.43299999999999"/>
    <n v="442.20701999999994"/>
    <n v="470.43299999999999"/>
    <n v="442.20701999999994"/>
    <n v="95"/>
    <s v="CATIVO"/>
    <n v="0"/>
    <n v="0"/>
    <n v="66"/>
    <n v="3"/>
    <n v="0"/>
    <n v="432.02"/>
    <n v="107.79"/>
    <m/>
    <n v="497.50790459014416"/>
    <n v="224.57633816173018"/>
    <n v="0"/>
    <n v="15236.666263800025"/>
    <n v="0"/>
    <n v="20381.535394229584"/>
    <x v="1"/>
  </r>
  <r>
    <s v="Refaturamento - Regular"/>
    <x v="4"/>
    <x v="3"/>
    <x v="1"/>
    <x v="1"/>
    <x v="0"/>
    <x v="1"/>
    <x v="0"/>
    <x v="6"/>
    <n v="0"/>
    <n v="0"/>
    <n v="0.74299999999999999"/>
    <n v="0.69841999999999993"/>
    <n v="0.74299999999999999"/>
    <n v="0.69841999999999993"/>
    <n v="0"/>
    <s v="CATIVO"/>
    <n v="0"/>
    <n v="0"/>
    <n v="66"/>
    <n v="3"/>
    <n v="0"/>
    <n v="432.02"/>
    <n v="107.79"/>
    <m/>
    <n v="497.50790459014416"/>
    <n v="224.57633816173018"/>
    <n v="0"/>
    <n v="24.064729800000034"/>
    <n v="0"/>
    <n v="32.190515541878604"/>
    <x v="1"/>
  </r>
  <r>
    <s v="Regular"/>
    <x v="4"/>
    <x v="3"/>
    <x v="1"/>
    <x v="1"/>
    <x v="0"/>
    <x v="1"/>
    <x v="0"/>
    <x v="7"/>
    <n v="0"/>
    <n v="0"/>
    <n v="176.07900000000001"/>
    <n v="165.51426000000001"/>
    <n v="176.07900000000001"/>
    <n v="165.51426000000001"/>
    <n v="64"/>
    <s v="CATIVO"/>
    <n v="0"/>
    <n v="0"/>
    <n v="66"/>
    <n v="3"/>
    <n v="0"/>
    <n v="432.02"/>
    <n v="107.79"/>
    <m/>
    <n v="497.50790459014416"/>
    <n v="224.57633816173018"/>
    <n v="0"/>
    <n v="5702.9522993999999"/>
    <n v="0"/>
    <n v="7628.6322827704371"/>
    <x v="1"/>
  </r>
  <r>
    <s v="Refaturamento - Regular"/>
    <x v="4"/>
    <x v="3"/>
    <x v="1"/>
    <x v="1"/>
    <x v="0"/>
    <x v="1"/>
    <x v="0"/>
    <x v="7"/>
    <n v="0"/>
    <n v="0"/>
    <n v="44.823999999999998"/>
    <n v="42.134559999999993"/>
    <n v="44.823999999999998"/>
    <n v="42.134559999999993"/>
    <n v="10"/>
    <s v="CATIVO"/>
    <n v="0"/>
    <n v="0"/>
    <n v="66"/>
    <n v="3"/>
    <n v="0"/>
    <n v="432.02"/>
    <n v="107.79"/>
    <m/>
    <n v="497.50790459014416"/>
    <n v="224.57633816173018"/>
    <n v="0"/>
    <n v="1451.7866064000025"/>
    <n v="0"/>
    <n v="1942.0022458266044"/>
    <x v="1"/>
  </r>
  <r>
    <s v="Regular"/>
    <x v="4"/>
    <x v="3"/>
    <x v="1"/>
    <x v="1"/>
    <x v="0"/>
    <x v="1"/>
    <x v="0"/>
    <x v="8"/>
    <n v="0"/>
    <n v="0"/>
    <n v="595.03399999999999"/>
    <n v="559.33195999999998"/>
    <n v="595.03399999999999"/>
    <n v="559.33195999999998"/>
    <n v="98"/>
    <s v="CATIVO"/>
    <n v="0"/>
    <n v="0"/>
    <n v="66"/>
    <n v="3"/>
    <n v="0"/>
    <n v="432.02"/>
    <n v="107.79"/>
    <m/>
    <n v="497.50790459014416"/>
    <n v="224.57633816173018"/>
    <n v="0"/>
    <n v="19272.318212400005"/>
    <n v="0"/>
    <n v="25779.880518097136"/>
    <x v="1"/>
  </r>
  <r>
    <s v="Regular"/>
    <x v="4"/>
    <x v="3"/>
    <x v="1"/>
    <x v="1"/>
    <x v="0"/>
    <x v="1"/>
    <x v="0"/>
    <x v="9"/>
    <n v="0"/>
    <n v="0"/>
    <n v="467.83499999999998"/>
    <n v="439.76489999999995"/>
    <n v="467.83499999999998"/>
    <n v="439.76489999999995"/>
    <n v="116"/>
    <s v="CATIVO"/>
    <n v="0"/>
    <n v="0"/>
    <n v="66"/>
    <n v="3"/>
    <n v="0"/>
    <n v="432.02"/>
    <n v="107.79"/>
    <m/>
    <n v="497.50790459014416"/>
    <n v="224.57633816173018"/>
    <n v="0"/>
    <n v="15152.520681000013"/>
    <n v="0"/>
    <n v="20268.976902469403"/>
    <x v="1"/>
  </r>
  <r>
    <s v="Regular"/>
    <x v="4"/>
    <x v="3"/>
    <x v="1"/>
    <x v="1"/>
    <x v="0"/>
    <x v="1"/>
    <x v="0"/>
    <x v="10"/>
    <n v="0"/>
    <n v="0"/>
    <n v="510.91500000000002"/>
    <n v="480.26009999999997"/>
    <n v="510.91500000000002"/>
    <n v="480.26009999999997"/>
    <n v="119"/>
    <s v="CATIVO"/>
    <n v="0"/>
    <n v="0"/>
    <n v="66"/>
    <n v="3"/>
    <n v="0"/>
    <n v="432.02"/>
    <n v="107.79"/>
    <m/>
    <n v="497.50790459014416"/>
    <n v="224.57633816173018"/>
    <n v="0"/>
    <n v="16547.821569000029"/>
    <n v="0"/>
    <n v="22135.420253134471"/>
    <x v="1"/>
  </r>
  <r>
    <s v="PROJETADO"/>
    <x v="4"/>
    <x v="3"/>
    <x v="1"/>
    <x v="1"/>
    <x v="0"/>
    <x v="1"/>
    <x v="0"/>
    <x v="11"/>
    <n v="0"/>
    <n v="0"/>
    <n v="510.91500000000002"/>
    <n v="480.26009999999997"/>
    <n v="510.91500000000002"/>
    <n v="480.26009999999997"/>
    <n v="119"/>
    <s v="CATIVO"/>
    <n v="0"/>
    <n v="0"/>
    <n v="66"/>
    <n v="3"/>
    <n v="0"/>
    <n v="432.02"/>
    <n v="107.79"/>
    <m/>
    <n v="497.50790459014416"/>
    <n v="224.57633816173018"/>
    <n v="0"/>
    <n v="16547.821569000029"/>
    <n v="0"/>
    <n v="22135.42025313447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77432-6BA0-46E0-A095-C0EF72AECB3D}" name="Efeito Resumo" cacheId="5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820" firstHeaderRow="0" firstDataRow="1" firstDataCol="1"/>
  <pivotFields count="36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  <pivotField axis="axisRow" showAll="0">
      <items count="10">
        <item x="2"/>
        <item x="5"/>
        <item x="8"/>
        <item x="1"/>
        <item x="0"/>
        <item x="3"/>
        <item x="6"/>
        <item x="7"/>
        <item x="4"/>
        <item t="default"/>
      </items>
    </pivotField>
    <pivotField axis="axisRow" showAll="0">
      <items count="9">
        <item x="1"/>
        <item x="7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0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19">
    <i>
      <x/>
    </i>
    <i r="1">
      <x v="1"/>
    </i>
    <i r="2">
      <x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4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6"/>
    </i>
    <i r="4">
      <x v="3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3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7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6"/>
    </i>
    <i r="2">
      <x v="1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 v="10"/>
    </i>
    <i r="8">
      <x v="11"/>
    </i>
    <i r="7">
      <x v="1"/>
    </i>
    <i r="8">
      <x v="10"/>
    </i>
    <i r="8">
      <x v="11"/>
    </i>
    <i r="7">
      <x v="3"/>
    </i>
    <i r="8">
      <x v="10"/>
    </i>
    <i r="8">
      <x v="11"/>
    </i>
    <i r="3">
      <x v="5"/>
    </i>
    <i r="4">
      <x v="2"/>
    </i>
    <i r="5">
      <x v="1"/>
    </i>
    <i r="6">
      <x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7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7">
      <x v="3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2">
      <x v="2"/>
    </i>
    <i r="3">
      <x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7"/>
    </i>
    <i r="2">
      <x v="2"/>
    </i>
    <i r="3">
      <x v="2"/>
    </i>
    <i r="4">
      <x v="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3"/>
    </i>
    <i r="2">
      <x v="4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98">
    <format dxfId="715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1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1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11">
      <pivotArea type="all" dataOnly="0" outline="0" fieldPosition="0"/>
    </format>
    <format dxfId="710">
      <pivotArea outline="0" collapsedLevelsAreSubtotals="1" fieldPosition="0"/>
    </format>
    <format dxfId="709">
      <pivotArea field="16" type="button" dataOnly="0" labelOnly="1" outline="0" axis="axisRow" fieldPosition="0"/>
    </format>
    <format dxfId="708">
      <pivotArea dataOnly="0" labelOnly="1" fieldPosition="0">
        <references count="1">
          <reference field="16" count="0"/>
        </references>
      </pivotArea>
    </format>
    <format dxfId="707">
      <pivotArea dataOnly="0" labelOnly="1" fieldPosition="0">
        <references count="2">
          <reference field="1" count="7">
            <x v="1"/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05">
      <pivotArea dataOnly="0" labelOnly="1" fieldPosition="0">
        <references count="2">
          <reference field="1" count="1">
            <x v="3"/>
          </reference>
          <reference field="16" count="1" selected="0">
            <x v="2"/>
          </reference>
        </references>
      </pivotArea>
    </format>
    <format dxfId="70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96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84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8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659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65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630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01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0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72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7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0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1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1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16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1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14">
      <pivotArea type="all" dataOnly="0" outline="0" fieldPosition="0"/>
    </format>
    <format dxfId="513">
      <pivotArea outline="0" collapsedLevelsAreSubtotals="1" fieldPosition="0"/>
    </format>
    <format dxfId="512">
      <pivotArea field="16" type="button" dataOnly="0" labelOnly="1" outline="0" axis="axisRow" fieldPosition="0"/>
    </format>
    <format dxfId="511">
      <pivotArea dataOnly="0" labelOnly="1" fieldPosition="0">
        <references count="1">
          <reference field="16" count="0"/>
        </references>
      </pivotArea>
    </format>
    <format dxfId="510">
      <pivotArea dataOnly="0" labelOnly="1" fieldPosition="0">
        <references count="2">
          <reference field="1" count="7">
            <x v="1"/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08">
      <pivotArea dataOnly="0" labelOnly="1" fieldPosition="0">
        <references count="2">
          <reference field="1" count="1">
            <x v="3"/>
          </reference>
          <reference field="16" count="1" selected="0">
            <x v="2"/>
          </reference>
        </references>
      </pivotArea>
    </format>
    <format dxfId="507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499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49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487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48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462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46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433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4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4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2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1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10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09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08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06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0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404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40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0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01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00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9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98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97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96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95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94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93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9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9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9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6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5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84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83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82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1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80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79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78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77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7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375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37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7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6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5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4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3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52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5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5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4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8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3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35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3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333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33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33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33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32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7">
            <x v="3"/>
            <x v="4"/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328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7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6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5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4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3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2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2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1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1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9F4CF-4C94-4831-A30F-FC485E0364EA}" name="Subsidio Resumo" cacheId="5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260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6">
        <item x="2"/>
        <item x="0"/>
        <item x="3"/>
        <item x="4"/>
        <item x="1"/>
        <item t="default"/>
      </items>
    </pivotField>
    <pivotField axis="axisRow" showAll="0">
      <items count="8"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1"/>
        <item x="4"/>
        <item x="2"/>
        <item x="0"/>
        <item x="5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259">
    <i>
      <x/>
    </i>
    <i r="1">
      <x v="1"/>
    </i>
    <i r="2">
      <x/>
    </i>
    <i r="3">
      <x v="4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4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4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3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 v="3"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1"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3"/>
    </i>
    <i r="2">
      <x v="1"/>
    </i>
    <i r="3">
      <x v="3"/>
    </i>
    <i r="4">
      <x v="1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 v="1"/>
    </i>
    <i r="3">
      <x v="2"/>
    </i>
    <i r="4">
      <x v="2"/>
    </i>
    <i r="5">
      <x v="1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168">
    <format dxfId="317">
      <pivotArea outline="0" collapsedLevelsAreSubtotals="1" fieldPosition="0"/>
    </format>
    <format dxfId="3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field="31" type="button" dataOnly="0" labelOnly="1" outline="0" axis="axisRow" fieldPosition="0"/>
    </format>
    <format dxfId="312">
      <pivotArea dataOnly="0" labelOnly="1" fieldPosition="0">
        <references count="1">
          <reference field="31" count="0"/>
        </references>
      </pivotArea>
    </format>
    <format dxfId="311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310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09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308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07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306">
      <pivotArea dataOnly="0" labelOnly="1" fieldPosition="0">
        <references count="2">
          <reference field="1" count="1">
            <x v="2"/>
          </reference>
          <reference field="31" count="1" selected="0">
            <x v="5"/>
          </reference>
        </references>
      </pivotArea>
    </format>
    <format dxfId="30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304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0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02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0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0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9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9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9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9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9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9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9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5"/>
          </reference>
        </references>
      </pivotArea>
    </format>
    <format dxfId="29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8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8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8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28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28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28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8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28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28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27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2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27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27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27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7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27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27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7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6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6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6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6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6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6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6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26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26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6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25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0"/>
          <reference field="31" count="1" selected="0">
            <x v="0"/>
          </reference>
        </references>
      </pivotArea>
    </format>
    <format dxfId="25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25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5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5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5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5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25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25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5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4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4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4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4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4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4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4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3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3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3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3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3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3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31" type="button" dataOnly="0" labelOnly="1" outline="0" axis="axisRow" fieldPosition="0"/>
    </format>
    <format dxfId="229">
      <pivotArea dataOnly="0" labelOnly="1" fieldPosition="0">
        <references count="1">
          <reference field="31" count="0"/>
        </references>
      </pivotArea>
    </format>
    <format dxfId="228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227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226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225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24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223">
      <pivotArea dataOnly="0" labelOnly="1" fieldPosition="0">
        <references count="2">
          <reference field="1" count="1">
            <x v="2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22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2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1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21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1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1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1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1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1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1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0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0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5"/>
          </reference>
        </references>
      </pivotArea>
    </format>
    <format dxfId="20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0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0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20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20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20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20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20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1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9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9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9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9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9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9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9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19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18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18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18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18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18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18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17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17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7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0"/>
          <reference field="31" count="1" selected="0">
            <x v="0"/>
          </reference>
        </references>
      </pivotArea>
    </format>
    <format dxfId="17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16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6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6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4A050A7-B900-4DB0-98CD-8E52F897FA5F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77CD41C5-01E9-45A6-9D05-2E80D454163C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61181B20-7559-43C8-B410-F6CE1A7F9BFB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CD40C-5D42-4DE9-B9BD-EE3DB9CD313E}" name="Efeito" displayName="Efeito" ref="A1:AG1039" totalsRowShown="0" headerRowDxfId="784" dataDxfId="783">
  <autoFilter ref="A1:AG1039" xr:uid="{51FCD40C-5D42-4DE9-B9BD-EE3DB9CD313E}"/>
  <tableColumns count="33">
    <tableColumn id="1" xr3:uid="{D74E3FB1-6C4B-443E-AC6D-43CDBB4B6082}" name="TipoMercado" dataDxfId="782"/>
    <tableColumn id="2" xr3:uid="{BC4685A8-55B2-4203-BA38-A94C808FF702}" name="Subgrupo" dataDxfId="781"/>
    <tableColumn id="3" xr3:uid="{04F6B59F-133C-4F62-A10C-ECCAD23024A7}" name="Modalidade" dataDxfId="780"/>
    <tableColumn id="4" xr3:uid="{22028CF7-5904-4F95-9D8A-ED8BEE24D2A5}" name="Classe" dataDxfId="779"/>
    <tableColumn id="5" xr3:uid="{69BDB00E-A006-4DAA-8C07-E5E11F3C93FB}" name="Subclasse" dataDxfId="778"/>
    <tableColumn id="6" xr3:uid="{98E6B9AD-50EE-4A05-AC07-FAD796AB71E5}" name="Detalhe" dataDxfId="777"/>
    <tableColumn id="7" xr3:uid="{A43F75EB-7F5E-4510-960B-341AFEB9F02C}" name="Agente" dataDxfId="776"/>
    <tableColumn id="8" xr3:uid="{96BEAD43-9F02-4E04-A651-37E3A039337C}" name="Posto" dataDxfId="775"/>
    <tableColumn id="9" xr3:uid="{136E3DAF-48DA-4810-89EF-F3A0D37706F5}" name="AnoMes" dataDxfId="774"/>
    <tableColumn id="10" xr3:uid="{17DC780C-8751-44C9-9DA0-164C6266803B}" name="D" dataDxfId="773"/>
    <tableColumn id="11" xr3:uid="{2252E55F-AE1D-42F4-880F-EBE247A059F2}" name="Daj" dataDxfId="772"/>
    <tableColumn id="12" xr3:uid="{2748209C-D74C-463B-A5FB-9776231E7EE1}" name="TUSD_E" dataDxfId="771"/>
    <tableColumn id="13" xr3:uid="{CBBC8123-613C-407D-881D-333343988408}" name="TUSD_Eaj" dataDxfId="770"/>
    <tableColumn id="14" xr3:uid="{898E0A34-FBBC-4EAE-BE5E-608F62906E83}" name="TE_E" dataDxfId="769"/>
    <tableColumn id="15" xr3:uid="{0C45A955-18EE-44A7-8E62-C3978D9279DE}" name="TE_Eaj" dataDxfId="768"/>
    <tableColumn id="16" xr3:uid="{74570A21-1BE0-4700-9A17-7B4C1B043E9D}" name="UC" dataDxfId="767"/>
    <tableColumn id="17" xr3:uid="{FBA57D07-DCAD-4F22-8DC8-257C05705ED1}" name="OPÇÃO" dataDxfId="766"/>
    <tableColumn id="18" xr3:uid="{C2338F0C-9C02-4BA4-892F-9AAAD8C561F3}" name="CóD. AUX." dataDxfId="765"/>
    <tableColumn id="19" xr3:uid="{534EF854-85C0-4F30-8973-0D17A237618E}" name="CóD. AUX. TUSD R$/kW" dataDxfId="764"/>
    <tableColumn id="20" xr3:uid="{94D7FC36-E0E7-46D5-9C0C-0679FDD6F9BA}" name="CóD. AUX. TUSD R$/MWh" dataDxfId="763"/>
    <tableColumn id="21" xr3:uid="{D472E01B-1BC6-49D4-9046-79645C561A4C}" name="CóD. AUX. TE R$/MWh" dataDxfId="762"/>
    <tableColumn id="22" xr3:uid="{42D10D57-264F-4FA2-B203-94AD6AE06223}" name="TUSD (R$/kW)" dataDxfId="761"/>
    <tableColumn id="23" xr3:uid="{BE5A216A-1CF4-448D-A240-FDFA732C97E0}" name="TUSD (R$/MWh)" dataDxfId="760"/>
    <tableColumn id="24" xr3:uid="{A5F94118-3AE1-4B91-B657-B1C2551FE998}" name="TE (R$/MWh)" dataDxfId="759"/>
    <tableColumn id="25" xr3:uid="{7ADA1D55-3DA5-474E-973B-C520662F2983}" name="TUSD (R$/kW) NOVA" dataDxfId="758"/>
    <tableColumn id="26" xr3:uid="{3D9497B5-07C9-4FF4-9EE9-C4A9DD4A374E}" name="TUSD (R$/MWh) NOVA" dataDxfId="757">
      <calculatedColumnFormula>('TUSD BE'!$AM$66+'TUSD BF'!$AM$66+'TUSD CVA'!$AM$66)*1</calculatedColumnFormula>
    </tableColumn>
    <tableColumn id="27" xr3:uid="{AAF6F7E8-DE78-4490-B292-174746991895}" name="TE (R$/MWh) NOVA" dataDxfId="756">
      <calculatedColumnFormula>('TE BE'!$AB$46+'TE BF'!$AB$46+'TE CVA'!$AB$46)*1</calculatedColumnFormula>
    </tableColumn>
    <tableColumn id="28" xr3:uid="{E8C356AF-97D7-4A80-A52F-608695578CF3}" name="RA0 ou RV - TUSD (kW)" dataDxfId="755"/>
    <tableColumn id="29" xr3:uid="{6EB42A99-9722-4566-85E7-199FDC1F2A09}" name="RA0 ou RV - TUSD (MWh)" dataDxfId="754"/>
    <tableColumn id="30" xr3:uid="{B0D88D40-87A4-4D10-A6E3-4886B61E5B57}" name="RA0 ou RV - TE (MWh)" dataDxfId="753"/>
    <tableColumn id="31" xr3:uid="{4FA772B1-0823-4814-B18C-206844CA0035}" name="RA1 ou RRD - TUSD (kW)" dataDxfId="752"/>
    <tableColumn id="32" xr3:uid="{B05F8246-B5AD-4B5D-85F9-CFBBC97BBAAE}" name="RA1 ou RRD - TUSD (MWh)" dataDxfId="751"/>
    <tableColumn id="33" xr3:uid="{44F31FB0-8D45-47A7-A407-E07A13592C9C}" name="RA1 ou RRD - TE (MWh)" dataDxfId="7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90B791-35FD-4A14-B744-BEA3AF34F4EA}" name="Subsidio" displayName="Subsidio" ref="A1:AF268" totalsRowShown="0" headerRowDxfId="749" dataDxfId="748">
  <autoFilter ref="A1:AF268" xr:uid="{D890B791-35FD-4A14-B744-BEA3AF34F4EA}"/>
  <tableColumns count="32">
    <tableColumn id="1" xr3:uid="{EBC50B05-7F0D-4F5E-A1F1-FF140CC4145D}" name="TipoMercado" dataDxfId="747"/>
    <tableColumn id="2" xr3:uid="{030EC323-F70C-4779-A01C-5EBC55A1A38B}" name="Subgrupo" dataDxfId="746"/>
    <tableColumn id="3" xr3:uid="{DA26F93D-52D9-485A-A9B3-D13F31384A30}" name="Modalidade" dataDxfId="745"/>
    <tableColumn id="4" xr3:uid="{C8C98E38-4D23-44F5-81A0-BFDE78A0E7AF}" name="Classe" dataDxfId="744"/>
    <tableColumn id="5" xr3:uid="{46DA228F-00FA-4AC5-B211-D8837A38D79C}" name="Subclasse" dataDxfId="743"/>
    <tableColumn id="6" xr3:uid="{2E364204-6905-46A7-8516-95833EAC199C}" name="Detalhe" dataDxfId="742"/>
    <tableColumn id="7" xr3:uid="{F4D77FCE-AE48-4937-BD38-CC55108CC7A8}" name="Agente" dataDxfId="741"/>
    <tableColumn id="8" xr3:uid="{CB13AD9D-761D-40B2-A836-7010BE1DC313}" name="Posto" dataDxfId="740"/>
    <tableColumn id="9" xr3:uid="{58AC06C0-51F9-4455-9231-2FE8F4AC69AA}" name="AnoMes" dataDxfId="739"/>
    <tableColumn id="10" xr3:uid="{DC4FF546-541E-4D8A-B96F-C54F8FB302A7}" name="D" dataDxfId="738"/>
    <tableColumn id="11" xr3:uid="{B08A4E4C-F642-4479-9F4C-6C4B24EB9E66}" name="Daj" dataDxfId="737"/>
    <tableColumn id="12" xr3:uid="{D7A243BA-9F89-43CD-909E-8191DE9EB552}" name="TUSD_E" dataDxfId="736"/>
    <tableColumn id="13" xr3:uid="{C27DCBE1-4659-4E06-9E6B-8079401825DF}" name="TUSD_Eaj" dataDxfId="735"/>
    <tableColumn id="14" xr3:uid="{35B0FAF3-1CEF-4365-970F-03304CCE5A2E}" name="TE_E" dataDxfId="734"/>
    <tableColumn id="15" xr3:uid="{E2688CD4-F231-4D7C-9E2D-9CF26B7D53A5}" name="TE_Eaj" dataDxfId="733"/>
    <tableColumn id="16" xr3:uid="{3555075C-86D3-49B3-8E52-0995807EF87D}" name="UC" dataDxfId="732"/>
    <tableColumn id="17" xr3:uid="{8035DB82-2E55-461D-BD57-B597D95B8EC7}" name="OPÇÃO" dataDxfId="731"/>
    <tableColumn id="18" xr3:uid="{962F6468-7EB3-4E70-8E5C-F665E885ACB6}" name="CóD. AUX." dataDxfId="730"/>
    <tableColumn id="19" xr3:uid="{5C872578-2DAC-4222-B1F3-02D789B364A0}" name="CóD. AUX. TUSD R$/kW" dataDxfId="729"/>
    <tableColumn id="20" xr3:uid="{D8C73042-684B-407E-AB2F-080FAC691A13}" name="CóD. AUX. TUSD R$/MWh" dataDxfId="728"/>
    <tableColumn id="21" xr3:uid="{AB675352-9D7D-4312-A534-294CC2E249E7}" name="CóD. AUX. TE R$/MWh" dataDxfId="727"/>
    <tableColumn id="22" xr3:uid="{FC6378D1-733C-44EB-BDC0-3B6BA0E72B25}" name="TUSD (R$/kW)" dataDxfId="726"/>
    <tableColumn id="23" xr3:uid="{E5676549-365C-4D49-AAED-D2061DDB6041}" name="TUSD (R$/MWh)" dataDxfId="725"/>
    <tableColumn id="24" xr3:uid="{1581F562-1A77-4C91-9808-13DEF9A02BC1}" name="TE (R$/MWh)" dataDxfId="724"/>
    <tableColumn id="25" xr3:uid="{F8DCFEA4-E5AE-4E3A-AE0F-49B334630708}" name="TUSD (R$/kW) NOVA" dataDxfId="723"/>
    <tableColumn id="26" xr3:uid="{A3406FAF-7E94-406F-AA04-DFA34AE399A9}" name="TUSD (R$/MWh) NOVA" dataDxfId="722">
      <calculatedColumnFormula>('TUSD BE'!$AM$64+'TUSD BF'!$AM$64+'TUSD CVA'!$AM$64)*1</calculatedColumnFormula>
    </tableColumn>
    <tableColumn id="27" xr3:uid="{CDA43B9C-259E-48A7-81DD-7E5460995090}" name="TE (R$/MWh) NOVA" dataDxfId="721">
      <calculatedColumnFormula>('TE BE'!$AB$44+'TE BF'!$AB$44+'TE CVA'!$AB$44)*1</calculatedColumnFormula>
    </tableColumn>
    <tableColumn id="28" xr3:uid="{5AC5DD86-EF6F-4B71-AD72-BA7FCE7318EA}" name="SUBSIDIO kW - TV" dataDxfId="720">
      <calculatedColumnFormula>(J2-K2)*V2</calculatedColumnFormula>
    </tableColumn>
    <tableColumn id="29" xr3:uid="{21AB8E31-446C-4945-AAD5-6A9B359E0F3B}" name="SUBSIDIO MWh - TV" dataDxfId="719">
      <calculatedColumnFormula>(L2-M2)*W2+(N2-O2)*X2</calculatedColumnFormula>
    </tableColumn>
    <tableColumn id="30" xr3:uid="{138A9084-9E76-4CA1-8F57-098E228BFF89}" name="SUBSIDIO kW - TN" dataDxfId="718">
      <calculatedColumnFormula>(J2-K2)*Y2</calculatedColumnFormula>
    </tableColumn>
    <tableColumn id="31" xr3:uid="{5A68C1ED-22E5-44BA-B15B-7AA12C98A1A7}" name="SUBSIDIO MWh - TN" dataDxfId="717">
      <calculatedColumnFormula>(L2-M2)*Z2+(N2-O2)*AA2</calculatedColumnFormula>
    </tableColumn>
    <tableColumn id="32" xr3:uid="{AA58991A-120E-4742-A867-DC1E2F005B93}" name="TIPO" dataDxfId="7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74C652-CB4E-4559-8279-0879312DCA57}" name="TabelaFin" displayName="TabelaFin" ref="B3:AT76" tableType="queryTable" totalsRowShown="0" headerRowDxfId="101" dataDxfId="100" headerRowBorderDxfId="148" tableBorderDxfId="149" totalsRowBorderDxfId="147">
  <autoFilter ref="B3:AT76" xr:uid="{5374C652-CB4E-4559-8279-0879312DCA57}"/>
  <sortState xmlns:xlrd2="http://schemas.microsoft.com/office/spreadsheetml/2017/richdata2" ref="B4:AT76">
    <sortCondition ref="B4:B76"/>
    <sortCondition ref="C4:C76"/>
    <sortCondition ref="D4:D76"/>
    <sortCondition ref="E4:E76"/>
    <sortCondition ref="F4:F76"/>
    <sortCondition descending="1" ref="G4:G76"/>
    <sortCondition descending="1" ref="H4:H76"/>
    <sortCondition ref="I4:I76"/>
  </sortState>
  <tableColumns count="45">
    <tableColumn id="46" xr3:uid="{F9CE9AAE-E9A3-470F-BFC4-67CC4EE8AFBF}" uniqueName="46" name="SUBGRUPO" queryTableFieldId="1" dataDxfId="146"/>
    <tableColumn id="47" xr3:uid="{4F13654E-8549-4559-8D9A-FE864335A60D}" uniqueName="47" name="MODALIDADE" queryTableFieldId="2" dataDxfId="145"/>
    <tableColumn id="48" xr3:uid="{292F301B-7FF6-4BBD-B103-FF84AB916DF6}" uniqueName="48" name="CLASSE" queryTableFieldId="3" dataDxfId="144"/>
    <tableColumn id="49" xr3:uid="{94E9DF9C-2D2B-4ABD-86C4-36CAC4B1D04F}" uniqueName="49" name="SUBCLASSE" queryTableFieldId="4" dataDxfId="143"/>
    <tableColumn id="50" xr3:uid="{F64D190A-008F-4500-B814-70EFBC7F4E10}" uniqueName="50" name="DETALHE" queryTableFieldId="5" dataDxfId="142"/>
    <tableColumn id="51" xr3:uid="{BFD22A4A-FE1D-4105-BA93-61EE1619B54E}" uniqueName="51" name="POSTO" queryTableFieldId="6" dataDxfId="141"/>
    <tableColumn id="52" xr3:uid="{79265790-D144-41E6-818E-D577C0DA8C33}" uniqueName="52" name="UNIDADE" queryTableFieldId="7" dataDxfId="140"/>
    <tableColumn id="53" xr3:uid="{C88C661C-249D-4ABE-ADE1-9F3F4530BA30}" uniqueName="53" name="ACESSANTE" queryTableFieldId="8" dataDxfId="139"/>
    <tableColumn id="54" xr3:uid="{17133D43-F239-4D3A-842E-3404FBA7C0DA}" uniqueName="54" name="Total TUSD" queryTableFieldId="9" dataDxfId="138"/>
    <tableColumn id="55" xr3:uid="{8D4D05F3-798D-4C6C-A20B-B73CDDBB9B66}" uniqueName="55" name="Total TE" queryTableFieldId="10" dataDxfId="137"/>
    <tableColumn id="56" xr3:uid="{2246E22D-9022-4DE3-A003-189B7A9F1CDC}" uniqueName="56" name="TUSD_CDE_COVID" queryTableFieldId="11" dataDxfId="136"/>
    <tableColumn id="57" xr3:uid="{2B890A74-72E1-4F78-A3FD-9C9476C569D4}" uniqueName="57" name="TUSD_TFSEE" queryTableFieldId="12" dataDxfId="135"/>
    <tableColumn id="58" xr3:uid="{0BE9156E-1180-45FA-879B-18B13D3D4396}" uniqueName="58" name="TUSD_PeD" queryTableFieldId="13" dataDxfId="134"/>
    <tableColumn id="59" xr3:uid="{D834E314-03E4-4625-99FA-89D571FAC81F}" uniqueName="59" name="TUSD_ONS" queryTableFieldId="14" dataDxfId="133"/>
    <tableColumn id="60" xr3:uid="{6E882DDC-746F-4A06-9754-F3ABF0E2EAB2}" uniqueName="60" name="TUSD_CCC" queryTableFieldId="15" dataDxfId="132"/>
    <tableColumn id="61" xr3:uid="{100E6E33-6EA0-4419-BC18-D18FEAC39248}" uniqueName="61" name="TUSD_CDE" queryTableFieldId="16" dataDxfId="131"/>
    <tableColumn id="62" xr3:uid="{D28FEA32-FD52-40F1-A9B0-E3D5856C97A6}" uniqueName="62" name="TUSD_PROINFA" queryTableFieldId="17" dataDxfId="130"/>
    <tableColumn id="63" xr3:uid="{400B4265-6198-46B3-9589-4368C77334EB}" uniqueName="63" name="Liminar1" queryTableFieldId="18" dataDxfId="129"/>
    <tableColumn id="64" xr3:uid="{CF579F9D-3C97-4A1D-9C86-2EF00775C8AB}" uniqueName="64" name="TUSD_RB" queryTableFieldId="19" dataDxfId="128"/>
    <tableColumn id="65" xr3:uid="{2C9F7031-2C19-41CD-B57A-FFEA4AEEF91B}" uniqueName="65" name="TUSD_FR" queryTableFieldId="20" dataDxfId="127"/>
    <tableColumn id="66" xr3:uid="{C248B498-C57F-46D2-ACDF-286D1D98083D}" uniqueName="66" name="TUSD_CCT" queryTableFieldId="21" dataDxfId="126"/>
    <tableColumn id="67" xr3:uid="{AB156B6B-3B26-4925-B72D-C4455D283F55}" uniqueName="67" name="TUSD_CCD" queryTableFieldId="22" dataDxfId="125"/>
    <tableColumn id="68" xr3:uid="{BB2124BF-9217-4AE4-AA7A-83C541866ED7}" uniqueName="68" name="TUSD_CUSD" queryTableFieldId="23" dataDxfId="124"/>
    <tableColumn id="69" xr3:uid="{A3118A15-608C-49D4-B0B2-27F81A013514}" uniqueName="69" name="TUSDG_T" queryTableFieldId="24" dataDxfId="123"/>
    <tableColumn id="70" xr3:uid="{3ADAC821-0420-4706-83A3-67F83A4A7C9C}" uniqueName="70" name="TUSDG_ONS" queryTableFieldId="25" dataDxfId="122"/>
    <tableColumn id="71" xr3:uid="{92708938-EDA6-4FAA-A1E6-B26EAAFC0B00}" uniqueName="71" name="TUSD_FioB" queryTableFieldId="26" dataDxfId="121"/>
    <tableColumn id="72" xr3:uid="{71A8C73D-2594-4613-998C-53ABF1777296}" uniqueName="72" name="TUSD Subsidio" queryTableFieldId="27" dataDxfId="120"/>
    <tableColumn id="73" xr3:uid="{53E669DE-BE27-437D-B8F4-74E6029F7543}" uniqueName="73" name="TUSD BENEFICIO_L14299" queryTableFieldId="28" dataDxfId="119"/>
    <tableColumn id="74" xr3:uid="{FB19832E-D24C-48E5-B61B-32EBB0C28EBC}" uniqueName="74" name="TUSD Outros" queryTableFieldId="29" dataDxfId="118"/>
    <tableColumn id="75" xr3:uid="{5E521A1C-F74A-405E-AACC-C55D131357CA}" uniqueName="75" name="TUSD_PT" queryTableFieldId="30" dataDxfId="117"/>
    <tableColumn id="76" xr3:uid="{7336897F-05F9-4666-B55D-89C50901B8C0}" uniqueName="76" name="TUSD_Per_RB_D" queryTableFieldId="31" dataDxfId="116"/>
    <tableColumn id="77" xr3:uid="{DC25A509-B3DC-4414-89C2-4AD9BB771898}" uniqueName="77" name="TUSD_PNT" queryTableFieldId="32" dataDxfId="115"/>
    <tableColumn id="78" xr3:uid="{EC16AA25-5404-46D7-A59F-0F609AC19539}" uniqueName="78" name="TUSD_RI" queryTableFieldId="33" dataDxfId="114"/>
    <tableColumn id="79" xr3:uid="{7E3A7ECA-2D2D-42BF-BA39-CC990E64EEF1}" uniqueName="79" name="TE_CDE_COVID" queryTableFieldId="34" dataDxfId="113"/>
    <tableColumn id="80" xr3:uid="{D65F07E4-8999-4A00-8167-F000212A58BA}" uniqueName="80" name="TE_CDE_ELET" queryTableFieldId="35" dataDxfId="112"/>
    <tableColumn id="81" xr3:uid="{88F08BE7-3BEA-4390-B3C6-02DCB32D90A2}" uniqueName="81" name="TE_PeD" queryTableFieldId="36" dataDxfId="111"/>
    <tableColumn id="82" xr3:uid="{9029C6D1-1403-4C96-860E-F20A6C2B1DBC}" uniqueName="82" name="TE_ESSERR" queryTableFieldId="37" dataDxfId="110"/>
    <tableColumn id="83" xr3:uid="{AE9C2CFA-A6A0-4C2D-8BD4-07CC1D127B96}" uniqueName="83" name="TE_CFURH" queryTableFieldId="38" dataDxfId="109"/>
    <tableColumn id="84" xr3:uid="{74F87213-81D0-498B-A2E4-28DC6E48E922}" uniqueName="84" name="TE_ENERGIA" queryTableFieldId="39" dataDxfId="108"/>
    <tableColumn id="85" xr3:uid="{2C649C99-E5B1-4609-904E-397BE332A330}" uniqueName="85" name="TE_TRANSPORTE_ITAIPU" queryTableFieldId="40" dataDxfId="107"/>
    <tableColumn id="86" xr3:uid="{234B4CCF-CF4F-4C13-A6A7-2C35930AF7C0}" uniqueName="86" name="TE_TUST_ITAIPU" queryTableFieldId="41" dataDxfId="106"/>
    <tableColumn id="87" xr3:uid="{D7FA74DE-7AB2-4237-BE76-B8C864480BD9}" uniqueName="87" name="TE_TUST_CI" queryTableFieldId="42" dataDxfId="105"/>
    <tableColumn id="88" xr3:uid="{B1AF478D-83A5-4393-BA98-237400C5D684}" uniqueName="88" name="TE Subsidio" queryTableFieldId="43" dataDxfId="104"/>
    <tableColumn id="89" xr3:uid="{95D5D216-F851-4A03-99EC-3F121632D697}" uniqueName="89" name="TE BENEFICIO_L14299" queryTableFieldId="44" dataDxfId="103"/>
    <tableColumn id="90" xr3:uid="{C15D6E8B-EF22-4D5C-A959-167950F73FDC}" uniqueName="90" name="TE_Per_RB" queryTableFieldId="45" dataDxfId="10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4AE0DF-FA27-4016-9678-5A9EBF5D280E}" name="TabelaEc" displayName="TabelaEc" ref="B3:AT76" tableType="queryTable" totalsRowShown="0" headerRowDxfId="51" dataDxfId="50" headerRowBorderDxfId="98" tableBorderDxfId="99" totalsRowBorderDxfId="97">
  <autoFilter ref="B3:AT76" xr:uid="{D64AE0DF-FA27-4016-9678-5A9EBF5D280E}"/>
  <sortState xmlns:xlrd2="http://schemas.microsoft.com/office/spreadsheetml/2017/richdata2" ref="B4:AT76">
    <sortCondition ref="B4:B76"/>
    <sortCondition ref="C4:C76"/>
    <sortCondition ref="D4:D76"/>
    <sortCondition ref="E4:E76"/>
    <sortCondition ref="F4:F76"/>
    <sortCondition descending="1" ref="G4:G76"/>
    <sortCondition descending="1" ref="H4:H76"/>
    <sortCondition ref="I4:I76"/>
  </sortState>
  <tableColumns count="45">
    <tableColumn id="46" xr3:uid="{9BA288CF-9F91-4553-8BFE-7733D88477B5}" uniqueName="46" name="SUBGRUPO" queryTableFieldId="1" dataDxfId="96"/>
    <tableColumn id="47" xr3:uid="{6C52C198-3BB7-44BA-B882-D5CB87D06F96}" uniqueName="47" name="MODALIDADE" queryTableFieldId="2" dataDxfId="95"/>
    <tableColumn id="48" xr3:uid="{B293A019-43AC-46C4-94A1-3FDF0AAAD0D0}" uniqueName="48" name="CLASSE" queryTableFieldId="3" dataDxfId="94"/>
    <tableColumn id="49" xr3:uid="{F53A31E8-02E6-4629-8DFC-875B45344CE8}" uniqueName="49" name="SUBCLASSE" queryTableFieldId="4" dataDxfId="93"/>
    <tableColumn id="50" xr3:uid="{5CB86935-9FCC-4E6D-8A01-B76C5B256FDB}" uniqueName="50" name="DETALHE" queryTableFieldId="5" dataDxfId="92"/>
    <tableColumn id="51" xr3:uid="{CF74CB8A-1141-4243-8B4D-5250E2357F69}" uniqueName="51" name="POSTO" queryTableFieldId="6" dataDxfId="91"/>
    <tableColumn id="52" xr3:uid="{83C1E59B-08B7-40AA-8CFA-4431C4010F7F}" uniqueName="52" name="UNIDADE" queryTableFieldId="7" dataDxfId="90"/>
    <tableColumn id="53" xr3:uid="{81EECA6B-2FA2-49EF-A8E9-BAFC075FF126}" uniqueName="53" name="ACESSANTE" queryTableFieldId="8" dataDxfId="89"/>
    <tableColumn id="54" xr3:uid="{45B9C8D0-C7CD-4A56-BA53-A5A6DCD72359}" uniqueName="54" name="Total TUSD" queryTableFieldId="9" dataDxfId="88"/>
    <tableColumn id="55" xr3:uid="{BA111578-0902-4870-A65F-2E6F25174514}" uniqueName="55" name="Total TE" queryTableFieldId="10" dataDxfId="87"/>
    <tableColumn id="56" xr3:uid="{FA1D1D6B-B082-4391-911C-45A7ED4A2C56}" uniqueName="56" name="TUSD_CDE_COVID" queryTableFieldId="11" dataDxfId="86"/>
    <tableColumn id="57" xr3:uid="{BCCE36B3-6383-44D7-9312-615FB6CE5F09}" uniqueName="57" name="TUSD_TFSEE" queryTableFieldId="12" dataDxfId="85"/>
    <tableColumn id="58" xr3:uid="{60490B63-3D42-4F4C-B028-A67CD7BAA9A5}" uniqueName="58" name="TUSD_PeD" queryTableFieldId="13" dataDxfId="84"/>
    <tableColumn id="59" xr3:uid="{3021F276-5F7F-4C9A-A230-C3755C00686C}" uniqueName="59" name="TUSD_ONS" queryTableFieldId="14" dataDxfId="83"/>
    <tableColumn id="60" xr3:uid="{F5C5A684-CA87-4AD1-81D5-3F902ECAAC38}" uniqueName="60" name="TUSD_CCC" queryTableFieldId="15" dataDxfId="82"/>
    <tableColumn id="61" xr3:uid="{2C39472D-EC1E-41D3-BB41-9B8F9133D331}" uniqueName="61" name="TUSD_CDE" queryTableFieldId="16" dataDxfId="81"/>
    <tableColumn id="62" xr3:uid="{58D6A687-C69D-4645-985D-D2500A5E6743}" uniqueName="62" name="TUSD_PROINFA" queryTableFieldId="17" dataDxfId="80"/>
    <tableColumn id="63" xr3:uid="{533EF814-6DC3-4831-BC09-AD95109CDA46}" uniqueName="63" name="Liminar1" queryTableFieldId="18" dataDxfId="79"/>
    <tableColumn id="64" xr3:uid="{7EB4E2D7-FC15-4C33-BB45-1FBA17D43AD1}" uniqueName="64" name="TUSD_RB" queryTableFieldId="19" dataDxfId="78"/>
    <tableColumn id="65" xr3:uid="{FAF645E5-7FE1-41A9-84CD-7ED1CEDE2CE5}" uniqueName="65" name="TUSD_FR" queryTableFieldId="20" dataDxfId="77"/>
    <tableColumn id="66" xr3:uid="{2E341053-76B2-4F21-AE5E-9E5A429BABB9}" uniqueName="66" name="TUSD_CCT" queryTableFieldId="21" dataDxfId="76"/>
    <tableColumn id="67" xr3:uid="{A01B8473-416B-4D15-BB4F-D308D8AD905B}" uniqueName="67" name="TUSD_CCD" queryTableFieldId="22" dataDxfId="75"/>
    <tableColumn id="68" xr3:uid="{378894F7-FD29-4ADE-8B16-737EF829FC2A}" uniqueName="68" name="TUSD_CUSD" queryTableFieldId="23" dataDxfId="74"/>
    <tableColumn id="69" xr3:uid="{C3F93BBC-3C88-44A9-B3F7-11F5EE26917C}" uniqueName="69" name="TUSDG_T" queryTableFieldId="24" dataDxfId="73"/>
    <tableColumn id="70" xr3:uid="{647C0C38-48B7-4587-8DA5-7A62E03EDFBD}" uniqueName="70" name="TUSDG_ONS" queryTableFieldId="25" dataDxfId="72"/>
    <tableColumn id="71" xr3:uid="{7C3E427B-A5A8-4C44-855C-5C5E4FEBEE8B}" uniqueName="71" name="TUSD_FioB" queryTableFieldId="26" dataDxfId="71"/>
    <tableColumn id="72" xr3:uid="{537F2481-FFB0-43FE-9955-B87AF9F2C2F9}" uniqueName="72" name="TUSD Subsidio" queryTableFieldId="27" dataDxfId="70"/>
    <tableColumn id="73" xr3:uid="{057924E3-2999-4E24-8A01-3C446BD399F9}" uniqueName="73" name="TUSD BENEFICIO_L14299" queryTableFieldId="28" dataDxfId="69"/>
    <tableColumn id="74" xr3:uid="{5A382A05-49EF-4140-BB97-260831372249}" uniqueName="74" name="TUSD Outros" queryTableFieldId="29" dataDxfId="68"/>
    <tableColumn id="75" xr3:uid="{BFD38A91-92EC-4188-AD8B-84E6702203E2}" uniqueName="75" name="TUSD_PT" queryTableFieldId="30" dataDxfId="67"/>
    <tableColumn id="76" xr3:uid="{456A5B1B-7AB2-4A98-ACCB-7A22511A74A2}" uniqueName="76" name="TUSD_Per_RB_D" queryTableFieldId="31" dataDxfId="66"/>
    <tableColumn id="77" xr3:uid="{F0626716-C8BF-46BF-8D88-E112756E3A9F}" uniqueName="77" name="TUSD_PNT" queryTableFieldId="32" dataDxfId="65"/>
    <tableColumn id="78" xr3:uid="{1FFFB444-8A4E-42EA-90CC-4B2C1EAD864A}" uniqueName="78" name="TUSD_RI" queryTableFieldId="33" dataDxfId="64"/>
    <tableColumn id="79" xr3:uid="{0E6EF857-6A77-4D40-A725-4F48E2B1E776}" uniqueName="79" name="TE_CDE_COVID" queryTableFieldId="34" dataDxfId="63"/>
    <tableColumn id="80" xr3:uid="{8370DFF2-87B7-4F1C-992A-C2548C5C6FE6}" uniqueName="80" name="TE_CDE_ELET" queryTableFieldId="35" dataDxfId="62"/>
    <tableColumn id="81" xr3:uid="{14F6873F-6842-49C7-B072-31CE2474450A}" uniqueName="81" name="TE_PeD" queryTableFieldId="36" dataDxfId="61"/>
    <tableColumn id="82" xr3:uid="{AFEA0F94-0FCC-4735-AEBE-AB5BB693CC4C}" uniqueName="82" name="TE_ESSERR" queryTableFieldId="37" dataDxfId="60"/>
    <tableColumn id="83" xr3:uid="{2D9D522A-FF30-4EEC-A427-840252C74B4C}" uniqueName="83" name="TE_CFURH" queryTableFieldId="38" dataDxfId="59"/>
    <tableColumn id="84" xr3:uid="{D7120F21-8D21-43C3-9D9F-8D490D94E2AC}" uniqueName="84" name="TE_ENERGIA" queryTableFieldId="39" dataDxfId="58"/>
    <tableColumn id="85" xr3:uid="{25BCE584-3A85-4E41-99CE-9F7620560187}" uniqueName="85" name="TE_TRANSPORTE_ITAIPU" queryTableFieldId="40" dataDxfId="57"/>
    <tableColumn id="86" xr3:uid="{EC48992F-CE9E-4551-8D46-9865E01C6B11}" uniqueName="86" name="TE_TUST_ITAIPU" queryTableFieldId="41" dataDxfId="56"/>
    <tableColumn id="87" xr3:uid="{0BBA9A03-7EE2-4D59-AFD2-DB99B7D4CDB1}" uniqueName="87" name="TE_TUST_CI" queryTableFieldId="42" dataDxfId="55"/>
    <tableColumn id="88" xr3:uid="{30CE8404-6B14-4022-BB10-33F2DF97E395}" uniqueName="88" name="TE Subsidio" queryTableFieldId="43" dataDxfId="54"/>
    <tableColumn id="89" xr3:uid="{6E5AF023-B6BA-40F4-9956-0D7B04FCF34B}" uniqueName="89" name="TE BENEFICIO_L14299" queryTableFieldId="44" dataDxfId="53"/>
    <tableColumn id="90" xr3:uid="{86D928C0-29F8-4C25-9931-E03424EA47C1}" uniqueName="90" name="TE_Per_RB" queryTableFieldId="45" dataDxfId="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88F76C-E6C1-47B9-8913-82C0111CD933}" name="TabelaCVA" displayName="TabelaCVA" ref="B3:AT76" tableType="queryTable" totalsRowShown="0" headerRowDxfId="1" dataDxfId="0" headerRowBorderDxfId="48" tableBorderDxfId="49" totalsRowBorderDxfId="47">
  <autoFilter ref="B3:AT76" xr:uid="{6488F76C-E6C1-47B9-8913-82C0111CD933}"/>
  <sortState xmlns:xlrd2="http://schemas.microsoft.com/office/spreadsheetml/2017/richdata2" ref="B4:AT76">
    <sortCondition ref="B4:B76"/>
    <sortCondition ref="C4:C76"/>
    <sortCondition ref="D4:D76"/>
    <sortCondition ref="E4:E76"/>
    <sortCondition ref="F4:F76"/>
    <sortCondition descending="1" ref="G4:G76"/>
    <sortCondition descending="1" ref="H4:H76"/>
    <sortCondition ref="I4:I76"/>
  </sortState>
  <tableColumns count="45">
    <tableColumn id="46" xr3:uid="{3A7EFCB9-B2C7-4D17-95ED-80093B9E1DE6}" uniqueName="46" name="SUBGRUPO" queryTableFieldId="1" dataDxfId="46"/>
    <tableColumn id="47" xr3:uid="{78F0C40D-F4D8-40FB-9BAF-27F1B40C785E}" uniqueName="47" name="MODALIDADE" queryTableFieldId="2" dataDxfId="45"/>
    <tableColumn id="48" xr3:uid="{8D2852D7-B806-44CF-A0F3-11C855A7BCA4}" uniqueName="48" name="CLASSE" queryTableFieldId="3" dataDxfId="44"/>
    <tableColumn id="49" xr3:uid="{7C2679FC-3182-4E18-AC8A-91DB131A358F}" uniqueName="49" name="SUBCLASSE" queryTableFieldId="4" dataDxfId="43"/>
    <tableColumn id="50" xr3:uid="{F09D7712-4775-40D4-8D58-841F13484C09}" uniqueName="50" name="DETALHE" queryTableFieldId="5" dataDxfId="42"/>
    <tableColumn id="51" xr3:uid="{CC2590E6-3C71-4351-AC48-031763C46941}" uniqueName="51" name="POSTO" queryTableFieldId="6" dataDxfId="41"/>
    <tableColumn id="52" xr3:uid="{1C654166-812C-4706-9EBA-62AB8AA488BA}" uniqueName="52" name="UNIDADE" queryTableFieldId="7" dataDxfId="40"/>
    <tableColumn id="53" xr3:uid="{16DA7321-5118-49B6-BEB6-24AB639C0D64}" uniqueName="53" name="ACESSANTE" queryTableFieldId="8" dataDxfId="39"/>
    <tableColumn id="54" xr3:uid="{62629DDC-2ADF-45DF-8352-4006DB78AE3D}" uniqueName="54" name="Total TUSD" queryTableFieldId="9" dataDxfId="38"/>
    <tableColumn id="55" xr3:uid="{53456840-DE90-4432-8A15-E7EC094365AC}" uniqueName="55" name="Total TE" queryTableFieldId="10" dataDxfId="37"/>
    <tableColumn id="56" xr3:uid="{DEFB8D6F-1C1C-4682-98AB-6422D81CEA83}" uniqueName="56" name="TUSD_CDE_COVID" queryTableFieldId="11" dataDxfId="36"/>
    <tableColumn id="57" xr3:uid="{911677F0-FAF3-43ED-A62E-78BD4F2B56BA}" uniqueName="57" name="TUSD_TFSEE" queryTableFieldId="12" dataDxfId="35"/>
    <tableColumn id="58" xr3:uid="{F792B09A-2DB4-4400-B994-B99FC6B371C2}" uniqueName="58" name="TUSD_PeD" queryTableFieldId="13" dataDxfId="34"/>
    <tableColumn id="59" xr3:uid="{F0C08C7A-1C51-465B-B513-8B5F6B9A170B}" uniqueName="59" name="TUSD_ONS" queryTableFieldId="14" dataDxfId="33"/>
    <tableColumn id="60" xr3:uid="{168A85E9-F30B-4BFF-8D9F-58F47D3995E9}" uniqueName="60" name="TUSD_CCC" queryTableFieldId="15" dataDxfId="32"/>
    <tableColumn id="61" xr3:uid="{356A0ECE-866A-461B-9242-822A739C3978}" uniqueName="61" name="TUSD_CDE" queryTableFieldId="16" dataDxfId="31"/>
    <tableColumn id="62" xr3:uid="{E119BBC7-2A08-4FE5-8648-DD351566FC5D}" uniqueName="62" name="TUSD_PROINFA" queryTableFieldId="17" dataDxfId="30"/>
    <tableColumn id="63" xr3:uid="{19182E21-EFD2-443E-9EAD-FE1C614FD32B}" uniqueName="63" name="Liminar1" queryTableFieldId="18" dataDxfId="29"/>
    <tableColumn id="64" xr3:uid="{5DAF5284-7690-4E34-994D-D9DA8BB39C21}" uniqueName="64" name="TUSD_RB" queryTableFieldId="19" dataDxfId="28"/>
    <tableColumn id="65" xr3:uid="{9259AAFD-A483-46B0-B3A6-00A4A63C4F3C}" uniqueName="65" name="TUSD_FR" queryTableFieldId="20" dataDxfId="27"/>
    <tableColumn id="66" xr3:uid="{91FD3DC7-2D5D-4AD0-8A9C-BCA6B2E01445}" uniqueName="66" name="TUSD_CCT" queryTableFieldId="21" dataDxfId="26"/>
    <tableColumn id="67" xr3:uid="{E94FE528-2DF5-41E2-BB8C-2D9F48F4F928}" uniqueName="67" name="TUSD_CCD" queryTableFieldId="22" dataDxfId="25"/>
    <tableColumn id="68" xr3:uid="{BED23DA6-F6E7-49F8-BB63-C8906F2FBA4C}" uniqueName="68" name="TUSD_CUSD" queryTableFieldId="23" dataDxfId="24"/>
    <tableColumn id="69" xr3:uid="{41A751FC-CC00-469D-8955-8B8342A15D0E}" uniqueName="69" name="TUSDG_T" queryTableFieldId="24" dataDxfId="23"/>
    <tableColumn id="70" xr3:uid="{FA4B45A1-C595-4871-84E1-5580B7397B1F}" uniqueName="70" name="TUSDG_ONS" queryTableFieldId="25" dataDxfId="22"/>
    <tableColumn id="71" xr3:uid="{58F9F1C3-5B8F-4288-BC84-CB7163696CE9}" uniqueName="71" name="TUSD_FioB" queryTableFieldId="26" dataDxfId="21"/>
    <tableColumn id="72" xr3:uid="{CEEAF4B2-83FD-4473-A78C-54830F51E7F7}" uniqueName="72" name="TUSD Subsidio" queryTableFieldId="27" dataDxfId="20"/>
    <tableColumn id="73" xr3:uid="{B595DF62-69D4-4B01-A2FB-3BFC0EFB723A}" uniqueName="73" name="TUSD BENEFICIO_L14299" queryTableFieldId="28" dataDxfId="19"/>
    <tableColumn id="74" xr3:uid="{78427208-2037-4DCE-BD13-D549F5883794}" uniqueName="74" name="TUSD Outros" queryTableFieldId="29" dataDxfId="18"/>
    <tableColumn id="75" xr3:uid="{6B3E04C5-3F9F-4BAB-B853-7726BDE29502}" uniqueName="75" name="TUSD_PT" queryTableFieldId="30" dataDxfId="17"/>
    <tableColumn id="76" xr3:uid="{492016E6-D612-47CB-A583-D525F7291B9E}" uniqueName="76" name="TUSD_Per_RB_D" queryTableFieldId="31" dataDxfId="16"/>
    <tableColumn id="77" xr3:uid="{46FFB378-CADB-46E5-AC2B-F701EA0A44EC}" uniqueName="77" name="TUSD_PNT" queryTableFieldId="32" dataDxfId="15"/>
    <tableColumn id="78" xr3:uid="{10933754-6EB2-482A-B3FC-D7D28CE5039C}" uniqueName="78" name="TUSD_RI" queryTableFieldId="33" dataDxfId="14"/>
    <tableColumn id="79" xr3:uid="{210A19A6-B505-478B-8C3F-87382844A4FC}" uniqueName="79" name="TE_CDE_COVID" queryTableFieldId="34" dataDxfId="13"/>
    <tableColumn id="80" xr3:uid="{25B08504-1300-4E57-B6C1-F1D9045DF4FC}" uniqueName="80" name="TE_CDE_ELET" queryTableFieldId="35" dataDxfId="12"/>
    <tableColumn id="81" xr3:uid="{6210FF4D-6625-4B95-87C3-C370168183F5}" uniqueName="81" name="TE_PeD" queryTableFieldId="36" dataDxfId="11"/>
    <tableColumn id="82" xr3:uid="{545DFDBC-4AF6-482B-B72E-36E67B4979D4}" uniqueName="82" name="TE_ESSERR" queryTableFieldId="37" dataDxfId="10"/>
    <tableColumn id="83" xr3:uid="{2EFE7DC8-1842-4307-9509-88CCFB33D38C}" uniqueName="83" name="TE_CFURH" queryTableFieldId="38" dataDxfId="9"/>
    <tableColumn id="84" xr3:uid="{C2572B4C-6803-440C-BAFB-A44C4A98A333}" uniqueName="84" name="TE_ENERGIA" queryTableFieldId="39" dataDxfId="8"/>
    <tableColumn id="85" xr3:uid="{BBFD0736-F6BD-4384-B160-E5E441A6C964}" uniqueName="85" name="TE_TRANSPORTE_ITAIPU" queryTableFieldId="40" dataDxfId="7"/>
    <tableColumn id="86" xr3:uid="{7DFE5E7D-EA17-4E2E-9402-210A41040CC3}" uniqueName="86" name="TE_TUST_ITAIPU" queryTableFieldId="41" dataDxfId="6"/>
    <tableColumn id="87" xr3:uid="{468867C7-B069-4E4A-B486-0CB7373DD270}" uniqueName="87" name="TE_TUST_CI" queryTableFieldId="42" dataDxfId="5"/>
    <tableColumn id="88" xr3:uid="{2A441E9C-3797-49C0-952D-07397DE7E79F}" uniqueName="88" name="TE Subsidio" queryTableFieldId="43" dataDxfId="4"/>
    <tableColumn id="89" xr3:uid="{9637D9EE-9C97-44AE-B72F-4ADA6A31B83E}" uniqueName="89" name="TE BENEFICIO_L14299" queryTableFieldId="44" dataDxfId="3"/>
    <tableColumn id="90" xr3:uid="{0B83E9E3-80BC-4C7B-8B20-F61391E10107}" uniqueName="90" name="TE_Per_RB" queryTableFieldId="4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F4F99-9523-435E-B36C-A7B52C69B29A}">
  <sheetPr codeName="Planilha1"/>
  <dimension ref="A1:W1039"/>
  <sheetViews>
    <sheetView showGridLines="0" topLeftCell="H1001" workbookViewId="0">
      <selection activeCell="T1040" sqref="T1040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7.42578125" style="4" bestFit="1" customWidth="1"/>
    <col min="8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5" width="7.85546875" style="6" bestFit="1" customWidth="1"/>
    <col min="16" max="16" width="8.71093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96</v>
      </c>
      <c r="T1" s="1" t="s">
        <v>397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57</v>
      </c>
      <c r="C2" s="4" t="s">
        <v>58</v>
      </c>
      <c r="D2" s="4" t="s">
        <v>25</v>
      </c>
      <c r="E2" s="4" t="s">
        <v>25</v>
      </c>
      <c r="F2" s="4" t="s">
        <v>25</v>
      </c>
      <c r="G2" s="4" t="s">
        <v>59</v>
      </c>
      <c r="H2" s="4" t="s">
        <v>25</v>
      </c>
      <c r="I2" s="5">
        <v>44531</v>
      </c>
      <c r="J2" s="6">
        <v>77720</v>
      </c>
      <c r="K2" s="6">
        <v>77720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783</v>
      </c>
      <c r="S2" s="4" t="s">
        <v>97</v>
      </c>
      <c r="U2" s="4">
        <v>1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57</v>
      </c>
      <c r="C3" s="4" t="s">
        <v>58</v>
      </c>
      <c r="D3" s="4" t="s">
        <v>25</v>
      </c>
      <c r="E3" s="4" t="s">
        <v>25</v>
      </c>
      <c r="F3" s="4" t="s">
        <v>25</v>
      </c>
      <c r="G3" s="4" t="s">
        <v>59</v>
      </c>
      <c r="H3" s="4" t="s">
        <v>25</v>
      </c>
      <c r="I3" s="5">
        <v>44562</v>
      </c>
      <c r="J3" s="6">
        <v>77720</v>
      </c>
      <c r="K3" s="6">
        <v>77720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783</v>
      </c>
      <c r="S3" s="4" t="s">
        <v>98</v>
      </c>
      <c r="U3" s="4">
        <v>1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57</v>
      </c>
      <c r="C4" s="4" t="s">
        <v>58</v>
      </c>
      <c r="D4" s="4" t="s">
        <v>25</v>
      </c>
      <c r="E4" s="4" t="s">
        <v>25</v>
      </c>
      <c r="F4" s="4" t="s">
        <v>25</v>
      </c>
      <c r="G4" s="4" t="s">
        <v>59</v>
      </c>
      <c r="H4" s="4" t="s">
        <v>25</v>
      </c>
      <c r="I4" s="5">
        <v>44593</v>
      </c>
      <c r="J4" s="6">
        <v>77720</v>
      </c>
      <c r="K4" s="6">
        <v>77720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783</v>
      </c>
      <c r="S4" s="4" t="s">
        <v>99</v>
      </c>
      <c r="U4" s="4">
        <v>1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57</v>
      </c>
      <c r="C5" s="4" t="s">
        <v>58</v>
      </c>
      <c r="D5" s="4" t="s">
        <v>25</v>
      </c>
      <c r="E5" s="4" t="s">
        <v>25</v>
      </c>
      <c r="F5" s="4" t="s">
        <v>25</v>
      </c>
      <c r="G5" s="4" t="s">
        <v>59</v>
      </c>
      <c r="H5" s="4" t="s">
        <v>25</v>
      </c>
      <c r="I5" s="5">
        <v>44621</v>
      </c>
      <c r="J5" s="6">
        <v>77720</v>
      </c>
      <c r="K5" s="6">
        <v>77720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783</v>
      </c>
      <c r="S5" s="4" t="s">
        <v>100</v>
      </c>
      <c r="U5" s="4">
        <v>1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57</v>
      </c>
      <c r="C6" s="4" t="s">
        <v>58</v>
      </c>
      <c r="D6" s="4" t="s">
        <v>25</v>
      </c>
      <c r="E6" s="4" t="s">
        <v>25</v>
      </c>
      <c r="F6" s="4" t="s">
        <v>25</v>
      </c>
      <c r="G6" s="4" t="s">
        <v>59</v>
      </c>
      <c r="H6" s="4" t="s">
        <v>25</v>
      </c>
      <c r="I6" s="5">
        <v>44652</v>
      </c>
      <c r="J6" s="6">
        <v>77720</v>
      </c>
      <c r="K6" s="6">
        <v>77720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783</v>
      </c>
      <c r="S6" s="4" t="s">
        <v>101</v>
      </c>
      <c r="U6" s="4">
        <v>1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57</v>
      </c>
      <c r="C7" s="4" t="s">
        <v>58</v>
      </c>
      <c r="D7" s="4" t="s">
        <v>25</v>
      </c>
      <c r="E7" s="4" t="s">
        <v>25</v>
      </c>
      <c r="F7" s="4" t="s">
        <v>25</v>
      </c>
      <c r="G7" s="4" t="s">
        <v>59</v>
      </c>
      <c r="H7" s="4" t="s">
        <v>25</v>
      </c>
      <c r="I7" s="5">
        <v>44682</v>
      </c>
      <c r="J7" s="6">
        <v>77720</v>
      </c>
      <c r="K7" s="6">
        <v>77720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783</v>
      </c>
      <c r="S7" s="4" t="s">
        <v>102</v>
      </c>
      <c r="U7" s="4">
        <v>1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57</v>
      </c>
      <c r="C8" s="4" t="s">
        <v>58</v>
      </c>
      <c r="D8" s="4" t="s">
        <v>25</v>
      </c>
      <c r="E8" s="4" t="s">
        <v>25</v>
      </c>
      <c r="F8" s="4" t="s">
        <v>25</v>
      </c>
      <c r="G8" s="4" t="s">
        <v>59</v>
      </c>
      <c r="H8" s="4" t="s">
        <v>25</v>
      </c>
      <c r="I8" s="5">
        <v>44713</v>
      </c>
      <c r="J8" s="6">
        <v>77720</v>
      </c>
      <c r="K8" s="6">
        <v>77720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783</v>
      </c>
      <c r="S8" s="4" t="s">
        <v>103</v>
      </c>
      <c r="U8" s="4">
        <v>1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57</v>
      </c>
      <c r="C9" s="4" t="s">
        <v>58</v>
      </c>
      <c r="D9" s="4" t="s">
        <v>25</v>
      </c>
      <c r="E9" s="4" t="s">
        <v>25</v>
      </c>
      <c r="F9" s="4" t="s">
        <v>25</v>
      </c>
      <c r="G9" s="4" t="s">
        <v>59</v>
      </c>
      <c r="H9" s="4" t="s">
        <v>25</v>
      </c>
      <c r="I9" s="5">
        <v>44743</v>
      </c>
      <c r="J9" s="6">
        <v>77720</v>
      </c>
      <c r="K9" s="6">
        <v>77720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783</v>
      </c>
      <c r="S9" s="4" t="s">
        <v>104</v>
      </c>
      <c r="U9" s="4">
        <v>1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57</v>
      </c>
      <c r="C10" s="4" t="s">
        <v>58</v>
      </c>
      <c r="D10" s="4" t="s">
        <v>25</v>
      </c>
      <c r="E10" s="4" t="s">
        <v>25</v>
      </c>
      <c r="F10" s="4" t="s">
        <v>25</v>
      </c>
      <c r="G10" s="4" t="s">
        <v>59</v>
      </c>
      <c r="H10" s="4" t="s">
        <v>25</v>
      </c>
      <c r="I10" s="5">
        <v>44774</v>
      </c>
      <c r="J10" s="6">
        <v>77720</v>
      </c>
      <c r="K10" s="6">
        <v>77720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783</v>
      </c>
      <c r="S10" s="4" t="s">
        <v>105</v>
      </c>
      <c r="U10" s="4">
        <v>1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57</v>
      </c>
      <c r="C11" s="4" t="s">
        <v>58</v>
      </c>
      <c r="D11" s="4" t="s">
        <v>25</v>
      </c>
      <c r="E11" s="4" t="s">
        <v>25</v>
      </c>
      <c r="F11" s="4" t="s">
        <v>25</v>
      </c>
      <c r="G11" s="4" t="s">
        <v>59</v>
      </c>
      <c r="H11" s="4" t="s">
        <v>25</v>
      </c>
      <c r="I11" s="5">
        <v>44805</v>
      </c>
      <c r="J11" s="6">
        <v>77720</v>
      </c>
      <c r="K11" s="6">
        <v>77720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783</v>
      </c>
      <c r="S11" s="4" t="s">
        <v>106</v>
      </c>
      <c r="U11" s="4">
        <v>1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57</v>
      </c>
      <c r="C12" s="4" t="s">
        <v>58</v>
      </c>
      <c r="D12" s="4" t="s">
        <v>25</v>
      </c>
      <c r="E12" s="4" t="s">
        <v>25</v>
      </c>
      <c r="F12" s="4" t="s">
        <v>25</v>
      </c>
      <c r="G12" s="4" t="s">
        <v>59</v>
      </c>
      <c r="H12" s="4" t="s">
        <v>25</v>
      </c>
      <c r="I12" s="5">
        <v>44835</v>
      </c>
      <c r="J12" s="6">
        <v>77720</v>
      </c>
      <c r="K12" s="6">
        <v>77720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783</v>
      </c>
      <c r="S12" s="4" t="s">
        <v>107</v>
      </c>
      <c r="U12" s="4">
        <v>1</v>
      </c>
      <c r="V12" s="4">
        <v>0</v>
      </c>
      <c r="W12" s="4">
        <v>0</v>
      </c>
    </row>
    <row r="13" spans="1:23" ht="11.25" customHeight="1" x14ac:dyDescent="0.25">
      <c r="A13" s="4" t="s">
        <v>54</v>
      </c>
      <c r="B13" s="4" t="s">
        <v>57</v>
      </c>
      <c r="C13" s="4" t="s">
        <v>58</v>
      </c>
      <c r="D13" s="4" t="s">
        <v>25</v>
      </c>
      <c r="E13" s="4" t="s">
        <v>25</v>
      </c>
      <c r="F13" s="4" t="s">
        <v>25</v>
      </c>
      <c r="G13" s="4" t="s">
        <v>59</v>
      </c>
      <c r="H13" s="4" t="s">
        <v>25</v>
      </c>
      <c r="I13" s="5">
        <v>44866</v>
      </c>
      <c r="J13" s="6">
        <v>77720</v>
      </c>
      <c r="K13" s="6">
        <v>77720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783</v>
      </c>
      <c r="S13" s="4" t="s">
        <v>108</v>
      </c>
      <c r="U13" s="4">
        <v>1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44531</v>
      </c>
      <c r="J14" s="6">
        <v>10500</v>
      </c>
      <c r="K14" s="6">
        <v>10500</v>
      </c>
      <c r="L14" s="6">
        <v>5845</v>
      </c>
      <c r="M14" s="6">
        <v>5845</v>
      </c>
      <c r="N14" s="6">
        <v>5845</v>
      </c>
      <c r="O14" s="6">
        <v>5845</v>
      </c>
      <c r="P14" s="6">
        <v>0</v>
      </c>
      <c r="Q14" s="4" t="s">
        <v>26</v>
      </c>
      <c r="R14" s="4">
        <v>0</v>
      </c>
      <c r="S14" s="4" t="s">
        <v>109</v>
      </c>
      <c r="T14" s="4" t="s">
        <v>398</v>
      </c>
      <c r="U14" s="4">
        <v>10</v>
      </c>
      <c r="V14" s="4">
        <v>13</v>
      </c>
      <c r="W14" s="4">
        <v>71</v>
      </c>
    </row>
    <row r="15" spans="1:23" ht="11.25" customHeight="1" x14ac:dyDescent="0.25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44562</v>
      </c>
      <c r="J15" s="6">
        <v>10920</v>
      </c>
      <c r="K15" s="6">
        <v>10920</v>
      </c>
      <c r="L15" s="6">
        <v>6008.0209999999997</v>
      </c>
      <c r="M15" s="6">
        <v>6008.0209999999997</v>
      </c>
      <c r="N15" s="6">
        <v>6008.0209999999997</v>
      </c>
      <c r="O15" s="6">
        <v>6008.0209999999997</v>
      </c>
      <c r="P15" s="6">
        <v>0</v>
      </c>
      <c r="Q15" s="4" t="s">
        <v>26</v>
      </c>
      <c r="R15" s="4">
        <v>0</v>
      </c>
      <c r="S15" s="4" t="s">
        <v>110</v>
      </c>
      <c r="T15" s="4" t="s">
        <v>399</v>
      </c>
      <c r="U15" s="4">
        <v>10</v>
      </c>
      <c r="V15" s="4">
        <v>13</v>
      </c>
      <c r="W15" s="4">
        <v>71</v>
      </c>
    </row>
    <row r="16" spans="1:23" ht="11.25" customHeight="1" x14ac:dyDescent="0.25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44593</v>
      </c>
      <c r="J16" s="6">
        <v>11088</v>
      </c>
      <c r="K16" s="6">
        <v>11088</v>
      </c>
      <c r="L16" s="6">
        <v>5600.4</v>
      </c>
      <c r="M16" s="6">
        <v>5600.4</v>
      </c>
      <c r="N16" s="6">
        <v>5600.4</v>
      </c>
      <c r="O16" s="6">
        <v>5600.4</v>
      </c>
      <c r="P16" s="6">
        <v>0</v>
      </c>
      <c r="Q16" s="4" t="s">
        <v>26</v>
      </c>
      <c r="R16" s="4">
        <v>0</v>
      </c>
      <c r="S16" s="4" t="s">
        <v>111</v>
      </c>
      <c r="T16" s="4" t="s">
        <v>400</v>
      </c>
      <c r="U16" s="4">
        <v>10</v>
      </c>
      <c r="V16" s="4">
        <v>13</v>
      </c>
      <c r="W16" s="4">
        <v>71</v>
      </c>
    </row>
    <row r="17" spans="1:23" ht="11.25" customHeight="1" x14ac:dyDescent="0.25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44621</v>
      </c>
      <c r="J17" s="6">
        <v>10941</v>
      </c>
      <c r="K17" s="6">
        <v>10941</v>
      </c>
      <c r="L17" s="6">
        <v>3532.3310000000001</v>
      </c>
      <c r="M17" s="6">
        <v>3532.3310000000001</v>
      </c>
      <c r="N17" s="6">
        <v>3532.3310000000001</v>
      </c>
      <c r="O17" s="6">
        <v>3532.3310000000001</v>
      </c>
      <c r="P17" s="6">
        <v>0</v>
      </c>
      <c r="Q17" s="4" t="s">
        <v>26</v>
      </c>
      <c r="R17" s="4">
        <v>0</v>
      </c>
      <c r="S17" s="4" t="s">
        <v>112</v>
      </c>
      <c r="T17" s="4" t="s">
        <v>401</v>
      </c>
      <c r="U17" s="4">
        <v>10</v>
      </c>
      <c r="V17" s="4">
        <v>13</v>
      </c>
      <c r="W17" s="4">
        <v>71</v>
      </c>
    </row>
    <row r="18" spans="1:23" ht="11.25" customHeight="1" x14ac:dyDescent="0.25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44652</v>
      </c>
      <c r="J18" s="6">
        <v>10983</v>
      </c>
      <c r="K18" s="6">
        <v>10983</v>
      </c>
      <c r="L18" s="6">
        <v>5630.4669999999996</v>
      </c>
      <c r="M18" s="6">
        <v>5630.4669999999996</v>
      </c>
      <c r="N18" s="6">
        <v>5630.4669999999996</v>
      </c>
      <c r="O18" s="6">
        <v>5630.4669999999996</v>
      </c>
      <c r="P18" s="6">
        <v>0</v>
      </c>
      <c r="Q18" s="4" t="s">
        <v>26</v>
      </c>
      <c r="R18" s="4">
        <v>0</v>
      </c>
      <c r="S18" s="4" t="s">
        <v>113</v>
      </c>
      <c r="T18" s="4" t="s">
        <v>402</v>
      </c>
      <c r="U18" s="4">
        <v>10</v>
      </c>
      <c r="V18" s="4">
        <v>13</v>
      </c>
      <c r="W18" s="4">
        <v>71</v>
      </c>
    </row>
    <row r="19" spans="1:23" ht="11.25" customHeight="1" x14ac:dyDescent="0.25">
      <c r="A19" s="4" t="s">
        <v>27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44652</v>
      </c>
      <c r="J19" s="6">
        <v>0</v>
      </c>
      <c r="K19" s="6">
        <v>0</v>
      </c>
      <c r="L19" s="6">
        <v>2744.8049999999998</v>
      </c>
      <c r="M19" s="6">
        <v>2744.8049999999998</v>
      </c>
      <c r="N19" s="6">
        <v>2744.8049999999998</v>
      </c>
      <c r="O19" s="6">
        <v>2744.8049999999998</v>
      </c>
      <c r="P19" s="6">
        <v>0</v>
      </c>
      <c r="Q19" s="4" t="s">
        <v>26</v>
      </c>
      <c r="R19" s="4">
        <v>0</v>
      </c>
      <c r="S19" s="4" t="s">
        <v>113</v>
      </c>
      <c r="T19" s="4" t="s">
        <v>402</v>
      </c>
      <c r="U19" s="4">
        <v>0</v>
      </c>
      <c r="V19" s="4">
        <v>13</v>
      </c>
      <c r="W19" s="4">
        <v>71</v>
      </c>
    </row>
    <row r="20" spans="1:23" ht="11.25" customHeight="1" x14ac:dyDescent="0.25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44682</v>
      </c>
      <c r="J20" s="6">
        <v>11130</v>
      </c>
      <c r="K20" s="6">
        <v>11130</v>
      </c>
      <c r="L20" s="6">
        <v>6445.393</v>
      </c>
      <c r="M20" s="6">
        <v>6445.393</v>
      </c>
      <c r="N20" s="6">
        <v>6445.393</v>
      </c>
      <c r="O20" s="6">
        <v>6445.393</v>
      </c>
      <c r="P20" s="6">
        <v>0</v>
      </c>
      <c r="Q20" s="4" t="s">
        <v>26</v>
      </c>
      <c r="R20" s="4">
        <v>0</v>
      </c>
      <c r="S20" s="4" t="s">
        <v>114</v>
      </c>
      <c r="T20" s="4" t="s">
        <v>403</v>
      </c>
      <c r="U20" s="4">
        <v>10</v>
      </c>
      <c r="V20" s="4">
        <v>13</v>
      </c>
      <c r="W20" s="4">
        <v>71</v>
      </c>
    </row>
    <row r="21" spans="1:23" ht="11.25" customHeight="1" x14ac:dyDescent="0.25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44713</v>
      </c>
      <c r="J21" s="6">
        <v>11004</v>
      </c>
      <c r="K21" s="6">
        <v>11004</v>
      </c>
      <c r="L21" s="6">
        <v>6118.0709999999999</v>
      </c>
      <c r="M21" s="6">
        <v>6118.0709999999999</v>
      </c>
      <c r="N21" s="6">
        <v>6118.0709999999999</v>
      </c>
      <c r="O21" s="6">
        <v>6118.0709999999999</v>
      </c>
      <c r="P21" s="6">
        <v>0</v>
      </c>
      <c r="Q21" s="4" t="s">
        <v>26</v>
      </c>
      <c r="R21" s="4">
        <v>0</v>
      </c>
      <c r="S21" s="4" t="s">
        <v>115</v>
      </c>
      <c r="T21" s="4" t="s">
        <v>404</v>
      </c>
      <c r="U21" s="4">
        <v>10</v>
      </c>
      <c r="V21" s="4">
        <v>13</v>
      </c>
      <c r="W21" s="4">
        <v>71</v>
      </c>
    </row>
    <row r="22" spans="1:23" ht="11.25" customHeight="1" x14ac:dyDescent="0.25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44743</v>
      </c>
      <c r="J22" s="6">
        <v>10640</v>
      </c>
      <c r="K22" s="6">
        <v>10640</v>
      </c>
      <c r="L22" s="6">
        <v>5872.4219999999996</v>
      </c>
      <c r="M22" s="6">
        <v>5872.4219999999996</v>
      </c>
      <c r="N22" s="6">
        <v>5872.4219999999996</v>
      </c>
      <c r="O22" s="6">
        <v>5872.4219999999996</v>
      </c>
      <c r="P22" s="6">
        <v>0</v>
      </c>
      <c r="Q22" s="4" t="s">
        <v>26</v>
      </c>
      <c r="R22" s="4">
        <v>0</v>
      </c>
      <c r="S22" s="4" t="s">
        <v>116</v>
      </c>
      <c r="T22" s="4" t="s">
        <v>405</v>
      </c>
      <c r="U22" s="4">
        <v>10</v>
      </c>
      <c r="V22" s="4">
        <v>13</v>
      </c>
      <c r="W22" s="4">
        <v>71</v>
      </c>
    </row>
    <row r="23" spans="1:23" ht="11.25" customHeight="1" x14ac:dyDescent="0.25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44774</v>
      </c>
      <c r="J23" s="6">
        <v>10500</v>
      </c>
      <c r="K23" s="6">
        <v>10500</v>
      </c>
      <c r="L23" s="6">
        <v>5692.1369999999997</v>
      </c>
      <c r="M23" s="6">
        <v>5692.1369999999997</v>
      </c>
      <c r="N23" s="6">
        <v>5692.1369999999997</v>
      </c>
      <c r="O23" s="6">
        <v>5692.1369999999997</v>
      </c>
      <c r="P23" s="6">
        <v>0</v>
      </c>
      <c r="Q23" s="4" t="s">
        <v>26</v>
      </c>
      <c r="R23" s="4">
        <v>0</v>
      </c>
      <c r="S23" s="4" t="s">
        <v>117</v>
      </c>
      <c r="T23" s="4" t="s">
        <v>406</v>
      </c>
      <c r="U23" s="4">
        <v>10</v>
      </c>
      <c r="V23" s="4">
        <v>13</v>
      </c>
      <c r="W23" s="4">
        <v>71</v>
      </c>
    </row>
    <row r="24" spans="1:23" ht="11.25" customHeight="1" x14ac:dyDescent="0.25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44805</v>
      </c>
      <c r="J24" s="6">
        <v>10500</v>
      </c>
      <c r="K24" s="6">
        <v>10500</v>
      </c>
      <c r="L24" s="6">
        <v>2291.52</v>
      </c>
      <c r="M24" s="6">
        <v>2291.52</v>
      </c>
      <c r="N24" s="6">
        <v>2291.52</v>
      </c>
      <c r="O24" s="6">
        <v>2291.52</v>
      </c>
      <c r="P24" s="6">
        <v>0</v>
      </c>
      <c r="Q24" s="4" t="s">
        <v>26</v>
      </c>
      <c r="R24" s="4">
        <v>0</v>
      </c>
      <c r="S24" s="4" t="s">
        <v>118</v>
      </c>
      <c r="T24" s="4" t="s">
        <v>407</v>
      </c>
      <c r="U24" s="4">
        <v>10</v>
      </c>
      <c r="V24" s="4">
        <v>13</v>
      </c>
      <c r="W24" s="4">
        <v>71</v>
      </c>
    </row>
    <row r="25" spans="1:23" ht="11.25" customHeight="1" x14ac:dyDescent="0.25">
      <c r="A25" s="4" t="s">
        <v>21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44835</v>
      </c>
      <c r="J25" s="6">
        <v>10570</v>
      </c>
      <c r="K25" s="6">
        <v>10570</v>
      </c>
      <c r="L25" s="6">
        <v>5468.7669999999998</v>
      </c>
      <c r="M25" s="6">
        <v>5468.7669999999998</v>
      </c>
      <c r="N25" s="6">
        <v>5468.7669999999998</v>
      </c>
      <c r="O25" s="6">
        <v>5468.7669999999998</v>
      </c>
      <c r="P25" s="6">
        <v>0</v>
      </c>
      <c r="Q25" s="4" t="s">
        <v>26</v>
      </c>
      <c r="R25" s="4">
        <v>0</v>
      </c>
      <c r="S25" s="4" t="s">
        <v>119</v>
      </c>
      <c r="T25" s="4" t="s">
        <v>408</v>
      </c>
      <c r="U25" s="4">
        <v>10</v>
      </c>
      <c r="V25" s="4">
        <v>13</v>
      </c>
      <c r="W25" s="4">
        <v>71</v>
      </c>
    </row>
    <row r="26" spans="1:23" ht="11.25" customHeight="1" x14ac:dyDescent="0.25">
      <c r="A26" s="4" t="s">
        <v>54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35</v>
      </c>
      <c r="I26" s="5">
        <v>44866</v>
      </c>
      <c r="J26" s="6">
        <v>10570</v>
      </c>
      <c r="K26" s="6">
        <v>10570</v>
      </c>
      <c r="L26" s="6">
        <v>5468.7669999999998</v>
      </c>
      <c r="M26" s="6">
        <v>5468.7669999999998</v>
      </c>
      <c r="N26" s="6">
        <v>5468.7669999999998</v>
      </c>
      <c r="O26" s="6">
        <v>5468.7669999999998</v>
      </c>
      <c r="P26" s="6">
        <v>0</v>
      </c>
      <c r="Q26" s="4" t="s">
        <v>26</v>
      </c>
      <c r="R26" s="4">
        <v>0</v>
      </c>
      <c r="S26" s="4" t="s">
        <v>120</v>
      </c>
      <c r="T26" s="4" t="s">
        <v>409</v>
      </c>
      <c r="U26" s="4">
        <v>10</v>
      </c>
      <c r="V26" s="4">
        <v>13</v>
      </c>
      <c r="W26" s="4">
        <v>71</v>
      </c>
    </row>
    <row r="27" spans="1:23" ht="11.25" customHeight="1" x14ac:dyDescent="0.25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10500</v>
      </c>
      <c r="K27" s="6">
        <v>10500</v>
      </c>
      <c r="L27" s="6">
        <v>560</v>
      </c>
      <c r="M27" s="6">
        <v>560</v>
      </c>
      <c r="N27" s="6">
        <v>560</v>
      </c>
      <c r="O27" s="6">
        <v>560</v>
      </c>
      <c r="P27" s="6">
        <v>0</v>
      </c>
      <c r="Q27" s="4" t="s">
        <v>26</v>
      </c>
      <c r="R27" s="4">
        <v>0</v>
      </c>
      <c r="S27" s="4" t="s">
        <v>121</v>
      </c>
      <c r="T27" s="4" t="s">
        <v>410</v>
      </c>
      <c r="U27" s="4">
        <v>9</v>
      </c>
      <c r="V27" s="4">
        <v>13</v>
      </c>
      <c r="W27" s="4">
        <v>70</v>
      </c>
    </row>
    <row r="28" spans="1:23" ht="11.25" customHeight="1" x14ac:dyDescent="0.25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10500</v>
      </c>
      <c r="K28" s="6">
        <v>10500</v>
      </c>
      <c r="L28" s="6">
        <v>593.94100000000003</v>
      </c>
      <c r="M28" s="6">
        <v>593.94100000000003</v>
      </c>
      <c r="N28" s="6">
        <v>593.94100000000003</v>
      </c>
      <c r="O28" s="6">
        <v>593.94100000000003</v>
      </c>
      <c r="P28" s="6">
        <v>0</v>
      </c>
      <c r="Q28" s="4" t="s">
        <v>26</v>
      </c>
      <c r="R28" s="4">
        <v>0</v>
      </c>
      <c r="S28" s="4" t="s">
        <v>122</v>
      </c>
      <c r="T28" s="4" t="s">
        <v>411</v>
      </c>
      <c r="U28" s="4">
        <v>9</v>
      </c>
      <c r="V28" s="4">
        <v>13</v>
      </c>
      <c r="W28" s="4">
        <v>70</v>
      </c>
    </row>
    <row r="29" spans="1:23" ht="11.25" customHeight="1" x14ac:dyDescent="0.25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10773</v>
      </c>
      <c r="K29" s="6">
        <v>10773</v>
      </c>
      <c r="L29" s="6">
        <v>564.43799999999999</v>
      </c>
      <c r="M29" s="6">
        <v>564.43799999999999</v>
      </c>
      <c r="N29" s="6">
        <v>564.43799999999999</v>
      </c>
      <c r="O29" s="6">
        <v>564.43799999999999</v>
      </c>
      <c r="P29" s="6">
        <v>0</v>
      </c>
      <c r="Q29" s="4" t="s">
        <v>26</v>
      </c>
      <c r="R29" s="4">
        <v>0</v>
      </c>
      <c r="S29" s="4" t="s">
        <v>123</v>
      </c>
      <c r="T29" s="4" t="s">
        <v>412</v>
      </c>
      <c r="U29" s="4">
        <v>9</v>
      </c>
      <c r="V29" s="4">
        <v>13</v>
      </c>
      <c r="W29" s="4">
        <v>70</v>
      </c>
    </row>
    <row r="30" spans="1:23" ht="11.25" customHeight="1" x14ac:dyDescent="0.25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10500</v>
      </c>
      <c r="K30" s="6">
        <v>10500</v>
      </c>
      <c r="L30" s="6">
        <v>319.24200000000002</v>
      </c>
      <c r="M30" s="6">
        <v>319.24200000000002</v>
      </c>
      <c r="N30" s="6">
        <v>319.24200000000002</v>
      </c>
      <c r="O30" s="6">
        <v>319.24200000000002</v>
      </c>
      <c r="P30" s="6">
        <v>0</v>
      </c>
      <c r="Q30" s="4" t="s">
        <v>26</v>
      </c>
      <c r="R30" s="4">
        <v>0</v>
      </c>
      <c r="S30" s="4" t="s">
        <v>124</v>
      </c>
      <c r="T30" s="4" t="s">
        <v>413</v>
      </c>
      <c r="U30" s="4">
        <v>9</v>
      </c>
      <c r="V30" s="4">
        <v>13</v>
      </c>
      <c r="W30" s="4">
        <v>70</v>
      </c>
    </row>
    <row r="31" spans="1:23" ht="11.25" customHeight="1" x14ac:dyDescent="0.25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10500</v>
      </c>
      <c r="K31" s="6">
        <v>10500</v>
      </c>
      <c r="L31" s="6">
        <v>463.32799999999997</v>
      </c>
      <c r="M31" s="6">
        <v>463.32799999999997</v>
      </c>
      <c r="N31" s="6">
        <v>463.32799999999997</v>
      </c>
      <c r="O31" s="6">
        <v>463.32799999999997</v>
      </c>
      <c r="P31" s="6">
        <v>0</v>
      </c>
      <c r="Q31" s="4" t="s">
        <v>26</v>
      </c>
      <c r="R31" s="4">
        <v>0</v>
      </c>
      <c r="S31" s="4" t="s">
        <v>125</v>
      </c>
      <c r="T31" s="4" t="s">
        <v>414</v>
      </c>
      <c r="U31" s="4">
        <v>9</v>
      </c>
      <c r="V31" s="4">
        <v>13</v>
      </c>
      <c r="W31" s="4">
        <v>70</v>
      </c>
    </row>
    <row r="32" spans="1:23" ht="11.25" customHeight="1" x14ac:dyDescent="0.25">
      <c r="A32" s="4" t="s">
        <v>27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44652</v>
      </c>
      <c r="J32" s="6">
        <v>0</v>
      </c>
      <c r="K32" s="6">
        <v>0</v>
      </c>
      <c r="L32" s="6">
        <v>300.89299999999997</v>
      </c>
      <c r="M32" s="6">
        <v>300.89299999999997</v>
      </c>
      <c r="N32" s="6">
        <v>300.89299999999997</v>
      </c>
      <c r="O32" s="6">
        <v>300.89299999999997</v>
      </c>
      <c r="P32" s="6">
        <v>0</v>
      </c>
      <c r="Q32" s="4" t="s">
        <v>26</v>
      </c>
      <c r="R32" s="4">
        <v>0</v>
      </c>
      <c r="S32" s="4" t="s">
        <v>125</v>
      </c>
      <c r="T32" s="4" t="s">
        <v>414</v>
      </c>
      <c r="U32" s="4">
        <v>0</v>
      </c>
      <c r="V32" s="4">
        <v>13</v>
      </c>
      <c r="W32" s="4">
        <v>70</v>
      </c>
    </row>
    <row r="33" spans="1:23" ht="11.25" customHeight="1" x14ac:dyDescent="0.25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44682</v>
      </c>
      <c r="J33" s="6">
        <v>10605</v>
      </c>
      <c r="K33" s="6">
        <v>10605</v>
      </c>
      <c r="L33" s="6">
        <v>615.19500000000005</v>
      </c>
      <c r="M33" s="6">
        <v>615.19500000000005</v>
      </c>
      <c r="N33" s="6">
        <v>615.19500000000005</v>
      </c>
      <c r="O33" s="6">
        <v>615.19500000000005</v>
      </c>
      <c r="P33" s="6">
        <v>0</v>
      </c>
      <c r="Q33" s="4" t="s">
        <v>26</v>
      </c>
      <c r="R33" s="4">
        <v>0</v>
      </c>
      <c r="S33" s="4" t="s">
        <v>126</v>
      </c>
      <c r="T33" s="4" t="s">
        <v>415</v>
      </c>
      <c r="U33" s="4">
        <v>9</v>
      </c>
      <c r="V33" s="4">
        <v>13</v>
      </c>
      <c r="W33" s="4">
        <v>70</v>
      </c>
    </row>
    <row r="34" spans="1:23" ht="11.25" customHeight="1" x14ac:dyDescent="0.25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44713</v>
      </c>
      <c r="J34" s="6">
        <v>10500</v>
      </c>
      <c r="K34" s="6">
        <v>10500</v>
      </c>
      <c r="L34" s="6">
        <v>582.03</v>
      </c>
      <c r="M34" s="6">
        <v>582.03</v>
      </c>
      <c r="N34" s="6">
        <v>582.03</v>
      </c>
      <c r="O34" s="6">
        <v>582.03</v>
      </c>
      <c r="P34" s="6">
        <v>0</v>
      </c>
      <c r="Q34" s="4" t="s">
        <v>26</v>
      </c>
      <c r="R34" s="4">
        <v>0</v>
      </c>
      <c r="S34" s="4" t="s">
        <v>127</v>
      </c>
      <c r="T34" s="4" t="s">
        <v>416</v>
      </c>
      <c r="U34" s="4">
        <v>9</v>
      </c>
      <c r="V34" s="4">
        <v>13</v>
      </c>
      <c r="W34" s="4">
        <v>70</v>
      </c>
    </row>
    <row r="35" spans="1:23" ht="11.25" customHeight="1" x14ac:dyDescent="0.25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44743</v>
      </c>
      <c r="J35" s="6">
        <v>10500</v>
      </c>
      <c r="K35" s="6">
        <v>10500</v>
      </c>
      <c r="L35" s="6">
        <v>517.55899999999997</v>
      </c>
      <c r="M35" s="6">
        <v>517.55899999999997</v>
      </c>
      <c r="N35" s="6">
        <v>517.55899999999997</v>
      </c>
      <c r="O35" s="6">
        <v>517.55899999999997</v>
      </c>
      <c r="P35" s="6">
        <v>0</v>
      </c>
      <c r="Q35" s="4" t="s">
        <v>26</v>
      </c>
      <c r="R35" s="4">
        <v>0</v>
      </c>
      <c r="S35" s="4" t="s">
        <v>128</v>
      </c>
      <c r="T35" s="4" t="s">
        <v>417</v>
      </c>
      <c r="U35" s="4">
        <v>9</v>
      </c>
      <c r="V35" s="4">
        <v>13</v>
      </c>
      <c r="W35" s="4">
        <v>70</v>
      </c>
    </row>
    <row r="36" spans="1:23" ht="11.25" customHeight="1" x14ac:dyDescent="0.25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44774</v>
      </c>
      <c r="J36" s="6">
        <v>10500</v>
      </c>
      <c r="K36" s="6">
        <v>10500</v>
      </c>
      <c r="L36" s="6">
        <v>603.452</v>
      </c>
      <c r="M36" s="6">
        <v>603.452</v>
      </c>
      <c r="N36" s="6">
        <v>603.452</v>
      </c>
      <c r="O36" s="6">
        <v>603.452</v>
      </c>
      <c r="P36" s="6">
        <v>0</v>
      </c>
      <c r="Q36" s="4" t="s">
        <v>26</v>
      </c>
      <c r="R36" s="4">
        <v>0</v>
      </c>
      <c r="S36" s="4" t="s">
        <v>129</v>
      </c>
      <c r="T36" s="4" t="s">
        <v>418</v>
      </c>
      <c r="U36" s="4">
        <v>9</v>
      </c>
      <c r="V36" s="4">
        <v>13</v>
      </c>
      <c r="W36" s="4">
        <v>70</v>
      </c>
    </row>
    <row r="37" spans="1:23" ht="11.25" customHeight="1" x14ac:dyDescent="0.25">
      <c r="A37" s="4" t="s">
        <v>21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44805</v>
      </c>
      <c r="J37" s="6">
        <v>10500</v>
      </c>
      <c r="K37" s="6">
        <v>10500</v>
      </c>
      <c r="L37" s="6">
        <v>201.11</v>
      </c>
      <c r="M37" s="6">
        <v>201.11</v>
      </c>
      <c r="N37" s="6">
        <v>201.11</v>
      </c>
      <c r="O37" s="6">
        <v>201.11</v>
      </c>
      <c r="P37" s="6">
        <v>0</v>
      </c>
      <c r="Q37" s="4" t="s">
        <v>26</v>
      </c>
      <c r="R37" s="4">
        <v>0</v>
      </c>
      <c r="S37" s="4" t="s">
        <v>130</v>
      </c>
      <c r="T37" s="4" t="s">
        <v>419</v>
      </c>
      <c r="U37" s="4">
        <v>9</v>
      </c>
      <c r="V37" s="4">
        <v>13</v>
      </c>
      <c r="W37" s="4">
        <v>70</v>
      </c>
    </row>
    <row r="38" spans="1:23" ht="11.25" customHeight="1" x14ac:dyDescent="0.25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44835</v>
      </c>
      <c r="J38" s="6">
        <v>10500</v>
      </c>
      <c r="K38" s="6">
        <v>10500</v>
      </c>
      <c r="L38" s="6">
        <v>547.71500000000003</v>
      </c>
      <c r="M38" s="6">
        <v>547.71500000000003</v>
      </c>
      <c r="N38" s="6">
        <v>547.71500000000003</v>
      </c>
      <c r="O38" s="6">
        <v>547.71500000000003</v>
      </c>
      <c r="P38" s="6">
        <v>0</v>
      </c>
      <c r="Q38" s="4" t="s">
        <v>26</v>
      </c>
      <c r="R38" s="4">
        <v>0</v>
      </c>
      <c r="S38" s="4" t="s">
        <v>131</v>
      </c>
      <c r="T38" s="4" t="s">
        <v>420</v>
      </c>
      <c r="U38" s="4">
        <v>9</v>
      </c>
      <c r="V38" s="4">
        <v>13</v>
      </c>
      <c r="W38" s="4">
        <v>70</v>
      </c>
    </row>
    <row r="39" spans="1:23" ht="11.25" customHeight="1" x14ac:dyDescent="0.25">
      <c r="A39" s="4" t="s">
        <v>54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44866</v>
      </c>
      <c r="J39" s="6">
        <v>10500</v>
      </c>
      <c r="K39" s="6">
        <v>10500</v>
      </c>
      <c r="L39" s="6">
        <v>547.71500000000003</v>
      </c>
      <c r="M39" s="6">
        <v>547.71500000000003</v>
      </c>
      <c r="N39" s="6">
        <v>547.71500000000003</v>
      </c>
      <c r="O39" s="6">
        <v>547.71500000000003</v>
      </c>
      <c r="P39" s="6">
        <v>0</v>
      </c>
      <c r="Q39" s="4" t="s">
        <v>26</v>
      </c>
      <c r="R39" s="4">
        <v>0</v>
      </c>
      <c r="S39" s="4" t="s">
        <v>132</v>
      </c>
      <c r="T39" s="4" t="s">
        <v>421</v>
      </c>
      <c r="U39" s="4">
        <v>9</v>
      </c>
      <c r="V39" s="4">
        <v>13</v>
      </c>
      <c r="W39" s="4">
        <v>70</v>
      </c>
    </row>
    <row r="40" spans="1:23" ht="11.25" customHeight="1" x14ac:dyDescent="0.25">
      <c r="A40" s="4" t="s">
        <v>21</v>
      </c>
      <c r="B40" s="4" t="s">
        <v>42</v>
      </c>
      <c r="C40" s="4" t="s">
        <v>43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44531</v>
      </c>
      <c r="J40" s="6">
        <v>0</v>
      </c>
      <c r="K40" s="6">
        <v>0</v>
      </c>
      <c r="L40" s="6">
        <v>23.1</v>
      </c>
      <c r="M40" s="6">
        <v>23.1</v>
      </c>
      <c r="N40" s="6">
        <v>23.1</v>
      </c>
      <c r="O40" s="6">
        <v>23.1</v>
      </c>
      <c r="P40" s="6">
        <v>0</v>
      </c>
      <c r="Q40" s="4" t="s">
        <v>26</v>
      </c>
      <c r="R40" s="4">
        <v>0</v>
      </c>
      <c r="S40" s="4" t="s">
        <v>133</v>
      </c>
      <c r="T40" s="4" t="s">
        <v>422</v>
      </c>
      <c r="U40" s="4">
        <v>0</v>
      </c>
      <c r="V40" s="4">
        <v>31</v>
      </c>
      <c r="W40" s="4">
        <v>73</v>
      </c>
    </row>
    <row r="41" spans="1:23" ht="11.25" customHeight="1" x14ac:dyDescent="0.25">
      <c r="A41" s="4" t="s">
        <v>21</v>
      </c>
      <c r="B41" s="4" t="s">
        <v>42</v>
      </c>
      <c r="C41" s="4" t="s">
        <v>43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44562</v>
      </c>
      <c r="J41" s="6">
        <v>0</v>
      </c>
      <c r="K41" s="6">
        <v>0</v>
      </c>
      <c r="L41" s="6">
        <v>15.75</v>
      </c>
      <c r="M41" s="6">
        <v>15.75</v>
      </c>
      <c r="N41" s="6">
        <v>15.75</v>
      </c>
      <c r="O41" s="6">
        <v>15.75</v>
      </c>
      <c r="P41" s="6">
        <v>0</v>
      </c>
      <c r="Q41" s="4" t="s">
        <v>26</v>
      </c>
      <c r="R41" s="4">
        <v>0</v>
      </c>
      <c r="S41" s="4" t="s">
        <v>134</v>
      </c>
      <c r="T41" s="4" t="s">
        <v>423</v>
      </c>
      <c r="U41" s="4">
        <v>0</v>
      </c>
      <c r="V41" s="4">
        <v>31</v>
      </c>
      <c r="W41" s="4">
        <v>73</v>
      </c>
    </row>
    <row r="42" spans="1:23" ht="11.25" customHeight="1" x14ac:dyDescent="0.25">
      <c r="A42" s="4" t="s">
        <v>21</v>
      </c>
      <c r="B42" s="4" t="s">
        <v>42</v>
      </c>
      <c r="C42" s="4" t="s">
        <v>43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44593</v>
      </c>
      <c r="J42" s="6">
        <v>0</v>
      </c>
      <c r="K42" s="6">
        <v>0</v>
      </c>
      <c r="L42" s="6">
        <v>13.124000000000001</v>
      </c>
      <c r="M42" s="6">
        <v>13.124000000000001</v>
      </c>
      <c r="N42" s="6">
        <v>13.124000000000001</v>
      </c>
      <c r="O42" s="6">
        <v>13.124000000000001</v>
      </c>
      <c r="P42" s="6">
        <v>0</v>
      </c>
      <c r="Q42" s="4" t="s">
        <v>26</v>
      </c>
      <c r="R42" s="4">
        <v>0</v>
      </c>
      <c r="S42" s="4" t="s">
        <v>135</v>
      </c>
      <c r="T42" s="4" t="s">
        <v>424</v>
      </c>
      <c r="U42" s="4">
        <v>0</v>
      </c>
      <c r="V42" s="4">
        <v>31</v>
      </c>
      <c r="W42" s="4">
        <v>73</v>
      </c>
    </row>
    <row r="43" spans="1:23" ht="11.25" customHeight="1" x14ac:dyDescent="0.25">
      <c r="A43" s="4" t="s">
        <v>21</v>
      </c>
      <c r="B43" s="4" t="s">
        <v>42</v>
      </c>
      <c r="C43" s="4" t="s">
        <v>43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44621</v>
      </c>
      <c r="J43" s="6">
        <v>0</v>
      </c>
      <c r="K43" s="6">
        <v>0</v>
      </c>
      <c r="L43" s="6">
        <v>15.225</v>
      </c>
      <c r="M43" s="6">
        <v>15.225</v>
      </c>
      <c r="N43" s="6">
        <v>15.225</v>
      </c>
      <c r="O43" s="6">
        <v>15.225</v>
      </c>
      <c r="P43" s="6">
        <v>0</v>
      </c>
      <c r="Q43" s="4" t="s">
        <v>26</v>
      </c>
      <c r="R43" s="4">
        <v>0</v>
      </c>
      <c r="S43" s="4" t="s">
        <v>136</v>
      </c>
      <c r="T43" s="4" t="s">
        <v>425</v>
      </c>
      <c r="U43" s="4">
        <v>0</v>
      </c>
      <c r="V43" s="4">
        <v>31</v>
      </c>
      <c r="W43" s="4">
        <v>73</v>
      </c>
    </row>
    <row r="44" spans="1:23" ht="11.25" customHeight="1" x14ac:dyDescent="0.25">
      <c r="A44" s="4" t="s">
        <v>21</v>
      </c>
      <c r="B44" s="4" t="s">
        <v>42</v>
      </c>
      <c r="C44" s="4" t="s">
        <v>43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44652</v>
      </c>
      <c r="J44" s="6">
        <v>0</v>
      </c>
      <c r="K44" s="6">
        <v>0</v>
      </c>
      <c r="L44" s="6">
        <v>12.074</v>
      </c>
      <c r="M44" s="6">
        <v>12.074</v>
      </c>
      <c r="N44" s="6">
        <v>12.074</v>
      </c>
      <c r="O44" s="6">
        <v>12.074</v>
      </c>
      <c r="P44" s="6">
        <v>0</v>
      </c>
      <c r="Q44" s="4" t="s">
        <v>26</v>
      </c>
      <c r="R44" s="4">
        <v>0</v>
      </c>
      <c r="S44" s="4" t="s">
        <v>137</v>
      </c>
      <c r="T44" s="4" t="s">
        <v>426</v>
      </c>
      <c r="U44" s="4">
        <v>0</v>
      </c>
      <c r="V44" s="4">
        <v>31</v>
      </c>
      <c r="W44" s="4">
        <v>73</v>
      </c>
    </row>
    <row r="45" spans="1:23" ht="11.25" customHeight="1" x14ac:dyDescent="0.25">
      <c r="A45" s="4" t="s">
        <v>21</v>
      </c>
      <c r="B45" s="4" t="s">
        <v>42</v>
      </c>
      <c r="C45" s="4" t="s">
        <v>43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44682</v>
      </c>
      <c r="J45" s="6">
        <v>0</v>
      </c>
      <c r="K45" s="6">
        <v>0</v>
      </c>
      <c r="L45" s="6">
        <v>18.375</v>
      </c>
      <c r="M45" s="6">
        <v>18.375</v>
      </c>
      <c r="N45" s="6">
        <v>18.375</v>
      </c>
      <c r="O45" s="6">
        <v>18.375</v>
      </c>
      <c r="P45" s="6">
        <v>0</v>
      </c>
      <c r="Q45" s="4" t="s">
        <v>26</v>
      </c>
      <c r="R45" s="4">
        <v>0</v>
      </c>
      <c r="S45" s="4" t="s">
        <v>138</v>
      </c>
      <c r="T45" s="4" t="s">
        <v>427</v>
      </c>
      <c r="U45" s="4">
        <v>0</v>
      </c>
      <c r="V45" s="4">
        <v>31</v>
      </c>
      <c r="W45" s="4">
        <v>73</v>
      </c>
    </row>
    <row r="46" spans="1:23" ht="11.25" customHeight="1" x14ac:dyDescent="0.25">
      <c r="A46" s="4" t="s">
        <v>21</v>
      </c>
      <c r="B46" s="4" t="s">
        <v>42</v>
      </c>
      <c r="C46" s="4" t="s">
        <v>43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44713</v>
      </c>
      <c r="J46" s="6">
        <v>0</v>
      </c>
      <c r="K46" s="6">
        <v>0</v>
      </c>
      <c r="L46" s="6">
        <v>15.797000000000001</v>
      </c>
      <c r="M46" s="6">
        <v>15.797000000000001</v>
      </c>
      <c r="N46" s="6">
        <v>15.797000000000001</v>
      </c>
      <c r="O46" s="6">
        <v>15.797000000000001</v>
      </c>
      <c r="P46" s="6">
        <v>0</v>
      </c>
      <c r="Q46" s="4" t="s">
        <v>26</v>
      </c>
      <c r="R46" s="4">
        <v>0</v>
      </c>
      <c r="S46" s="4" t="s">
        <v>139</v>
      </c>
      <c r="T46" s="4" t="s">
        <v>428</v>
      </c>
      <c r="U46" s="4">
        <v>0</v>
      </c>
      <c r="V46" s="4">
        <v>31</v>
      </c>
      <c r="W46" s="4">
        <v>73</v>
      </c>
    </row>
    <row r="47" spans="1:23" ht="11.25" customHeight="1" x14ac:dyDescent="0.25">
      <c r="A47" s="4" t="s">
        <v>21</v>
      </c>
      <c r="B47" s="4" t="s">
        <v>42</v>
      </c>
      <c r="C47" s="4" t="s">
        <v>43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44743</v>
      </c>
      <c r="J47" s="6">
        <v>0</v>
      </c>
      <c r="K47" s="6">
        <v>0</v>
      </c>
      <c r="L47" s="6">
        <v>18.327000000000002</v>
      </c>
      <c r="M47" s="6">
        <v>18.327000000000002</v>
      </c>
      <c r="N47" s="6">
        <v>18.327000000000002</v>
      </c>
      <c r="O47" s="6">
        <v>18.327000000000002</v>
      </c>
      <c r="P47" s="6">
        <v>0</v>
      </c>
      <c r="Q47" s="4" t="s">
        <v>26</v>
      </c>
      <c r="R47" s="4">
        <v>0</v>
      </c>
      <c r="S47" s="4" t="s">
        <v>140</v>
      </c>
      <c r="T47" s="4" t="s">
        <v>429</v>
      </c>
      <c r="U47" s="4">
        <v>0</v>
      </c>
      <c r="V47" s="4">
        <v>31</v>
      </c>
      <c r="W47" s="4">
        <v>73</v>
      </c>
    </row>
    <row r="48" spans="1:23" ht="11.25" customHeight="1" x14ac:dyDescent="0.25">
      <c r="A48" s="4" t="s">
        <v>21</v>
      </c>
      <c r="B48" s="4" t="s">
        <v>42</v>
      </c>
      <c r="C48" s="4" t="s">
        <v>43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44774</v>
      </c>
      <c r="J48" s="6">
        <v>0</v>
      </c>
      <c r="K48" s="6">
        <v>0</v>
      </c>
      <c r="L48" s="6">
        <v>17.324999999999999</v>
      </c>
      <c r="M48" s="6">
        <v>17.324999999999999</v>
      </c>
      <c r="N48" s="6">
        <v>17.324999999999999</v>
      </c>
      <c r="O48" s="6">
        <v>17.324999999999999</v>
      </c>
      <c r="P48" s="6">
        <v>0</v>
      </c>
      <c r="Q48" s="4" t="s">
        <v>26</v>
      </c>
      <c r="R48" s="4">
        <v>0</v>
      </c>
      <c r="S48" s="4" t="s">
        <v>141</v>
      </c>
      <c r="T48" s="4" t="s">
        <v>430</v>
      </c>
      <c r="U48" s="4">
        <v>0</v>
      </c>
      <c r="V48" s="4">
        <v>31</v>
      </c>
      <c r="W48" s="4">
        <v>73</v>
      </c>
    </row>
    <row r="49" spans="1:23" ht="11.25" customHeight="1" x14ac:dyDescent="0.25">
      <c r="A49" s="4" t="s">
        <v>21</v>
      </c>
      <c r="B49" s="4" t="s">
        <v>42</v>
      </c>
      <c r="C49" s="4" t="s">
        <v>43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44805</v>
      </c>
      <c r="J49" s="6">
        <v>0</v>
      </c>
      <c r="K49" s="6">
        <v>0</v>
      </c>
      <c r="L49" s="6">
        <v>14.699</v>
      </c>
      <c r="M49" s="6">
        <v>14.699</v>
      </c>
      <c r="N49" s="6">
        <v>14.699</v>
      </c>
      <c r="O49" s="6">
        <v>14.699</v>
      </c>
      <c r="P49" s="6">
        <v>0</v>
      </c>
      <c r="Q49" s="4" t="s">
        <v>26</v>
      </c>
      <c r="R49" s="4">
        <v>0</v>
      </c>
      <c r="S49" s="4" t="s">
        <v>142</v>
      </c>
      <c r="T49" s="4" t="s">
        <v>431</v>
      </c>
      <c r="U49" s="4">
        <v>0</v>
      </c>
      <c r="V49" s="4">
        <v>31</v>
      </c>
      <c r="W49" s="4">
        <v>73</v>
      </c>
    </row>
    <row r="50" spans="1:23" ht="11.25" customHeight="1" x14ac:dyDescent="0.25">
      <c r="A50" s="4" t="s">
        <v>21</v>
      </c>
      <c r="B50" s="4" t="s">
        <v>42</v>
      </c>
      <c r="C50" s="4" t="s">
        <v>43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44835</v>
      </c>
      <c r="J50" s="6">
        <v>0</v>
      </c>
      <c r="K50" s="6">
        <v>0</v>
      </c>
      <c r="L50" s="6">
        <v>13.042</v>
      </c>
      <c r="M50" s="6">
        <v>13.042</v>
      </c>
      <c r="N50" s="6">
        <v>13.042</v>
      </c>
      <c r="O50" s="6">
        <v>13.042</v>
      </c>
      <c r="P50" s="6">
        <v>0</v>
      </c>
      <c r="Q50" s="4" t="s">
        <v>26</v>
      </c>
      <c r="R50" s="4">
        <v>0</v>
      </c>
      <c r="S50" s="4" t="s">
        <v>143</v>
      </c>
      <c r="T50" s="4" t="s">
        <v>432</v>
      </c>
      <c r="U50" s="4">
        <v>0</v>
      </c>
      <c r="V50" s="4">
        <v>31</v>
      </c>
      <c r="W50" s="4">
        <v>73</v>
      </c>
    </row>
    <row r="51" spans="1:23" ht="11.25" customHeight="1" x14ac:dyDescent="0.25">
      <c r="A51" s="4" t="s">
        <v>54</v>
      </c>
      <c r="B51" s="4" t="s">
        <v>42</v>
      </c>
      <c r="C51" s="4" t="s">
        <v>43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44866</v>
      </c>
      <c r="J51" s="6">
        <v>0</v>
      </c>
      <c r="K51" s="6">
        <v>0</v>
      </c>
      <c r="L51" s="6">
        <v>13.042</v>
      </c>
      <c r="M51" s="6">
        <v>13.042</v>
      </c>
      <c r="N51" s="6">
        <v>13.042</v>
      </c>
      <c r="O51" s="6">
        <v>13.042</v>
      </c>
      <c r="P51" s="6">
        <v>0</v>
      </c>
      <c r="Q51" s="4" t="s">
        <v>26</v>
      </c>
      <c r="R51" s="4">
        <v>0</v>
      </c>
      <c r="S51" s="4" t="s">
        <v>144</v>
      </c>
      <c r="T51" s="4" t="s">
        <v>433</v>
      </c>
      <c r="U51" s="4">
        <v>0</v>
      </c>
      <c r="V51" s="4">
        <v>31</v>
      </c>
      <c r="W51" s="4">
        <v>73</v>
      </c>
    </row>
    <row r="52" spans="1:23" ht="11.25" customHeight="1" x14ac:dyDescent="0.25">
      <c r="A52" s="4" t="s">
        <v>21</v>
      </c>
      <c r="B52" s="4" t="s">
        <v>42</v>
      </c>
      <c r="C52" s="4" t="s">
        <v>43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44531</v>
      </c>
      <c r="J52" s="6">
        <v>155</v>
      </c>
      <c r="K52" s="6">
        <v>155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26</v>
      </c>
      <c r="R52" s="4">
        <v>0</v>
      </c>
      <c r="S52" s="4" t="s">
        <v>145</v>
      </c>
      <c r="U52" s="4">
        <v>27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42</v>
      </c>
      <c r="C53" s="4" t="s">
        <v>43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44562</v>
      </c>
      <c r="J53" s="6">
        <v>155</v>
      </c>
      <c r="K53" s="6">
        <v>155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26</v>
      </c>
      <c r="R53" s="4">
        <v>0</v>
      </c>
      <c r="S53" s="4" t="s">
        <v>146</v>
      </c>
      <c r="U53" s="4">
        <v>27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42</v>
      </c>
      <c r="C54" s="4" t="s">
        <v>43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44593</v>
      </c>
      <c r="J54" s="6">
        <v>155</v>
      </c>
      <c r="K54" s="6">
        <v>155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26</v>
      </c>
      <c r="R54" s="4">
        <v>0</v>
      </c>
      <c r="S54" s="4" t="s">
        <v>147</v>
      </c>
      <c r="U54" s="4">
        <v>27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42</v>
      </c>
      <c r="C55" s="4" t="s">
        <v>43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44621</v>
      </c>
      <c r="J55" s="6">
        <v>155</v>
      </c>
      <c r="K55" s="6">
        <v>155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26</v>
      </c>
      <c r="R55" s="4">
        <v>0</v>
      </c>
      <c r="S55" s="4" t="s">
        <v>148</v>
      </c>
      <c r="U55" s="4">
        <v>27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42</v>
      </c>
      <c r="C56" s="4" t="s">
        <v>43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44652</v>
      </c>
      <c r="J56" s="6">
        <v>155</v>
      </c>
      <c r="K56" s="6">
        <v>155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26</v>
      </c>
      <c r="R56" s="4">
        <v>0</v>
      </c>
      <c r="S56" s="4" t="s">
        <v>149</v>
      </c>
      <c r="U56" s="4">
        <v>27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42</v>
      </c>
      <c r="C57" s="4" t="s">
        <v>43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44682</v>
      </c>
      <c r="J57" s="6">
        <v>155</v>
      </c>
      <c r="K57" s="6">
        <v>155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26</v>
      </c>
      <c r="R57" s="4">
        <v>0</v>
      </c>
      <c r="S57" s="4" t="s">
        <v>150</v>
      </c>
      <c r="U57" s="4">
        <v>27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42</v>
      </c>
      <c r="C58" s="4" t="s">
        <v>43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44713</v>
      </c>
      <c r="J58" s="6">
        <v>155</v>
      </c>
      <c r="K58" s="6">
        <v>155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26</v>
      </c>
      <c r="R58" s="4">
        <v>0</v>
      </c>
      <c r="S58" s="4" t="s">
        <v>151</v>
      </c>
      <c r="U58" s="4">
        <v>27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42</v>
      </c>
      <c r="C59" s="4" t="s">
        <v>43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44743</v>
      </c>
      <c r="J59" s="6">
        <v>155</v>
      </c>
      <c r="K59" s="6">
        <v>155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26</v>
      </c>
      <c r="R59" s="4">
        <v>0</v>
      </c>
      <c r="S59" s="4" t="s">
        <v>152</v>
      </c>
      <c r="U59" s="4">
        <v>27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42</v>
      </c>
      <c r="C60" s="4" t="s">
        <v>43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44774</v>
      </c>
      <c r="J60" s="6">
        <v>155</v>
      </c>
      <c r="K60" s="6">
        <v>155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26</v>
      </c>
      <c r="R60" s="4">
        <v>0</v>
      </c>
      <c r="S60" s="4" t="s">
        <v>153</v>
      </c>
      <c r="U60" s="4">
        <v>27</v>
      </c>
      <c r="V60" s="4">
        <v>0</v>
      </c>
      <c r="W60" s="4">
        <v>0</v>
      </c>
    </row>
    <row r="61" spans="1:23" ht="11.25" customHeight="1" x14ac:dyDescent="0.25">
      <c r="A61" s="4" t="s">
        <v>21</v>
      </c>
      <c r="B61" s="4" t="s">
        <v>42</v>
      </c>
      <c r="C61" s="4" t="s">
        <v>43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44805</v>
      </c>
      <c r="J61" s="6">
        <v>155</v>
      </c>
      <c r="K61" s="6">
        <v>155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26</v>
      </c>
      <c r="R61" s="4">
        <v>0</v>
      </c>
      <c r="S61" s="4" t="s">
        <v>154</v>
      </c>
      <c r="U61" s="4">
        <v>27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42</v>
      </c>
      <c r="C62" s="4" t="s">
        <v>43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44835</v>
      </c>
      <c r="J62" s="6">
        <v>155</v>
      </c>
      <c r="K62" s="6">
        <v>155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26</v>
      </c>
      <c r="R62" s="4">
        <v>0</v>
      </c>
      <c r="S62" s="4" t="s">
        <v>155</v>
      </c>
      <c r="U62" s="4">
        <v>27</v>
      </c>
      <c r="V62" s="4">
        <v>0</v>
      </c>
      <c r="W62" s="4">
        <v>0</v>
      </c>
    </row>
    <row r="63" spans="1:23" ht="11.25" customHeight="1" x14ac:dyDescent="0.25">
      <c r="A63" s="4" t="s">
        <v>54</v>
      </c>
      <c r="B63" s="4" t="s">
        <v>42</v>
      </c>
      <c r="C63" s="4" t="s">
        <v>43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44866</v>
      </c>
      <c r="J63" s="6">
        <v>155</v>
      </c>
      <c r="K63" s="6">
        <v>155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4" t="s">
        <v>156</v>
      </c>
      <c r="U63" s="4">
        <v>27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42</v>
      </c>
      <c r="C64" s="4" t="s">
        <v>43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44531</v>
      </c>
      <c r="J64" s="6">
        <v>0</v>
      </c>
      <c r="K64" s="6">
        <v>0</v>
      </c>
      <c r="L64" s="6">
        <v>3.15</v>
      </c>
      <c r="M64" s="6">
        <v>3.15</v>
      </c>
      <c r="N64" s="6">
        <v>3.15</v>
      </c>
      <c r="O64" s="6">
        <v>3.15</v>
      </c>
      <c r="P64" s="6">
        <v>0</v>
      </c>
      <c r="Q64" s="4" t="s">
        <v>26</v>
      </c>
      <c r="R64" s="4">
        <v>0</v>
      </c>
      <c r="S64" s="4" t="s">
        <v>157</v>
      </c>
      <c r="T64" s="4" t="s">
        <v>438</v>
      </c>
      <c r="U64" s="4">
        <v>0</v>
      </c>
      <c r="V64" s="4">
        <v>30</v>
      </c>
      <c r="W64" s="4">
        <v>72</v>
      </c>
    </row>
    <row r="65" spans="1:23" ht="11.25" customHeight="1" x14ac:dyDescent="0.25">
      <c r="A65" s="4" t="s">
        <v>21</v>
      </c>
      <c r="B65" s="4" t="s">
        <v>42</v>
      </c>
      <c r="C65" s="4" t="s">
        <v>43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44562</v>
      </c>
      <c r="J65" s="6">
        <v>0</v>
      </c>
      <c r="K65" s="6">
        <v>0</v>
      </c>
      <c r="L65" s="6">
        <v>2.625</v>
      </c>
      <c r="M65" s="6">
        <v>2.625</v>
      </c>
      <c r="N65" s="6">
        <v>2.625</v>
      </c>
      <c r="O65" s="6">
        <v>2.625</v>
      </c>
      <c r="P65" s="6">
        <v>0</v>
      </c>
      <c r="Q65" s="4" t="s">
        <v>26</v>
      </c>
      <c r="R65" s="4">
        <v>0</v>
      </c>
      <c r="S65" s="4" t="s">
        <v>158</v>
      </c>
      <c r="T65" s="4" t="s">
        <v>439</v>
      </c>
      <c r="U65" s="4">
        <v>0</v>
      </c>
      <c r="V65" s="4">
        <v>30</v>
      </c>
      <c r="W65" s="4">
        <v>72</v>
      </c>
    </row>
    <row r="66" spans="1:23" ht="11.25" customHeight="1" x14ac:dyDescent="0.25">
      <c r="A66" s="4" t="s">
        <v>21</v>
      </c>
      <c r="B66" s="4" t="s">
        <v>42</v>
      </c>
      <c r="C66" s="4" t="s">
        <v>43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44593</v>
      </c>
      <c r="J66" s="6">
        <v>0</v>
      </c>
      <c r="K66" s="6">
        <v>0</v>
      </c>
      <c r="L66" s="6">
        <v>2.6240000000000001</v>
      </c>
      <c r="M66" s="6">
        <v>2.6240000000000001</v>
      </c>
      <c r="N66" s="6">
        <v>2.6240000000000001</v>
      </c>
      <c r="O66" s="6">
        <v>2.6240000000000001</v>
      </c>
      <c r="P66" s="6">
        <v>0</v>
      </c>
      <c r="Q66" s="4" t="s">
        <v>26</v>
      </c>
      <c r="R66" s="4">
        <v>0</v>
      </c>
      <c r="S66" s="4" t="s">
        <v>159</v>
      </c>
      <c r="T66" s="4" t="s">
        <v>440</v>
      </c>
      <c r="U66" s="4">
        <v>0</v>
      </c>
      <c r="V66" s="4">
        <v>30</v>
      </c>
      <c r="W66" s="4">
        <v>72</v>
      </c>
    </row>
    <row r="67" spans="1:23" ht="11.25" customHeight="1" x14ac:dyDescent="0.25">
      <c r="A67" s="4" t="s">
        <v>21</v>
      </c>
      <c r="B67" s="4" t="s">
        <v>42</v>
      </c>
      <c r="C67" s="4" t="s">
        <v>43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2.625</v>
      </c>
      <c r="M67" s="6">
        <v>2.625</v>
      </c>
      <c r="N67" s="6">
        <v>2.625</v>
      </c>
      <c r="O67" s="6">
        <v>2.625</v>
      </c>
      <c r="P67" s="6">
        <v>0</v>
      </c>
      <c r="Q67" s="4" t="s">
        <v>26</v>
      </c>
      <c r="R67" s="4">
        <v>0</v>
      </c>
      <c r="S67" s="4" t="s">
        <v>160</v>
      </c>
      <c r="T67" s="4" t="s">
        <v>441</v>
      </c>
      <c r="U67" s="4">
        <v>0</v>
      </c>
      <c r="V67" s="4">
        <v>30</v>
      </c>
      <c r="W67" s="4">
        <v>72</v>
      </c>
    </row>
    <row r="68" spans="1:23" ht="11.25" customHeight="1" x14ac:dyDescent="0.25">
      <c r="A68" s="4" t="s">
        <v>21</v>
      </c>
      <c r="B68" s="4" t="s">
        <v>42</v>
      </c>
      <c r="C68" s="4" t="s">
        <v>43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2.0990000000000002</v>
      </c>
      <c r="M68" s="6">
        <v>2.0990000000000002</v>
      </c>
      <c r="N68" s="6">
        <v>2.0990000000000002</v>
      </c>
      <c r="O68" s="6">
        <v>2.0990000000000002</v>
      </c>
      <c r="P68" s="6">
        <v>0</v>
      </c>
      <c r="Q68" s="4" t="s">
        <v>26</v>
      </c>
      <c r="R68" s="4">
        <v>0</v>
      </c>
      <c r="S68" s="4" t="s">
        <v>161</v>
      </c>
      <c r="T68" s="4" t="s">
        <v>442</v>
      </c>
      <c r="U68" s="4">
        <v>0</v>
      </c>
      <c r="V68" s="4">
        <v>30</v>
      </c>
      <c r="W68" s="4">
        <v>72</v>
      </c>
    </row>
    <row r="69" spans="1:23" ht="11.25" customHeight="1" x14ac:dyDescent="0.25">
      <c r="A69" s="4" t="s">
        <v>21</v>
      </c>
      <c r="B69" s="4" t="s">
        <v>42</v>
      </c>
      <c r="C69" s="4" t="s">
        <v>43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44682</v>
      </c>
      <c r="J69" s="6">
        <v>0</v>
      </c>
      <c r="K69" s="6">
        <v>0</v>
      </c>
      <c r="L69" s="6">
        <v>2.625</v>
      </c>
      <c r="M69" s="6">
        <v>2.625</v>
      </c>
      <c r="N69" s="6">
        <v>2.625</v>
      </c>
      <c r="O69" s="6">
        <v>2.625</v>
      </c>
      <c r="P69" s="6">
        <v>0</v>
      </c>
      <c r="Q69" s="4" t="s">
        <v>26</v>
      </c>
      <c r="R69" s="4">
        <v>0</v>
      </c>
      <c r="S69" s="4" t="s">
        <v>162</v>
      </c>
      <c r="T69" s="4" t="s">
        <v>443</v>
      </c>
      <c r="U69" s="4">
        <v>0</v>
      </c>
      <c r="V69" s="4">
        <v>30</v>
      </c>
      <c r="W69" s="4">
        <v>72</v>
      </c>
    </row>
    <row r="70" spans="1:23" ht="11.25" customHeight="1" x14ac:dyDescent="0.25">
      <c r="A70" s="4" t="s">
        <v>21</v>
      </c>
      <c r="B70" s="4" t="s">
        <v>42</v>
      </c>
      <c r="C70" s="4" t="s">
        <v>43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44713</v>
      </c>
      <c r="J70" s="6">
        <v>0</v>
      </c>
      <c r="K70" s="6">
        <v>0</v>
      </c>
      <c r="L70" s="6">
        <v>3.15</v>
      </c>
      <c r="M70" s="6">
        <v>3.15</v>
      </c>
      <c r="N70" s="6">
        <v>3.15</v>
      </c>
      <c r="O70" s="6">
        <v>3.15</v>
      </c>
      <c r="P70" s="6">
        <v>0</v>
      </c>
      <c r="Q70" s="4" t="s">
        <v>26</v>
      </c>
      <c r="R70" s="4">
        <v>0</v>
      </c>
      <c r="S70" s="4" t="s">
        <v>163</v>
      </c>
      <c r="T70" s="4" t="s">
        <v>444</v>
      </c>
      <c r="U70" s="4">
        <v>0</v>
      </c>
      <c r="V70" s="4">
        <v>30</v>
      </c>
      <c r="W70" s="4">
        <v>72</v>
      </c>
    </row>
    <row r="71" spans="1:23" ht="11.25" customHeight="1" x14ac:dyDescent="0.25">
      <c r="A71" s="4" t="s">
        <v>21</v>
      </c>
      <c r="B71" s="4" t="s">
        <v>42</v>
      </c>
      <c r="C71" s="4" t="s">
        <v>43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44743</v>
      </c>
      <c r="J71" s="6">
        <v>0</v>
      </c>
      <c r="K71" s="6">
        <v>0</v>
      </c>
      <c r="L71" s="6">
        <v>2.625</v>
      </c>
      <c r="M71" s="6">
        <v>2.625</v>
      </c>
      <c r="N71" s="6">
        <v>2.625</v>
      </c>
      <c r="O71" s="6">
        <v>2.625</v>
      </c>
      <c r="P71" s="6">
        <v>0</v>
      </c>
      <c r="Q71" s="4" t="s">
        <v>26</v>
      </c>
      <c r="R71" s="4">
        <v>0</v>
      </c>
      <c r="S71" s="4" t="s">
        <v>164</v>
      </c>
      <c r="T71" s="4" t="s">
        <v>445</v>
      </c>
      <c r="U71" s="4">
        <v>0</v>
      </c>
      <c r="V71" s="4">
        <v>30</v>
      </c>
      <c r="W71" s="4">
        <v>72</v>
      </c>
    </row>
    <row r="72" spans="1:23" ht="11.25" customHeight="1" x14ac:dyDescent="0.25">
      <c r="A72" s="4" t="s">
        <v>21</v>
      </c>
      <c r="B72" s="4" t="s">
        <v>42</v>
      </c>
      <c r="C72" s="4" t="s">
        <v>43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44774</v>
      </c>
      <c r="J72" s="6">
        <v>0</v>
      </c>
      <c r="K72" s="6">
        <v>0</v>
      </c>
      <c r="L72" s="6">
        <v>2.625</v>
      </c>
      <c r="M72" s="6">
        <v>2.625</v>
      </c>
      <c r="N72" s="6">
        <v>2.625</v>
      </c>
      <c r="O72" s="6">
        <v>2.625</v>
      </c>
      <c r="P72" s="6">
        <v>0</v>
      </c>
      <c r="Q72" s="4" t="s">
        <v>26</v>
      </c>
      <c r="R72" s="4">
        <v>0</v>
      </c>
      <c r="S72" s="4" t="s">
        <v>165</v>
      </c>
      <c r="T72" s="4" t="s">
        <v>446</v>
      </c>
      <c r="U72" s="4">
        <v>0</v>
      </c>
      <c r="V72" s="4">
        <v>30</v>
      </c>
      <c r="W72" s="4">
        <v>72</v>
      </c>
    </row>
    <row r="73" spans="1:23" ht="11.25" customHeight="1" x14ac:dyDescent="0.25">
      <c r="A73" s="4" t="s">
        <v>21</v>
      </c>
      <c r="B73" s="4" t="s">
        <v>42</v>
      </c>
      <c r="C73" s="4" t="s">
        <v>43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44805</v>
      </c>
      <c r="J73" s="6">
        <v>0</v>
      </c>
      <c r="K73" s="6">
        <v>0</v>
      </c>
      <c r="L73" s="6">
        <v>2.0990000000000002</v>
      </c>
      <c r="M73" s="6">
        <v>2.0990000000000002</v>
      </c>
      <c r="N73" s="6">
        <v>2.0990000000000002</v>
      </c>
      <c r="O73" s="6">
        <v>2.0990000000000002</v>
      </c>
      <c r="P73" s="6">
        <v>0</v>
      </c>
      <c r="Q73" s="4" t="s">
        <v>26</v>
      </c>
      <c r="R73" s="4">
        <v>0</v>
      </c>
      <c r="S73" s="4" t="s">
        <v>166</v>
      </c>
      <c r="T73" s="4" t="s">
        <v>447</v>
      </c>
      <c r="U73" s="4">
        <v>0</v>
      </c>
      <c r="V73" s="4">
        <v>30</v>
      </c>
      <c r="W73" s="4">
        <v>72</v>
      </c>
    </row>
    <row r="74" spans="1:23" ht="11.25" customHeight="1" x14ac:dyDescent="0.25">
      <c r="A74" s="4" t="s">
        <v>21</v>
      </c>
      <c r="B74" s="4" t="s">
        <v>42</v>
      </c>
      <c r="C74" s="4" t="s">
        <v>43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44835</v>
      </c>
      <c r="J74" s="6">
        <v>0</v>
      </c>
      <c r="K74" s="6">
        <v>0</v>
      </c>
      <c r="L74" s="6">
        <v>2.3090000000000002</v>
      </c>
      <c r="M74" s="6">
        <v>2.3090000000000002</v>
      </c>
      <c r="N74" s="6">
        <v>2.3090000000000002</v>
      </c>
      <c r="O74" s="6">
        <v>2.3090000000000002</v>
      </c>
      <c r="P74" s="6">
        <v>0</v>
      </c>
      <c r="Q74" s="4" t="s">
        <v>26</v>
      </c>
      <c r="R74" s="4">
        <v>0</v>
      </c>
      <c r="S74" s="4" t="s">
        <v>167</v>
      </c>
      <c r="T74" s="4" t="s">
        <v>448</v>
      </c>
      <c r="U74" s="4">
        <v>0</v>
      </c>
      <c r="V74" s="4">
        <v>30</v>
      </c>
      <c r="W74" s="4">
        <v>72</v>
      </c>
    </row>
    <row r="75" spans="1:23" ht="11.25" customHeight="1" x14ac:dyDescent="0.25">
      <c r="A75" s="4" t="s">
        <v>54</v>
      </c>
      <c r="B75" s="4" t="s">
        <v>42</v>
      </c>
      <c r="C75" s="4" t="s">
        <v>43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44866</v>
      </c>
      <c r="J75" s="6">
        <v>0</v>
      </c>
      <c r="K75" s="6">
        <v>0</v>
      </c>
      <c r="L75" s="6">
        <v>2.3090000000000002</v>
      </c>
      <c r="M75" s="6">
        <v>2.3090000000000002</v>
      </c>
      <c r="N75" s="6">
        <v>2.3090000000000002</v>
      </c>
      <c r="O75" s="6">
        <v>2.3090000000000002</v>
      </c>
      <c r="P75" s="6">
        <v>0</v>
      </c>
      <c r="Q75" s="4" t="s">
        <v>26</v>
      </c>
      <c r="R75" s="4">
        <v>0</v>
      </c>
      <c r="S75" s="4" t="s">
        <v>168</v>
      </c>
      <c r="T75" s="4" t="s">
        <v>449</v>
      </c>
      <c r="U75" s="4">
        <v>0</v>
      </c>
      <c r="V75" s="4">
        <v>30</v>
      </c>
      <c r="W75" s="4">
        <v>72</v>
      </c>
    </row>
    <row r="76" spans="1:23" ht="11.25" customHeight="1" x14ac:dyDescent="0.25">
      <c r="A76" s="4" t="s">
        <v>21</v>
      </c>
      <c r="B76" s="4" t="s">
        <v>41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44531</v>
      </c>
      <c r="J76" s="6">
        <v>6858</v>
      </c>
      <c r="K76" s="6">
        <v>6858</v>
      </c>
      <c r="L76" s="6">
        <v>1881.0440000000001</v>
      </c>
      <c r="M76" s="6">
        <v>1881.0440000000001</v>
      </c>
      <c r="N76" s="6">
        <v>1881.0440000000001</v>
      </c>
      <c r="O76" s="6">
        <v>1881.0440000000001</v>
      </c>
      <c r="P76" s="6">
        <v>0</v>
      </c>
      <c r="Q76" s="4" t="s">
        <v>26</v>
      </c>
      <c r="R76" s="4">
        <v>0</v>
      </c>
      <c r="S76" s="4" t="s">
        <v>169</v>
      </c>
      <c r="T76" s="4" t="s">
        <v>450</v>
      </c>
      <c r="U76" s="4">
        <v>43</v>
      </c>
      <c r="V76" s="4">
        <v>46</v>
      </c>
      <c r="W76" s="4">
        <v>76</v>
      </c>
    </row>
    <row r="77" spans="1:23" ht="11.25" customHeight="1" x14ac:dyDescent="0.25">
      <c r="A77" s="4" t="s">
        <v>21</v>
      </c>
      <c r="B77" s="4" t="s">
        <v>41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44562</v>
      </c>
      <c r="J77" s="6">
        <v>6832</v>
      </c>
      <c r="K77" s="6">
        <v>6832</v>
      </c>
      <c r="L77" s="6">
        <v>1716.9649999999999</v>
      </c>
      <c r="M77" s="6">
        <v>1716.9649999999999</v>
      </c>
      <c r="N77" s="6">
        <v>1716.9649999999999</v>
      </c>
      <c r="O77" s="6">
        <v>1716.9649999999999</v>
      </c>
      <c r="P77" s="6">
        <v>0</v>
      </c>
      <c r="Q77" s="4" t="s">
        <v>26</v>
      </c>
      <c r="R77" s="4">
        <v>0</v>
      </c>
      <c r="S77" s="4" t="s">
        <v>170</v>
      </c>
      <c r="T77" s="4" t="s">
        <v>451</v>
      </c>
      <c r="U77" s="4">
        <v>43</v>
      </c>
      <c r="V77" s="4">
        <v>46</v>
      </c>
      <c r="W77" s="4">
        <v>76</v>
      </c>
    </row>
    <row r="78" spans="1:23" ht="11.25" customHeight="1" x14ac:dyDescent="0.25">
      <c r="A78" s="4" t="s">
        <v>21</v>
      </c>
      <c r="B78" s="4" t="s">
        <v>41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44593</v>
      </c>
      <c r="J78" s="6">
        <v>6854</v>
      </c>
      <c r="K78" s="6">
        <v>6854</v>
      </c>
      <c r="L78" s="6">
        <v>1622.1579999999999</v>
      </c>
      <c r="M78" s="6">
        <v>1622.1579999999999</v>
      </c>
      <c r="N78" s="6">
        <v>1622.1579999999999</v>
      </c>
      <c r="O78" s="6">
        <v>1622.1579999999999</v>
      </c>
      <c r="P78" s="6">
        <v>0</v>
      </c>
      <c r="Q78" s="4" t="s">
        <v>26</v>
      </c>
      <c r="R78" s="4">
        <v>0</v>
      </c>
      <c r="S78" s="4" t="s">
        <v>171</v>
      </c>
      <c r="T78" s="4" t="s">
        <v>452</v>
      </c>
      <c r="U78" s="4">
        <v>43</v>
      </c>
      <c r="V78" s="4">
        <v>46</v>
      </c>
      <c r="W78" s="4">
        <v>76</v>
      </c>
    </row>
    <row r="79" spans="1:23" ht="11.25" customHeight="1" x14ac:dyDescent="0.25">
      <c r="A79" s="4" t="s">
        <v>21</v>
      </c>
      <c r="B79" s="4" t="s">
        <v>41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44621</v>
      </c>
      <c r="J79" s="6">
        <v>6888</v>
      </c>
      <c r="K79" s="6">
        <v>6888</v>
      </c>
      <c r="L79" s="6">
        <v>1732.5830000000001</v>
      </c>
      <c r="M79" s="6">
        <v>1732.5830000000001</v>
      </c>
      <c r="N79" s="6">
        <v>1732.5830000000001</v>
      </c>
      <c r="O79" s="6">
        <v>1732.5830000000001</v>
      </c>
      <c r="P79" s="6">
        <v>0</v>
      </c>
      <c r="Q79" s="4" t="s">
        <v>26</v>
      </c>
      <c r="R79" s="4">
        <v>0</v>
      </c>
      <c r="S79" s="4" t="s">
        <v>172</v>
      </c>
      <c r="T79" s="4" t="s">
        <v>453</v>
      </c>
      <c r="U79" s="4">
        <v>43</v>
      </c>
      <c r="V79" s="4">
        <v>46</v>
      </c>
      <c r="W79" s="4">
        <v>76</v>
      </c>
    </row>
    <row r="80" spans="1:23" ht="11.25" customHeight="1" x14ac:dyDescent="0.25">
      <c r="A80" s="4" t="s">
        <v>21</v>
      </c>
      <c r="B80" s="4" t="s">
        <v>41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44652</v>
      </c>
      <c r="J80" s="6">
        <v>6877</v>
      </c>
      <c r="K80" s="6">
        <v>6877</v>
      </c>
      <c r="L80" s="6">
        <v>1705.7470000000001</v>
      </c>
      <c r="M80" s="6">
        <v>1705.7470000000001</v>
      </c>
      <c r="N80" s="6">
        <v>1705.7470000000001</v>
      </c>
      <c r="O80" s="6">
        <v>1705.7470000000001</v>
      </c>
      <c r="P80" s="6">
        <v>0</v>
      </c>
      <c r="Q80" s="4" t="s">
        <v>26</v>
      </c>
      <c r="R80" s="4">
        <v>0</v>
      </c>
      <c r="S80" s="4" t="s">
        <v>173</v>
      </c>
      <c r="T80" s="4" t="s">
        <v>454</v>
      </c>
      <c r="U80" s="4">
        <v>43</v>
      </c>
      <c r="V80" s="4">
        <v>46</v>
      </c>
      <c r="W80" s="4">
        <v>76</v>
      </c>
    </row>
    <row r="81" spans="1:23" ht="11.25" customHeight="1" x14ac:dyDescent="0.25">
      <c r="A81" s="4" t="s">
        <v>21</v>
      </c>
      <c r="B81" s="4" t="s">
        <v>41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44682</v>
      </c>
      <c r="J81" s="6">
        <v>6905</v>
      </c>
      <c r="K81" s="6">
        <v>6905</v>
      </c>
      <c r="L81" s="6">
        <v>1773.489</v>
      </c>
      <c r="M81" s="6">
        <v>1773.489</v>
      </c>
      <c r="N81" s="6">
        <v>1773.489</v>
      </c>
      <c r="O81" s="6">
        <v>1773.489</v>
      </c>
      <c r="P81" s="6">
        <v>0</v>
      </c>
      <c r="Q81" s="4" t="s">
        <v>26</v>
      </c>
      <c r="R81" s="4">
        <v>0</v>
      </c>
      <c r="S81" s="4" t="s">
        <v>174</v>
      </c>
      <c r="T81" s="4" t="s">
        <v>455</v>
      </c>
      <c r="U81" s="4">
        <v>43</v>
      </c>
      <c r="V81" s="4">
        <v>46</v>
      </c>
      <c r="W81" s="4">
        <v>76</v>
      </c>
    </row>
    <row r="82" spans="1:23" ht="11.25" customHeight="1" x14ac:dyDescent="0.25">
      <c r="A82" s="4" t="s">
        <v>21</v>
      </c>
      <c r="B82" s="4" t="s">
        <v>41</v>
      </c>
      <c r="C82" s="4" t="s">
        <v>40</v>
      </c>
      <c r="D82" s="4" t="s">
        <v>44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44713</v>
      </c>
      <c r="J82" s="6">
        <v>6900</v>
      </c>
      <c r="K82" s="6">
        <v>6900</v>
      </c>
      <c r="L82" s="6">
        <v>1809.3530000000001</v>
      </c>
      <c r="M82" s="6">
        <v>1809.3530000000001</v>
      </c>
      <c r="N82" s="6">
        <v>1809.3530000000001</v>
      </c>
      <c r="O82" s="6">
        <v>1809.3530000000001</v>
      </c>
      <c r="P82" s="6">
        <v>0</v>
      </c>
      <c r="Q82" s="4" t="s">
        <v>26</v>
      </c>
      <c r="R82" s="4">
        <v>0</v>
      </c>
      <c r="S82" s="4" t="s">
        <v>175</v>
      </c>
      <c r="T82" s="4" t="s">
        <v>456</v>
      </c>
      <c r="U82" s="4">
        <v>43</v>
      </c>
      <c r="V82" s="4">
        <v>46</v>
      </c>
      <c r="W82" s="4">
        <v>76</v>
      </c>
    </row>
    <row r="83" spans="1:23" ht="11.25" customHeight="1" x14ac:dyDescent="0.25">
      <c r="A83" s="4" t="s">
        <v>27</v>
      </c>
      <c r="B83" s="4" t="s">
        <v>41</v>
      </c>
      <c r="C83" s="4" t="s">
        <v>40</v>
      </c>
      <c r="D83" s="4" t="s">
        <v>44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44713</v>
      </c>
      <c r="J83" s="6">
        <v>0</v>
      </c>
      <c r="K83" s="6">
        <v>0</v>
      </c>
      <c r="L83" s="6">
        <v>-7.5549999999999997</v>
      </c>
      <c r="M83" s="6">
        <v>-7.5549999999999997</v>
      </c>
      <c r="N83" s="6">
        <v>-7.5549999999999997</v>
      </c>
      <c r="O83" s="6">
        <v>-7.5549999999999997</v>
      </c>
      <c r="P83" s="6">
        <v>0</v>
      </c>
      <c r="Q83" s="4" t="s">
        <v>26</v>
      </c>
      <c r="R83" s="4">
        <v>0</v>
      </c>
      <c r="S83" s="4" t="s">
        <v>175</v>
      </c>
      <c r="T83" s="4" t="s">
        <v>456</v>
      </c>
      <c r="U83" s="4">
        <v>0</v>
      </c>
      <c r="V83" s="4">
        <v>46</v>
      </c>
      <c r="W83" s="4">
        <v>76</v>
      </c>
    </row>
    <row r="84" spans="1:23" ht="11.25" customHeight="1" x14ac:dyDescent="0.25">
      <c r="A84" s="4" t="s">
        <v>21</v>
      </c>
      <c r="B84" s="4" t="s">
        <v>41</v>
      </c>
      <c r="C84" s="4" t="s">
        <v>40</v>
      </c>
      <c r="D84" s="4" t="s">
        <v>44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44743</v>
      </c>
      <c r="J84" s="6">
        <v>7559</v>
      </c>
      <c r="K84" s="6">
        <v>7559</v>
      </c>
      <c r="L84" s="6">
        <v>1933.979</v>
      </c>
      <c r="M84" s="6">
        <v>1933.979</v>
      </c>
      <c r="N84" s="6">
        <v>1933.979</v>
      </c>
      <c r="O84" s="6">
        <v>1933.979</v>
      </c>
      <c r="P84" s="6">
        <v>0</v>
      </c>
      <c r="Q84" s="4" t="s">
        <v>26</v>
      </c>
      <c r="R84" s="4">
        <v>0</v>
      </c>
      <c r="S84" s="4" t="s">
        <v>176</v>
      </c>
      <c r="T84" s="4" t="s">
        <v>457</v>
      </c>
      <c r="U84" s="4">
        <v>43</v>
      </c>
      <c r="V84" s="4">
        <v>46</v>
      </c>
      <c r="W84" s="4">
        <v>76</v>
      </c>
    </row>
    <row r="85" spans="1:23" ht="11.25" customHeight="1" x14ac:dyDescent="0.25">
      <c r="A85" s="4" t="s">
        <v>21</v>
      </c>
      <c r="B85" s="4" t="s">
        <v>41</v>
      </c>
      <c r="C85" s="4" t="s">
        <v>40</v>
      </c>
      <c r="D85" s="4" t="s">
        <v>44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44774</v>
      </c>
      <c r="J85" s="6">
        <v>7342</v>
      </c>
      <c r="K85" s="6">
        <v>7342</v>
      </c>
      <c r="L85" s="6">
        <v>2016.7239999999999</v>
      </c>
      <c r="M85" s="6">
        <v>2016.7239999999999</v>
      </c>
      <c r="N85" s="6">
        <v>2016.7239999999999</v>
      </c>
      <c r="O85" s="6">
        <v>2016.7239999999999</v>
      </c>
      <c r="P85" s="6">
        <v>0</v>
      </c>
      <c r="Q85" s="4" t="s">
        <v>26</v>
      </c>
      <c r="R85" s="4">
        <v>0</v>
      </c>
      <c r="S85" s="4" t="s">
        <v>177</v>
      </c>
      <c r="T85" s="4" t="s">
        <v>458</v>
      </c>
      <c r="U85" s="4">
        <v>43</v>
      </c>
      <c r="V85" s="4">
        <v>46</v>
      </c>
      <c r="W85" s="4">
        <v>76</v>
      </c>
    </row>
    <row r="86" spans="1:23" ht="11.25" customHeight="1" x14ac:dyDescent="0.25">
      <c r="A86" s="4" t="s">
        <v>27</v>
      </c>
      <c r="B86" s="4" t="s">
        <v>41</v>
      </c>
      <c r="C86" s="4" t="s">
        <v>40</v>
      </c>
      <c r="D86" s="4" t="s">
        <v>44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44774</v>
      </c>
      <c r="J86" s="6">
        <v>-281</v>
      </c>
      <c r="K86" s="6">
        <v>-281</v>
      </c>
      <c r="L86" s="6">
        <v>-1E-3</v>
      </c>
      <c r="M86" s="6">
        <v>-1E-3</v>
      </c>
      <c r="N86" s="6">
        <v>-1E-3</v>
      </c>
      <c r="O86" s="6">
        <v>-1E-3</v>
      </c>
      <c r="P86" s="6">
        <v>0</v>
      </c>
      <c r="Q86" s="4" t="s">
        <v>26</v>
      </c>
      <c r="R86" s="4">
        <v>0</v>
      </c>
      <c r="S86" s="4" t="s">
        <v>177</v>
      </c>
      <c r="T86" s="4" t="s">
        <v>458</v>
      </c>
      <c r="U86" s="4">
        <v>43</v>
      </c>
      <c r="V86" s="4">
        <v>46</v>
      </c>
      <c r="W86" s="4">
        <v>76</v>
      </c>
    </row>
    <row r="87" spans="1:23" ht="11.25" customHeight="1" x14ac:dyDescent="0.25">
      <c r="A87" s="4" t="s">
        <v>21</v>
      </c>
      <c r="B87" s="4" t="s">
        <v>41</v>
      </c>
      <c r="C87" s="4" t="s">
        <v>40</v>
      </c>
      <c r="D87" s="4" t="s">
        <v>44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44805</v>
      </c>
      <c r="J87" s="6">
        <v>7368</v>
      </c>
      <c r="K87" s="6">
        <v>7368</v>
      </c>
      <c r="L87" s="6">
        <v>2046.203</v>
      </c>
      <c r="M87" s="6">
        <v>2046.203</v>
      </c>
      <c r="N87" s="6">
        <v>2046.203</v>
      </c>
      <c r="O87" s="6">
        <v>2046.203</v>
      </c>
      <c r="P87" s="6">
        <v>0</v>
      </c>
      <c r="Q87" s="4" t="s">
        <v>26</v>
      </c>
      <c r="R87" s="4">
        <v>0</v>
      </c>
      <c r="S87" s="4" t="s">
        <v>178</v>
      </c>
      <c r="T87" s="4" t="s">
        <v>459</v>
      </c>
      <c r="U87" s="4">
        <v>43</v>
      </c>
      <c r="V87" s="4">
        <v>46</v>
      </c>
      <c r="W87" s="4">
        <v>76</v>
      </c>
    </row>
    <row r="88" spans="1:23" ht="11.25" customHeight="1" x14ac:dyDescent="0.25">
      <c r="A88" s="4" t="s">
        <v>27</v>
      </c>
      <c r="B88" s="4" t="s">
        <v>41</v>
      </c>
      <c r="C88" s="4" t="s">
        <v>40</v>
      </c>
      <c r="D88" s="4" t="s">
        <v>44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44805</v>
      </c>
      <c r="J88" s="6">
        <v>-7</v>
      </c>
      <c r="K88" s="6">
        <v>-7</v>
      </c>
      <c r="L88" s="6">
        <v>-18.960999999999999</v>
      </c>
      <c r="M88" s="6">
        <v>-18.960999999999999</v>
      </c>
      <c r="N88" s="6">
        <v>-18.960999999999999</v>
      </c>
      <c r="O88" s="6">
        <v>-18.960999999999999</v>
      </c>
      <c r="P88" s="6">
        <v>0</v>
      </c>
      <c r="Q88" s="4" t="s">
        <v>26</v>
      </c>
      <c r="R88" s="4">
        <v>0</v>
      </c>
      <c r="S88" s="4" t="s">
        <v>178</v>
      </c>
      <c r="T88" s="4" t="s">
        <v>459</v>
      </c>
      <c r="U88" s="4">
        <v>43</v>
      </c>
      <c r="V88" s="4">
        <v>46</v>
      </c>
      <c r="W88" s="4">
        <v>76</v>
      </c>
    </row>
    <row r="89" spans="1:23" ht="11.25" customHeight="1" x14ac:dyDescent="0.25">
      <c r="A89" s="4" t="s">
        <v>21</v>
      </c>
      <c r="B89" s="4" t="s">
        <v>41</v>
      </c>
      <c r="C89" s="4" t="s">
        <v>40</v>
      </c>
      <c r="D89" s="4" t="s">
        <v>44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44835</v>
      </c>
      <c r="J89" s="6">
        <v>7289</v>
      </c>
      <c r="K89" s="6">
        <v>7289</v>
      </c>
      <c r="L89" s="6">
        <v>2137.2919999999999</v>
      </c>
      <c r="M89" s="6">
        <v>2137.2919999999999</v>
      </c>
      <c r="N89" s="6">
        <v>2137.2919999999999</v>
      </c>
      <c r="O89" s="6">
        <v>2137.2919999999999</v>
      </c>
      <c r="P89" s="6">
        <v>0</v>
      </c>
      <c r="Q89" s="4" t="s">
        <v>26</v>
      </c>
      <c r="R89" s="4">
        <v>0</v>
      </c>
      <c r="S89" s="4" t="s">
        <v>179</v>
      </c>
      <c r="T89" s="4" t="s">
        <v>460</v>
      </c>
      <c r="U89" s="4">
        <v>43</v>
      </c>
      <c r="V89" s="4">
        <v>46</v>
      </c>
      <c r="W89" s="4">
        <v>76</v>
      </c>
    </row>
    <row r="90" spans="1:23" ht="11.25" customHeight="1" x14ac:dyDescent="0.25">
      <c r="A90" s="4" t="s">
        <v>54</v>
      </c>
      <c r="B90" s="4" t="s">
        <v>41</v>
      </c>
      <c r="C90" s="4" t="s">
        <v>40</v>
      </c>
      <c r="D90" s="4" t="s">
        <v>44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44866</v>
      </c>
      <c r="J90" s="6">
        <v>7289</v>
      </c>
      <c r="K90" s="6">
        <v>7289</v>
      </c>
      <c r="L90" s="6">
        <v>2137.2919999999999</v>
      </c>
      <c r="M90" s="6">
        <v>2137.2919999999999</v>
      </c>
      <c r="N90" s="6">
        <v>2137.2919999999999</v>
      </c>
      <c r="O90" s="6">
        <v>2137.2919999999999</v>
      </c>
      <c r="P90" s="6">
        <v>0</v>
      </c>
      <c r="Q90" s="4" t="s">
        <v>26</v>
      </c>
      <c r="R90" s="4">
        <v>0</v>
      </c>
      <c r="S90" s="4" t="s">
        <v>180</v>
      </c>
      <c r="T90" s="4" t="s">
        <v>461</v>
      </c>
      <c r="U90" s="4">
        <v>43</v>
      </c>
      <c r="V90" s="4">
        <v>46</v>
      </c>
      <c r="W90" s="4">
        <v>76</v>
      </c>
    </row>
    <row r="91" spans="1:23" ht="11.25" customHeight="1" x14ac:dyDescent="0.25">
      <c r="A91" s="4" t="s">
        <v>21</v>
      </c>
      <c r="B91" s="4" t="s">
        <v>41</v>
      </c>
      <c r="C91" s="4" t="s">
        <v>40</v>
      </c>
      <c r="D91" s="4" t="s">
        <v>44</v>
      </c>
      <c r="E91" s="4" t="s">
        <v>25</v>
      </c>
      <c r="F91" s="4" t="s">
        <v>25</v>
      </c>
      <c r="G91" s="4" t="s">
        <v>25</v>
      </c>
      <c r="H91" s="4" t="s">
        <v>34</v>
      </c>
      <c r="I91" s="5">
        <v>44531</v>
      </c>
      <c r="J91" s="6">
        <v>5619</v>
      </c>
      <c r="K91" s="6">
        <v>5619</v>
      </c>
      <c r="L91" s="6">
        <v>250.221</v>
      </c>
      <c r="M91" s="6">
        <v>250.221</v>
      </c>
      <c r="N91" s="6">
        <v>250.221</v>
      </c>
      <c r="O91" s="6">
        <v>250.221</v>
      </c>
      <c r="P91" s="6">
        <v>0</v>
      </c>
      <c r="Q91" s="4" t="s">
        <v>26</v>
      </c>
      <c r="R91" s="4">
        <v>0</v>
      </c>
      <c r="S91" s="4" t="s">
        <v>181</v>
      </c>
      <c r="T91" s="4" t="s">
        <v>462</v>
      </c>
      <c r="U91" s="4">
        <v>42</v>
      </c>
      <c r="V91" s="4">
        <v>46</v>
      </c>
      <c r="W91" s="4">
        <v>75</v>
      </c>
    </row>
    <row r="92" spans="1:23" ht="11.25" customHeight="1" x14ac:dyDescent="0.25">
      <c r="A92" s="4" t="s">
        <v>21</v>
      </c>
      <c r="B92" s="4" t="s">
        <v>41</v>
      </c>
      <c r="C92" s="4" t="s">
        <v>40</v>
      </c>
      <c r="D92" s="4" t="s">
        <v>44</v>
      </c>
      <c r="E92" s="4" t="s">
        <v>25</v>
      </c>
      <c r="F92" s="4" t="s">
        <v>25</v>
      </c>
      <c r="G92" s="4" t="s">
        <v>25</v>
      </c>
      <c r="H92" s="4" t="s">
        <v>34</v>
      </c>
      <c r="I92" s="5">
        <v>44562</v>
      </c>
      <c r="J92" s="6">
        <v>5587</v>
      </c>
      <c r="K92" s="6">
        <v>5587</v>
      </c>
      <c r="L92" s="6">
        <v>215.37200000000001</v>
      </c>
      <c r="M92" s="6">
        <v>215.37200000000001</v>
      </c>
      <c r="N92" s="6">
        <v>215.37200000000001</v>
      </c>
      <c r="O92" s="6">
        <v>215.37200000000001</v>
      </c>
      <c r="P92" s="6">
        <v>0</v>
      </c>
      <c r="Q92" s="4" t="s">
        <v>26</v>
      </c>
      <c r="R92" s="4">
        <v>0</v>
      </c>
      <c r="S92" s="4" t="s">
        <v>182</v>
      </c>
      <c r="T92" s="4" t="s">
        <v>463</v>
      </c>
      <c r="U92" s="4">
        <v>42</v>
      </c>
      <c r="V92" s="4">
        <v>46</v>
      </c>
      <c r="W92" s="4">
        <v>75</v>
      </c>
    </row>
    <row r="93" spans="1:23" ht="11.25" customHeight="1" x14ac:dyDescent="0.25">
      <c r="A93" s="4" t="s">
        <v>21</v>
      </c>
      <c r="B93" s="4" t="s">
        <v>41</v>
      </c>
      <c r="C93" s="4" t="s">
        <v>40</v>
      </c>
      <c r="D93" s="4" t="s">
        <v>44</v>
      </c>
      <c r="E93" s="4" t="s">
        <v>25</v>
      </c>
      <c r="F93" s="4" t="s">
        <v>25</v>
      </c>
      <c r="G93" s="4" t="s">
        <v>25</v>
      </c>
      <c r="H93" s="4" t="s">
        <v>34</v>
      </c>
      <c r="I93" s="5">
        <v>44593</v>
      </c>
      <c r="J93" s="6">
        <v>5609</v>
      </c>
      <c r="K93" s="6">
        <v>5609</v>
      </c>
      <c r="L93" s="6">
        <v>206.74299999999999</v>
      </c>
      <c r="M93" s="6">
        <v>206.74299999999999</v>
      </c>
      <c r="N93" s="6">
        <v>206.74299999999999</v>
      </c>
      <c r="O93" s="6">
        <v>206.74299999999999</v>
      </c>
      <c r="P93" s="6">
        <v>0</v>
      </c>
      <c r="Q93" s="4" t="s">
        <v>26</v>
      </c>
      <c r="R93" s="4">
        <v>0</v>
      </c>
      <c r="S93" s="4" t="s">
        <v>183</v>
      </c>
      <c r="T93" s="4" t="s">
        <v>464</v>
      </c>
      <c r="U93" s="4">
        <v>42</v>
      </c>
      <c r="V93" s="4">
        <v>46</v>
      </c>
      <c r="W93" s="4">
        <v>75</v>
      </c>
    </row>
    <row r="94" spans="1:23" ht="11.25" customHeight="1" x14ac:dyDescent="0.25">
      <c r="A94" s="4" t="s">
        <v>21</v>
      </c>
      <c r="B94" s="4" t="s">
        <v>41</v>
      </c>
      <c r="C94" s="4" t="s">
        <v>40</v>
      </c>
      <c r="D94" s="4" t="s">
        <v>44</v>
      </c>
      <c r="E94" s="4" t="s">
        <v>25</v>
      </c>
      <c r="F94" s="4" t="s">
        <v>25</v>
      </c>
      <c r="G94" s="4" t="s">
        <v>25</v>
      </c>
      <c r="H94" s="4" t="s">
        <v>34</v>
      </c>
      <c r="I94" s="5">
        <v>44621</v>
      </c>
      <c r="J94" s="6">
        <v>5597</v>
      </c>
      <c r="K94" s="6">
        <v>5597</v>
      </c>
      <c r="L94" s="6">
        <v>220.89099999999999</v>
      </c>
      <c r="M94" s="6">
        <v>220.89099999999999</v>
      </c>
      <c r="N94" s="6">
        <v>220.89099999999999</v>
      </c>
      <c r="O94" s="6">
        <v>220.89099999999999</v>
      </c>
      <c r="P94" s="6">
        <v>0</v>
      </c>
      <c r="Q94" s="4" t="s">
        <v>26</v>
      </c>
      <c r="R94" s="4">
        <v>0</v>
      </c>
      <c r="S94" s="4" t="s">
        <v>184</v>
      </c>
      <c r="T94" s="4" t="s">
        <v>465</v>
      </c>
      <c r="U94" s="4">
        <v>42</v>
      </c>
      <c r="V94" s="4">
        <v>46</v>
      </c>
      <c r="W94" s="4">
        <v>75</v>
      </c>
    </row>
    <row r="95" spans="1:23" ht="11.25" customHeight="1" x14ac:dyDescent="0.25">
      <c r="A95" s="4" t="s">
        <v>21</v>
      </c>
      <c r="B95" s="4" t="s">
        <v>41</v>
      </c>
      <c r="C95" s="4" t="s">
        <v>40</v>
      </c>
      <c r="D95" s="4" t="s">
        <v>44</v>
      </c>
      <c r="E95" s="4" t="s">
        <v>25</v>
      </c>
      <c r="F95" s="4" t="s">
        <v>25</v>
      </c>
      <c r="G95" s="4" t="s">
        <v>25</v>
      </c>
      <c r="H95" s="4" t="s">
        <v>34</v>
      </c>
      <c r="I95" s="5">
        <v>44652</v>
      </c>
      <c r="J95" s="6">
        <v>5601</v>
      </c>
      <c r="K95" s="6">
        <v>5601</v>
      </c>
      <c r="L95" s="6">
        <v>199.571</v>
      </c>
      <c r="M95" s="6">
        <v>199.571</v>
      </c>
      <c r="N95" s="6">
        <v>199.571</v>
      </c>
      <c r="O95" s="6">
        <v>199.571</v>
      </c>
      <c r="P95" s="6">
        <v>0</v>
      </c>
      <c r="Q95" s="4" t="s">
        <v>26</v>
      </c>
      <c r="R95" s="4">
        <v>0</v>
      </c>
      <c r="S95" s="4" t="s">
        <v>185</v>
      </c>
      <c r="T95" s="4" t="s">
        <v>466</v>
      </c>
      <c r="U95" s="4">
        <v>42</v>
      </c>
      <c r="V95" s="4">
        <v>46</v>
      </c>
      <c r="W95" s="4">
        <v>75</v>
      </c>
    </row>
    <row r="96" spans="1:23" ht="11.25" customHeight="1" x14ac:dyDescent="0.25">
      <c r="A96" s="4" t="s">
        <v>21</v>
      </c>
      <c r="B96" s="4" t="s">
        <v>41</v>
      </c>
      <c r="C96" s="4" t="s">
        <v>40</v>
      </c>
      <c r="D96" s="4" t="s">
        <v>44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44682</v>
      </c>
      <c r="J96" s="6">
        <v>5616</v>
      </c>
      <c r="K96" s="6">
        <v>5616</v>
      </c>
      <c r="L96" s="6">
        <v>221.392</v>
      </c>
      <c r="M96" s="6">
        <v>221.392</v>
      </c>
      <c r="N96" s="6">
        <v>221.392</v>
      </c>
      <c r="O96" s="6">
        <v>221.392</v>
      </c>
      <c r="P96" s="6">
        <v>0</v>
      </c>
      <c r="Q96" s="4" t="s">
        <v>26</v>
      </c>
      <c r="R96" s="4">
        <v>0</v>
      </c>
      <c r="S96" s="4" t="s">
        <v>186</v>
      </c>
      <c r="T96" s="4" t="s">
        <v>467</v>
      </c>
      <c r="U96" s="4">
        <v>42</v>
      </c>
      <c r="V96" s="4">
        <v>46</v>
      </c>
      <c r="W96" s="4">
        <v>75</v>
      </c>
    </row>
    <row r="97" spans="1:23" ht="11.25" customHeight="1" x14ac:dyDescent="0.25">
      <c r="A97" s="4" t="s">
        <v>21</v>
      </c>
      <c r="B97" s="4" t="s">
        <v>41</v>
      </c>
      <c r="C97" s="4" t="s">
        <v>40</v>
      </c>
      <c r="D97" s="4" t="s">
        <v>44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44713</v>
      </c>
      <c r="J97" s="6">
        <v>5617</v>
      </c>
      <c r="K97" s="6">
        <v>5617</v>
      </c>
      <c r="L97" s="6">
        <v>224.91399999999999</v>
      </c>
      <c r="M97" s="6">
        <v>224.91399999999999</v>
      </c>
      <c r="N97" s="6">
        <v>224.91399999999999</v>
      </c>
      <c r="O97" s="6">
        <v>224.91399999999999</v>
      </c>
      <c r="P97" s="6">
        <v>0</v>
      </c>
      <c r="Q97" s="4" t="s">
        <v>26</v>
      </c>
      <c r="R97" s="4">
        <v>0</v>
      </c>
      <c r="S97" s="4" t="s">
        <v>187</v>
      </c>
      <c r="T97" s="4" t="s">
        <v>468</v>
      </c>
      <c r="U97" s="4">
        <v>42</v>
      </c>
      <c r="V97" s="4">
        <v>46</v>
      </c>
      <c r="W97" s="4">
        <v>75</v>
      </c>
    </row>
    <row r="98" spans="1:23" ht="11.25" customHeight="1" x14ac:dyDescent="0.25">
      <c r="A98" s="4" t="s">
        <v>21</v>
      </c>
      <c r="B98" s="4" t="s">
        <v>41</v>
      </c>
      <c r="C98" s="4" t="s">
        <v>40</v>
      </c>
      <c r="D98" s="4" t="s">
        <v>44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44743</v>
      </c>
      <c r="J98" s="6">
        <v>6056</v>
      </c>
      <c r="K98" s="6">
        <v>6056</v>
      </c>
      <c r="L98" s="6">
        <v>231.04400000000001</v>
      </c>
      <c r="M98" s="6">
        <v>231.04400000000001</v>
      </c>
      <c r="N98" s="6">
        <v>231.04400000000001</v>
      </c>
      <c r="O98" s="6">
        <v>231.04400000000001</v>
      </c>
      <c r="P98" s="6">
        <v>0</v>
      </c>
      <c r="Q98" s="4" t="s">
        <v>26</v>
      </c>
      <c r="R98" s="4">
        <v>0</v>
      </c>
      <c r="S98" s="4" t="s">
        <v>188</v>
      </c>
      <c r="T98" s="4" t="s">
        <v>469</v>
      </c>
      <c r="U98" s="4">
        <v>42</v>
      </c>
      <c r="V98" s="4">
        <v>46</v>
      </c>
      <c r="W98" s="4">
        <v>75</v>
      </c>
    </row>
    <row r="99" spans="1:23" ht="11.25" customHeight="1" x14ac:dyDescent="0.25">
      <c r="A99" s="4" t="s">
        <v>21</v>
      </c>
      <c r="B99" s="4" t="s">
        <v>41</v>
      </c>
      <c r="C99" s="4" t="s">
        <v>40</v>
      </c>
      <c r="D99" s="4" t="s">
        <v>44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44774</v>
      </c>
      <c r="J99" s="6">
        <v>6004</v>
      </c>
      <c r="K99" s="6">
        <v>6004</v>
      </c>
      <c r="L99" s="6">
        <v>263.37200000000001</v>
      </c>
      <c r="M99" s="6">
        <v>263.37200000000001</v>
      </c>
      <c r="N99" s="6">
        <v>263.37200000000001</v>
      </c>
      <c r="O99" s="6">
        <v>263.37200000000001</v>
      </c>
      <c r="P99" s="6">
        <v>0</v>
      </c>
      <c r="Q99" s="4" t="s">
        <v>26</v>
      </c>
      <c r="R99" s="4">
        <v>0</v>
      </c>
      <c r="S99" s="4" t="s">
        <v>189</v>
      </c>
      <c r="T99" s="4" t="s">
        <v>470</v>
      </c>
      <c r="U99" s="4">
        <v>42</v>
      </c>
      <c r="V99" s="4">
        <v>46</v>
      </c>
      <c r="W99" s="4">
        <v>75</v>
      </c>
    </row>
    <row r="100" spans="1:23" ht="11.25" customHeight="1" x14ac:dyDescent="0.25">
      <c r="A100" s="4" t="s">
        <v>27</v>
      </c>
      <c r="B100" s="4" t="s">
        <v>41</v>
      </c>
      <c r="C100" s="4" t="s">
        <v>40</v>
      </c>
      <c r="D100" s="4" t="s">
        <v>44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44774</v>
      </c>
      <c r="J100" s="6">
        <v>-64</v>
      </c>
      <c r="K100" s="6">
        <v>-64</v>
      </c>
      <c r="L100" s="6">
        <v>-1E-3</v>
      </c>
      <c r="M100" s="6">
        <v>-1E-3</v>
      </c>
      <c r="N100" s="6">
        <v>-1E-3</v>
      </c>
      <c r="O100" s="6">
        <v>-1E-3</v>
      </c>
      <c r="P100" s="6">
        <v>0</v>
      </c>
      <c r="Q100" s="4" t="s">
        <v>26</v>
      </c>
      <c r="R100" s="4">
        <v>0</v>
      </c>
      <c r="S100" s="4" t="s">
        <v>189</v>
      </c>
      <c r="T100" s="4" t="s">
        <v>470</v>
      </c>
      <c r="U100" s="4">
        <v>42</v>
      </c>
      <c r="V100" s="4">
        <v>46</v>
      </c>
      <c r="W100" s="4">
        <v>75</v>
      </c>
    </row>
    <row r="101" spans="1:23" ht="11.25" customHeight="1" x14ac:dyDescent="0.25">
      <c r="A101" s="4" t="s">
        <v>21</v>
      </c>
      <c r="B101" s="4" t="s">
        <v>41</v>
      </c>
      <c r="C101" s="4" t="s">
        <v>40</v>
      </c>
      <c r="D101" s="4" t="s">
        <v>44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44805</v>
      </c>
      <c r="J101" s="6">
        <v>6005</v>
      </c>
      <c r="K101" s="6">
        <v>6005</v>
      </c>
      <c r="L101" s="6">
        <v>258.09500000000003</v>
      </c>
      <c r="M101" s="6">
        <v>258.09500000000003</v>
      </c>
      <c r="N101" s="6">
        <v>258.09500000000003</v>
      </c>
      <c r="O101" s="6">
        <v>258.09500000000003</v>
      </c>
      <c r="P101" s="6">
        <v>0</v>
      </c>
      <c r="Q101" s="4" t="s">
        <v>26</v>
      </c>
      <c r="R101" s="4">
        <v>0</v>
      </c>
      <c r="S101" s="4" t="s">
        <v>190</v>
      </c>
      <c r="T101" s="4" t="s">
        <v>471</v>
      </c>
      <c r="U101" s="4">
        <v>42</v>
      </c>
      <c r="V101" s="4">
        <v>46</v>
      </c>
      <c r="W101" s="4">
        <v>75</v>
      </c>
    </row>
    <row r="102" spans="1:23" ht="11.25" customHeight="1" x14ac:dyDescent="0.25">
      <c r="A102" s="4" t="s">
        <v>27</v>
      </c>
      <c r="B102" s="4" t="s">
        <v>41</v>
      </c>
      <c r="C102" s="4" t="s">
        <v>40</v>
      </c>
      <c r="D102" s="4" t="s">
        <v>44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44805</v>
      </c>
      <c r="J102" s="6">
        <v>-2</v>
      </c>
      <c r="K102" s="6">
        <v>-2</v>
      </c>
      <c r="L102" s="6">
        <v>-1.2</v>
      </c>
      <c r="M102" s="6">
        <v>-1.2</v>
      </c>
      <c r="N102" s="6">
        <v>-1.2</v>
      </c>
      <c r="O102" s="6">
        <v>-1.2</v>
      </c>
      <c r="P102" s="6">
        <v>0</v>
      </c>
      <c r="Q102" s="4" t="s">
        <v>26</v>
      </c>
      <c r="R102" s="4">
        <v>0</v>
      </c>
      <c r="S102" s="4" t="s">
        <v>190</v>
      </c>
      <c r="T102" s="4" t="s">
        <v>471</v>
      </c>
      <c r="U102" s="4">
        <v>42</v>
      </c>
      <c r="V102" s="4">
        <v>46</v>
      </c>
      <c r="W102" s="4">
        <v>75</v>
      </c>
    </row>
    <row r="103" spans="1:23" ht="11.25" customHeight="1" x14ac:dyDescent="0.25">
      <c r="A103" s="4" t="s">
        <v>21</v>
      </c>
      <c r="B103" s="4" t="s">
        <v>41</v>
      </c>
      <c r="C103" s="4" t="s">
        <v>40</v>
      </c>
      <c r="D103" s="4" t="s">
        <v>44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44835</v>
      </c>
      <c r="J103" s="6">
        <v>5938</v>
      </c>
      <c r="K103" s="6">
        <v>5938</v>
      </c>
      <c r="L103" s="6">
        <v>248.38200000000001</v>
      </c>
      <c r="M103" s="6">
        <v>248.38200000000001</v>
      </c>
      <c r="N103" s="6">
        <v>248.38200000000001</v>
      </c>
      <c r="O103" s="6">
        <v>248.38200000000001</v>
      </c>
      <c r="P103" s="6">
        <v>0</v>
      </c>
      <c r="Q103" s="4" t="s">
        <v>26</v>
      </c>
      <c r="R103" s="4">
        <v>0</v>
      </c>
      <c r="S103" s="4" t="s">
        <v>191</v>
      </c>
      <c r="T103" s="4" t="s">
        <v>472</v>
      </c>
      <c r="U103" s="4">
        <v>42</v>
      </c>
      <c r="V103" s="4">
        <v>46</v>
      </c>
      <c r="W103" s="4">
        <v>75</v>
      </c>
    </row>
    <row r="104" spans="1:23" ht="11.25" customHeight="1" x14ac:dyDescent="0.25">
      <c r="A104" s="4" t="s">
        <v>54</v>
      </c>
      <c r="B104" s="4" t="s">
        <v>41</v>
      </c>
      <c r="C104" s="4" t="s">
        <v>40</v>
      </c>
      <c r="D104" s="4" t="s">
        <v>44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44866</v>
      </c>
      <c r="J104" s="6">
        <v>5938</v>
      </c>
      <c r="K104" s="6">
        <v>5938</v>
      </c>
      <c r="L104" s="6">
        <v>248.38200000000001</v>
      </c>
      <c r="M104" s="6">
        <v>248.38200000000001</v>
      </c>
      <c r="N104" s="6">
        <v>248.38200000000001</v>
      </c>
      <c r="O104" s="6">
        <v>248.38200000000001</v>
      </c>
      <c r="P104" s="6">
        <v>0</v>
      </c>
      <c r="Q104" s="4" t="s">
        <v>26</v>
      </c>
      <c r="R104" s="4">
        <v>0</v>
      </c>
      <c r="S104" s="4" t="s">
        <v>192</v>
      </c>
      <c r="T104" s="4" t="s">
        <v>473</v>
      </c>
      <c r="U104" s="4">
        <v>42</v>
      </c>
      <c r="V104" s="4">
        <v>46</v>
      </c>
      <c r="W104" s="4">
        <v>75</v>
      </c>
    </row>
    <row r="105" spans="1:23" ht="11.25" customHeight="1" x14ac:dyDescent="0.25">
      <c r="A105" s="4" t="s">
        <v>21</v>
      </c>
      <c r="B105" s="4" t="s">
        <v>41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2410</v>
      </c>
      <c r="K105" s="6">
        <v>2410</v>
      </c>
      <c r="L105" s="6">
        <v>688.51</v>
      </c>
      <c r="M105" s="6">
        <v>688.51</v>
      </c>
      <c r="N105" s="6">
        <v>688.51</v>
      </c>
      <c r="O105" s="6">
        <v>688.51</v>
      </c>
      <c r="P105" s="6">
        <v>0</v>
      </c>
      <c r="Q105" s="4" t="s">
        <v>26</v>
      </c>
      <c r="R105" s="4">
        <v>0</v>
      </c>
      <c r="S105" s="4" t="s">
        <v>169</v>
      </c>
      <c r="T105" s="4" t="s">
        <v>450</v>
      </c>
      <c r="U105" s="4">
        <v>43</v>
      </c>
      <c r="V105" s="4">
        <v>46</v>
      </c>
      <c r="W105" s="4">
        <v>76</v>
      </c>
    </row>
    <row r="106" spans="1:23" ht="11.25" customHeight="1" x14ac:dyDescent="0.25">
      <c r="A106" s="4" t="s">
        <v>21</v>
      </c>
      <c r="B106" s="4" t="s">
        <v>41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44562</v>
      </c>
      <c r="J106" s="6">
        <v>2410</v>
      </c>
      <c r="K106" s="6">
        <v>2410</v>
      </c>
      <c r="L106" s="6">
        <v>677.81700000000001</v>
      </c>
      <c r="M106" s="6">
        <v>677.81700000000001</v>
      </c>
      <c r="N106" s="6">
        <v>677.81700000000001</v>
      </c>
      <c r="O106" s="6">
        <v>677.81700000000001</v>
      </c>
      <c r="P106" s="6">
        <v>0</v>
      </c>
      <c r="Q106" s="4" t="s">
        <v>26</v>
      </c>
      <c r="R106" s="4">
        <v>0</v>
      </c>
      <c r="S106" s="4" t="s">
        <v>170</v>
      </c>
      <c r="T106" s="4" t="s">
        <v>451</v>
      </c>
      <c r="U106" s="4">
        <v>43</v>
      </c>
      <c r="V106" s="4">
        <v>46</v>
      </c>
      <c r="W106" s="4">
        <v>76</v>
      </c>
    </row>
    <row r="107" spans="1:23" ht="11.25" customHeight="1" x14ac:dyDescent="0.25">
      <c r="A107" s="4" t="s">
        <v>21</v>
      </c>
      <c r="B107" s="4" t="s">
        <v>41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44593</v>
      </c>
      <c r="J107" s="6">
        <v>2412</v>
      </c>
      <c r="K107" s="6">
        <v>2412</v>
      </c>
      <c r="L107" s="6">
        <v>605.72199999999998</v>
      </c>
      <c r="M107" s="6">
        <v>605.72199999999998</v>
      </c>
      <c r="N107" s="6">
        <v>605.72199999999998</v>
      </c>
      <c r="O107" s="6">
        <v>605.72199999999998</v>
      </c>
      <c r="P107" s="6">
        <v>0</v>
      </c>
      <c r="Q107" s="4" t="s">
        <v>26</v>
      </c>
      <c r="R107" s="4">
        <v>0</v>
      </c>
      <c r="S107" s="4" t="s">
        <v>171</v>
      </c>
      <c r="T107" s="4" t="s">
        <v>452</v>
      </c>
      <c r="U107" s="4">
        <v>43</v>
      </c>
      <c r="V107" s="4">
        <v>46</v>
      </c>
      <c r="W107" s="4">
        <v>76</v>
      </c>
    </row>
    <row r="108" spans="1:23" ht="11.25" customHeight="1" x14ac:dyDescent="0.25">
      <c r="A108" s="4" t="s">
        <v>21</v>
      </c>
      <c r="B108" s="4" t="s">
        <v>41</v>
      </c>
      <c r="C108" s="4" t="s">
        <v>40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44621</v>
      </c>
      <c r="J108" s="6">
        <v>2470</v>
      </c>
      <c r="K108" s="6">
        <v>2470</v>
      </c>
      <c r="L108" s="6">
        <v>741.66700000000003</v>
      </c>
      <c r="M108" s="6">
        <v>741.66700000000003</v>
      </c>
      <c r="N108" s="6">
        <v>741.66700000000003</v>
      </c>
      <c r="O108" s="6">
        <v>741.66700000000003</v>
      </c>
      <c r="P108" s="6">
        <v>0</v>
      </c>
      <c r="Q108" s="4" t="s">
        <v>26</v>
      </c>
      <c r="R108" s="4">
        <v>0</v>
      </c>
      <c r="S108" s="4" t="s">
        <v>172</v>
      </c>
      <c r="T108" s="4" t="s">
        <v>453</v>
      </c>
      <c r="U108" s="4">
        <v>43</v>
      </c>
      <c r="V108" s="4">
        <v>46</v>
      </c>
      <c r="W108" s="4">
        <v>76</v>
      </c>
    </row>
    <row r="109" spans="1:23" ht="11.25" customHeight="1" x14ac:dyDescent="0.25">
      <c r="A109" s="4" t="s">
        <v>21</v>
      </c>
      <c r="B109" s="4" t="s">
        <v>41</v>
      </c>
      <c r="C109" s="4" t="s">
        <v>40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44652</v>
      </c>
      <c r="J109" s="6">
        <v>2418</v>
      </c>
      <c r="K109" s="6">
        <v>2418</v>
      </c>
      <c r="L109" s="6">
        <v>513.02499999999998</v>
      </c>
      <c r="M109" s="6">
        <v>513.02499999999998</v>
      </c>
      <c r="N109" s="6">
        <v>513.02499999999998</v>
      </c>
      <c r="O109" s="6">
        <v>513.02499999999998</v>
      </c>
      <c r="P109" s="6">
        <v>0</v>
      </c>
      <c r="Q109" s="4" t="s">
        <v>26</v>
      </c>
      <c r="R109" s="4">
        <v>0</v>
      </c>
      <c r="S109" s="4" t="s">
        <v>173</v>
      </c>
      <c r="T109" s="4" t="s">
        <v>454</v>
      </c>
      <c r="U109" s="4">
        <v>43</v>
      </c>
      <c r="V109" s="4">
        <v>46</v>
      </c>
      <c r="W109" s="4">
        <v>76</v>
      </c>
    </row>
    <row r="110" spans="1:23" ht="11.25" customHeight="1" x14ac:dyDescent="0.25">
      <c r="A110" s="4" t="s">
        <v>21</v>
      </c>
      <c r="B110" s="4" t="s">
        <v>41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44682</v>
      </c>
      <c r="J110" s="6">
        <v>2216</v>
      </c>
      <c r="K110" s="6">
        <v>2216</v>
      </c>
      <c r="L110" s="6">
        <v>606.37099999999998</v>
      </c>
      <c r="M110" s="6">
        <v>606.37099999999998</v>
      </c>
      <c r="N110" s="6">
        <v>606.37099999999998</v>
      </c>
      <c r="O110" s="6">
        <v>606.37099999999998</v>
      </c>
      <c r="P110" s="6">
        <v>0</v>
      </c>
      <c r="Q110" s="4" t="s">
        <v>26</v>
      </c>
      <c r="R110" s="4">
        <v>0</v>
      </c>
      <c r="S110" s="4" t="s">
        <v>174</v>
      </c>
      <c r="T110" s="4" t="s">
        <v>455</v>
      </c>
      <c r="U110" s="4">
        <v>43</v>
      </c>
      <c r="V110" s="4">
        <v>46</v>
      </c>
      <c r="W110" s="4">
        <v>76</v>
      </c>
    </row>
    <row r="111" spans="1:23" ht="11.25" customHeight="1" x14ac:dyDescent="0.25">
      <c r="A111" s="4" t="s">
        <v>21</v>
      </c>
      <c r="B111" s="4" t="s">
        <v>41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44713</v>
      </c>
      <c r="J111" s="6">
        <v>2236</v>
      </c>
      <c r="K111" s="6">
        <v>2236</v>
      </c>
      <c r="L111" s="6">
        <v>618.26400000000001</v>
      </c>
      <c r="M111" s="6">
        <v>618.26400000000001</v>
      </c>
      <c r="N111" s="6">
        <v>618.26400000000001</v>
      </c>
      <c r="O111" s="6">
        <v>618.26400000000001</v>
      </c>
      <c r="P111" s="6">
        <v>0</v>
      </c>
      <c r="Q111" s="4" t="s">
        <v>26</v>
      </c>
      <c r="R111" s="4">
        <v>0</v>
      </c>
      <c r="S111" s="4" t="s">
        <v>175</v>
      </c>
      <c r="T111" s="4" t="s">
        <v>456</v>
      </c>
      <c r="U111" s="4">
        <v>43</v>
      </c>
      <c r="V111" s="4">
        <v>46</v>
      </c>
      <c r="W111" s="4">
        <v>76</v>
      </c>
    </row>
    <row r="112" spans="1:23" ht="11.25" customHeight="1" x14ac:dyDescent="0.25">
      <c r="A112" s="4" t="s">
        <v>21</v>
      </c>
      <c r="B112" s="4" t="s">
        <v>41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44743</v>
      </c>
      <c r="J112" s="6">
        <v>3249</v>
      </c>
      <c r="K112" s="6">
        <v>3249</v>
      </c>
      <c r="L112" s="6">
        <v>584.62</v>
      </c>
      <c r="M112" s="6">
        <v>584.62</v>
      </c>
      <c r="N112" s="6">
        <v>584.62</v>
      </c>
      <c r="O112" s="6">
        <v>584.62</v>
      </c>
      <c r="P112" s="6">
        <v>0</v>
      </c>
      <c r="Q112" s="4" t="s">
        <v>26</v>
      </c>
      <c r="R112" s="4">
        <v>0</v>
      </c>
      <c r="S112" s="4" t="s">
        <v>176</v>
      </c>
      <c r="T112" s="4" t="s">
        <v>457</v>
      </c>
      <c r="U112" s="4">
        <v>43</v>
      </c>
      <c r="V112" s="4">
        <v>46</v>
      </c>
      <c r="W112" s="4">
        <v>76</v>
      </c>
    </row>
    <row r="113" spans="1:23" ht="11.25" customHeight="1" x14ac:dyDescent="0.25">
      <c r="A113" s="4" t="s">
        <v>21</v>
      </c>
      <c r="B113" s="4" t="s">
        <v>41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44774</v>
      </c>
      <c r="J113" s="6">
        <v>2121</v>
      </c>
      <c r="K113" s="6">
        <v>2121</v>
      </c>
      <c r="L113" s="6">
        <v>567.95899999999995</v>
      </c>
      <c r="M113" s="6">
        <v>567.95899999999995</v>
      </c>
      <c r="N113" s="6">
        <v>567.95899999999995</v>
      </c>
      <c r="O113" s="6">
        <v>567.95899999999995</v>
      </c>
      <c r="P113" s="6">
        <v>0</v>
      </c>
      <c r="Q113" s="4" t="s">
        <v>26</v>
      </c>
      <c r="R113" s="4">
        <v>0</v>
      </c>
      <c r="S113" s="4" t="s">
        <v>177</v>
      </c>
      <c r="T113" s="4" t="s">
        <v>458</v>
      </c>
      <c r="U113" s="4">
        <v>43</v>
      </c>
      <c r="V113" s="4">
        <v>46</v>
      </c>
      <c r="W113" s="4">
        <v>76</v>
      </c>
    </row>
    <row r="114" spans="1:23" ht="11.25" customHeight="1" x14ac:dyDescent="0.25">
      <c r="A114" s="4" t="s">
        <v>27</v>
      </c>
      <c r="B114" s="4" t="s">
        <v>41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44774</v>
      </c>
      <c r="J114" s="6">
        <v>-1169</v>
      </c>
      <c r="K114" s="6">
        <v>-1169</v>
      </c>
      <c r="L114" s="6">
        <v>1E-3</v>
      </c>
      <c r="M114" s="6">
        <v>1E-3</v>
      </c>
      <c r="N114" s="6">
        <v>1E-3</v>
      </c>
      <c r="O114" s="6">
        <v>1E-3</v>
      </c>
      <c r="P114" s="6">
        <v>0</v>
      </c>
      <c r="Q114" s="4" t="s">
        <v>26</v>
      </c>
      <c r="R114" s="4">
        <v>0</v>
      </c>
      <c r="S114" s="4" t="s">
        <v>177</v>
      </c>
      <c r="T114" s="4" t="s">
        <v>458</v>
      </c>
      <c r="U114" s="4">
        <v>43</v>
      </c>
      <c r="V114" s="4">
        <v>46</v>
      </c>
      <c r="W114" s="4">
        <v>76</v>
      </c>
    </row>
    <row r="115" spans="1:23" ht="11.25" customHeight="1" x14ac:dyDescent="0.25">
      <c r="A115" s="4" t="s">
        <v>21</v>
      </c>
      <c r="B115" s="4" t="s">
        <v>41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44805</v>
      </c>
      <c r="J115" s="6">
        <v>2124</v>
      </c>
      <c r="K115" s="6">
        <v>2124</v>
      </c>
      <c r="L115" s="6">
        <v>658.255</v>
      </c>
      <c r="M115" s="6">
        <v>658.255</v>
      </c>
      <c r="N115" s="6">
        <v>658.255</v>
      </c>
      <c r="O115" s="6">
        <v>658.255</v>
      </c>
      <c r="P115" s="6">
        <v>0</v>
      </c>
      <c r="Q115" s="4" t="s">
        <v>26</v>
      </c>
      <c r="R115" s="4">
        <v>0</v>
      </c>
      <c r="S115" s="4" t="s">
        <v>178</v>
      </c>
      <c r="T115" s="4" t="s">
        <v>459</v>
      </c>
      <c r="U115" s="4">
        <v>43</v>
      </c>
      <c r="V115" s="4">
        <v>46</v>
      </c>
      <c r="W115" s="4">
        <v>76</v>
      </c>
    </row>
    <row r="116" spans="1:23" ht="11.25" customHeight="1" x14ac:dyDescent="0.25">
      <c r="A116" s="4" t="s">
        <v>21</v>
      </c>
      <c r="B116" s="4" t="s">
        <v>41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44835</v>
      </c>
      <c r="J116" s="6">
        <v>2253</v>
      </c>
      <c r="K116" s="6">
        <v>2253</v>
      </c>
      <c r="L116" s="6">
        <v>632.38499999999999</v>
      </c>
      <c r="M116" s="6">
        <v>632.38499999999999</v>
      </c>
      <c r="N116" s="6">
        <v>632.38499999999999</v>
      </c>
      <c r="O116" s="6">
        <v>632.38499999999999</v>
      </c>
      <c r="P116" s="6">
        <v>0</v>
      </c>
      <c r="Q116" s="4" t="s">
        <v>26</v>
      </c>
      <c r="R116" s="4">
        <v>0</v>
      </c>
      <c r="S116" s="4" t="s">
        <v>179</v>
      </c>
      <c r="T116" s="4" t="s">
        <v>460</v>
      </c>
      <c r="U116" s="4">
        <v>43</v>
      </c>
      <c r="V116" s="4">
        <v>46</v>
      </c>
      <c r="W116" s="4">
        <v>76</v>
      </c>
    </row>
    <row r="117" spans="1:23" ht="11.25" customHeight="1" x14ac:dyDescent="0.25">
      <c r="A117" s="4" t="s">
        <v>27</v>
      </c>
      <c r="B117" s="4" t="s">
        <v>41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44835</v>
      </c>
      <c r="J117" s="6">
        <v>0</v>
      </c>
      <c r="K117" s="6">
        <v>0</v>
      </c>
      <c r="L117" s="6">
        <v>4.8550000000000004</v>
      </c>
      <c r="M117" s="6">
        <v>4.8550000000000004</v>
      </c>
      <c r="N117" s="6">
        <v>4.8550000000000004</v>
      </c>
      <c r="O117" s="6">
        <v>4.8550000000000004</v>
      </c>
      <c r="P117" s="6">
        <v>0</v>
      </c>
      <c r="Q117" s="4" t="s">
        <v>26</v>
      </c>
      <c r="R117" s="4">
        <v>0</v>
      </c>
      <c r="S117" s="4" t="s">
        <v>179</v>
      </c>
      <c r="T117" s="4" t="s">
        <v>460</v>
      </c>
      <c r="U117" s="4">
        <v>0</v>
      </c>
      <c r="V117" s="4">
        <v>46</v>
      </c>
      <c r="W117" s="4">
        <v>76</v>
      </c>
    </row>
    <row r="118" spans="1:23" ht="11.25" customHeight="1" x14ac:dyDescent="0.25">
      <c r="A118" s="4" t="s">
        <v>54</v>
      </c>
      <c r="B118" s="4" t="s">
        <v>41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44866</v>
      </c>
      <c r="J118" s="6">
        <v>2253</v>
      </c>
      <c r="K118" s="6">
        <v>2253</v>
      </c>
      <c r="L118" s="6">
        <v>632.38499999999999</v>
      </c>
      <c r="M118" s="6">
        <v>632.38499999999999</v>
      </c>
      <c r="N118" s="6">
        <v>632.38499999999999</v>
      </c>
      <c r="O118" s="6">
        <v>632.38499999999999</v>
      </c>
      <c r="P118" s="6">
        <v>0</v>
      </c>
      <c r="Q118" s="4" t="s">
        <v>26</v>
      </c>
      <c r="R118" s="4">
        <v>0</v>
      </c>
      <c r="S118" s="4" t="s">
        <v>180</v>
      </c>
      <c r="T118" s="4" t="s">
        <v>461</v>
      </c>
      <c r="U118" s="4">
        <v>43</v>
      </c>
      <c r="V118" s="4">
        <v>46</v>
      </c>
      <c r="W118" s="4">
        <v>76</v>
      </c>
    </row>
    <row r="119" spans="1:23" ht="11.25" customHeight="1" x14ac:dyDescent="0.25">
      <c r="A119" s="4" t="s">
        <v>54</v>
      </c>
      <c r="B119" s="4" t="s">
        <v>41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44866</v>
      </c>
      <c r="J119" s="6">
        <v>0</v>
      </c>
      <c r="K119" s="6">
        <v>0</v>
      </c>
      <c r="L119" s="6">
        <v>4.8550000000000004</v>
      </c>
      <c r="M119" s="6">
        <v>4.8550000000000004</v>
      </c>
      <c r="N119" s="6">
        <v>4.8550000000000004</v>
      </c>
      <c r="O119" s="6">
        <v>4.8550000000000004</v>
      </c>
      <c r="P119" s="6">
        <v>0</v>
      </c>
      <c r="Q119" s="4" t="s">
        <v>26</v>
      </c>
      <c r="R119" s="4">
        <v>0</v>
      </c>
      <c r="S119" s="4" t="s">
        <v>180</v>
      </c>
      <c r="T119" s="4" t="s">
        <v>461</v>
      </c>
      <c r="U119" s="4">
        <v>0</v>
      </c>
      <c r="V119" s="4">
        <v>46</v>
      </c>
      <c r="W119" s="4">
        <v>76</v>
      </c>
    </row>
    <row r="120" spans="1:23" ht="11.25" customHeight="1" x14ac:dyDescent="0.25">
      <c r="A120" s="4" t="s">
        <v>21</v>
      </c>
      <c r="B120" s="4" t="s">
        <v>41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722</v>
      </c>
      <c r="K120" s="6">
        <v>722</v>
      </c>
      <c r="L120" s="6">
        <v>30.855</v>
      </c>
      <c r="M120" s="6">
        <v>30.855</v>
      </c>
      <c r="N120" s="6">
        <v>30.855</v>
      </c>
      <c r="O120" s="6">
        <v>30.855</v>
      </c>
      <c r="P120" s="6">
        <v>0</v>
      </c>
      <c r="Q120" s="4" t="s">
        <v>26</v>
      </c>
      <c r="R120" s="4">
        <v>0</v>
      </c>
      <c r="S120" s="4" t="s">
        <v>181</v>
      </c>
      <c r="T120" s="4" t="s">
        <v>462</v>
      </c>
      <c r="U120" s="4">
        <v>42</v>
      </c>
      <c r="V120" s="4">
        <v>46</v>
      </c>
      <c r="W120" s="4">
        <v>75</v>
      </c>
    </row>
    <row r="121" spans="1:23" ht="11.25" customHeight="1" x14ac:dyDescent="0.25">
      <c r="A121" s="4" t="s">
        <v>21</v>
      </c>
      <c r="B121" s="4" t="s">
        <v>41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44562</v>
      </c>
      <c r="J121" s="6">
        <v>727</v>
      </c>
      <c r="K121" s="6">
        <v>727</v>
      </c>
      <c r="L121" s="6">
        <v>29.178000000000001</v>
      </c>
      <c r="M121" s="6">
        <v>29.178000000000001</v>
      </c>
      <c r="N121" s="6">
        <v>29.178000000000001</v>
      </c>
      <c r="O121" s="6">
        <v>29.178000000000001</v>
      </c>
      <c r="P121" s="6">
        <v>0</v>
      </c>
      <c r="Q121" s="4" t="s">
        <v>26</v>
      </c>
      <c r="R121" s="4">
        <v>0</v>
      </c>
      <c r="S121" s="4" t="s">
        <v>182</v>
      </c>
      <c r="T121" s="4" t="s">
        <v>463</v>
      </c>
      <c r="U121" s="4">
        <v>42</v>
      </c>
      <c r="V121" s="4">
        <v>46</v>
      </c>
      <c r="W121" s="4">
        <v>75</v>
      </c>
    </row>
    <row r="122" spans="1:23" ht="11.25" customHeight="1" x14ac:dyDescent="0.25">
      <c r="A122" s="4" t="s">
        <v>21</v>
      </c>
      <c r="B122" s="4" t="s">
        <v>41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44593</v>
      </c>
      <c r="J122" s="6">
        <v>729</v>
      </c>
      <c r="K122" s="6">
        <v>729</v>
      </c>
      <c r="L122" s="6">
        <v>26.395</v>
      </c>
      <c r="M122" s="6">
        <v>26.395</v>
      </c>
      <c r="N122" s="6">
        <v>26.395</v>
      </c>
      <c r="O122" s="6">
        <v>26.395</v>
      </c>
      <c r="P122" s="6">
        <v>0</v>
      </c>
      <c r="Q122" s="4" t="s">
        <v>26</v>
      </c>
      <c r="R122" s="4">
        <v>0</v>
      </c>
      <c r="S122" s="4" t="s">
        <v>183</v>
      </c>
      <c r="T122" s="4" t="s">
        <v>464</v>
      </c>
      <c r="U122" s="4">
        <v>42</v>
      </c>
      <c r="V122" s="4">
        <v>46</v>
      </c>
      <c r="W122" s="4">
        <v>75</v>
      </c>
    </row>
    <row r="123" spans="1:23" ht="11.25" customHeight="1" x14ac:dyDescent="0.25">
      <c r="A123" s="4" t="s">
        <v>21</v>
      </c>
      <c r="B123" s="4" t="s">
        <v>41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44621</v>
      </c>
      <c r="J123" s="6">
        <v>865</v>
      </c>
      <c r="K123" s="6">
        <v>865</v>
      </c>
      <c r="L123" s="6">
        <v>31.888999999999999</v>
      </c>
      <c r="M123" s="6">
        <v>31.888999999999999</v>
      </c>
      <c r="N123" s="6">
        <v>31.888999999999999</v>
      </c>
      <c r="O123" s="6">
        <v>31.888999999999999</v>
      </c>
      <c r="P123" s="6">
        <v>0</v>
      </c>
      <c r="Q123" s="4" t="s">
        <v>26</v>
      </c>
      <c r="R123" s="4">
        <v>0</v>
      </c>
      <c r="S123" s="4" t="s">
        <v>184</v>
      </c>
      <c r="T123" s="4" t="s">
        <v>465</v>
      </c>
      <c r="U123" s="4">
        <v>42</v>
      </c>
      <c r="V123" s="4">
        <v>46</v>
      </c>
      <c r="W123" s="4">
        <v>75</v>
      </c>
    </row>
    <row r="124" spans="1:23" ht="11.25" customHeight="1" x14ac:dyDescent="0.25">
      <c r="A124" s="4" t="s">
        <v>21</v>
      </c>
      <c r="B124" s="4" t="s">
        <v>41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44652</v>
      </c>
      <c r="J124" s="6">
        <v>853</v>
      </c>
      <c r="K124" s="6">
        <v>853</v>
      </c>
      <c r="L124" s="6">
        <v>20.617000000000001</v>
      </c>
      <c r="M124" s="6">
        <v>20.617000000000001</v>
      </c>
      <c r="N124" s="6">
        <v>20.617000000000001</v>
      </c>
      <c r="O124" s="6">
        <v>20.617000000000001</v>
      </c>
      <c r="P124" s="6">
        <v>0</v>
      </c>
      <c r="Q124" s="4" t="s">
        <v>26</v>
      </c>
      <c r="R124" s="4">
        <v>0</v>
      </c>
      <c r="S124" s="4" t="s">
        <v>185</v>
      </c>
      <c r="T124" s="4" t="s">
        <v>466</v>
      </c>
      <c r="U124" s="4">
        <v>42</v>
      </c>
      <c r="V124" s="4">
        <v>46</v>
      </c>
      <c r="W124" s="4">
        <v>75</v>
      </c>
    </row>
    <row r="125" spans="1:23" ht="11.25" customHeight="1" x14ac:dyDescent="0.25">
      <c r="A125" s="4" t="s">
        <v>21</v>
      </c>
      <c r="B125" s="4" t="s">
        <v>41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44682</v>
      </c>
      <c r="J125" s="6">
        <v>694</v>
      </c>
      <c r="K125" s="6">
        <v>694</v>
      </c>
      <c r="L125" s="6">
        <v>25.818000000000001</v>
      </c>
      <c r="M125" s="6">
        <v>25.818000000000001</v>
      </c>
      <c r="N125" s="6">
        <v>25.818000000000001</v>
      </c>
      <c r="O125" s="6">
        <v>25.818000000000001</v>
      </c>
      <c r="P125" s="6">
        <v>0</v>
      </c>
      <c r="Q125" s="4" t="s">
        <v>26</v>
      </c>
      <c r="R125" s="4">
        <v>0</v>
      </c>
      <c r="S125" s="4" t="s">
        <v>186</v>
      </c>
      <c r="T125" s="4" t="s">
        <v>467</v>
      </c>
      <c r="U125" s="4">
        <v>42</v>
      </c>
      <c r="V125" s="4">
        <v>46</v>
      </c>
      <c r="W125" s="4">
        <v>75</v>
      </c>
    </row>
    <row r="126" spans="1:23" ht="11.25" customHeight="1" x14ac:dyDescent="0.25">
      <c r="A126" s="4" t="s">
        <v>21</v>
      </c>
      <c r="B126" s="4" t="s">
        <v>41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44713</v>
      </c>
      <c r="J126" s="6">
        <v>767</v>
      </c>
      <c r="K126" s="6">
        <v>767</v>
      </c>
      <c r="L126" s="6">
        <v>25.221</v>
      </c>
      <c r="M126" s="6">
        <v>25.221</v>
      </c>
      <c r="N126" s="6">
        <v>25.221</v>
      </c>
      <c r="O126" s="6">
        <v>25.221</v>
      </c>
      <c r="P126" s="6">
        <v>0</v>
      </c>
      <c r="Q126" s="4" t="s">
        <v>26</v>
      </c>
      <c r="R126" s="4">
        <v>0</v>
      </c>
      <c r="S126" s="4" t="s">
        <v>187</v>
      </c>
      <c r="T126" s="4" t="s">
        <v>468</v>
      </c>
      <c r="U126" s="4">
        <v>42</v>
      </c>
      <c r="V126" s="4">
        <v>46</v>
      </c>
      <c r="W126" s="4">
        <v>75</v>
      </c>
    </row>
    <row r="127" spans="1:23" ht="11.25" customHeight="1" x14ac:dyDescent="0.25">
      <c r="A127" s="4" t="s">
        <v>21</v>
      </c>
      <c r="B127" s="4" t="s">
        <v>41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44743</v>
      </c>
      <c r="J127" s="6">
        <v>1713</v>
      </c>
      <c r="K127" s="6">
        <v>1713</v>
      </c>
      <c r="L127" s="6">
        <v>24.952999999999999</v>
      </c>
      <c r="M127" s="6">
        <v>24.952999999999999</v>
      </c>
      <c r="N127" s="6">
        <v>24.952999999999999</v>
      </c>
      <c r="O127" s="6">
        <v>24.952999999999999</v>
      </c>
      <c r="P127" s="6">
        <v>0</v>
      </c>
      <c r="Q127" s="4" t="s">
        <v>26</v>
      </c>
      <c r="R127" s="4">
        <v>0</v>
      </c>
      <c r="S127" s="4" t="s">
        <v>188</v>
      </c>
      <c r="T127" s="4" t="s">
        <v>469</v>
      </c>
      <c r="U127" s="4">
        <v>42</v>
      </c>
      <c r="V127" s="4">
        <v>46</v>
      </c>
      <c r="W127" s="4">
        <v>75</v>
      </c>
    </row>
    <row r="128" spans="1:23" ht="11.25" customHeight="1" x14ac:dyDescent="0.25">
      <c r="A128" s="4" t="s">
        <v>21</v>
      </c>
      <c r="B128" s="4" t="s">
        <v>41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44774</v>
      </c>
      <c r="J128" s="6">
        <v>888</v>
      </c>
      <c r="K128" s="6">
        <v>888</v>
      </c>
      <c r="L128" s="6">
        <v>28.64</v>
      </c>
      <c r="M128" s="6">
        <v>28.64</v>
      </c>
      <c r="N128" s="6">
        <v>28.64</v>
      </c>
      <c r="O128" s="6">
        <v>28.64</v>
      </c>
      <c r="P128" s="6">
        <v>0</v>
      </c>
      <c r="Q128" s="4" t="s">
        <v>26</v>
      </c>
      <c r="R128" s="4">
        <v>0</v>
      </c>
      <c r="S128" s="4" t="s">
        <v>189</v>
      </c>
      <c r="T128" s="4" t="s">
        <v>470</v>
      </c>
      <c r="U128" s="4">
        <v>42</v>
      </c>
      <c r="V128" s="4">
        <v>46</v>
      </c>
      <c r="W128" s="4">
        <v>75</v>
      </c>
    </row>
    <row r="129" spans="1:23" ht="11.25" customHeight="1" x14ac:dyDescent="0.25">
      <c r="A129" s="4" t="s">
        <v>27</v>
      </c>
      <c r="B129" s="4" t="s">
        <v>41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44774</v>
      </c>
      <c r="J129" s="6">
        <v>-890</v>
      </c>
      <c r="K129" s="6">
        <v>-890</v>
      </c>
      <c r="L129" s="6">
        <v>1E-3</v>
      </c>
      <c r="M129" s="6">
        <v>1E-3</v>
      </c>
      <c r="N129" s="6">
        <v>1E-3</v>
      </c>
      <c r="O129" s="6">
        <v>1E-3</v>
      </c>
      <c r="P129" s="6">
        <v>0</v>
      </c>
      <c r="Q129" s="4" t="s">
        <v>26</v>
      </c>
      <c r="R129" s="4">
        <v>0</v>
      </c>
      <c r="S129" s="4" t="s">
        <v>189</v>
      </c>
      <c r="T129" s="4" t="s">
        <v>470</v>
      </c>
      <c r="U129" s="4">
        <v>42</v>
      </c>
      <c r="V129" s="4">
        <v>46</v>
      </c>
      <c r="W129" s="4">
        <v>75</v>
      </c>
    </row>
    <row r="130" spans="1:23" ht="11.25" customHeight="1" x14ac:dyDescent="0.25">
      <c r="A130" s="4" t="s">
        <v>21</v>
      </c>
      <c r="B130" s="4" t="s">
        <v>41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44805</v>
      </c>
      <c r="J130" s="6">
        <v>654</v>
      </c>
      <c r="K130" s="6">
        <v>654</v>
      </c>
      <c r="L130" s="6">
        <v>24.792000000000002</v>
      </c>
      <c r="M130" s="6">
        <v>24.792000000000002</v>
      </c>
      <c r="N130" s="6">
        <v>24.792000000000002</v>
      </c>
      <c r="O130" s="6">
        <v>24.792000000000002</v>
      </c>
      <c r="P130" s="6">
        <v>0</v>
      </c>
      <c r="Q130" s="4" t="s">
        <v>26</v>
      </c>
      <c r="R130" s="4">
        <v>0</v>
      </c>
      <c r="S130" s="4" t="s">
        <v>190</v>
      </c>
      <c r="T130" s="4" t="s">
        <v>471</v>
      </c>
      <c r="U130" s="4">
        <v>42</v>
      </c>
      <c r="V130" s="4">
        <v>46</v>
      </c>
      <c r="W130" s="4">
        <v>75</v>
      </c>
    </row>
    <row r="131" spans="1:23" ht="11.25" customHeight="1" x14ac:dyDescent="0.25">
      <c r="A131" s="4" t="s">
        <v>21</v>
      </c>
      <c r="B131" s="4" t="s">
        <v>41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44835</v>
      </c>
      <c r="J131" s="6">
        <v>813</v>
      </c>
      <c r="K131" s="6">
        <v>813</v>
      </c>
      <c r="L131" s="6">
        <v>22.390999999999998</v>
      </c>
      <c r="M131" s="6">
        <v>22.390999999999998</v>
      </c>
      <c r="N131" s="6">
        <v>22.390999999999998</v>
      </c>
      <c r="O131" s="6">
        <v>22.390999999999998</v>
      </c>
      <c r="P131" s="6">
        <v>0</v>
      </c>
      <c r="Q131" s="4" t="s">
        <v>26</v>
      </c>
      <c r="R131" s="4">
        <v>0</v>
      </c>
      <c r="S131" s="4" t="s">
        <v>191</v>
      </c>
      <c r="T131" s="4" t="s">
        <v>472</v>
      </c>
      <c r="U131" s="4">
        <v>42</v>
      </c>
      <c r="V131" s="4">
        <v>46</v>
      </c>
      <c r="W131" s="4">
        <v>75</v>
      </c>
    </row>
    <row r="132" spans="1:23" ht="11.25" customHeight="1" x14ac:dyDescent="0.25">
      <c r="A132" s="4" t="s">
        <v>27</v>
      </c>
      <c r="B132" s="4" t="s">
        <v>41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44835</v>
      </c>
      <c r="J132" s="6">
        <v>-430</v>
      </c>
      <c r="K132" s="6">
        <v>-430</v>
      </c>
      <c r="L132" s="6">
        <v>-4.9459999999999997</v>
      </c>
      <c r="M132" s="6">
        <v>-4.9459999999999997</v>
      </c>
      <c r="N132" s="6">
        <v>-4.9459999999999997</v>
      </c>
      <c r="O132" s="6">
        <v>-4.9459999999999997</v>
      </c>
      <c r="P132" s="6">
        <v>0</v>
      </c>
      <c r="Q132" s="4" t="s">
        <v>26</v>
      </c>
      <c r="R132" s="4">
        <v>0</v>
      </c>
      <c r="S132" s="4" t="s">
        <v>191</v>
      </c>
      <c r="T132" s="4" t="s">
        <v>472</v>
      </c>
      <c r="U132" s="4">
        <v>42</v>
      </c>
      <c r="V132" s="4">
        <v>46</v>
      </c>
      <c r="W132" s="4">
        <v>75</v>
      </c>
    </row>
    <row r="133" spans="1:23" ht="11.25" customHeight="1" x14ac:dyDescent="0.25">
      <c r="A133" s="4" t="s">
        <v>54</v>
      </c>
      <c r="B133" s="4" t="s">
        <v>41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44866</v>
      </c>
      <c r="J133" s="6">
        <v>813</v>
      </c>
      <c r="K133" s="6">
        <v>813</v>
      </c>
      <c r="L133" s="6">
        <v>22.390999999999998</v>
      </c>
      <c r="M133" s="6">
        <v>22.390999999999998</v>
      </c>
      <c r="N133" s="6">
        <v>22.390999999999998</v>
      </c>
      <c r="O133" s="6">
        <v>22.390999999999998</v>
      </c>
      <c r="P133" s="6">
        <v>0</v>
      </c>
      <c r="Q133" s="4" t="s">
        <v>26</v>
      </c>
      <c r="R133" s="4">
        <v>0</v>
      </c>
      <c r="S133" s="4" t="s">
        <v>192</v>
      </c>
      <c r="T133" s="4" t="s">
        <v>473</v>
      </c>
      <c r="U133" s="4">
        <v>42</v>
      </c>
      <c r="V133" s="4">
        <v>46</v>
      </c>
      <c r="W133" s="4">
        <v>75</v>
      </c>
    </row>
    <row r="134" spans="1:23" ht="11.25" customHeight="1" x14ac:dyDescent="0.25">
      <c r="A134" s="4" t="s">
        <v>54</v>
      </c>
      <c r="B134" s="4" t="s">
        <v>41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44866</v>
      </c>
      <c r="J134" s="6">
        <v>-430</v>
      </c>
      <c r="K134" s="6">
        <v>-430</v>
      </c>
      <c r="L134" s="6">
        <v>-4.9459999999999997</v>
      </c>
      <c r="M134" s="6">
        <v>-4.9459999999999997</v>
      </c>
      <c r="N134" s="6">
        <v>-4.9459999999999997</v>
      </c>
      <c r="O134" s="6">
        <v>-4.9459999999999997</v>
      </c>
      <c r="P134" s="6">
        <v>0</v>
      </c>
      <c r="Q134" s="4" t="s">
        <v>26</v>
      </c>
      <c r="R134" s="4">
        <v>0</v>
      </c>
      <c r="S134" s="4" t="s">
        <v>192</v>
      </c>
      <c r="T134" s="4" t="s">
        <v>473</v>
      </c>
      <c r="U134" s="4">
        <v>42</v>
      </c>
      <c r="V134" s="4">
        <v>46</v>
      </c>
      <c r="W134" s="4">
        <v>75</v>
      </c>
    </row>
    <row r="135" spans="1:23" ht="11.25" customHeight="1" x14ac:dyDescent="0.25">
      <c r="A135" s="4" t="s">
        <v>21</v>
      </c>
      <c r="B135" s="4" t="s">
        <v>41</v>
      </c>
      <c r="C135" s="4" t="s">
        <v>40</v>
      </c>
      <c r="D135" s="4" t="s">
        <v>47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44531</v>
      </c>
      <c r="J135" s="6">
        <v>3142</v>
      </c>
      <c r="K135" s="6">
        <v>3142</v>
      </c>
      <c r="L135" s="6">
        <v>707.06</v>
      </c>
      <c r="M135" s="6">
        <v>707.06</v>
      </c>
      <c r="N135" s="6">
        <v>707.06</v>
      </c>
      <c r="O135" s="6">
        <v>707.06</v>
      </c>
      <c r="P135" s="6">
        <v>0</v>
      </c>
      <c r="Q135" s="4" t="s">
        <v>26</v>
      </c>
      <c r="R135" s="4">
        <v>0</v>
      </c>
      <c r="S135" s="4" t="s">
        <v>169</v>
      </c>
      <c r="T135" s="4" t="s">
        <v>450</v>
      </c>
      <c r="U135" s="4">
        <v>43</v>
      </c>
      <c r="V135" s="4">
        <v>46</v>
      </c>
      <c r="W135" s="4">
        <v>76</v>
      </c>
    </row>
    <row r="136" spans="1:23" ht="11.25" customHeight="1" x14ac:dyDescent="0.25">
      <c r="A136" s="4" t="s">
        <v>28</v>
      </c>
      <c r="B136" s="4" t="s">
        <v>41</v>
      </c>
      <c r="C136" s="4" t="s">
        <v>40</v>
      </c>
      <c r="D136" s="4" t="s">
        <v>47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44531</v>
      </c>
      <c r="J136" s="6">
        <v>356</v>
      </c>
      <c r="K136" s="6">
        <v>356</v>
      </c>
      <c r="L136" s="6">
        <v>6.2439999999999998</v>
      </c>
      <c r="M136" s="6">
        <v>6.2439999999999998</v>
      </c>
      <c r="N136" s="6">
        <v>6.2439999999999998</v>
      </c>
      <c r="O136" s="6">
        <v>6.2439999999999998</v>
      </c>
      <c r="P136" s="6">
        <v>0</v>
      </c>
      <c r="Q136" s="4" t="s">
        <v>26</v>
      </c>
      <c r="R136" s="4">
        <v>0</v>
      </c>
      <c r="S136" s="4" t="s">
        <v>169</v>
      </c>
      <c r="T136" s="4" t="s">
        <v>450</v>
      </c>
      <c r="U136" s="4">
        <v>43</v>
      </c>
      <c r="V136" s="4">
        <v>46</v>
      </c>
      <c r="W136" s="4">
        <v>76</v>
      </c>
    </row>
    <row r="137" spans="1:23" ht="11.25" customHeight="1" x14ac:dyDescent="0.25">
      <c r="A137" s="4" t="s">
        <v>21</v>
      </c>
      <c r="B137" s="4" t="s">
        <v>41</v>
      </c>
      <c r="C137" s="4" t="s">
        <v>40</v>
      </c>
      <c r="D137" s="4" t="s">
        <v>47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44562</v>
      </c>
      <c r="J137" s="6">
        <v>3032</v>
      </c>
      <c r="K137" s="6">
        <v>3032</v>
      </c>
      <c r="L137" s="6">
        <v>641.07899999999995</v>
      </c>
      <c r="M137" s="6">
        <v>641.07899999999995</v>
      </c>
      <c r="N137" s="6">
        <v>641.07899999999995</v>
      </c>
      <c r="O137" s="6">
        <v>641.07899999999995</v>
      </c>
      <c r="P137" s="6">
        <v>0</v>
      </c>
      <c r="Q137" s="4" t="s">
        <v>26</v>
      </c>
      <c r="R137" s="4">
        <v>0</v>
      </c>
      <c r="S137" s="4" t="s">
        <v>170</v>
      </c>
      <c r="T137" s="4" t="s">
        <v>451</v>
      </c>
      <c r="U137" s="4">
        <v>43</v>
      </c>
      <c r="V137" s="4">
        <v>46</v>
      </c>
      <c r="W137" s="4">
        <v>76</v>
      </c>
    </row>
    <row r="138" spans="1:23" ht="11.25" customHeight="1" x14ac:dyDescent="0.25">
      <c r="A138" s="4" t="s">
        <v>28</v>
      </c>
      <c r="B138" s="4" t="s">
        <v>41</v>
      </c>
      <c r="C138" s="4" t="s">
        <v>40</v>
      </c>
      <c r="D138" s="4" t="s">
        <v>47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44562</v>
      </c>
      <c r="J138" s="6">
        <v>356</v>
      </c>
      <c r="K138" s="6">
        <v>356</v>
      </c>
      <c r="L138" s="6">
        <v>6.952</v>
      </c>
      <c r="M138" s="6">
        <v>6.952</v>
      </c>
      <c r="N138" s="6">
        <v>6.952</v>
      </c>
      <c r="O138" s="6">
        <v>6.952</v>
      </c>
      <c r="P138" s="6">
        <v>0</v>
      </c>
      <c r="Q138" s="4" t="s">
        <v>26</v>
      </c>
      <c r="R138" s="4">
        <v>0</v>
      </c>
      <c r="S138" s="4" t="s">
        <v>170</v>
      </c>
      <c r="T138" s="4" t="s">
        <v>451</v>
      </c>
      <c r="U138" s="4">
        <v>43</v>
      </c>
      <c r="V138" s="4">
        <v>46</v>
      </c>
      <c r="W138" s="4">
        <v>76</v>
      </c>
    </row>
    <row r="139" spans="1:23" ht="11.25" customHeight="1" x14ac:dyDescent="0.25">
      <c r="A139" s="4" t="s">
        <v>21</v>
      </c>
      <c r="B139" s="4" t="s">
        <v>41</v>
      </c>
      <c r="C139" s="4" t="s">
        <v>40</v>
      </c>
      <c r="D139" s="4" t="s">
        <v>47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3052</v>
      </c>
      <c r="K139" s="6">
        <v>3052</v>
      </c>
      <c r="L139" s="6">
        <v>592.10599999999999</v>
      </c>
      <c r="M139" s="6">
        <v>592.10599999999999</v>
      </c>
      <c r="N139" s="6">
        <v>592.10599999999999</v>
      </c>
      <c r="O139" s="6">
        <v>592.10599999999999</v>
      </c>
      <c r="P139" s="6">
        <v>0</v>
      </c>
      <c r="Q139" s="4" t="s">
        <v>26</v>
      </c>
      <c r="R139" s="4">
        <v>0</v>
      </c>
      <c r="S139" s="4" t="s">
        <v>171</v>
      </c>
      <c r="T139" s="4" t="s">
        <v>452</v>
      </c>
      <c r="U139" s="4">
        <v>43</v>
      </c>
      <c r="V139" s="4">
        <v>46</v>
      </c>
      <c r="W139" s="4">
        <v>76</v>
      </c>
    </row>
    <row r="140" spans="1:23" ht="11.25" customHeight="1" x14ac:dyDescent="0.25">
      <c r="A140" s="4" t="s">
        <v>28</v>
      </c>
      <c r="B140" s="4" t="s">
        <v>41</v>
      </c>
      <c r="C140" s="4" t="s">
        <v>40</v>
      </c>
      <c r="D140" s="4" t="s">
        <v>47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44593</v>
      </c>
      <c r="J140" s="6">
        <v>356</v>
      </c>
      <c r="K140" s="6">
        <v>356</v>
      </c>
      <c r="L140" s="6">
        <v>8.8140000000000001</v>
      </c>
      <c r="M140" s="6">
        <v>8.8140000000000001</v>
      </c>
      <c r="N140" s="6">
        <v>8.8140000000000001</v>
      </c>
      <c r="O140" s="6">
        <v>8.8140000000000001</v>
      </c>
      <c r="P140" s="6">
        <v>0</v>
      </c>
      <c r="Q140" s="4" t="s">
        <v>26</v>
      </c>
      <c r="R140" s="4">
        <v>0</v>
      </c>
      <c r="S140" s="4" t="s">
        <v>171</v>
      </c>
      <c r="T140" s="4" t="s">
        <v>452</v>
      </c>
      <c r="U140" s="4">
        <v>43</v>
      </c>
      <c r="V140" s="4">
        <v>46</v>
      </c>
      <c r="W140" s="4">
        <v>76</v>
      </c>
    </row>
    <row r="141" spans="1:23" ht="11.25" customHeight="1" x14ac:dyDescent="0.25">
      <c r="A141" s="4" t="s">
        <v>21</v>
      </c>
      <c r="B141" s="4" t="s">
        <v>41</v>
      </c>
      <c r="C141" s="4" t="s">
        <v>40</v>
      </c>
      <c r="D141" s="4" t="s">
        <v>47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44621</v>
      </c>
      <c r="J141" s="6">
        <v>3050</v>
      </c>
      <c r="K141" s="6">
        <v>3050</v>
      </c>
      <c r="L141" s="6">
        <v>654.10299999999995</v>
      </c>
      <c r="M141" s="6">
        <v>654.10299999999995</v>
      </c>
      <c r="N141" s="6">
        <v>654.10299999999995</v>
      </c>
      <c r="O141" s="6">
        <v>654.10299999999995</v>
      </c>
      <c r="P141" s="6">
        <v>0</v>
      </c>
      <c r="Q141" s="4" t="s">
        <v>26</v>
      </c>
      <c r="R141" s="4">
        <v>0</v>
      </c>
      <c r="S141" s="4" t="s">
        <v>172</v>
      </c>
      <c r="T141" s="4" t="s">
        <v>453</v>
      </c>
      <c r="U141" s="4">
        <v>43</v>
      </c>
      <c r="V141" s="4">
        <v>46</v>
      </c>
      <c r="W141" s="4">
        <v>76</v>
      </c>
    </row>
    <row r="142" spans="1:23" ht="11.25" customHeight="1" x14ac:dyDescent="0.25">
      <c r="A142" s="4" t="s">
        <v>28</v>
      </c>
      <c r="B142" s="4" t="s">
        <v>41</v>
      </c>
      <c r="C142" s="4" t="s">
        <v>40</v>
      </c>
      <c r="D142" s="4" t="s">
        <v>47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44621</v>
      </c>
      <c r="J142" s="6">
        <v>356</v>
      </c>
      <c r="K142" s="6">
        <v>356</v>
      </c>
      <c r="L142" s="6">
        <v>12.58</v>
      </c>
      <c r="M142" s="6">
        <v>12.58</v>
      </c>
      <c r="N142" s="6">
        <v>12.58</v>
      </c>
      <c r="O142" s="6">
        <v>12.58</v>
      </c>
      <c r="P142" s="6">
        <v>0</v>
      </c>
      <c r="Q142" s="4" t="s">
        <v>26</v>
      </c>
      <c r="R142" s="4">
        <v>0</v>
      </c>
      <c r="S142" s="4" t="s">
        <v>172</v>
      </c>
      <c r="T142" s="4" t="s">
        <v>453</v>
      </c>
      <c r="U142" s="4">
        <v>43</v>
      </c>
      <c r="V142" s="4">
        <v>46</v>
      </c>
      <c r="W142" s="4">
        <v>76</v>
      </c>
    </row>
    <row r="143" spans="1:23" ht="11.25" customHeight="1" x14ac:dyDescent="0.25">
      <c r="A143" s="4" t="s">
        <v>21</v>
      </c>
      <c r="B143" s="4" t="s">
        <v>41</v>
      </c>
      <c r="C143" s="4" t="s">
        <v>40</v>
      </c>
      <c r="D143" s="4" t="s">
        <v>47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44652</v>
      </c>
      <c r="J143" s="6">
        <v>3077</v>
      </c>
      <c r="K143" s="6">
        <v>3077</v>
      </c>
      <c r="L143" s="6">
        <v>682.10199999999998</v>
      </c>
      <c r="M143" s="6">
        <v>682.10199999999998</v>
      </c>
      <c r="N143" s="6">
        <v>682.10199999999998</v>
      </c>
      <c r="O143" s="6">
        <v>682.10199999999998</v>
      </c>
      <c r="P143" s="6">
        <v>0</v>
      </c>
      <c r="Q143" s="4" t="s">
        <v>26</v>
      </c>
      <c r="R143" s="4">
        <v>0</v>
      </c>
      <c r="S143" s="4" t="s">
        <v>173</v>
      </c>
      <c r="T143" s="4" t="s">
        <v>454</v>
      </c>
      <c r="U143" s="4">
        <v>43</v>
      </c>
      <c r="V143" s="4">
        <v>46</v>
      </c>
      <c r="W143" s="4">
        <v>76</v>
      </c>
    </row>
    <row r="144" spans="1:23" ht="11.25" customHeight="1" x14ac:dyDescent="0.25">
      <c r="A144" s="4" t="s">
        <v>28</v>
      </c>
      <c r="B144" s="4" t="s">
        <v>41</v>
      </c>
      <c r="C144" s="4" t="s">
        <v>40</v>
      </c>
      <c r="D144" s="4" t="s">
        <v>47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44652</v>
      </c>
      <c r="J144" s="6">
        <v>356</v>
      </c>
      <c r="K144" s="6">
        <v>356</v>
      </c>
      <c r="L144" s="6">
        <v>11.393000000000001</v>
      </c>
      <c r="M144" s="6">
        <v>11.393000000000001</v>
      </c>
      <c r="N144" s="6">
        <v>11.393000000000001</v>
      </c>
      <c r="O144" s="6">
        <v>11.393000000000001</v>
      </c>
      <c r="P144" s="6">
        <v>0</v>
      </c>
      <c r="Q144" s="4" t="s">
        <v>26</v>
      </c>
      <c r="R144" s="4">
        <v>0</v>
      </c>
      <c r="S144" s="4" t="s">
        <v>173</v>
      </c>
      <c r="T144" s="4" t="s">
        <v>454</v>
      </c>
      <c r="U144" s="4">
        <v>43</v>
      </c>
      <c r="V144" s="4">
        <v>46</v>
      </c>
      <c r="W144" s="4">
        <v>76</v>
      </c>
    </row>
    <row r="145" spans="1:23" ht="11.25" customHeight="1" x14ac:dyDescent="0.25">
      <c r="A145" s="4" t="s">
        <v>21</v>
      </c>
      <c r="B145" s="4" t="s">
        <v>41</v>
      </c>
      <c r="C145" s="4" t="s">
        <v>40</v>
      </c>
      <c r="D145" s="4" t="s">
        <v>47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3085</v>
      </c>
      <c r="K145" s="6">
        <v>3085</v>
      </c>
      <c r="L145" s="6">
        <v>741.96600000000001</v>
      </c>
      <c r="M145" s="6">
        <v>741.96600000000001</v>
      </c>
      <c r="N145" s="6">
        <v>741.96600000000001</v>
      </c>
      <c r="O145" s="6">
        <v>741.96600000000001</v>
      </c>
      <c r="P145" s="6">
        <v>0</v>
      </c>
      <c r="Q145" s="4" t="s">
        <v>26</v>
      </c>
      <c r="R145" s="4">
        <v>0</v>
      </c>
      <c r="S145" s="4" t="s">
        <v>174</v>
      </c>
      <c r="T145" s="4" t="s">
        <v>455</v>
      </c>
      <c r="U145" s="4">
        <v>43</v>
      </c>
      <c r="V145" s="4">
        <v>46</v>
      </c>
      <c r="W145" s="4">
        <v>76</v>
      </c>
    </row>
    <row r="146" spans="1:23" ht="11.25" customHeight="1" x14ac:dyDescent="0.25">
      <c r="A146" s="4" t="s">
        <v>28</v>
      </c>
      <c r="B146" s="4" t="s">
        <v>41</v>
      </c>
      <c r="C146" s="4" t="s">
        <v>40</v>
      </c>
      <c r="D146" s="4" t="s">
        <v>47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44682</v>
      </c>
      <c r="J146" s="6">
        <v>356</v>
      </c>
      <c r="K146" s="6">
        <v>356</v>
      </c>
      <c r="L146" s="6">
        <v>15.393000000000001</v>
      </c>
      <c r="M146" s="6">
        <v>15.393000000000001</v>
      </c>
      <c r="N146" s="6">
        <v>15.393000000000001</v>
      </c>
      <c r="O146" s="6">
        <v>15.393000000000001</v>
      </c>
      <c r="P146" s="6">
        <v>0</v>
      </c>
      <c r="Q146" s="4" t="s">
        <v>26</v>
      </c>
      <c r="R146" s="4">
        <v>0</v>
      </c>
      <c r="S146" s="4" t="s">
        <v>174</v>
      </c>
      <c r="T146" s="4" t="s">
        <v>455</v>
      </c>
      <c r="U146" s="4">
        <v>43</v>
      </c>
      <c r="V146" s="4">
        <v>46</v>
      </c>
      <c r="W146" s="4">
        <v>76</v>
      </c>
    </row>
    <row r="147" spans="1:23" ht="11.25" customHeight="1" x14ac:dyDescent="0.25">
      <c r="A147" s="4" t="s">
        <v>21</v>
      </c>
      <c r="B147" s="4" t="s">
        <v>41</v>
      </c>
      <c r="C147" s="4" t="s">
        <v>40</v>
      </c>
      <c r="D147" s="4" t="s">
        <v>47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44713</v>
      </c>
      <c r="J147" s="6">
        <v>3144</v>
      </c>
      <c r="K147" s="6">
        <v>3144</v>
      </c>
      <c r="L147" s="6">
        <v>774.99900000000002</v>
      </c>
      <c r="M147" s="6">
        <v>774.99900000000002</v>
      </c>
      <c r="N147" s="6">
        <v>774.99900000000002</v>
      </c>
      <c r="O147" s="6">
        <v>774.99900000000002</v>
      </c>
      <c r="P147" s="6">
        <v>0</v>
      </c>
      <c r="Q147" s="4" t="s">
        <v>26</v>
      </c>
      <c r="R147" s="4">
        <v>0</v>
      </c>
      <c r="S147" s="4" t="s">
        <v>175</v>
      </c>
      <c r="T147" s="4" t="s">
        <v>456</v>
      </c>
      <c r="U147" s="4">
        <v>43</v>
      </c>
      <c r="V147" s="4">
        <v>46</v>
      </c>
      <c r="W147" s="4">
        <v>76</v>
      </c>
    </row>
    <row r="148" spans="1:23" ht="11.25" customHeight="1" x14ac:dyDescent="0.25">
      <c r="A148" s="4" t="s">
        <v>28</v>
      </c>
      <c r="B148" s="4" t="s">
        <v>41</v>
      </c>
      <c r="C148" s="4" t="s">
        <v>40</v>
      </c>
      <c r="D148" s="4" t="s">
        <v>47</v>
      </c>
      <c r="E148" s="4" t="s">
        <v>25</v>
      </c>
      <c r="F148" s="4" t="s">
        <v>25</v>
      </c>
      <c r="G148" s="4" t="s">
        <v>25</v>
      </c>
      <c r="H148" s="4" t="s">
        <v>35</v>
      </c>
      <c r="I148" s="5">
        <v>44713</v>
      </c>
      <c r="J148" s="6">
        <v>299</v>
      </c>
      <c r="K148" s="6">
        <v>299</v>
      </c>
      <c r="L148" s="6">
        <v>7.8929999999999998</v>
      </c>
      <c r="M148" s="6">
        <v>7.8929999999999998</v>
      </c>
      <c r="N148" s="6">
        <v>7.8929999999999998</v>
      </c>
      <c r="O148" s="6">
        <v>7.8929999999999998</v>
      </c>
      <c r="P148" s="6">
        <v>0</v>
      </c>
      <c r="Q148" s="4" t="s">
        <v>26</v>
      </c>
      <c r="R148" s="4">
        <v>0</v>
      </c>
      <c r="S148" s="4" t="s">
        <v>175</v>
      </c>
      <c r="T148" s="4" t="s">
        <v>456</v>
      </c>
      <c r="U148" s="4">
        <v>43</v>
      </c>
      <c r="V148" s="4">
        <v>46</v>
      </c>
      <c r="W148" s="4">
        <v>76</v>
      </c>
    </row>
    <row r="149" spans="1:23" ht="11.25" customHeight="1" x14ac:dyDescent="0.25">
      <c r="A149" s="4" t="s">
        <v>21</v>
      </c>
      <c r="B149" s="4" t="s">
        <v>41</v>
      </c>
      <c r="C149" s="4" t="s">
        <v>40</v>
      </c>
      <c r="D149" s="4" t="s">
        <v>47</v>
      </c>
      <c r="E149" s="4" t="s">
        <v>25</v>
      </c>
      <c r="F149" s="4" t="s">
        <v>25</v>
      </c>
      <c r="G149" s="4" t="s">
        <v>25</v>
      </c>
      <c r="H149" s="4" t="s">
        <v>35</v>
      </c>
      <c r="I149" s="5">
        <v>44743</v>
      </c>
      <c r="J149" s="6">
        <v>2981</v>
      </c>
      <c r="K149" s="6">
        <v>2981</v>
      </c>
      <c r="L149" s="6">
        <v>700.17100000000005</v>
      </c>
      <c r="M149" s="6">
        <v>700.17100000000005</v>
      </c>
      <c r="N149" s="6">
        <v>700.17100000000005</v>
      </c>
      <c r="O149" s="6">
        <v>700.17100000000005</v>
      </c>
      <c r="P149" s="6">
        <v>0</v>
      </c>
      <c r="Q149" s="4" t="s">
        <v>26</v>
      </c>
      <c r="R149" s="4">
        <v>0</v>
      </c>
      <c r="S149" s="4" t="s">
        <v>176</v>
      </c>
      <c r="T149" s="4" t="s">
        <v>457</v>
      </c>
      <c r="U149" s="4">
        <v>43</v>
      </c>
      <c r="V149" s="4">
        <v>46</v>
      </c>
      <c r="W149" s="4">
        <v>76</v>
      </c>
    </row>
    <row r="150" spans="1:23" ht="11.25" customHeight="1" x14ac:dyDescent="0.25">
      <c r="A150" s="4" t="s">
        <v>28</v>
      </c>
      <c r="B150" s="4" t="s">
        <v>41</v>
      </c>
      <c r="C150" s="4" t="s">
        <v>40</v>
      </c>
      <c r="D150" s="4" t="s">
        <v>47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44743</v>
      </c>
      <c r="J150" s="6">
        <v>404</v>
      </c>
      <c r="K150" s="6">
        <v>404</v>
      </c>
      <c r="L150" s="6">
        <v>6.2919999999999998</v>
      </c>
      <c r="M150" s="6">
        <v>6.2919999999999998</v>
      </c>
      <c r="N150" s="6">
        <v>6.2919999999999998</v>
      </c>
      <c r="O150" s="6">
        <v>6.2919999999999998</v>
      </c>
      <c r="P150" s="6">
        <v>0</v>
      </c>
      <c r="Q150" s="4" t="s">
        <v>26</v>
      </c>
      <c r="R150" s="4">
        <v>0</v>
      </c>
      <c r="S150" s="4" t="s">
        <v>176</v>
      </c>
      <c r="T150" s="4" t="s">
        <v>457</v>
      </c>
      <c r="U150" s="4">
        <v>43</v>
      </c>
      <c r="V150" s="4">
        <v>46</v>
      </c>
      <c r="W150" s="4">
        <v>76</v>
      </c>
    </row>
    <row r="151" spans="1:23" ht="11.25" customHeight="1" x14ac:dyDescent="0.25">
      <c r="A151" s="4" t="s">
        <v>28</v>
      </c>
      <c r="B151" s="4" t="s">
        <v>41</v>
      </c>
      <c r="C151" s="4" t="s">
        <v>40</v>
      </c>
      <c r="D151" s="4" t="s">
        <v>47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44743</v>
      </c>
      <c r="J151" s="6">
        <v>0</v>
      </c>
      <c r="K151" s="6">
        <v>0</v>
      </c>
      <c r="L151" s="6">
        <v>2.6429999999999998</v>
      </c>
      <c r="M151" s="6">
        <v>2.6429999999999998</v>
      </c>
      <c r="N151" s="6">
        <v>2.6429999999999998</v>
      </c>
      <c r="O151" s="6">
        <v>2.6429999999999998</v>
      </c>
      <c r="P151" s="6">
        <v>0</v>
      </c>
      <c r="Q151" s="4" t="s">
        <v>26</v>
      </c>
      <c r="R151" s="4">
        <v>0</v>
      </c>
      <c r="S151" s="4" t="s">
        <v>176</v>
      </c>
      <c r="T151" s="4" t="s">
        <v>457</v>
      </c>
      <c r="U151" s="4">
        <v>0</v>
      </c>
      <c r="V151" s="4">
        <v>46</v>
      </c>
      <c r="W151" s="4">
        <v>76</v>
      </c>
    </row>
    <row r="152" spans="1:23" ht="11.25" customHeight="1" x14ac:dyDescent="0.25">
      <c r="A152" s="4" t="s">
        <v>21</v>
      </c>
      <c r="B152" s="4" t="s">
        <v>41</v>
      </c>
      <c r="C152" s="4" t="s">
        <v>40</v>
      </c>
      <c r="D152" s="4" t="s">
        <v>47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44774</v>
      </c>
      <c r="J152" s="6">
        <v>2993</v>
      </c>
      <c r="K152" s="6">
        <v>2993</v>
      </c>
      <c r="L152" s="6">
        <v>841.69100000000003</v>
      </c>
      <c r="M152" s="6">
        <v>841.69100000000003</v>
      </c>
      <c r="N152" s="6">
        <v>841.69100000000003</v>
      </c>
      <c r="O152" s="6">
        <v>841.69100000000003</v>
      </c>
      <c r="P152" s="6">
        <v>0</v>
      </c>
      <c r="Q152" s="4" t="s">
        <v>26</v>
      </c>
      <c r="R152" s="4">
        <v>0</v>
      </c>
      <c r="S152" s="4" t="s">
        <v>177</v>
      </c>
      <c r="T152" s="4" t="s">
        <v>458</v>
      </c>
      <c r="U152" s="4">
        <v>43</v>
      </c>
      <c r="V152" s="4">
        <v>46</v>
      </c>
      <c r="W152" s="4">
        <v>76</v>
      </c>
    </row>
    <row r="153" spans="1:23" ht="11.25" customHeight="1" x14ac:dyDescent="0.25">
      <c r="A153" s="4" t="s">
        <v>28</v>
      </c>
      <c r="B153" s="4" t="s">
        <v>41</v>
      </c>
      <c r="C153" s="4" t="s">
        <v>40</v>
      </c>
      <c r="D153" s="4" t="s">
        <v>47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44774</v>
      </c>
      <c r="J153" s="6">
        <v>394</v>
      </c>
      <c r="K153" s="6">
        <v>394</v>
      </c>
      <c r="L153" s="6">
        <v>12.497999999999999</v>
      </c>
      <c r="M153" s="6">
        <v>12.497999999999999</v>
      </c>
      <c r="N153" s="6">
        <v>12.497999999999999</v>
      </c>
      <c r="O153" s="6">
        <v>12.497999999999999</v>
      </c>
      <c r="P153" s="6">
        <v>0</v>
      </c>
      <c r="Q153" s="4" t="s">
        <v>26</v>
      </c>
      <c r="R153" s="4">
        <v>0</v>
      </c>
      <c r="S153" s="4" t="s">
        <v>177</v>
      </c>
      <c r="T153" s="4" t="s">
        <v>458</v>
      </c>
      <c r="U153" s="4">
        <v>43</v>
      </c>
      <c r="V153" s="4">
        <v>46</v>
      </c>
      <c r="W153" s="4">
        <v>76</v>
      </c>
    </row>
    <row r="154" spans="1:23" ht="11.25" customHeight="1" x14ac:dyDescent="0.25">
      <c r="A154" s="4" t="s">
        <v>21</v>
      </c>
      <c r="B154" s="4" t="s">
        <v>41</v>
      </c>
      <c r="C154" s="4" t="s">
        <v>40</v>
      </c>
      <c r="D154" s="4" t="s">
        <v>47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44805</v>
      </c>
      <c r="J154" s="6">
        <v>2998</v>
      </c>
      <c r="K154" s="6">
        <v>2998</v>
      </c>
      <c r="L154" s="6">
        <v>852.65099999999995</v>
      </c>
      <c r="M154" s="6">
        <v>852.65099999999995</v>
      </c>
      <c r="N154" s="6">
        <v>852.65099999999995</v>
      </c>
      <c r="O154" s="6">
        <v>852.65099999999995</v>
      </c>
      <c r="P154" s="6">
        <v>0</v>
      </c>
      <c r="Q154" s="4" t="s">
        <v>26</v>
      </c>
      <c r="R154" s="4">
        <v>0</v>
      </c>
      <c r="S154" s="4" t="s">
        <v>178</v>
      </c>
      <c r="T154" s="4" t="s">
        <v>459</v>
      </c>
      <c r="U154" s="4">
        <v>43</v>
      </c>
      <c r="V154" s="4">
        <v>46</v>
      </c>
      <c r="W154" s="4">
        <v>76</v>
      </c>
    </row>
    <row r="155" spans="1:23" ht="11.25" customHeight="1" x14ac:dyDescent="0.25">
      <c r="A155" s="4" t="s">
        <v>28</v>
      </c>
      <c r="B155" s="4" t="s">
        <v>41</v>
      </c>
      <c r="C155" s="4" t="s">
        <v>40</v>
      </c>
      <c r="D155" s="4" t="s">
        <v>47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44805</v>
      </c>
      <c r="J155" s="6">
        <v>476</v>
      </c>
      <c r="K155" s="6">
        <v>476</v>
      </c>
      <c r="L155" s="6">
        <v>7.0780000000000003</v>
      </c>
      <c r="M155" s="6">
        <v>7.0780000000000003</v>
      </c>
      <c r="N155" s="6">
        <v>7.0780000000000003</v>
      </c>
      <c r="O155" s="6">
        <v>7.0780000000000003</v>
      </c>
      <c r="P155" s="6">
        <v>0</v>
      </c>
      <c r="Q155" s="4" t="s">
        <v>26</v>
      </c>
      <c r="R155" s="4">
        <v>0</v>
      </c>
      <c r="S155" s="4" t="s">
        <v>178</v>
      </c>
      <c r="T155" s="4" t="s">
        <v>459</v>
      </c>
      <c r="U155" s="4">
        <v>43</v>
      </c>
      <c r="V155" s="4">
        <v>46</v>
      </c>
      <c r="W155" s="4">
        <v>76</v>
      </c>
    </row>
    <row r="156" spans="1:23" ht="11.25" customHeight="1" x14ac:dyDescent="0.25">
      <c r="A156" s="4" t="s">
        <v>21</v>
      </c>
      <c r="B156" s="4" t="s">
        <v>41</v>
      </c>
      <c r="C156" s="4" t="s">
        <v>40</v>
      </c>
      <c r="D156" s="4" t="s">
        <v>47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44835</v>
      </c>
      <c r="J156" s="6">
        <v>2997</v>
      </c>
      <c r="K156" s="6">
        <v>2997</v>
      </c>
      <c r="L156" s="6">
        <v>876.89400000000001</v>
      </c>
      <c r="M156" s="6">
        <v>876.89400000000001</v>
      </c>
      <c r="N156" s="6">
        <v>876.89400000000001</v>
      </c>
      <c r="O156" s="6">
        <v>876.89400000000001</v>
      </c>
      <c r="P156" s="6">
        <v>0</v>
      </c>
      <c r="Q156" s="4" t="s">
        <v>26</v>
      </c>
      <c r="R156" s="4">
        <v>0</v>
      </c>
      <c r="S156" s="4" t="s">
        <v>179</v>
      </c>
      <c r="T156" s="4" t="s">
        <v>460</v>
      </c>
      <c r="U156" s="4">
        <v>43</v>
      </c>
      <c r="V156" s="4">
        <v>46</v>
      </c>
      <c r="W156" s="4">
        <v>76</v>
      </c>
    </row>
    <row r="157" spans="1:23" ht="11.25" customHeight="1" x14ac:dyDescent="0.25">
      <c r="A157" s="4" t="s">
        <v>28</v>
      </c>
      <c r="B157" s="4" t="s">
        <v>41</v>
      </c>
      <c r="C157" s="4" t="s">
        <v>40</v>
      </c>
      <c r="D157" s="4" t="s">
        <v>47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44835</v>
      </c>
      <c r="J157" s="6">
        <v>200</v>
      </c>
      <c r="K157" s="6">
        <v>200</v>
      </c>
      <c r="L157" s="6">
        <v>4.3490000000000002</v>
      </c>
      <c r="M157" s="6">
        <v>4.3490000000000002</v>
      </c>
      <c r="N157" s="6">
        <v>4.3490000000000002</v>
      </c>
      <c r="O157" s="6">
        <v>4.3490000000000002</v>
      </c>
      <c r="P157" s="6">
        <v>0</v>
      </c>
      <c r="Q157" s="4" t="s">
        <v>26</v>
      </c>
      <c r="R157" s="4">
        <v>0</v>
      </c>
      <c r="S157" s="4" t="s">
        <v>179</v>
      </c>
      <c r="T157" s="4" t="s">
        <v>460</v>
      </c>
      <c r="U157" s="4">
        <v>43</v>
      </c>
      <c r="V157" s="4">
        <v>46</v>
      </c>
      <c r="W157" s="4">
        <v>76</v>
      </c>
    </row>
    <row r="158" spans="1:23" ht="11.25" customHeight="1" x14ac:dyDescent="0.25">
      <c r="A158" s="4" t="s">
        <v>28</v>
      </c>
      <c r="B158" s="4" t="s">
        <v>41</v>
      </c>
      <c r="C158" s="4" t="s">
        <v>40</v>
      </c>
      <c r="D158" s="4" t="s">
        <v>47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44835</v>
      </c>
      <c r="J158" s="6">
        <v>-470</v>
      </c>
      <c r="K158" s="6">
        <v>-470</v>
      </c>
      <c r="L158" s="6">
        <v>-18.387</v>
      </c>
      <c r="M158" s="6">
        <v>-18.387</v>
      </c>
      <c r="N158" s="6">
        <v>-18.387</v>
      </c>
      <c r="O158" s="6">
        <v>-18.387</v>
      </c>
      <c r="P158" s="6">
        <v>0</v>
      </c>
      <c r="Q158" s="4" t="s">
        <v>26</v>
      </c>
      <c r="R158" s="4">
        <v>0</v>
      </c>
      <c r="S158" s="4" t="s">
        <v>179</v>
      </c>
      <c r="T158" s="4" t="s">
        <v>460</v>
      </c>
      <c r="U158" s="4">
        <v>43</v>
      </c>
      <c r="V158" s="4">
        <v>46</v>
      </c>
      <c r="W158" s="4">
        <v>76</v>
      </c>
    </row>
    <row r="159" spans="1:23" ht="11.25" customHeight="1" x14ac:dyDescent="0.25">
      <c r="A159" s="4" t="s">
        <v>54</v>
      </c>
      <c r="B159" s="4" t="s">
        <v>41</v>
      </c>
      <c r="C159" s="4" t="s">
        <v>40</v>
      </c>
      <c r="D159" s="4" t="s">
        <v>47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44866</v>
      </c>
      <c r="J159" s="6">
        <v>2997</v>
      </c>
      <c r="K159" s="6">
        <v>2997</v>
      </c>
      <c r="L159" s="6">
        <v>876.89400000000001</v>
      </c>
      <c r="M159" s="6">
        <v>876.89400000000001</v>
      </c>
      <c r="N159" s="6">
        <v>876.89400000000001</v>
      </c>
      <c r="O159" s="6">
        <v>876.89400000000001</v>
      </c>
      <c r="P159" s="6">
        <v>0</v>
      </c>
      <c r="Q159" s="4" t="s">
        <v>26</v>
      </c>
      <c r="R159" s="4">
        <v>0</v>
      </c>
      <c r="S159" s="4" t="s">
        <v>180</v>
      </c>
      <c r="T159" s="4" t="s">
        <v>461</v>
      </c>
      <c r="U159" s="4">
        <v>43</v>
      </c>
      <c r="V159" s="4">
        <v>46</v>
      </c>
      <c r="W159" s="4">
        <v>76</v>
      </c>
    </row>
    <row r="160" spans="1:23" ht="11.25" customHeight="1" x14ac:dyDescent="0.25">
      <c r="A160" s="4" t="s">
        <v>54</v>
      </c>
      <c r="B160" s="4" t="s">
        <v>41</v>
      </c>
      <c r="C160" s="4" t="s">
        <v>40</v>
      </c>
      <c r="D160" s="4" t="s">
        <v>47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44866</v>
      </c>
      <c r="J160" s="6">
        <v>200</v>
      </c>
      <c r="K160" s="6">
        <v>200</v>
      </c>
      <c r="L160" s="6">
        <v>4.3490000000000002</v>
      </c>
      <c r="M160" s="6">
        <v>4.3490000000000002</v>
      </c>
      <c r="N160" s="6">
        <v>4.3490000000000002</v>
      </c>
      <c r="O160" s="6">
        <v>4.3490000000000002</v>
      </c>
      <c r="P160" s="6">
        <v>0</v>
      </c>
      <c r="Q160" s="4" t="s">
        <v>26</v>
      </c>
      <c r="R160" s="4">
        <v>0</v>
      </c>
      <c r="S160" s="4" t="s">
        <v>180</v>
      </c>
      <c r="T160" s="4" t="s">
        <v>461</v>
      </c>
      <c r="U160" s="4">
        <v>43</v>
      </c>
      <c r="V160" s="4">
        <v>46</v>
      </c>
      <c r="W160" s="4">
        <v>76</v>
      </c>
    </row>
    <row r="161" spans="1:23" ht="11.25" customHeight="1" x14ac:dyDescent="0.25">
      <c r="A161" s="4" t="s">
        <v>54</v>
      </c>
      <c r="B161" s="4" t="s">
        <v>41</v>
      </c>
      <c r="C161" s="4" t="s">
        <v>40</v>
      </c>
      <c r="D161" s="4" t="s">
        <v>47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44866</v>
      </c>
      <c r="J161" s="6">
        <v>-470</v>
      </c>
      <c r="K161" s="6">
        <v>-470</v>
      </c>
      <c r="L161" s="6">
        <v>-18.387</v>
      </c>
      <c r="M161" s="6">
        <v>-18.387</v>
      </c>
      <c r="N161" s="6">
        <v>-18.387</v>
      </c>
      <c r="O161" s="6">
        <v>-18.387</v>
      </c>
      <c r="P161" s="6">
        <v>0</v>
      </c>
      <c r="Q161" s="4" t="s">
        <v>26</v>
      </c>
      <c r="R161" s="4">
        <v>0</v>
      </c>
      <c r="S161" s="4" t="s">
        <v>180</v>
      </c>
      <c r="T161" s="4" t="s">
        <v>461</v>
      </c>
      <c r="U161" s="4">
        <v>43</v>
      </c>
      <c r="V161" s="4">
        <v>46</v>
      </c>
      <c r="W161" s="4">
        <v>76</v>
      </c>
    </row>
    <row r="162" spans="1:23" ht="11.25" customHeight="1" x14ac:dyDescent="0.25">
      <c r="A162" s="4" t="s">
        <v>21</v>
      </c>
      <c r="B162" s="4" t="s">
        <v>41</v>
      </c>
      <c r="C162" s="4" t="s">
        <v>40</v>
      </c>
      <c r="D162" s="4" t="s">
        <v>47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44531</v>
      </c>
      <c r="J162" s="6">
        <v>2391</v>
      </c>
      <c r="K162" s="6">
        <v>2391</v>
      </c>
      <c r="L162" s="6">
        <v>61.837000000000003</v>
      </c>
      <c r="M162" s="6">
        <v>61.837000000000003</v>
      </c>
      <c r="N162" s="6">
        <v>61.837000000000003</v>
      </c>
      <c r="O162" s="6">
        <v>61.837000000000003</v>
      </c>
      <c r="P162" s="6">
        <v>0</v>
      </c>
      <c r="Q162" s="4" t="s">
        <v>26</v>
      </c>
      <c r="R162" s="4">
        <v>0</v>
      </c>
      <c r="S162" s="4" t="s">
        <v>181</v>
      </c>
      <c r="T162" s="4" t="s">
        <v>462</v>
      </c>
      <c r="U162" s="4">
        <v>42</v>
      </c>
      <c r="V162" s="4">
        <v>46</v>
      </c>
      <c r="W162" s="4">
        <v>75</v>
      </c>
    </row>
    <row r="163" spans="1:23" ht="11.25" customHeight="1" x14ac:dyDescent="0.25">
      <c r="A163" s="4" t="s">
        <v>28</v>
      </c>
      <c r="B163" s="4" t="s">
        <v>41</v>
      </c>
      <c r="C163" s="4" t="s">
        <v>40</v>
      </c>
      <c r="D163" s="4" t="s">
        <v>47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44531</v>
      </c>
      <c r="J163" s="6">
        <v>336</v>
      </c>
      <c r="K163" s="6">
        <v>336</v>
      </c>
      <c r="L163" s="6">
        <v>1.292</v>
      </c>
      <c r="M163" s="6">
        <v>1.292</v>
      </c>
      <c r="N163" s="6">
        <v>1.292</v>
      </c>
      <c r="O163" s="6">
        <v>1.292</v>
      </c>
      <c r="P163" s="6">
        <v>0</v>
      </c>
      <c r="Q163" s="4" t="s">
        <v>26</v>
      </c>
      <c r="R163" s="4">
        <v>0</v>
      </c>
      <c r="S163" s="4" t="s">
        <v>181</v>
      </c>
      <c r="T163" s="4" t="s">
        <v>462</v>
      </c>
      <c r="U163" s="4">
        <v>42</v>
      </c>
      <c r="V163" s="4">
        <v>46</v>
      </c>
      <c r="W163" s="4">
        <v>75</v>
      </c>
    </row>
    <row r="164" spans="1:23" ht="11.25" customHeight="1" x14ac:dyDescent="0.25">
      <c r="A164" s="4" t="s">
        <v>21</v>
      </c>
      <c r="B164" s="4" t="s">
        <v>41</v>
      </c>
      <c r="C164" s="4" t="s">
        <v>40</v>
      </c>
      <c r="D164" s="4" t="s">
        <v>47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44562</v>
      </c>
      <c r="J164" s="6">
        <v>2323</v>
      </c>
      <c r="K164" s="6">
        <v>2323</v>
      </c>
      <c r="L164" s="6">
        <v>54.597000000000001</v>
      </c>
      <c r="M164" s="6">
        <v>54.597000000000001</v>
      </c>
      <c r="N164" s="6">
        <v>54.597000000000001</v>
      </c>
      <c r="O164" s="6">
        <v>54.597000000000001</v>
      </c>
      <c r="P164" s="6">
        <v>0</v>
      </c>
      <c r="Q164" s="4" t="s">
        <v>26</v>
      </c>
      <c r="R164" s="4">
        <v>0</v>
      </c>
      <c r="S164" s="4" t="s">
        <v>182</v>
      </c>
      <c r="T164" s="4" t="s">
        <v>463</v>
      </c>
      <c r="U164" s="4">
        <v>42</v>
      </c>
      <c r="V164" s="4">
        <v>46</v>
      </c>
      <c r="W164" s="4">
        <v>75</v>
      </c>
    </row>
    <row r="165" spans="1:23" ht="11.25" customHeight="1" x14ac:dyDescent="0.25">
      <c r="A165" s="4" t="s">
        <v>28</v>
      </c>
      <c r="B165" s="4" t="s">
        <v>41</v>
      </c>
      <c r="C165" s="4" t="s">
        <v>40</v>
      </c>
      <c r="D165" s="4" t="s">
        <v>47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44562</v>
      </c>
      <c r="J165" s="6">
        <v>336</v>
      </c>
      <c r="K165" s="6">
        <v>336</v>
      </c>
      <c r="L165" s="6">
        <v>1.466</v>
      </c>
      <c r="M165" s="6">
        <v>1.466</v>
      </c>
      <c r="N165" s="6">
        <v>1.466</v>
      </c>
      <c r="O165" s="6">
        <v>1.466</v>
      </c>
      <c r="P165" s="6">
        <v>0</v>
      </c>
      <c r="Q165" s="4" t="s">
        <v>26</v>
      </c>
      <c r="R165" s="4">
        <v>0</v>
      </c>
      <c r="S165" s="4" t="s">
        <v>182</v>
      </c>
      <c r="T165" s="4" t="s">
        <v>463</v>
      </c>
      <c r="U165" s="4">
        <v>42</v>
      </c>
      <c r="V165" s="4">
        <v>46</v>
      </c>
      <c r="W165" s="4">
        <v>75</v>
      </c>
    </row>
    <row r="166" spans="1:23" ht="11.25" customHeight="1" x14ac:dyDescent="0.25">
      <c r="A166" s="4" t="s">
        <v>21</v>
      </c>
      <c r="B166" s="4" t="s">
        <v>41</v>
      </c>
      <c r="C166" s="4" t="s">
        <v>40</v>
      </c>
      <c r="D166" s="4" t="s">
        <v>47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44593</v>
      </c>
      <c r="J166" s="6">
        <v>2318</v>
      </c>
      <c r="K166" s="6">
        <v>2318</v>
      </c>
      <c r="L166" s="6">
        <v>52.118000000000002</v>
      </c>
      <c r="M166" s="6">
        <v>52.118000000000002</v>
      </c>
      <c r="N166" s="6">
        <v>52.118000000000002</v>
      </c>
      <c r="O166" s="6">
        <v>52.118000000000002</v>
      </c>
      <c r="P166" s="6">
        <v>0</v>
      </c>
      <c r="Q166" s="4" t="s">
        <v>26</v>
      </c>
      <c r="R166" s="4">
        <v>0</v>
      </c>
      <c r="S166" s="4" t="s">
        <v>183</v>
      </c>
      <c r="T166" s="4" t="s">
        <v>464</v>
      </c>
      <c r="U166" s="4">
        <v>42</v>
      </c>
      <c r="V166" s="4">
        <v>46</v>
      </c>
      <c r="W166" s="4">
        <v>75</v>
      </c>
    </row>
    <row r="167" spans="1:23" ht="11.25" customHeight="1" x14ac:dyDescent="0.25">
      <c r="A167" s="4" t="s">
        <v>28</v>
      </c>
      <c r="B167" s="4" t="s">
        <v>41</v>
      </c>
      <c r="C167" s="4" t="s">
        <v>40</v>
      </c>
      <c r="D167" s="4" t="s">
        <v>47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44593</v>
      </c>
      <c r="J167" s="6">
        <v>336</v>
      </c>
      <c r="K167" s="6">
        <v>336</v>
      </c>
      <c r="L167" s="6">
        <v>2.097</v>
      </c>
      <c r="M167" s="6">
        <v>2.097</v>
      </c>
      <c r="N167" s="6">
        <v>2.097</v>
      </c>
      <c r="O167" s="6">
        <v>2.097</v>
      </c>
      <c r="P167" s="6">
        <v>0</v>
      </c>
      <c r="Q167" s="4" t="s">
        <v>26</v>
      </c>
      <c r="R167" s="4">
        <v>0</v>
      </c>
      <c r="S167" s="4" t="s">
        <v>183</v>
      </c>
      <c r="T167" s="4" t="s">
        <v>464</v>
      </c>
      <c r="U167" s="4">
        <v>42</v>
      </c>
      <c r="V167" s="4">
        <v>46</v>
      </c>
      <c r="W167" s="4">
        <v>75</v>
      </c>
    </row>
    <row r="168" spans="1:23" ht="11.25" customHeight="1" x14ac:dyDescent="0.25">
      <c r="A168" s="4" t="s">
        <v>21</v>
      </c>
      <c r="B168" s="4" t="s">
        <v>41</v>
      </c>
      <c r="C168" s="4" t="s">
        <v>40</v>
      </c>
      <c r="D168" s="4" t="s">
        <v>47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44621</v>
      </c>
      <c r="J168" s="6">
        <v>2304</v>
      </c>
      <c r="K168" s="6">
        <v>2304</v>
      </c>
      <c r="L168" s="6">
        <v>58.037999999999997</v>
      </c>
      <c r="M168" s="6">
        <v>58.037999999999997</v>
      </c>
      <c r="N168" s="6">
        <v>58.037999999999997</v>
      </c>
      <c r="O168" s="6">
        <v>58.037999999999997</v>
      </c>
      <c r="P168" s="6">
        <v>0</v>
      </c>
      <c r="Q168" s="4" t="s">
        <v>26</v>
      </c>
      <c r="R168" s="4">
        <v>0</v>
      </c>
      <c r="S168" s="4" t="s">
        <v>184</v>
      </c>
      <c r="T168" s="4" t="s">
        <v>465</v>
      </c>
      <c r="U168" s="4">
        <v>42</v>
      </c>
      <c r="V168" s="4">
        <v>46</v>
      </c>
      <c r="W168" s="4">
        <v>75</v>
      </c>
    </row>
    <row r="169" spans="1:23" ht="11.25" customHeight="1" x14ac:dyDescent="0.25">
      <c r="A169" s="4" t="s">
        <v>28</v>
      </c>
      <c r="B169" s="4" t="s">
        <v>41</v>
      </c>
      <c r="C169" s="4" t="s">
        <v>40</v>
      </c>
      <c r="D169" s="4" t="s">
        <v>47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44621</v>
      </c>
      <c r="J169" s="6">
        <v>336</v>
      </c>
      <c r="K169" s="6">
        <v>336</v>
      </c>
      <c r="L169" s="6">
        <v>2.87</v>
      </c>
      <c r="M169" s="6">
        <v>2.87</v>
      </c>
      <c r="N169" s="6">
        <v>2.87</v>
      </c>
      <c r="O169" s="6">
        <v>2.87</v>
      </c>
      <c r="P169" s="6">
        <v>0</v>
      </c>
      <c r="Q169" s="4" t="s">
        <v>26</v>
      </c>
      <c r="R169" s="4">
        <v>0</v>
      </c>
      <c r="S169" s="4" t="s">
        <v>184</v>
      </c>
      <c r="T169" s="4" t="s">
        <v>465</v>
      </c>
      <c r="U169" s="4">
        <v>42</v>
      </c>
      <c r="V169" s="4">
        <v>46</v>
      </c>
      <c r="W169" s="4">
        <v>75</v>
      </c>
    </row>
    <row r="170" spans="1:23" ht="11.25" customHeight="1" x14ac:dyDescent="0.25">
      <c r="A170" s="4" t="s">
        <v>21</v>
      </c>
      <c r="B170" s="4" t="s">
        <v>41</v>
      </c>
      <c r="C170" s="4" t="s">
        <v>40</v>
      </c>
      <c r="D170" s="4" t="s">
        <v>47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44652</v>
      </c>
      <c r="J170" s="6">
        <v>2329</v>
      </c>
      <c r="K170" s="6">
        <v>2329</v>
      </c>
      <c r="L170" s="6">
        <v>55.3</v>
      </c>
      <c r="M170" s="6">
        <v>55.3</v>
      </c>
      <c r="N170" s="6">
        <v>55.3</v>
      </c>
      <c r="O170" s="6">
        <v>55.3</v>
      </c>
      <c r="P170" s="6">
        <v>0</v>
      </c>
      <c r="Q170" s="4" t="s">
        <v>26</v>
      </c>
      <c r="R170" s="4">
        <v>0</v>
      </c>
      <c r="S170" s="4" t="s">
        <v>185</v>
      </c>
      <c r="T170" s="4" t="s">
        <v>466</v>
      </c>
      <c r="U170" s="4">
        <v>42</v>
      </c>
      <c r="V170" s="4">
        <v>46</v>
      </c>
      <c r="W170" s="4">
        <v>75</v>
      </c>
    </row>
    <row r="171" spans="1:23" ht="11.25" customHeight="1" x14ac:dyDescent="0.25">
      <c r="A171" s="4" t="s">
        <v>28</v>
      </c>
      <c r="B171" s="4" t="s">
        <v>41</v>
      </c>
      <c r="C171" s="4" t="s">
        <v>40</v>
      </c>
      <c r="D171" s="4" t="s">
        <v>47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44652</v>
      </c>
      <c r="J171" s="6">
        <v>336</v>
      </c>
      <c r="K171" s="6">
        <v>336</v>
      </c>
      <c r="L171" s="6">
        <v>2.734</v>
      </c>
      <c r="M171" s="6">
        <v>2.734</v>
      </c>
      <c r="N171" s="6">
        <v>2.734</v>
      </c>
      <c r="O171" s="6">
        <v>2.734</v>
      </c>
      <c r="P171" s="6">
        <v>0</v>
      </c>
      <c r="Q171" s="4" t="s">
        <v>26</v>
      </c>
      <c r="R171" s="4">
        <v>0</v>
      </c>
      <c r="S171" s="4" t="s">
        <v>185</v>
      </c>
      <c r="T171" s="4" t="s">
        <v>466</v>
      </c>
      <c r="U171" s="4">
        <v>42</v>
      </c>
      <c r="V171" s="4">
        <v>46</v>
      </c>
      <c r="W171" s="4">
        <v>75</v>
      </c>
    </row>
    <row r="172" spans="1:23" ht="11.25" customHeight="1" x14ac:dyDescent="0.25">
      <c r="A172" s="4" t="s">
        <v>21</v>
      </c>
      <c r="B172" s="4" t="s">
        <v>41</v>
      </c>
      <c r="C172" s="4" t="s">
        <v>40</v>
      </c>
      <c r="D172" s="4" t="s">
        <v>47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44682</v>
      </c>
      <c r="J172" s="6">
        <v>2347</v>
      </c>
      <c r="K172" s="6">
        <v>2347</v>
      </c>
      <c r="L172" s="6">
        <v>64.900000000000006</v>
      </c>
      <c r="M172" s="6">
        <v>64.900000000000006</v>
      </c>
      <c r="N172" s="6">
        <v>64.900000000000006</v>
      </c>
      <c r="O172" s="6">
        <v>64.900000000000006</v>
      </c>
      <c r="P172" s="6">
        <v>0</v>
      </c>
      <c r="Q172" s="4" t="s">
        <v>26</v>
      </c>
      <c r="R172" s="4">
        <v>0</v>
      </c>
      <c r="S172" s="4" t="s">
        <v>186</v>
      </c>
      <c r="T172" s="4" t="s">
        <v>467</v>
      </c>
      <c r="U172" s="4">
        <v>42</v>
      </c>
      <c r="V172" s="4">
        <v>46</v>
      </c>
      <c r="W172" s="4">
        <v>75</v>
      </c>
    </row>
    <row r="173" spans="1:23" ht="11.25" customHeight="1" x14ac:dyDescent="0.25">
      <c r="A173" s="4" t="s">
        <v>28</v>
      </c>
      <c r="B173" s="4" t="s">
        <v>41</v>
      </c>
      <c r="C173" s="4" t="s">
        <v>40</v>
      </c>
      <c r="D173" s="4" t="s">
        <v>47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44682</v>
      </c>
      <c r="J173" s="6">
        <v>336</v>
      </c>
      <c r="K173" s="6">
        <v>336</v>
      </c>
      <c r="L173" s="6">
        <v>3.415</v>
      </c>
      <c r="M173" s="6">
        <v>3.415</v>
      </c>
      <c r="N173" s="6">
        <v>3.415</v>
      </c>
      <c r="O173" s="6">
        <v>3.415</v>
      </c>
      <c r="P173" s="6">
        <v>0</v>
      </c>
      <c r="Q173" s="4" t="s">
        <v>26</v>
      </c>
      <c r="R173" s="4">
        <v>0</v>
      </c>
      <c r="S173" s="4" t="s">
        <v>186</v>
      </c>
      <c r="T173" s="4" t="s">
        <v>467</v>
      </c>
      <c r="U173" s="4">
        <v>42</v>
      </c>
      <c r="V173" s="4">
        <v>46</v>
      </c>
      <c r="W173" s="4">
        <v>75</v>
      </c>
    </row>
    <row r="174" spans="1:23" ht="11.25" customHeight="1" x14ac:dyDescent="0.25">
      <c r="A174" s="4" t="s">
        <v>21</v>
      </c>
      <c r="B174" s="4" t="s">
        <v>41</v>
      </c>
      <c r="C174" s="4" t="s">
        <v>40</v>
      </c>
      <c r="D174" s="4" t="s">
        <v>47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44713</v>
      </c>
      <c r="J174" s="6">
        <v>2480</v>
      </c>
      <c r="K174" s="6">
        <v>2480</v>
      </c>
      <c r="L174" s="6">
        <v>73.786000000000001</v>
      </c>
      <c r="M174" s="6">
        <v>73.786000000000001</v>
      </c>
      <c r="N174" s="6">
        <v>73.786000000000001</v>
      </c>
      <c r="O174" s="6">
        <v>73.786000000000001</v>
      </c>
      <c r="P174" s="6">
        <v>0</v>
      </c>
      <c r="Q174" s="4" t="s">
        <v>26</v>
      </c>
      <c r="R174" s="4">
        <v>0</v>
      </c>
      <c r="S174" s="4" t="s">
        <v>187</v>
      </c>
      <c r="T174" s="4" t="s">
        <v>468</v>
      </c>
      <c r="U174" s="4">
        <v>42</v>
      </c>
      <c r="V174" s="4">
        <v>46</v>
      </c>
      <c r="W174" s="4">
        <v>75</v>
      </c>
    </row>
    <row r="175" spans="1:23" ht="11.25" customHeight="1" x14ac:dyDescent="0.25">
      <c r="A175" s="4" t="s">
        <v>28</v>
      </c>
      <c r="B175" s="4" t="s">
        <v>41</v>
      </c>
      <c r="C175" s="4" t="s">
        <v>40</v>
      </c>
      <c r="D175" s="4" t="s">
        <v>47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44713</v>
      </c>
      <c r="J175" s="6">
        <v>272</v>
      </c>
      <c r="K175" s="6">
        <v>272</v>
      </c>
      <c r="L175" s="6">
        <v>1.901</v>
      </c>
      <c r="M175" s="6">
        <v>1.901</v>
      </c>
      <c r="N175" s="6">
        <v>1.901</v>
      </c>
      <c r="O175" s="6">
        <v>1.901</v>
      </c>
      <c r="P175" s="6">
        <v>0</v>
      </c>
      <c r="Q175" s="4" t="s">
        <v>26</v>
      </c>
      <c r="R175" s="4">
        <v>0</v>
      </c>
      <c r="S175" s="4" t="s">
        <v>187</v>
      </c>
      <c r="T175" s="4" t="s">
        <v>468</v>
      </c>
      <c r="U175" s="4">
        <v>42</v>
      </c>
      <c r="V175" s="4">
        <v>46</v>
      </c>
      <c r="W175" s="4">
        <v>75</v>
      </c>
    </row>
    <row r="176" spans="1:23" ht="11.25" customHeight="1" x14ac:dyDescent="0.25">
      <c r="A176" s="4" t="s">
        <v>21</v>
      </c>
      <c r="B176" s="4" t="s">
        <v>41</v>
      </c>
      <c r="C176" s="4" t="s">
        <v>40</v>
      </c>
      <c r="D176" s="4" t="s">
        <v>47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44743</v>
      </c>
      <c r="J176" s="6">
        <v>2337</v>
      </c>
      <c r="K176" s="6">
        <v>2337</v>
      </c>
      <c r="L176" s="6">
        <v>57.081000000000003</v>
      </c>
      <c r="M176" s="6">
        <v>57.081000000000003</v>
      </c>
      <c r="N176" s="6">
        <v>57.081000000000003</v>
      </c>
      <c r="O176" s="6">
        <v>57.081000000000003</v>
      </c>
      <c r="P176" s="6">
        <v>0</v>
      </c>
      <c r="Q176" s="4" t="s">
        <v>26</v>
      </c>
      <c r="R176" s="4">
        <v>0</v>
      </c>
      <c r="S176" s="4" t="s">
        <v>188</v>
      </c>
      <c r="T176" s="4" t="s">
        <v>469</v>
      </c>
      <c r="U176" s="4">
        <v>42</v>
      </c>
      <c r="V176" s="4">
        <v>46</v>
      </c>
      <c r="W176" s="4">
        <v>75</v>
      </c>
    </row>
    <row r="177" spans="1:23" ht="11.25" customHeight="1" x14ac:dyDescent="0.25">
      <c r="A177" s="4" t="s">
        <v>28</v>
      </c>
      <c r="B177" s="4" t="s">
        <v>41</v>
      </c>
      <c r="C177" s="4" t="s">
        <v>40</v>
      </c>
      <c r="D177" s="4" t="s">
        <v>47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44743</v>
      </c>
      <c r="J177" s="6">
        <v>232</v>
      </c>
      <c r="K177" s="6">
        <v>232</v>
      </c>
      <c r="L177" s="6">
        <v>1.857</v>
      </c>
      <c r="M177" s="6">
        <v>1.857</v>
      </c>
      <c r="N177" s="6">
        <v>1.857</v>
      </c>
      <c r="O177" s="6">
        <v>1.857</v>
      </c>
      <c r="P177" s="6">
        <v>0</v>
      </c>
      <c r="Q177" s="4" t="s">
        <v>26</v>
      </c>
      <c r="R177" s="4">
        <v>0</v>
      </c>
      <c r="S177" s="4" t="s">
        <v>188</v>
      </c>
      <c r="T177" s="4" t="s">
        <v>469</v>
      </c>
      <c r="U177" s="4">
        <v>42</v>
      </c>
      <c r="V177" s="4">
        <v>46</v>
      </c>
      <c r="W177" s="4">
        <v>75</v>
      </c>
    </row>
    <row r="178" spans="1:23" ht="11.25" customHeight="1" x14ac:dyDescent="0.25">
      <c r="A178" s="4" t="s">
        <v>28</v>
      </c>
      <c r="B178" s="4" t="s">
        <v>41</v>
      </c>
      <c r="C178" s="4" t="s">
        <v>40</v>
      </c>
      <c r="D178" s="4" t="s">
        <v>47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44743</v>
      </c>
      <c r="J178" s="6">
        <v>0</v>
      </c>
      <c r="K178" s="6">
        <v>0</v>
      </c>
      <c r="L178" s="6">
        <v>0.48599999999999999</v>
      </c>
      <c r="M178" s="6">
        <v>0.48599999999999999</v>
      </c>
      <c r="N178" s="6">
        <v>0.48599999999999999</v>
      </c>
      <c r="O178" s="6">
        <v>0.48599999999999999</v>
      </c>
      <c r="P178" s="6">
        <v>0</v>
      </c>
      <c r="Q178" s="4" t="s">
        <v>26</v>
      </c>
      <c r="R178" s="4">
        <v>0</v>
      </c>
      <c r="S178" s="4" t="s">
        <v>188</v>
      </c>
      <c r="T178" s="4" t="s">
        <v>469</v>
      </c>
      <c r="U178" s="4">
        <v>0</v>
      </c>
      <c r="V178" s="4">
        <v>46</v>
      </c>
      <c r="W178" s="4">
        <v>75</v>
      </c>
    </row>
    <row r="179" spans="1:23" ht="11.25" customHeight="1" x14ac:dyDescent="0.25">
      <c r="A179" s="4" t="s">
        <v>21</v>
      </c>
      <c r="B179" s="4" t="s">
        <v>41</v>
      </c>
      <c r="C179" s="4" t="s">
        <v>40</v>
      </c>
      <c r="D179" s="4" t="s">
        <v>47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44774</v>
      </c>
      <c r="J179" s="6">
        <v>2371</v>
      </c>
      <c r="K179" s="6">
        <v>2371</v>
      </c>
      <c r="L179" s="6">
        <v>79.658000000000001</v>
      </c>
      <c r="M179" s="6">
        <v>79.658000000000001</v>
      </c>
      <c r="N179" s="6">
        <v>79.658000000000001</v>
      </c>
      <c r="O179" s="6">
        <v>79.658000000000001</v>
      </c>
      <c r="P179" s="6">
        <v>0</v>
      </c>
      <c r="Q179" s="4" t="s">
        <v>26</v>
      </c>
      <c r="R179" s="4">
        <v>0</v>
      </c>
      <c r="S179" s="4" t="s">
        <v>189</v>
      </c>
      <c r="T179" s="4" t="s">
        <v>470</v>
      </c>
      <c r="U179" s="4">
        <v>42</v>
      </c>
      <c r="V179" s="4">
        <v>46</v>
      </c>
      <c r="W179" s="4">
        <v>75</v>
      </c>
    </row>
    <row r="180" spans="1:23" ht="11.25" customHeight="1" x14ac:dyDescent="0.25">
      <c r="A180" s="4" t="s">
        <v>28</v>
      </c>
      <c r="B180" s="4" t="s">
        <v>41</v>
      </c>
      <c r="C180" s="4" t="s">
        <v>40</v>
      </c>
      <c r="D180" s="4" t="s">
        <v>47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44774</v>
      </c>
      <c r="J180" s="6">
        <v>282</v>
      </c>
      <c r="K180" s="6">
        <v>282</v>
      </c>
      <c r="L180" s="6">
        <v>3.887</v>
      </c>
      <c r="M180" s="6">
        <v>3.887</v>
      </c>
      <c r="N180" s="6">
        <v>3.887</v>
      </c>
      <c r="O180" s="6">
        <v>3.887</v>
      </c>
      <c r="P180" s="6">
        <v>0</v>
      </c>
      <c r="Q180" s="4" t="s">
        <v>26</v>
      </c>
      <c r="R180" s="4">
        <v>0</v>
      </c>
      <c r="S180" s="4" t="s">
        <v>189</v>
      </c>
      <c r="T180" s="4" t="s">
        <v>470</v>
      </c>
      <c r="U180" s="4">
        <v>42</v>
      </c>
      <c r="V180" s="4">
        <v>46</v>
      </c>
      <c r="W180" s="4">
        <v>75</v>
      </c>
    </row>
    <row r="181" spans="1:23" ht="11.25" customHeight="1" x14ac:dyDescent="0.25">
      <c r="A181" s="4" t="s">
        <v>21</v>
      </c>
      <c r="B181" s="4" t="s">
        <v>41</v>
      </c>
      <c r="C181" s="4" t="s">
        <v>40</v>
      </c>
      <c r="D181" s="4" t="s">
        <v>47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44805</v>
      </c>
      <c r="J181" s="6">
        <v>2394</v>
      </c>
      <c r="K181" s="6">
        <v>2394</v>
      </c>
      <c r="L181" s="6">
        <v>73.813999999999993</v>
      </c>
      <c r="M181" s="6">
        <v>73.813999999999993</v>
      </c>
      <c r="N181" s="6">
        <v>73.813999999999993</v>
      </c>
      <c r="O181" s="6">
        <v>73.813999999999993</v>
      </c>
      <c r="P181" s="6">
        <v>0</v>
      </c>
      <c r="Q181" s="4" t="s">
        <v>26</v>
      </c>
      <c r="R181" s="4">
        <v>0</v>
      </c>
      <c r="S181" s="4" t="s">
        <v>190</v>
      </c>
      <c r="T181" s="4" t="s">
        <v>471</v>
      </c>
      <c r="U181" s="4">
        <v>42</v>
      </c>
      <c r="V181" s="4">
        <v>46</v>
      </c>
      <c r="W181" s="4">
        <v>75</v>
      </c>
    </row>
    <row r="182" spans="1:23" ht="11.25" customHeight="1" x14ac:dyDescent="0.25">
      <c r="A182" s="4" t="s">
        <v>28</v>
      </c>
      <c r="B182" s="4" t="s">
        <v>41</v>
      </c>
      <c r="C182" s="4" t="s">
        <v>40</v>
      </c>
      <c r="D182" s="4" t="s">
        <v>47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44805</v>
      </c>
      <c r="J182" s="6">
        <v>456</v>
      </c>
      <c r="K182" s="6">
        <v>456</v>
      </c>
      <c r="L182" s="6">
        <v>2.181</v>
      </c>
      <c r="M182" s="6">
        <v>2.181</v>
      </c>
      <c r="N182" s="6">
        <v>2.181</v>
      </c>
      <c r="O182" s="6">
        <v>2.181</v>
      </c>
      <c r="P182" s="6">
        <v>0</v>
      </c>
      <c r="Q182" s="4" t="s">
        <v>26</v>
      </c>
      <c r="R182" s="4">
        <v>0</v>
      </c>
      <c r="S182" s="4" t="s">
        <v>190</v>
      </c>
      <c r="T182" s="4" t="s">
        <v>471</v>
      </c>
      <c r="U182" s="4">
        <v>42</v>
      </c>
      <c r="V182" s="4">
        <v>46</v>
      </c>
      <c r="W182" s="4">
        <v>75</v>
      </c>
    </row>
    <row r="183" spans="1:23" ht="11.25" customHeight="1" x14ac:dyDescent="0.25">
      <c r="A183" s="4" t="s">
        <v>21</v>
      </c>
      <c r="B183" s="4" t="s">
        <v>41</v>
      </c>
      <c r="C183" s="4" t="s">
        <v>40</v>
      </c>
      <c r="D183" s="4" t="s">
        <v>47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44835</v>
      </c>
      <c r="J183" s="6">
        <v>2262</v>
      </c>
      <c r="K183" s="6">
        <v>2262</v>
      </c>
      <c r="L183" s="6">
        <v>74.406999999999996</v>
      </c>
      <c r="M183" s="6">
        <v>74.406999999999996</v>
      </c>
      <c r="N183" s="6">
        <v>74.406999999999996</v>
      </c>
      <c r="O183" s="6">
        <v>74.406999999999996</v>
      </c>
      <c r="P183" s="6">
        <v>0</v>
      </c>
      <c r="Q183" s="4" t="s">
        <v>26</v>
      </c>
      <c r="R183" s="4">
        <v>0</v>
      </c>
      <c r="S183" s="4" t="s">
        <v>191</v>
      </c>
      <c r="T183" s="4" t="s">
        <v>472</v>
      </c>
      <c r="U183" s="4">
        <v>42</v>
      </c>
      <c r="V183" s="4">
        <v>46</v>
      </c>
      <c r="W183" s="4">
        <v>75</v>
      </c>
    </row>
    <row r="184" spans="1:23" ht="11.25" customHeight="1" x14ac:dyDescent="0.25">
      <c r="A184" s="4" t="s">
        <v>28</v>
      </c>
      <c r="B184" s="4" t="s">
        <v>41</v>
      </c>
      <c r="C184" s="4" t="s">
        <v>40</v>
      </c>
      <c r="D184" s="4" t="s">
        <v>47</v>
      </c>
      <c r="E184" s="4" t="s">
        <v>25</v>
      </c>
      <c r="F184" s="4" t="s">
        <v>25</v>
      </c>
      <c r="G184" s="4" t="s">
        <v>25</v>
      </c>
      <c r="H184" s="4" t="s">
        <v>34</v>
      </c>
      <c r="I184" s="5">
        <v>44835</v>
      </c>
      <c r="J184" s="6">
        <v>180</v>
      </c>
      <c r="K184" s="6">
        <v>180</v>
      </c>
      <c r="L184" s="6">
        <v>0.871</v>
      </c>
      <c r="M184" s="6">
        <v>0.871</v>
      </c>
      <c r="N184" s="6">
        <v>0.871</v>
      </c>
      <c r="O184" s="6">
        <v>0.871</v>
      </c>
      <c r="P184" s="6">
        <v>0</v>
      </c>
      <c r="Q184" s="4" t="s">
        <v>26</v>
      </c>
      <c r="R184" s="4">
        <v>0</v>
      </c>
      <c r="S184" s="4" t="s">
        <v>191</v>
      </c>
      <c r="T184" s="4" t="s">
        <v>472</v>
      </c>
      <c r="U184" s="4">
        <v>42</v>
      </c>
      <c r="V184" s="4">
        <v>46</v>
      </c>
      <c r="W184" s="4">
        <v>75</v>
      </c>
    </row>
    <row r="185" spans="1:23" ht="11.25" customHeight="1" x14ac:dyDescent="0.25">
      <c r="A185" s="4" t="s">
        <v>28</v>
      </c>
      <c r="B185" s="4" t="s">
        <v>41</v>
      </c>
      <c r="C185" s="4" t="s">
        <v>40</v>
      </c>
      <c r="D185" s="4" t="s">
        <v>47</v>
      </c>
      <c r="E185" s="4" t="s">
        <v>25</v>
      </c>
      <c r="F185" s="4" t="s">
        <v>25</v>
      </c>
      <c r="G185" s="4" t="s">
        <v>25</v>
      </c>
      <c r="H185" s="4" t="s">
        <v>34</v>
      </c>
      <c r="I185" s="5">
        <v>44835</v>
      </c>
      <c r="J185" s="6">
        <v>-378</v>
      </c>
      <c r="K185" s="6">
        <v>-378</v>
      </c>
      <c r="L185" s="6">
        <v>-7.8170000000000002</v>
      </c>
      <c r="M185" s="6">
        <v>-7.8170000000000002</v>
      </c>
      <c r="N185" s="6">
        <v>-7.8170000000000002</v>
      </c>
      <c r="O185" s="6">
        <v>-7.8170000000000002</v>
      </c>
      <c r="P185" s="6">
        <v>0</v>
      </c>
      <c r="Q185" s="4" t="s">
        <v>26</v>
      </c>
      <c r="R185" s="4">
        <v>0</v>
      </c>
      <c r="S185" s="4" t="s">
        <v>191</v>
      </c>
      <c r="T185" s="4" t="s">
        <v>472</v>
      </c>
      <c r="U185" s="4">
        <v>42</v>
      </c>
      <c r="V185" s="4">
        <v>46</v>
      </c>
      <c r="W185" s="4">
        <v>75</v>
      </c>
    </row>
    <row r="186" spans="1:23" ht="11.25" customHeight="1" x14ac:dyDescent="0.25">
      <c r="A186" s="4" t="s">
        <v>54</v>
      </c>
      <c r="B186" s="4" t="s">
        <v>41</v>
      </c>
      <c r="C186" s="4" t="s">
        <v>40</v>
      </c>
      <c r="D186" s="4" t="s">
        <v>47</v>
      </c>
      <c r="E186" s="4" t="s">
        <v>25</v>
      </c>
      <c r="F186" s="4" t="s">
        <v>25</v>
      </c>
      <c r="G186" s="4" t="s">
        <v>25</v>
      </c>
      <c r="H186" s="4" t="s">
        <v>34</v>
      </c>
      <c r="I186" s="5">
        <v>44866</v>
      </c>
      <c r="J186" s="6">
        <v>2262</v>
      </c>
      <c r="K186" s="6">
        <v>2262</v>
      </c>
      <c r="L186" s="6">
        <v>74.406999999999996</v>
      </c>
      <c r="M186" s="6">
        <v>74.406999999999996</v>
      </c>
      <c r="N186" s="6">
        <v>74.406999999999996</v>
      </c>
      <c r="O186" s="6">
        <v>74.406999999999996</v>
      </c>
      <c r="P186" s="6">
        <v>0</v>
      </c>
      <c r="Q186" s="4" t="s">
        <v>26</v>
      </c>
      <c r="R186" s="4">
        <v>0</v>
      </c>
      <c r="S186" s="4" t="s">
        <v>192</v>
      </c>
      <c r="T186" s="4" t="s">
        <v>473</v>
      </c>
      <c r="U186" s="4">
        <v>42</v>
      </c>
      <c r="V186" s="4">
        <v>46</v>
      </c>
      <c r="W186" s="4">
        <v>75</v>
      </c>
    </row>
    <row r="187" spans="1:23" ht="11.25" customHeight="1" x14ac:dyDescent="0.25">
      <c r="A187" s="4" t="s">
        <v>54</v>
      </c>
      <c r="B187" s="4" t="s">
        <v>41</v>
      </c>
      <c r="C187" s="4" t="s">
        <v>40</v>
      </c>
      <c r="D187" s="4" t="s">
        <v>47</v>
      </c>
      <c r="E187" s="4" t="s">
        <v>25</v>
      </c>
      <c r="F187" s="4" t="s">
        <v>25</v>
      </c>
      <c r="G187" s="4" t="s">
        <v>25</v>
      </c>
      <c r="H187" s="4" t="s">
        <v>34</v>
      </c>
      <c r="I187" s="5">
        <v>44866</v>
      </c>
      <c r="J187" s="6">
        <v>180</v>
      </c>
      <c r="K187" s="6">
        <v>180</v>
      </c>
      <c r="L187" s="6">
        <v>0.871</v>
      </c>
      <c r="M187" s="6">
        <v>0.871</v>
      </c>
      <c r="N187" s="6">
        <v>0.871</v>
      </c>
      <c r="O187" s="6">
        <v>0.871</v>
      </c>
      <c r="P187" s="6">
        <v>0</v>
      </c>
      <c r="Q187" s="4" t="s">
        <v>26</v>
      </c>
      <c r="R187" s="4">
        <v>0</v>
      </c>
      <c r="S187" s="4" t="s">
        <v>192</v>
      </c>
      <c r="T187" s="4" t="s">
        <v>473</v>
      </c>
      <c r="U187" s="4">
        <v>42</v>
      </c>
      <c r="V187" s="4">
        <v>46</v>
      </c>
      <c r="W187" s="4">
        <v>75</v>
      </c>
    </row>
    <row r="188" spans="1:23" ht="11.25" customHeight="1" x14ac:dyDescent="0.25">
      <c r="A188" s="4" t="s">
        <v>54</v>
      </c>
      <c r="B188" s="4" t="s">
        <v>41</v>
      </c>
      <c r="C188" s="4" t="s">
        <v>40</v>
      </c>
      <c r="D188" s="4" t="s">
        <v>47</v>
      </c>
      <c r="E188" s="4" t="s">
        <v>25</v>
      </c>
      <c r="F188" s="4" t="s">
        <v>25</v>
      </c>
      <c r="G188" s="4" t="s">
        <v>25</v>
      </c>
      <c r="H188" s="4" t="s">
        <v>34</v>
      </c>
      <c r="I188" s="5">
        <v>44866</v>
      </c>
      <c r="J188" s="6">
        <v>-378</v>
      </c>
      <c r="K188" s="6">
        <v>-378</v>
      </c>
      <c r="L188" s="6">
        <v>-7.8170000000000002</v>
      </c>
      <c r="M188" s="6">
        <v>-7.8170000000000002</v>
      </c>
      <c r="N188" s="6">
        <v>-7.8170000000000002</v>
      </c>
      <c r="O188" s="6">
        <v>-7.8170000000000002</v>
      </c>
      <c r="P188" s="6">
        <v>0</v>
      </c>
      <c r="Q188" s="4" t="s">
        <v>26</v>
      </c>
      <c r="R188" s="4">
        <v>0</v>
      </c>
      <c r="S188" s="4" t="s">
        <v>192</v>
      </c>
      <c r="T188" s="4" t="s">
        <v>473</v>
      </c>
      <c r="U188" s="4">
        <v>42</v>
      </c>
      <c r="V188" s="4">
        <v>46</v>
      </c>
      <c r="W188" s="4">
        <v>75</v>
      </c>
    </row>
    <row r="189" spans="1:23" ht="11.25" customHeight="1" x14ac:dyDescent="0.25">
      <c r="A189" s="4" t="s">
        <v>21</v>
      </c>
      <c r="B189" s="4" t="s">
        <v>41</v>
      </c>
      <c r="C189" s="4" t="s">
        <v>40</v>
      </c>
      <c r="D189" s="4" t="s">
        <v>51</v>
      </c>
      <c r="E189" s="4" t="s">
        <v>52</v>
      </c>
      <c r="F189" s="4" t="s">
        <v>25</v>
      </c>
      <c r="G189" s="4" t="s">
        <v>25</v>
      </c>
      <c r="H189" s="4" t="s">
        <v>35</v>
      </c>
      <c r="I189" s="5">
        <v>44531</v>
      </c>
      <c r="J189" s="6">
        <v>1440</v>
      </c>
      <c r="K189" s="6">
        <v>1353.6</v>
      </c>
      <c r="L189" s="6">
        <v>758.4</v>
      </c>
      <c r="M189" s="6">
        <v>712.89599999999996</v>
      </c>
      <c r="N189" s="6">
        <v>758.4</v>
      </c>
      <c r="O189" s="6">
        <v>712.89599999999996</v>
      </c>
      <c r="P189" s="6">
        <v>0</v>
      </c>
      <c r="Q189" s="4" t="s">
        <v>26</v>
      </c>
      <c r="R189" s="4">
        <v>0</v>
      </c>
      <c r="S189" s="4" t="s">
        <v>169</v>
      </c>
      <c r="T189" s="4" t="s">
        <v>450</v>
      </c>
      <c r="U189" s="4">
        <v>43</v>
      </c>
      <c r="V189" s="4">
        <v>46</v>
      </c>
      <c r="W189" s="4">
        <v>76</v>
      </c>
    </row>
    <row r="190" spans="1:23" ht="11.25" customHeight="1" x14ac:dyDescent="0.25">
      <c r="A190" s="4" t="s">
        <v>21</v>
      </c>
      <c r="B190" s="4" t="s">
        <v>41</v>
      </c>
      <c r="C190" s="4" t="s">
        <v>40</v>
      </c>
      <c r="D190" s="4" t="s">
        <v>51</v>
      </c>
      <c r="E190" s="4" t="s">
        <v>52</v>
      </c>
      <c r="F190" s="4" t="s">
        <v>25</v>
      </c>
      <c r="G190" s="4" t="s">
        <v>25</v>
      </c>
      <c r="H190" s="4" t="s">
        <v>35</v>
      </c>
      <c r="I190" s="5">
        <v>44562</v>
      </c>
      <c r="J190" s="6">
        <v>1440</v>
      </c>
      <c r="K190" s="6">
        <v>1353.6</v>
      </c>
      <c r="L190" s="6">
        <v>745.9</v>
      </c>
      <c r="M190" s="6">
        <v>701.14599999999996</v>
      </c>
      <c r="N190" s="6">
        <v>745.9</v>
      </c>
      <c r="O190" s="6">
        <v>701.14599999999996</v>
      </c>
      <c r="P190" s="6">
        <v>0</v>
      </c>
      <c r="Q190" s="4" t="s">
        <v>26</v>
      </c>
      <c r="R190" s="4">
        <v>0</v>
      </c>
      <c r="S190" s="4" t="s">
        <v>170</v>
      </c>
      <c r="T190" s="4" t="s">
        <v>451</v>
      </c>
      <c r="U190" s="4">
        <v>43</v>
      </c>
      <c r="V190" s="4">
        <v>46</v>
      </c>
      <c r="W190" s="4">
        <v>76</v>
      </c>
    </row>
    <row r="191" spans="1:23" ht="11.25" customHeight="1" x14ac:dyDescent="0.25">
      <c r="A191" s="4" t="s">
        <v>21</v>
      </c>
      <c r="B191" s="4" t="s">
        <v>41</v>
      </c>
      <c r="C191" s="4" t="s">
        <v>40</v>
      </c>
      <c r="D191" s="4" t="s">
        <v>51</v>
      </c>
      <c r="E191" s="4" t="s">
        <v>52</v>
      </c>
      <c r="F191" s="4" t="s">
        <v>25</v>
      </c>
      <c r="G191" s="4" t="s">
        <v>25</v>
      </c>
      <c r="H191" s="4" t="s">
        <v>35</v>
      </c>
      <c r="I191" s="5">
        <v>44593</v>
      </c>
      <c r="J191" s="6">
        <v>1440</v>
      </c>
      <c r="K191" s="6">
        <v>1353.6</v>
      </c>
      <c r="L191" s="6">
        <v>805.87199999999996</v>
      </c>
      <c r="M191" s="6">
        <v>757.51967999999988</v>
      </c>
      <c r="N191" s="6">
        <v>805.87199999999996</v>
      </c>
      <c r="O191" s="6">
        <v>757.51967999999988</v>
      </c>
      <c r="P191" s="6">
        <v>0</v>
      </c>
      <c r="Q191" s="4" t="s">
        <v>26</v>
      </c>
      <c r="R191" s="4">
        <v>0</v>
      </c>
      <c r="S191" s="4" t="s">
        <v>171</v>
      </c>
      <c r="T191" s="4" t="s">
        <v>452</v>
      </c>
      <c r="U191" s="4">
        <v>43</v>
      </c>
      <c r="V191" s="4">
        <v>46</v>
      </c>
      <c r="W191" s="4">
        <v>76</v>
      </c>
    </row>
    <row r="192" spans="1:23" ht="11.25" customHeight="1" x14ac:dyDescent="0.25">
      <c r="A192" s="4" t="s">
        <v>21</v>
      </c>
      <c r="B192" s="4" t="s">
        <v>41</v>
      </c>
      <c r="C192" s="4" t="s">
        <v>40</v>
      </c>
      <c r="D192" s="4" t="s">
        <v>51</v>
      </c>
      <c r="E192" s="4" t="s">
        <v>52</v>
      </c>
      <c r="F192" s="4" t="s">
        <v>25</v>
      </c>
      <c r="G192" s="4" t="s">
        <v>25</v>
      </c>
      <c r="H192" s="4" t="s">
        <v>35</v>
      </c>
      <c r="I192" s="5">
        <v>44621</v>
      </c>
      <c r="J192" s="6">
        <v>1440</v>
      </c>
      <c r="K192" s="6">
        <v>1353.6</v>
      </c>
      <c r="L192" s="6">
        <v>769.41099999999994</v>
      </c>
      <c r="M192" s="6">
        <v>723.24633999999992</v>
      </c>
      <c r="N192" s="6">
        <v>769.41099999999994</v>
      </c>
      <c r="O192" s="6">
        <v>723.24633999999992</v>
      </c>
      <c r="P192" s="6">
        <v>0</v>
      </c>
      <c r="Q192" s="4" t="s">
        <v>26</v>
      </c>
      <c r="R192" s="4">
        <v>0</v>
      </c>
      <c r="S192" s="4" t="s">
        <v>172</v>
      </c>
      <c r="T192" s="4" t="s">
        <v>453</v>
      </c>
      <c r="U192" s="4">
        <v>43</v>
      </c>
      <c r="V192" s="4">
        <v>46</v>
      </c>
      <c r="W192" s="4">
        <v>76</v>
      </c>
    </row>
    <row r="193" spans="1:23" ht="11.25" customHeight="1" x14ac:dyDescent="0.25">
      <c r="A193" s="4" t="s">
        <v>21</v>
      </c>
      <c r="B193" s="4" t="s">
        <v>41</v>
      </c>
      <c r="C193" s="4" t="s">
        <v>40</v>
      </c>
      <c r="D193" s="4" t="s">
        <v>51</v>
      </c>
      <c r="E193" s="4" t="s">
        <v>52</v>
      </c>
      <c r="F193" s="4" t="s">
        <v>25</v>
      </c>
      <c r="G193" s="4" t="s">
        <v>25</v>
      </c>
      <c r="H193" s="4" t="s">
        <v>35</v>
      </c>
      <c r="I193" s="5">
        <v>44652</v>
      </c>
      <c r="J193" s="6">
        <v>1440</v>
      </c>
      <c r="K193" s="6">
        <v>1353.6</v>
      </c>
      <c r="L193" s="6">
        <v>755.971</v>
      </c>
      <c r="M193" s="6">
        <v>710.61273999999992</v>
      </c>
      <c r="N193" s="6">
        <v>755.971</v>
      </c>
      <c r="O193" s="6">
        <v>710.61273999999992</v>
      </c>
      <c r="P193" s="6">
        <v>0</v>
      </c>
      <c r="Q193" s="4" t="s">
        <v>26</v>
      </c>
      <c r="R193" s="4">
        <v>0</v>
      </c>
      <c r="S193" s="4" t="s">
        <v>173</v>
      </c>
      <c r="T193" s="4" t="s">
        <v>454</v>
      </c>
      <c r="U193" s="4">
        <v>43</v>
      </c>
      <c r="V193" s="4">
        <v>46</v>
      </c>
      <c r="W193" s="4">
        <v>76</v>
      </c>
    </row>
    <row r="194" spans="1:23" ht="11.25" customHeight="1" x14ac:dyDescent="0.25">
      <c r="A194" s="4" t="s">
        <v>21</v>
      </c>
      <c r="B194" s="4" t="s">
        <v>41</v>
      </c>
      <c r="C194" s="4" t="s">
        <v>40</v>
      </c>
      <c r="D194" s="4" t="s">
        <v>51</v>
      </c>
      <c r="E194" s="4" t="s">
        <v>52</v>
      </c>
      <c r="F194" s="4" t="s">
        <v>25</v>
      </c>
      <c r="G194" s="4" t="s">
        <v>25</v>
      </c>
      <c r="H194" s="4" t="s">
        <v>35</v>
      </c>
      <c r="I194" s="5">
        <v>44682</v>
      </c>
      <c r="J194" s="6">
        <v>1440</v>
      </c>
      <c r="K194" s="6">
        <v>1353.6</v>
      </c>
      <c r="L194" s="6">
        <v>719.404</v>
      </c>
      <c r="M194" s="6">
        <v>676.23975999999993</v>
      </c>
      <c r="N194" s="6">
        <v>719.404</v>
      </c>
      <c r="O194" s="6">
        <v>676.23975999999993</v>
      </c>
      <c r="P194" s="6">
        <v>0</v>
      </c>
      <c r="Q194" s="4" t="s">
        <v>26</v>
      </c>
      <c r="R194" s="4">
        <v>0</v>
      </c>
      <c r="S194" s="4" t="s">
        <v>174</v>
      </c>
      <c r="T194" s="4" t="s">
        <v>455</v>
      </c>
      <c r="U194" s="4">
        <v>43</v>
      </c>
      <c r="V194" s="4">
        <v>46</v>
      </c>
      <c r="W194" s="4">
        <v>76</v>
      </c>
    </row>
    <row r="195" spans="1:23" ht="11.25" customHeight="1" x14ac:dyDescent="0.25">
      <c r="A195" s="4" t="s">
        <v>21</v>
      </c>
      <c r="B195" s="4" t="s">
        <v>41</v>
      </c>
      <c r="C195" s="4" t="s">
        <v>40</v>
      </c>
      <c r="D195" s="4" t="s">
        <v>51</v>
      </c>
      <c r="E195" s="4" t="s">
        <v>52</v>
      </c>
      <c r="F195" s="4" t="s">
        <v>25</v>
      </c>
      <c r="G195" s="4" t="s">
        <v>25</v>
      </c>
      <c r="H195" s="4" t="s">
        <v>35</v>
      </c>
      <c r="I195" s="5">
        <v>44713</v>
      </c>
      <c r="J195" s="6">
        <v>1440</v>
      </c>
      <c r="K195" s="6">
        <v>1353.6</v>
      </c>
      <c r="L195" s="6">
        <v>664.29100000000005</v>
      </c>
      <c r="M195" s="6">
        <v>624.43353999999999</v>
      </c>
      <c r="N195" s="6">
        <v>664.29100000000005</v>
      </c>
      <c r="O195" s="6">
        <v>624.43353999999999</v>
      </c>
      <c r="P195" s="6">
        <v>0</v>
      </c>
      <c r="Q195" s="4" t="s">
        <v>26</v>
      </c>
      <c r="R195" s="4">
        <v>0</v>
      </c>
      <c r="S195" s="4" t="s">
        <v>175</v>
      </c>
      <c r="T195" s="4" t="s">
        <v>456</v>
      </c>
      <c r="U195" s="4">
        <v>43</v>
      </c>
      <c r="V195" s="4">
        <v>46</v>
      </c>
      <c r="W195" s="4">
        <v>76</v>
      </c>
    </row>
    <row r="196" spans="1:23" ht="11.25" customHeight="1" x14ac:dyDescent="0.25">
      <c r="A196" s="4" t="s">
        <v>27</v>
      </c>
      <c r="B196" s="4" t="s">
        <v>41</v>
      </c>
      <c r="C196" s="4" t="s">
        <v>40</v>
      </c>
      <c r="D196" s="4" t="s">
        <v>51</v>
      </c>
      <c r="E196" s="4" t="s">
        <v>52</v>
      </c>
      <c r="F196" s="4" t="s">
        <v>25</v>
      </c>
      <c r="G196" s="4" t="s">
        <v>25</v>
      </c>
      <c r="H196" s="4" t="s">
        <v>35</v>
      </c>
      <c r="I196" s="5">
        <v>44743</v>
      </c>
      <c r="J196" s="6">
        <v>1440</v>
      </c>
      <c r="K196" s="6">
        <v>1353.6</v>
      </c>
      <c r="L196" s="6">
        <v>260.39999999999998</v>
      </c>
      <c r="M196" s="6">
        <v>244.77599999999995</v>
      </c>
      <c r="N196" s="6">
        <v>260.39999999999998</v>
      </c>
      <c r="O196" s="6">
        <v>244.77599999999995</v>
      </c>
      <c r="P196" s="6">
        <v>0</v>
      </c>
      <c r="Q196" s="4" t="s">
        <v>26</v>
      </c>
      <c r="R196" s="4">
        <v>0</v>
      </c>
      <c r="S196" s="4" t="s">
        <v>176</v>
      </c>
      <c r="T196" s="4" t="s">
        <v>457</v>
      </c>
      <c r="U196" s="4">
        <v>43</v>
      </c>
      <c r="V196" s="4">
        <v>46</v>
      </c>
      <c r="W196" s="4">
        <v>76</v>
      </c>
    </row>
    <row r="197" spans="1:23" ht="11.25" customHeight="1" x14ac:dyDescent="0.25">
      <c r="A197" s="4" t="s">
        <v>21</v>
      </c>
      <c r="B197" s="4" t="s">
        <v>41</v>
      </c>
      <c r="C197" s="4" t="s">
        <v>40</v>
      </c>
      <c r="D197" s="4" t="s">
        <v>51</v>
      </c>
      <c r="E197" s="4" t="s">
        <v>52</v>
      </c>
      <c r="F197" s="4" t="s">
        <v>25</v>
      </c>
      <c r="G197" s="4" t="s">
        <v>25</v>
      </c>
      <c r="H197" s="4" t="s">
        <v>35</v>
      </c>
      <c r="I197" s="5">
        <v>44774</v>
      </c>
      <c r="J197" s="6">
        <v>1075</v>
      </c>
      <c r="K197" s="6">
        <v>1010.4999999999999</v>
      </c>
      <c r="L197" s="6">
        <v>579.24400000000003</v>
      </c>
      <c r="M197" s="6">
        <v>544.48936000000003</v>
      </c>
      <c r="N197" s="6">
        <v>579.24400000000003</v>
      </c>
      <c r="O197" s="6">
        <v>544.48936000000003</v>
      </c>
      <c r="P197" s="6">
        <v>0</v>
      </c>
      <c r="Q197" s="4" t="s">
        <v>26</v>
      </c>
      <c r="R197" s="4">
        <v>0</v>
      </c>
      <c r="S197" s="4" t="s">
        <v>177</v>
      </c>
      <c r="T197" s="4" t="s">
        <v>458</v>
      </c>
      <c r="U197" s="4">
        <v>43</v>
      </c>
      <c r="V197" s="4">
        <v>46</v>
      </c>
      <c r="W197" s="4">
        <v>76</v>
      </c>
    </row>
    <row r="198" spans="1:23" ht="11.25" customHeight="1" x14ac:dyDescent="0.25">
      <c r="A198" s="4" t="s">
        <v>27</v>
      </c>
      <c r="B198" s="4" t="s">
        <v>41</v>
      </c>
      <c r="C198" s="4" t="s">
        <v>40</v>
      </c>
      <c r="D198" s="4" t="s">
        <v>51</v>
      </c>
      <c r="E198" s="4" t="s">
        <v>52</v>
      </c>
      <c r="F198" s="4" t="s">
        <v>25</v>
      </c>
      <c r="G198" s="4" t="s">
        <v>25</v>
      </c>
      <c r="H198" s="4" t="s">
        <v>35</v>
      </c>
      <c r="I198" s="5">
        <v>44774</v>
      </c>
      <c r="J198" s="6">
        <v>0</v>
      </c>
      <c r="K198" s="6">
        <v>0</v>
      </c>
      <c r="L198" s="6">
        <v>414.90199999999999</v>
      </c>
      <c r="M198" s="6">
        <v>390.00787999999994</v>
      </c>
      <c r="N198" s="6">
        <v>414.90199999999999</v>
      </c>
      <c r="O198" s="6">
        <v>390.00787999999994</v>
      </c>
      <c r="P198" s="6">
        <v>0</v>
      </c>
      <c r="Q198" s="4" t="s">
        <v>26</v>
      </c>
      <c r="R198" s="4">
        <v>0</v>
      </c>
      <c r="S198" s="4" t="s">
        <v>177</v>
      </c>
      <c r="T198" s="4" t="s">
        <v>458</v>
      </c>
      <c r="U198" s="4">
        <v>0</v>
      </c>
      <c r="V198" s="4">
        <v>46</v>
      </c>
      <c r="W198" s="4">
        <v>76</v>
      </c>
    </row>
    <row r="199" spans="1:23" ht="11.25" customHeight="1" x14ac:dyDescent="0.25">
      <c r="A199" s="4" t="s">
        <v>21</v>
      </c>
      <c r="B199" s="4" t="s">
        <v>41</v>
      </c>
      <c r="C199" s="4" t="s">
        <v>40</v>
      </c>
      <c r="D199" s="4" t="s">
        <v>51</v>
      </c>
      <c r="E199" s="4" t="s">
        <v>52</v>
      </c>
      <c r="F199" s="4" t="s">
        <v>25</v>
      </c>
      <c r="G199" s="4" t="s">
        <v>25</v>
      </c>
      <c r="H199" s="4" t="s">
        <v>35</v>
      </c>
      <c r="I199" s="5">
        <v>44805</v>
      </c>
      <c r="J199" s="6">
        <v>1113</v>
      </c>
      <c r="K199" s="6">
        <v>1046.22</v>
      </c>
      <c r="L199" s="6">
        <v>551.00099999999998</v>
      </c>
      <c r="M199" s="6">
        <v>517.94093999999996</v>
      </c>
      <c r="N199" s="6">
        <v>551.00099999999998</v>
      </c>
      <c r="O199" s="6">
        <v>517.94093999999996</v>
      </c>
      <c r="P199" s="6">
        <v>0</v>
      </c>
      <c r="Q199" s="4" t="s">
        <v>26</v>
      </c>
      <c r="R199" s="4">
        <v>0</v>
      </c>
      <c r="S199" s="4" t="s">
        <v>178</v>
      </c>
      <c r="T199" s="4" t="s">
        <v>459</v>
      </c>
      <c r="U199" s="4">
        <v>43</v>
      </c>
      <c r="V199" s="4">
        <v>46</v>
      </c>
      <c r="W199" s="4">
        <v>76</v>
      </c>
    </row>
    <row r="200" spans="1:23" ht="11.25" customHeight="1" x14ac:dyDescent="0.25">
      <c r="A200" s="4" t="s">
        <v>21</v>
      </c>
      <c r="B200" s="4" t="s">
        <v>41</v>
      </c>
      <c r="C200" s="4" t="s">
        <v>40</v>
      </c>
      <c r="D200" s="4" t="s">
        <v>51</v>
      </c>
      <c r="E200" s="4" t="s">
        <v>52</v>
      </c>
      <c r="F200" s="4" t="s">
        <v>25</v>
      </c>
      <c r="G200" s="4" t="s">
        <v>25</v>
      </c>
      <c r="H200" s="4" t="s">
        <v>35</v>
      </c>
      <c r="I200" s="5">
        <v>44835</v>
      </c>
      <c r="J200" s="6">
        <v>1113</v>
      </c>
      <c r="K200" s="6">
        <v>1046.22</v>
      </c>
      <c r="L200" s="6">
        <v>617.971</v>
      </c>
      <c r="M200" s="6">
        <v>580.89274</v>
      </c>
      <c r="N200" s="6">
        <v>617.971</v>
      </c>
      <c r="O200" s="6">
        <v>580.89274</v>
      </c>
      <c r="P200" s="6">
        <v>0</v>
      </c>
      <c r="Q200" s="4" t="s">
        <v>26</v>
      </c>
      <c r="R200" s="4">
        <v>0</v>
      </c>
      <c r="S200" s="4" t="s">
        <v>179</v>
      </c>
      <c r="T200" s="4" t="s">
        <v>460</v>
      </c>
      <c r="U200" s="4">
        <v>43</v>
      </c>
      <c r="V200" s="4">
        <v>46</v>
      </c>
      <c r="W200" s="4">
        <v>76</v>
      </c>
    </row>
    <row r="201" spans="1:23" ht="11.25" customHeight="1" x14ac:dyDescent="0.25">
      <c r="A201" s="4" t="s">
        <v>54</v>
      </c>
      <c r="B201" s="4" t="s">
        <v>41</v>
      </c>
      <c r="C201" s="4" t="s">
        <v>40</v>
      </c>
      <c r="D201" s="4" t="s">
        <v>51</v>
      </c>
      <c r="E201" s="4" t="s">
        <v>52</v>
      </c>
      <c r="F201" s="4" t="s">
        <v>25</v>
      </c>
      <c r="G201" s="4" t="s">
        <v>25</v>
      </c>
      <c r="H201" s="4" t="s">
        <v>35</v>
      </c>
      <c r="I201" s="5">
        <v>44866</v>
      </c>
      <c r="J201" s="6">
        <v>1113</v>
      </c>
      <c r="K201" s="6">
        <v>1046.22</v>
      </c>
      <c r="L201" s="6">
        <v>617.971</v>
      </c>
      <c r="M201" s="6">
        <v>580.89274</v>
      </c>
      <c r="N201" s="6">
        <v>617.971</v>
      </c>
      <c r="O201" s="6">
        <v>580.89274</v>
      </c>
      <c r="P201" s="6">
        <v>0</v>
      </c>
      <c r="Q201" s="4" t="s">
        <v>26</v>
      </c>
      <c r="R201" s="4">
        <v>0</v>
      </c>
      <c r="S201" s="4" t="s">
        <v>180</v>
      </c>
      <c r="T201" s="4" t="s">
        <v>461</v>
      </c>
      <c r="U201" s="4">
        <v>43</v>
      </c>
      <c r="V201" s="4">
        <v>46</v>
      </c>
      <c r="W201" s="4">
        <v>76</v>
      </c>
    </row>
    <row r="202" spans="1:23" ht="11.25" customHeight="1" x14ac:dyDescent="0.25">
      <c r="A202" s="4" t="s">
        <v>21</v>
      </c>
      <c r="B202" s="4" t="s">
        <v>41</v>
      </c>
      <c r="C202" s="4" t="s">
        <v>40</v>
      </c>
      <c r="D202" s="4" t="s">
        <v>51</v>
      </c>
      <c r="E202" s="4" t="s">
        <v>52</v>
      </c>
      <c r="F202" s="4" t="s">
        <v>25</v>
      </c>
      <c r="G202" s="4" t="s">
        <v>25</v>
      </c>
      <c r="H202" s="4" t="s">
        <v>34</v>
      </c>
      <c r="I202" s="5">
        <v>44531</v>
      </c>
      <c r="J202" s="6">
        <v>1344</v>
      </c>
      <c r="K202" s="6">
        <v>1263.3599999999999</v>
      </c>
      <c r="L202" s="6">
        <v>76.8</v>
      </c>
      <c r="M202" s="6">
        <v>72.191999999999993</v>
      </c>
      <c r="N202" s="6">
        <v>76.8</v>
      </c>
      <c r="O202" s="6">
        <v>72.191999999999993</v>
      </c>
      <c r="P202" s="6">
        <v>0</v>
      </c>
      <c r="Q202" s="4" t="s">
        <v>26</v>
      </c>
      <c r="R202" s="4">
        <v>0</v>
      </c>
      <c r="S202" s="4" t="s">
        <v>181</v>
      </c>
      <c r="T202" s="4" t="s">
        <v>462</v>
      </c>
      <c r="U202" s="4">
        <v>42</v>
      </c>
      <c r="V202" s="4">
        <v>46</v>
      </c>
      <c r="W202" s="4">
        <v>75</v>
      </c>
    </row>
    <row r="203" spans="1:23" ht="11.25" customHeight="1" x14ac:dyDescent="0.25">
      <c r="A203" s="4" t="s">
        <v>21</v>
      </c>
      <c r="B203" s="4" t="s">
        <v>41</v>
      </c>
      <c r="C203" s="4" t="s">
        <v>40</v>
      </c>
      <c r="D203" s="4" t="s">
        <v>51</v>
      </c>
      <c r="E203" s="4" t="s">
        <v>52</v>
      </c>
      <c r="F203" s="4" t="s">
        <v>25</v>
      </c>
      <c r="G203" s="4" t="s">
        <v>25</v>
      </c>
      <c r="H203" s="4" t="s">
        <v>34</v>
      </c>
      <c r="I203" s="5">
        <v>44562</v>
      </c>
      <c r="J203" s="6">
        <v>1344</v>
      </c>
      <c r="K203" s="6">
        <v>1263.3599999999999</v>
      </c>
      <c r="L203" s="6">
        <v>74.236000000000004</v>
      </c>
      <c r="M203" s="6">
        <v>69.781840000000003</v>
      </c>
      <c r="N203" s="6">
        <v>74.236000000000004</v>
      </c>
      <c r="O203" s="6">
        <v>69.781840000000003</v>
      </c>
      <c r="P203" s="6">
        <v>0</v>
      </c>
      <c r="Q203" s="4" t="s">
        <v>26</v>
      </c>
      <c r="R203" s="4">
        <v>0</v>
      </c>
      <c r="S203" s="4" t="s">
        <v>182</v>
      </c>
      <c r="T203" s="4" t="s">
        <v>463</v>
      </c>
      <c r="U203" s="4">
        <v>42</v>
      </c>
      <c r="V203" s="4">
        <v>46</v>
      </c>
      <c r="W203" s="4">
        <v>75</v>
      </c>
    </row>
    <row r="204" spans="1:23" ht="11.25" customHeight="1" x14ac:dyDescent="0.25">
      <c r="A204" s="4" t="s">
        <v>21</v>
      </c>
      <c r="B204" s="4" t="s">
        <v>41</v>
      </c>
      <c r="C204" s="4" t="s">
        <v>40</v>
      </c>
      <c r="D204" s="4" t="s">
        <v>51</v>
      </c>
      <c r="E204" s="4" t="s">
        <v>52</v>
      </c>
      <c r="F204" s="4" t="s">
        <v>25</v>
      </c>
      <c r="G204" s="4" t="s">
        <v>25</v>
      </c>
      <c r="H204" s="4" t="s">
        <v>34</v>
      </c>
      <c r="I204" s="5">
        <v>44593</v>
      </c>
      <c r="J204" s="6">
        <v>1344</v>
      </c>
      <c r="K204" s="6">
        <v>1263.3599999999999</v>
      </c>
      <c r="L204" s="6">
        <v>82.531000000000006</v>
      </c>
      <c r="M204" s="6">
        <v>77.579139999999995</v>
      </c>
      <c r="N204" s="6">
        <v>82.531000000000006</v>
      </c>
      <c r="O204" s="6">
        <v>77.579139999999995</v>
      </c>
      <c r="P204" s="6">
        <v>0</v>
      </c>
      <c r="Q204" s="4" t="s">
        <v>26</v>
      </c>
      <c r="R204" s="4">
        <v>0</v>
      </c>
      <c r="S204" s="4" t="s">
        <v>183</v>
      </c>
      <c r="T204" s="4" t="s">
        <v>464</v>
      </c>
      <c r="U204" s="4">
        <v>42</v>
      </c>
      <c r="V204" s="4">
        <v>46</v>
      </c>
      <c r="W204" s="4">
        <v>75</v>
      </c>
    </row>
    <row r="205" spans="1:23" ht="11.25" customHeight="1" x14ac:dyDescent="0.25">
      <c r="A205" s="4" t="s">
        <v>21</v>
      </c>
      <c r="B205" s="4" t="s">
        <v>41</v>
      </c>
      <c r="C205" s="4" t="s">
        <v>40</v>
      </c>
      <c r="D205" s="4" t="s">
        <v>51</v>
      </c>
      <c r="E205" s="4" t="s">
        <v>52</v>
      </c>
      <c r="F205" s="4" t="s">
        <v>25</v>
      </c>
      <c r="G205" s="4" t="s">
        <v>25</v>
      </c>
      <c r="H205" s="4" t="s">
        <v>34</v>
      </c>
      <c r="I205" s="5">
        <v>44621</v>
      </c>
      <c r="J205" s="6">
        <v>1344</v>
      </c>
      <c r="K205" s="6">
        <v>1263.3599999999999</v>
      </c>
      <c r="L205" s="6">
        <v>76.837999999999994</v>
      </c>
      <c r="M205" s="6">
        <v>72.227719999999991</v>
      </c>
      <c r="N205" s="6">
        <v>76.837999999999994</v>
      </c>
      <c r="O205" s="6">
        <v>72.227719999999991</v>
      </c>
      <c r="P205" s="6">
        <v>0</v>
      </c>
      <c r="Q205" s="4" t="s">
        <v>26</v>
      </c>
      <c r="R205" s="4">
        <v>0</v>
      </c>
      <c r="S205" s="4" t="s">
        <v>184</v>
      </c>
      <c r="T205" s="4" t="s">
        <v>465</v>
      </c>
      <c r="U205" s="4">
        <v>42</v>
      </c>
      <c r="V205" s="4">
        <v>46</v>
      </c>
      <c r="W205" s="4">
        <v>75</v>
      </c>
    </row>
    <row r="206" spans="1:23" ht="11.25" customHeight="1" x14ac:dyDescent="0.25">
      <c r="A206" s="4" t="s">
        <v>21</v>
      </c>
      <c r="B206" s="4" t="s">
        <v>41</v>
      </c>
      <c r="C206" s="4" t="s">
        <v>40</v>
      </c>
      <c r="D206" s="4" t="s">
        <v>51</v>
      </c>
      <c r="E206" s="4" t="s">
        <v>52</v>
      </c>
      <c r="F206" s="4" t="s">
        <v>25</v>
      </c>
      <c r="G206" s="4" t="s">
        <v>25</v>
      </c>
      <c r="H206" s="4" t="s">
        <v>34</v>
      </c>
      <c r="I206" s="5">
        <v>44652</v>
      </c>
      <c r="J206" s="6">
        <v>1344</v>
      </c>
      <c r="K206" s="6">
        <v>1263.3599999999999</v>
      </c>
      <c r="L206" s="6">
        <v>65.721000000000004</v>
      </c>
      <c r="M206" s="6">
        <v>61.777740000000001</v>
      </c>
      <c r="N206" s="6">
        <v>65.721000000000004</v>
      </c>
      <c r="O206" s="6">
        <v>61.777740000000001</v>
      </c>
      <c r="P206" s="6">
        <v>0</v>
      </c>
      <c r="Q206" s="4" t="s">
        <v>26</v>
      </c>
      <c r="R206" s="4">
        <v>0</v>
      </c>
      <c r="S206" s="4" t="s">
        <v>185</v>
      </c>
      <c r="T206" s="4" t="s">
        <v>466</v>
      </c>
      <c r="U206" s="4">
        <v>42</v>
      </c>
      <c r="V206" s="4">
        <v>46</v>
      </c>
      <c r="W206" s="4">
        <v>75</v>
      </c>
    </row>
    <row r="207" spans="1:23" ht="11.25" customHeight="1" x14ac:dyDescent="0.25">
      <c r="A207" s="4" t="s">
        <v>21</v>
      </c>
      <c r="B207" s="4" t="s">
        <v>41</v>
      </c>
      <c r="C207" s="4" t="s">
        <v>40</v>
      </c>
      <c r="D207" s="4" t="s">
        <v>51</v>
      </c>
      <c r="E207" s="4" t="s">
        <v>52</v>
      </c>
      <c r="F207" s="4" t="s">
        <v>25</v>
      </c>
      <c r="G207" s="4" t="s">
        <v>25</v>
      </c>
      <c r="H207" s="4" t="s">
        <v>34</v>
      </c>
      <c r="I207" s="5">
        <v>44682</v>
      </c>
      <c r="J207" s="6">
        <v>1344</v>
      </c>
      <c r="K207" s="6">
        <v>1263.3599999999999</v>
      </c>
      <c r="L207" s="6">
        <v>69.638000000000005</v>
      </c>
      <c r="M207" s="6">
        <v>65.459720000000004</v>
      </c>
      <c r="N207" s="6">
        <v>69.638000000000005</v>
      </c>
      <c r="O207" s="6">
        <v>65.459720000000004</v>
      </c>
      <c r="P207" s="6">
        <v>0</v>
      </c>
      <c r="Q207" s="4" t="s">
        <v>26</v>
      </c>
      <c r="R207" s="4">
        <v>0</v>
      </c>
      <c r="S207" s="4" t="s">
        <v>186</v>
      </c>
      <c r="T207" s="4" t="s">
        <v>467</v>
      </c>
      <c r="U207" s="4">
        <v>42</v>
      </c>
      <c r="V207" s="4">
        <v>46</v>
      </c>
      <c r="W207" s="4">
        <v>75</v>
      </c>
    </row>
    <row r="208" spans="1:23" ht="11.25" customHeight="1" x14ac:dyDescent="0.25">
      <c r="A208" s="4" t="s">
        <v>21</v>
      </c>
      <c r="B208" s="4" t="s">
        <v>41</v>
      </c>
      <c r="C208" s="4" t="s">
        <v>40</v>
      </c>
      <c r="D208" s="4" t="s">
        <v>51</v>
      </c>
      <c r="E208" s="4" t="s">
        <v>52</v>
      </c>
      <c r="F208" s="4" t="s">
        <v>25</v>
      </c>
      <c r="G208" s="4" t="s">
        <v>25</v>
      </c>
      <c r="H208" s="4" t="s">
        <v>34</v>
      </c>
      <c r="I208" s="5">
        <v>44713</v>
      </c>
      <c r="J208" s="6">
        <v>1344</v>
      </c>
      <c r="K208" s="6">
        <v>1263.3599999999999</v>
      </c>
      <c r="L208" s="6">
        <v>65.289000000000001</v>
      </c>
      <c r="M208" s="6">
        <v>61.371659999999999</v>
      </c>
      <c r="N208" s="6">
        <v>65.289000000000001</v>
      </c>
      <c r="O208" s="6">
        <v>61.371659999999999</v>
      </c>
      <c r="P208" s="6">
        <v>0</v>
      </c>
      <c r="Q208" s="4" t="s">
        <v>26</v>
      </c>
      <c r="R208" s="4">
        <v>0</v>
      </c>
      <c r="S208" s="4" t="s">
        <v>187</v>
      </c>
      <c r="T208" s="4" t="s">
        <v>468</v>
      </c>
      <c r="U208" s="4">
        <v>42</v>
      </c>
      <c r="V208" s="4">
        <v>46</v>
      </c>
      <c r="W208" s="4">
        <v>75</v>
      </c>
    </row>
    <row r="209" spans="1:23" ht="11.25" customHeight="1" x14ac:dyDescent="0.25">
      <c r="A209" s="4" t="s">
        <v>27</v>
      </c>
      <c r="B209" s="4" t="s">
        <v>41</v>
      </c>
      <c r="C209" s="4" t="s">
        <v>40</v>
      </c>
      <c r="D209" s="4" t="s">
        <v>51</v>
      </c>
      <c r="E209" s="4" t="s">
        <v>52</v>
      </c>
      <c r="F209" s="4" t="s">
        <v>25</v>
      </c>
      <c r="G209" s="4" t="s">
        <v>25</v>
      </c>
      <c r="H209" s="4" t="s">
        <v>34</v>
      </c>
      <c r="I209" s="5">
        <v>44743</v>
      </c>
      <c r="J209" s="6">
        <v>1344</v>
      </c>
      <c r="K209" s="6">
        <v>1263.3599999999999</v>
      </c>
      <c r="L209" s="6">
        <v>23.366</v>
      </c>
      <c r="M209" s="6">
        <v>21.964039999999997</v>
      </c>
      <c r="N209" s="6">
        <v>23.366</v>
      </c>
      <c r="O209" s="6">
        <v>21.964039999999997</v>
      </c>
      <c r="P209" s="6">
        <v>0</v>
      </c>
      <c r="Q209" s="4" t="s">
        <v>26</v>
      </c>
      <c r="R209" s="4">
        <v>0</v>
      </c>
      <c r="S209" s="4" t="s">
        <v>188</v>
      </c>
      <c r="T209" s="4" t="s">
        <v>469</v>
      </c>
      <c r="U209" s="4">
        <v>42</v>
      </c>
      <c r="V209" s="4">
        <v>46</v>
      </c>
      <c r="W209" s="4">
        <v>75</v>
      </c>
    </row>
    <row r="210" spans="1:23" ht="11.25" customHeight="1" x14ac:dyDescent="0.25">
      <c r="A210" s="4" t="s">
        <v>21</v>
      </c>
      <c r="B210" s="4" t="s">
        <v>41</v>
      </c>
      <c r="C210" s="4" t="s">
        <v>40</v>
      </c>
      <c r="D210" s="4" t="s">
        <v>51</v>
      </c>
      <c r="E210" s="4" t="s">
        <v>52</v>
      </c>
      <c r="F210" s="4" t="s">
        <v>25</v>
      </c>
      <c r="G210" s="4" t="s">
        <v>25</v>
      </c>
      <c r="H210" s="4" t="s">
        <v>34</v>
      </c>
      <c r="I210" s="5">
        <v>44774</v>
      </c>
      <c r="J210" s="6">
        <v>1075</v>
      </c>
      <c r="K210" s="6">
        <v>1010.4999999999999</v>
      </c>
      <c r="L210" s="6">
        <v>62.908000000000001</v>
      </c>
      <c r="M210" s="6">
        <v>59.133519999999997</v>
      </c>
      <c r="N210" s="6">
        <v>62.908000000000001</v>
      </c>
      <c r="O210" s="6">
        <v>59.133519999999997</v>
      </c>
      <c r="P210" s="6">
        <v>0</v>
      </c>
      <c r="Q210" s="4" t="s">
        <v>26</v>
      </c>
      <c r="R210" s="4">
        <v>0</v>
      </c>
      <c r="S210" s="4" t="s">
        <v>189</v>
      </c>
      <c r="T210" s="4" t="s">
        <v>470</v>
      </c>
      <c r="U210" s="4">
        <v>42</v>
      </c>
      <c r="V210" s="4">
        <v>46</v>
      </c>
      <c r="W210" s="4">
        <v>75</v>
      </c>
    </row>
    <row r="211" spans="1:23" ht="11.25" customHeight="1" x14ac:dyDescent="0.25">
      <c r="A211" s="4" t="s">
        <v>27</v>
      </c>
      <c r="B211" s="4" t="s">
        <v>41</v>
      </c>
      <c r="C211" s="4" t="s">
        <v>40</v>
      </c>
      <c r="D211" s="4" t="s">
        <v>51</v>
      </c>
      <c r="E211" s="4" t="s">
        <v>52</v>
      </c>
      <c r="F211" s="4" t="s">
        <v>25</v>
      </c>
      <c r="G211" s="4" t="s">
        <v>25</v>
      </c>
      <c r="H211" s="4" t="s">
        <v>34</v>
      </c>
      <c r="I211" s="5">
        <v>44774</v>
      </c>
      <c r="J211" s="6">
        <v>0</v>
      </c>
      <c r="K211" s="6">
        <v>0</v>
      </c>
      <c r="L211" s="6">
        <v>39.014000000000003</v>
      </c>
      <c r="M211" s="6">
        <v>36.673160000000003</v>
      </c>
      <c r="N211" s="6">
        <v>39.014000000000003</v>
      </c>
      <c r="O211" s="6">
        <v>36.673160000000003</v>
      </c>
      <c r="P211" s="6">
        <v>0</v>
      </c>
      <c r="Q211" s="4" t="s">
        <v>26</v>
      </c>
      <c r="R211" s="4">
        <v>0</v>
      </c>
      <c r="S211" s="4" t="s">
        <v>189</v>
      </c>
      <c r="T211" s="4" t="s">
        <v>470</v>
      </c>
      <c r="U211" s="4">
        <v>0</v>
      </c>
      <c r="V211" s="4">
        <v>46</v>
      </c>
      <c r="W211" s="4">
        <v>75</v>
      </c>
    </row>
    <row r="212" spans="1:23" ht="11.25" customHeight="1" x14ac:dyDescent="0.25">
      <c r="A212" s="4" t="s">
        <v>21</v>
      </c>
      <c r="B212" s="4" t="s">
        <v>41</v>
      </c>
      <c r="C212" s="4" t="s">
        <v>40</v>
      </c>
      <c r="D212" s="4" t="s">
        <v>51</v>
      </c>
      <c r="E212" s="4" t="s">
        <v>52</v>
      </c>
      <c r="F212" s="4" t="s">
        <v>25</v>
      </c>
      <c r="G212" s="4" t="s">
        <v>25</v>
      </c>
      <c r="H212" s="4" t="s">
        <v>34</v>
      </c>
      <c r="I212" s="5">
        <v>44805</v>
      </c>
      <c r="J212" s="6">
        <v>1075</v>
      </c>
      <c r="K212" s="6">
        <v>1010.4999999999999</v>
      </c>
      <c r="L212" s="6">
        <v>54.47</v>
      </c>
      <c r="M212" s="6">
        <v>51.201799999999999</v>
      </c>
      <c r="N212" s="6">
        <v>54.47</v>
      </c>
      <c r="O212" s="6">
        <v>51.201799999999999</v>
      </c>
      <c r="P212" s="6">
        <v>0</v>
      </c>
      <c r="Q212" s="4" t="s">
        <v>26</v>
      </c>
      <c r="R212" s="4">
        <v>0</v>
      </c>
      <c r="S212" s="4" t="s">
        <v>190</v>
      </c>
      <c r="T212" s="4" t="s">
        <v>471</v>
      </c>
      <c r="U212" s="4">
        <v>42</v>
      </c>
      <c r="V212" s="4">
        <v>46</v>
      </c>
      <c r="W212" s="4">
        <v>75</v>
      </c>
    </row>
    <row r="213" spans="1:23" ht="11.25" customHeight="1" x14ac:dyDescent="0.25">
      <c r="A213" s="4" t="s">
        <v>21</v>
      </c>
      <c r="B213" s="4" t="s">
        <v>41</v>
      </c>
      <c r="C213" s="4" t="s">
        <v>40</v>
      </c>
      <c r="D213" s="4" t="s">
        <v>51</v>
      </c>
      <c r="E213" s="4" t="s">
        <v>52</v>
      </c>
      <c r="F213" s="4" t="s">
        <v>25</v>
      </c>
      <c r="G213" s="4" t="s">
        <v>25</v>
      </c>
      <c r="H213" s="4" t="s">
        <v>34</v>
      </c>
      <c r="I213" s="5">
        <v>44835</v>
      </c>
      <c r="J213" s="6">
        <v>1075</v>
      </c>
      <c r="K213" s="6">
        <v>1010.4999999999999</v>
      </c>
      <c r="L213" s="6">
        <v>54.71</v>
      </c>
      <c r="M213" s="6">
        <v>51.427399999999999</v>
      </c>
      <c r="N213" s="6">
        <v>54.71</v>
      </c>
      <c r="O213" s="6">
        <v>51.427399999999999</v>
      </c>
      <c r="P213" s="6">
        <v>0</v>
      </c>
      <c r="Q213" s="4" t="s">
        <v>26</v>
      </c>
      <c r="R213" s="4">
        <v>0</v>
      </c>
      <c r="S213" s="4" t="s">
        <v>191</v>
      </c>
      <c r="T213" s="4" t="s">
        <v>472</v>
      </c>
      <c r="U213" s="4">
        <v>42</v>
      </c>
      <c r="V213" s="4">
        <v>46</v>
      </c>
      <c r="W213" s="4">
        <v>75</v>
      </c>
    </row>
    <row r="214" spans="1:23" ht="11.25" customHeight="1" x14ac:dyDescent="0.25">
      <c r="A214" s="4" t="s">
        <v>54</v>
      </c>
      <c r="B214" s="4" t="s">
        <v>41</v>
      </c>
      <c r="C214" s="4" t="s">
        <v>40</v>
      </c>
      <c r="D214" s="4" t="s">
        <v>51</v>
      </c>
      <c r="E214" s="4" t="s">
        <v>52</v>
      </c>
      <c r="F214" s="4" t="s">
        <v>25</v>
      </c>
      <c r="G214" s="4" t="s">
        <v>25</v>
      </c>
      <c r="H214" s="4" t="s">
        <v>34</v>
      </c>
      <c r="I214" s="5">
        <v>44866</v>
      </c>
      <c r="J214" s="6">
        <v>1075</v>
      </c>
      <c r="K214" s="6">
        <v>1010.4999999999999</v>
      </c>
      <c r="L214" s="6">
        <v>54.71</v>
      </c>
      <c r="M214" s="6">
        <v>51.427399999999999</v>
      </c>
      <c r="N214" s="6">
        <v>54.71</v>
      </c>
      <c r="O214" s="6">
        <v>51.427399999999999</v>
      </c>
      <c r="P214" s="6">
        <v>0</v>
      </c>
      <c r="Q214" s="4" t="s">
        <v>26</v>
      </c>
      <c r="R214" s="4">
        <v>0</v>
      </c>
      <c r="S214" s="4" t="s">
        <v>192</v>
      </c>
      <c r="T214" s="4" t="s">
        <v>473</v>
      </c>
      <c r="U214" s="4">
        <v>42</v>
      </c>
      <c r="V214" s="4">
        <v>46</v>
      </c>
      <c r="W214" s="4">
        <v>75</v>
      </c>
    </row>
    <row r="215" spans="1:23" ht="11.25" customHeight="1" x14ac:dyDescent="0.25">
      <c r="A215" s="4" t="s">
        <v>21</v>
      </c>
      <c r="B215" s="4" t="s">
        <v>41</v>
      </c>
      <c r="C215" s="4" t="s">
        <v>43</v>
      </c>
      <c r="D215" s="4" t="s">
        <v>44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6876.8010000000004</v>
      </c>
      <c r="M215" s="6">
        <v>6876.8010000000004</v>
      </c>
      <c r="N215" s="6">
        <v>6876.8010000000004</v>
      </c>
      <c r="O215" s="6">
        <v>6876.8010000000004</v>
      </c>
      <c r="P215" s="6">
        <v>0</v>
      </c>
      <c r="Q215" s="4" t="s">
        <v>26</v>
      </c>
      <c r="R215" s="4">
        <v>0</v>
      </c>
      <c r="S215" s="4" t="s">
        <v>193</v>
      </c>
      <c r="T215" s="4" t="s">
        <v>450</v>
      </c>
      <c r="U215" s="4">
        <v>0</v>
      </c>
      <c r="V215" s="4">
        <v>7</v>
      </c>
      <c r="W215" s="4">
        <v>76</v>
      </c>
    </row>
    <row r="216" spans="1:23" ht="11.25" customHeight="1" x14ac:dyDescent="0.25">
      <c r="A216" s="4" t="s">
        <v>28</v>
      </c>
      <c r="B216" s="4" t="s">
        <v>41</v>
      </c>
      <c r="C216" s="4" t="s">
        <v>43</v>
      </c>
      <c r="D216" s="4" t="s">
        <v>44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44531</v>
      </c>
      <c r="J216" s="6">
        <v>0</v>
      </c>
      <c r="K216" s="6">
        <v>0</v>
      </c>
      <c r="L216" s="6">
        <v>51.869</v>
      </c>
      <c r="M216" s="6">
        <v>51.869</v>
      </c>
      <c r="N216" s="6">
        <v>51.869</v>
      </c>
      <c r="O216" s="6">
        <v>51.869</v>
      </c>
      <c r="P216" s="6">
        <v>0</v>
      </c>
      <c r="Q216" s="4" t="s">
        <v>26</v>
      </c>
      <c r="R216" s="4">
        <v>0</v>
      </c>
      <c r="S216" s="4" t="s">
        <v>193</v>
      </c>
      <c r="T216" s="4" t="s">
        <v>450</v>
      </c>
      <c r="U216" s="4">
        <v>0</v>
      </c>
      <c r="V216" s="4">
        <v>7</v>
      </c>
      <c r="W216" s="4">
        <v>76</v>
      </c>
    </row>
    <row r="217" spans="1:23" ht="11.25" customHeight="1" x14ac:dyDescent="0.25">
      <c r="A217" s="4" t="s">
        <v>21</v>
      </c>
      <c r="B217" s="4" t="s">
        <v>41</v>
      </c>
      <c r="C217" s="4" t="s">
        <v>43</v>
      </c>
      <c r="D217" s="4" t="s">
        <v>44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44562</v>
      </c>
      <c r="J217" s="6">
        <v>0</v>
      </c>
      <c r="K217" s="6">
        <v>0</v>
      </c>
      <c r="L217" s="6">
        <v>6060.0330000000004</v>
      </c>
      <c r="M217" s="6">
        <v>6060.0330000000004</v>
      </c>
      <c r="N217" s="6">
        <v>6060.0330000000004</v>
      </c>
      <c r="O217" s="6">
        <v>6060.0330000000004</v>
      </c>
      <c r="P217" s="6">
        <v>0</v>
      </c>
      <c r="Q217" s="4" t="s">
        <v>26</v>
      </c>
      <c r="R217" s="4">
        <v>0</v>
      </c>
      <c r="S217" s="4" t="s">
        <v>194</v>
      </c>
      <c r="T217" s="4" t="s">
        <v>451</v>
      </c>
      <c r="U217" s="4">
        <v>0</v>
      </c>
      <c r="V217" s="4">
        <v>7</v>
      </c>
      <c r="W217" s="4">
        <v>76</v>
      </c>
    </row>
    <row r="218" spans="1:23" ht="11.25" customHeight="1" x14ac:dyDescent="0.25">
      <c r="A218" s="4" t="s">
        <v>27</v>
      </c>
      <c r="B218" s="4" t="s">
        <v>41</v>
      </c>
      <c r="C218" s="4" t="s">
        <v>43</v>
      </c>
      <c r="D218" s="4" t="s">
        <v>44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44562</v>
      </c>
      <c r="J218" s="6">
        <v>0</v>
      </c>
      <c r="K218" s="6">
        <v>0</v>
      </c>
      <c r="L218" s="6">
        <v>-40.671999999999997</v>
      </c>
      <c r="M218" s="6">
        <v>-40.671999999999997</v>
      </c>
      <c r="N218" s="6">
        <v>-40.671999999999997</v>
      </c>
      <c r="O218" s="6">
        <v>-40.671999999999997</v>
      </c>
      <c r="P218" s="6">
        <v>0</v>
      </c>
      <c r="Q218" s="4" t="s">
        <v>26</v>
      </c>
      <c r="R218" s="4">
        <v>0</v>
      </c>
      <c r="S218" s="4" t="s">
        <v>194</v>
      </c>
      <c r="T218" s="4" t="s">
        <v>451</v>
      </c>
      <c r="U218" s="4">
        <v>0</v>
      </c>
      <c r="V218" s="4">
        <v>7</v>
      </c>
      <c r="W218" s="4">
        <v>76</v>
      </c>
    </row>
    <row r="219" spans="1:23" ht="11.25" customHeight="1" x14ac:dyDescent="0.25">
      <c r="A219" s="4" t="s">
        <v>28</v>
      </c>
      <c r="B219" s="4" t="s">
        <v>41</v>
      </c>
      <c r="C219" s="4" t="s">
        <v>43</v>
      </c>
      <c r="D219" s="4" t="s">
        <v>44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44562</v>
      </c>
      <c r="J219" s="6">
        <v>0</v>
      </c>
      <c r="K219" s="6">
        <v>0</v>
      </c>
      <c r="L219" s="6">
        <v>61.966000000000001</v>
      </c>
      <c r="M219" s="6">
        <v>61.966000000000001</v>
      </c>
      <c r="N219" s="6">
        <v>61.966000000000001</v>
      </c>
      <c r="O219" s="6">
        <v>61.966000000000001</v>
      </c>
      <c r="P219" s="6">
        <v>0</v>
      </c>
      <c r="Q219" s="4" t="s">
        <v>26</v>
      </c>
      <c r="R219" s="4">
        <v>0</v>
      </c>
      <c r="S219" s="4" t="s">
        <v>194</v>
      </c>
      <c r="T219" s="4" t="s">
        <v>451</v>
      </c>
      <c r="U219" s="4">
        <v>0</v>
      </c>
      <c r="V219" s="4">
        <v>7</v>
      </c>
      <c r="W219" s="4">
        <v>76</v>
      </c>
    </row>
    <row r="220" spans="1:23" ht="11.25" customHeight="1" x14ac:dyDescent="0.25">
      <c r="A220" s="4" t="s">
        <v>21</v>
      </c>
      <c r="B220" s="4" t="s">
        <v>41</v>
      </c>
      <c r="C220" s="4" t="s">
        <v>43</v>
      </c>
      <c r="D220" s="4" t="s">
        <v>44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44593</v>
      </c>
      <c r="J220" s="6">
        <v>0</v>
      </c>
      <c r="K220" s="6">
        <v>0</v>
      </c>
      <c r="L220" s="6">
        <v>6104.1469999999999</v>
      </c>
      <c r="M220" s="6">
        <v>6104.1469999999999</v>
      </c>
      <c r="N220" s="6">
        <v>6104.1469999999999</v>
      </c>
      <c r="O220" s="6">
        <v>6104.1469999999999</v>
      </c>
      <c r="P220" s="6">
        <v>0</v>
      </c>
      <c r="Q220" s="4" t="s">
        <v>26</v>
      </c>
      <c r="R220" s="4">
        <v>0</v>
      </c>
      <c r="S220" s="4" t="s">
        <v>195</v>
      </c>
      <c r="T220" s="4" t="s">
        <v>452</v>
      </c>
      <c r="U220" s="4">
        <v>0</v>
      </c>
      <c r="V220" s="4">
        <v>7</v>
      </c>
      <c r="W220" s="4">
        <v>76</v>
      </c>
    </row>
    <row r="221" spans="1:23" ht="11.25" customHeight="1" x14ac:dyDescent="0.25">
      <c r="A221" s="4" t="s">
        <v>27</v>
      </c>
      <c r="B221" s="4" t="s">
        <v>41</v>
      </c>
      <c r="C221" s="4" t="s">
        <v>43</v>
      </c>
      <c r="D221" s="4" t="s">
        <v>44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44593</v>
      </c>
      <c r="J221" s="6">
        <v>0</v>
      </c>
      <c r="K221" s="6">
        <v>0</v>
      </c>
      <c r="L221" s="6">
        <v>-0.82</v>
      </c>
      <c r="M221" s="6">
        <v>-0.82</v>
      </c>
      <c r="N221" s="6">
        <v>-0.82</v>
      </c>
      <c r="O221" s="6">
        <v>-0.82</v>
      </c>
      <c r="P221" s="6">
        <v>0</v>
      </c>
      <c r="Q221" s="4" t="s">
        <v>26</v>
      </c>
      <c r="R221" s="4">
        <v>0</v>
      </c>
      <c r="S221" s="4" t="s">
        <v>195</v>
      </c>
      <c r="T221" s="4" t="s">
        <v>452</v>
      </c>
      <c r="U221" s="4">
        <v>0</v>
      </c>
      <c r="V221" s="4">
        <v>7</v>
      </c>
      <c r="W221" s="4">
        <v>76</v>
      </c>
    </row>
    <row r="222" spans="1:23" ht="11.25" customHeight="1" x14ac:dyDescent="0.25">
      <c r="A222" s="4" t="s">
        <v>28</v>
      </c>
      <c r="B222" s="4" t="s">
        <v>41</v>
      </c>
      <c r="C222" s="4" t="s">
        <v>43</v>
      </c>
      <c r="D222" s="4" t="s">
        <v>44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44593</v>
      </c>
      <c r="J222" s="6">
        <v>0</v>
      </c>
      <c r="K222" s="6">
        <v>0</v>
      </c>
      <c r="L222" s="6">
        <v>32.055999999999997</v>
      </c>
      <c r="M222" s="6">
        <v>32.055999999999997</v>
      </c>
      <c r="N222" s="6">
        <v>32.055999999999997</v>
      </c>
      <c r="O222" s="6">
        <v>32.055999999999997</v>
      </c>
      <c r="P222" s="6">
        <v>0</v>
      </c>
      <c r="Q222" s="4" t="s">
        <v>26</v>
      </c>
      <c r="R222" s="4">
        <v>0</v>
      </c>
      <c r="S222" s="4" t="s">
        <v>195</v>
      </c>
      <c r="T222" s="4" t="s">
        <v>452</v>
      </c>
      <c r="U222" s="4">
        <v>0</v>
      </c>
      <c r="V222" s="4">
        <v>7</v>
      </c>
      <c r="W222" s="4">
        <v>76</v>
      </c>
    </row>
    <row r="223" spans="1:23" ht="11.25" customHeight="1" x14ac:dyDescent="0.25">
      <c r="A223" s="4" t="s">
        <v>21</v>
      </c>
      <c r="B223" s="4" t="s">
        <v>41</v>
      </c>
      <c r="C223" s="4" t="s">
        <v>43</v>
      </c>
      <c r="D223" s="4" t="s">
        <v>44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44621</v>
      </c>
      <c r="J223" s="6">
        <v>0</v>
      </c>
      <c r="K223" s="6">
        <v>0</v>
      </c>
      <c r="L223" s="6">
        <v>6523.6549999999997</v>
      </c>
      <c r="M223" s="6">
        <v>6523.6549999999997</v>
      </c>
      <c r="N223" s="6">
        <v>6523.6549999999997</v>
      </c>
      <c r="O223" s="6">
        <v>6523.6549999999997</v>
      </c>
      <c r="P223" s="6">
        <v>0</v>
      </c>
      <c r="Q223" s="4" t="s">
        <v>26</v>
      </c>
      <c r="R223" s="4">
        <v>0</v>
      </c>
      <c r="S223" s="4" t="s">
        <v>196</v>
      </c>
      <c r="T223" s="4" t="s">
        <v>453</v>
      </c>
      <c r="U223" s="4">
        <v>0</v>
      </c>
      <c r="V223" s="4">
        <v>7</v>
      </c>
      <c r="W223" s="4">
        <v>76</v>
      </c>
    </row>
    <row r="224" spans="1:23" ht="11.25" customHeight="1" x14ac:dyDescent="0.25">
      <c r="A224" s="4" t="s">
        <v>28</v>
      </c>
      <c r="B224" s="4" t="s">
        <v>41</v>
      </c>
      <c r="C224" s="4" t="s">
        <v>43</v>
      </c>
      <c r="D224" s="4" t="s">
        <v>44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44621</v>
      </c>
      <c r="J224" s="6">
        <v>0</v>
      </c>
      <c r="K224" s="6">
        <v>0</v>
      </c>
      <c r="L224" s="6">
        <v>62.746000000000002</v>
      </c>
      <c r="M224" s="6">
        <v>62.746000000000002</v>
      </c>
      <c r="N224" s="6">
        <v>62.746000000000002</v>
      </c>
      <c r="O224" s="6">
        <v>62.746000000000002</v>
      </c>
      <c r="P224" s="6">
        <v>0</v>
      </c>
      <c r="Q224" s="4" t="s">
        <v>26</v>
      </c>
      <c r="R224" s="4">
        <v>0</v>
      </c>
      <c r="S224" s="4" t="s">
        <v>196</v>
      </c>
      <c r="T224" s="4" t="s">
        <v>453</v>
      </c>
      <c r="U224" s="4">
        <v>0</v>
      </c>
      <c r="V224" s="4">
        <v>7</v>
      </c>
      <c r="W224" s="4">
        <v>76</v>
      </c>
    </row>
    <row r="225" spans="1:23" ht="11.25" customHeight="1" x14ac:dyDescent="0.25">
      <c r="A225" s="4" t="s">
        <v>21</v>
      </c>
      <c r="B225" s="4" t="s">
        <v>41</v>
      </c>
      <c r="C225" s="4" t="s">
        <v>43</v>
      </c>
      <c r="D225" s="4" t="s">
        <v>44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44652</v>
      </c>
      <c r="J225" s="6">
        <v>0</v>
      </c>
      <c r="K225" s="6">
        <v>0</v>
      </c>
      <c r="L225" s="6">
        <v>6406.4489999999996</v>
      </c>
      <c r="M225" s="6">
        <v>6406.4489999999996</v>
      </c>
      <c r="N225" s="6">
        <v>6406.4489999999996</v>
      </c>
      <c r="O225" s="6">
        <v>6406.4489999999996</v>
      </c>
      <c r="P225" s="6">
        <v>0</v>
      </c>
      <c r="Q225" s="4" t="s">
        <v>26</v>
      </c>
      <c r="R225" s="4">
        <v>0</v>
      </c>
      <c r="S225" s="4" t="s">
        <v>197</v>
      </c>
      <c r="T225" s="4" t="s">
        <v>454</v>
      </c>
      <c r="U225" s="4">
        <v>0</v>
      </c>
      <c r="V225" s="4">
        <v>7</v>
      </c>
      <c r="W225" s="4">
        <v>76</v>
      </c>
    </row>
    <row r="226" spans="1:23" ht="11.25" customHeight="1" x14ac:dyDescent="0.25">
      <c r="A226" s="4" t="s">
        <v>28</v>
      </c>
      <c r="B226" s="4" t="s">
        <v>41</v>
      </c>
      <c r="C226" s="4" t="s">
        <v>43</v>
      </c>
      <c r="D226" s="4" t="s">
        <v>44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44652</v>
      </c>
      <c r="J226" s="6">
        <v>0</v>
      </c>
      <c r="K226" s="6">
        <v>0</v>
      </c>
      <c r="L226" s="6">
        <v>73.569000000000003</v>
      </c>
      <c r="M226" s="6">
        <v>73.569000000000003</v>
      </c>
      <c r="N226" s="6">
        <v>73.569000000000003</v>
      </c>
      <c r="O226" s="6">
        <v>73.569000000000003</v>
      </c>
      <c r="P226" s="6">
        <v>0</v>
      </c>
      <c r="Q226" s="4" t="s">
        <v>26</v>
      </c>
      <c r="R226" s="4">
        <v>0</v>
      </c>
      <c r="S226" s="4" t="s">
        <v>197</v>
      </c>
      <c r="T226" s="4" t="s">
        <v>454</v>
      </c>
      <c r="U226" s="4">
        <v>0</v>
      </c>
      <c r="V226" s="4">
        <v>7</v>
      </c>
      <c r="W226" s="4">
        <v>76</v>
      </c>
    </row>
    <row r="227" spans="1:23" ht="11.25" customHeight="1" x14ac:dyDescent="0.25">
      <c r="A227" s="4" t="s">
        <v>21</v>
      </c>
      <c r="B227" s="4" t="s">
        <v>41</v>
      </c>
      <c r="C227" s="4" t="s">
        <v>43</v>
      </c>
      <c r="D227" s="4" t="s">
        <v>44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44682</v>
      </c>
      <c r="J227" s="6">
        <v>0</v>
      </c>
      <c r="K227" s="6">
        <v>0</v>
      </c>
      <c r="L227" s="6">
        <v>6844.4290000000001</v>
      </c>
      <c r="M227" s="6">
        <v>6844.4290000000001</v>
      </c>
      <c r="N227" s="6">
        <v>6844.4290000000001</v>
      </c>
      <c r="O227" s="6">
        <v>6844.4290000000001</v>
      </c>
      <c r="P227" s="6">
        <v>0</v>
      </c>
      <c r="Q227" s="4" t="s">
        <v>26</v>
      </c>
      <c r="R227" s="4">
        <v>0</v>
      </c>
      <c r="S227" s="4" t="s">
        <v>198</v>
      </c>
      <c r="T227" s="4" t="s">
        <v>455</v>
      </c>
      <c r="U227" s="4">
        <v>0</v>
      </c>
      <c r="V227" s="4">
        <v>7</v>
      </c>
      <c r="W227" s="4">
        <v>76</v>
      </c>
    </row>
    <row r="228" spans="1:23" ht="11.25" customHeight="1" x14ac:dyDescent="0.25">
      <c r="A228" s="4" t="s">
        <v>28</v>
      </c>
      <c r="B228" s="4" t="s">
        <v>41</v>
      </c>
      <c r="C228" s="4" t="s">
        <v>43</v>
      </c>
      <c r="D228" s="4" t="s">
        <v>44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44682</v>
      </c>
      <c r="J228" s="6">
        <v>0</v>
      </c>
      <c r="K228" s="6">
        <v>0</v>
      </c>
      <c r="L228" s="6">
        <v>88.394999999999996</v>
      </c>
      <c r="M228" s="6">
        <v>88.394999999999996</v>
      </c>
      <c r="N228" s="6">
        <v>88.394999999999996</v>
      </c>
      <c r="O228" s="6">
        <v>88.394999999999996</v>
      </c>
      <c r="P228" s="6">
        <v>0</v>
      </c>
      <c r="Q228" s="4" t="s">
        <v>26</v>
      </c>
      <c r="R228" s="4">
        <v>0</v>
      </c>
      <c r="S228" s="4" t="s">
        <v>198</v>
      </c>
      <c r="T228" s="4" t="s">
        <v>455</v>
      </c>
      <c r="U228" s="4">
        <v>0</v>
      </c>
      <c r="V228" s="4">
        <v>7</v>
      </c>
      <c r="W228" s="4">
        <v>76</v>
      </c>
    </row>
    <row r="229" spans="1:23" ht="11.25" customHeight="1" x14ac:dyDescent="0.25">
      <c r="A229" s="4" t="s">
        <v>21</v>
      </c>
      <c r="B229" s="4" t="s">
        <v>41</v>
      </c>
      <c r="C229" s="4" t="s">
        <v>43</v>
      </c>
      <c r="D229" s="4" t="s">
        <v>44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44713</v>
      </c>
      <c r="J229" s="6">
        <v>0</v>
      </c>
      <c r="K229" s="6">
        <v>0</v>
      </c>
      <c r="L229" s="6">
        <v>6787.0309999999999</v>
      </c>
      <c r="M229" s="6">
        <v>6787.0309999999999</v>
      </c>
      <c r="N229" s="6">
        <v>6787.0309999999999</v>
      </c>
      <c r="O229" s="6">
        <v>6787.0309999999999</v>
      </c>
      <c r="P229" s="6">
        <v>0</v>
      </c>
      <c r="Q229" s="4" t="s">
        <v>26</v>
      </c>
      <c r="R229" s="4">
        <v>0</v>
      </c>
      <c r="S229" s="4" t="s">
        <v>199</v>
      </c>
      <c r="T229" s="4" t="s">
        <v>456</v>
      </c>
      <c r="U229" s="4">
        <v>0</v>
      </c>
      <c r="V229" s="4">
        <v>7</v>
      </c>
      <c r="W229" s="4">
        <v>76</v>
      </c>
    </row>
    <row r="230" spans="1:23" ht="11.25" customHeight="1" x14ac:dyDescent="0.25">
      <c r="A230" s="4" t="s">
        <v>27</v>
      </c>
      <c r="B230" s="4" t="s">
        <v>41</v>
      </c>
      <c r="C230" s="4" t="s">
        <v>43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44713</v>
      </c>
      <c r="J230" s="6">
        <v>0</v>
      </c>
      <c r="K230" s="6">
        <v>0</v>
      </c>
      <c r="L230" s="6">
        <v>-5.1369999999999996</v>
      </c>
      <c r="M230" s="6">
        <v>-5.1369999999999996</v>
      </c>
      <c r="N230" s="6">
        <v>-5.1369999999999996</v>
      </c>
      <c r="O230" s="6">
        <v>-5.1369999999999996</v>
      </c>
      <c r="P230" s="6">
        <v>0</v>
      </c>
      <c r="Q230" s="4" t="s">
        <v>26</v>
      </c>
      <c r="R230" s="4">
        <v>0</v>
      </c>
      <c r="S230" s="4" t="s">
        <v>199</v>
      </c>
      <c r="T230" s="4" t="s">
        <v>456</v>
      </c>
      <c r="U230" s="4">
        <v>0</v>
      </c>
      <c r="V230" s="4">
        <v>7</v>
      </c>
      <c r="W230" s="4">
        <v>76</v>
      </c>
    </row>
    <row r="231" spans="1:23" ht="11.25" customHeight="1" x14ac:dyDescent="0.25">
      <c r="A231" s="4" t="s">
        <v>28</v>
      </c>
      <c r="B231" s="4" t="s">
        <v>41</v>
      </c>
      <c r="C231" s="4" t="s">
        <v>43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44713</v>
      </c>
      <c r="J231" s="6">
        <v>0</v>
      </c>
      <c r="K231" s="6">
        <v>0</v>
      </c>
      <c r="L231" s="6">
        <v>57.066000000000003</v>
      </c>
      <c r="M231" s="6">
        <v>57.066000000000003</v>
      </c>
      <c r="N231" s="6">
        <v>57.066000000000003</v>
      </c>
      <c r="O231" s="6">
        <v>57.066000000000003</v>
      </c>
      <c r="P231" s="6">
        <v>0</v>
      </c>
      <c r="Q231" s="4" t="s">
        <v>26</v>
      </c>
      <c r="R231" s="4">
        <v>0</v>
      </c>
      <c r="S231" s="4" t="s">
        <v>199</v>
      </c>
      <c r="T231" s="4" t="s">
        <v>456</v>
      </c>
      <c r="U231" s="4">
        <v>0</v>
      </c>
      <c r="V231" s="4">
        <v>7</v>
      </c>
      <c r="W231" s="4">
        <v>76</v>
      </c>
    </row>
    <row r="232" spans="1:23" ht="11.25" customHeight="1" x14ac:dyDescent="0.25">
      <c r="A232" s="4" t="s">
        <v>21</v>
      </c>
      <c r="B232" s="4" t="s">
        <v>41</v>
      </c>
      <c r="C232" s="4" t="s">
        <v>43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35</v>
      </c>
      <c r="I232" s="5">
        <v>44743</v>
      </c>
      <c r="J232" s="6">
        <v>0</v>
      </c>
      <c r="K232" s="6">
        <v>0</v>
      </c>
      <c r="L232" s="6">
        <v>7576.576</v>
      </c>
      <c r="M232" s="6">
        <v>7576.576</v>
      </c>
      <c r="N232" s="6">
        <v>7576.576</v>
      </c>
      <c r="O232" s="6">
        <v>7576.576</v>
      </c>
      <c r="P232" s="6">
        <v>0</v>
      </c>
      <c r="Q232" s="4" t="s">
        <v>26</v>
      </c>
      <c r="R232" s="4">
        <v>0</v>
      </c>
      <c r="S232" s="4" t="s">
        <v>200</v>
      </c>
      <c r="T232" s="4" t="s">
        <v>457</v>
      </c>
      <c r="U232" s="4">
        <v>0</v>
      </c>
      <c r="V232" s="4">
        <v>7</v>
      </c>
      <c r="W232" s="4">
        <v>76</v>
      </c>
    </row>
    <row r="233" spans="1:23" ht="11.25" customHeight="1" x14ac:dyDescent="0.25">
      <c r="A233" s="4" t="s">
        <v>28</v>
      </c>
      <c r="B233" s="4" t="s">
        <v>41</v>
      </c>
      <c r="C233" s="4" t="s">
        <v>43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35</v>
      </c>
      <c r="I233" s="5">
        <v>44743</v>
      </c>
      <c r="J233" s="6">
        <v>0</v>
      </c>
      <c r="K233" s="6">
        <v>0</v>
      </c>
      <c r="L233" s="6">
        <v>53.305</v>
      </c>
      <c r="M233" s="6">
        <v>53.305</v>
      </c>
      <c r="N233" s="6">
        <v>53.305</v>
      </c>
      <c r="O233" s="6">
        <v>53.305</v>
      </c>
      <c r="P233" s="6">
        <v>0</v>
      </c>
      <c r="Q233" s="4" t="s">
        <v>26</v>
      </c>
      <c r="R233" s="4">
        <v>0</v>
      </c>
      <c r="S233" s="4" t="s">
        <v>200</v>
      </c>
      <c r="T233" s="4" t="s">
        <v>457</v>
      </c>
      <c r="U233" s="4">
        <v>0</v>
      </c>
      <c r="V233" s="4">
        <v>7</v>
      </c>
      <c r="W233" s="4">
        <v>76</v>
      </c>
    </row>
    <row r="234" spans="1:23" ht="11.25" customHeight="1" x14ac:dyDescent="0.25">
      <c r="A234" s="4" t="s">
        <v>21</v>
      </c>
      <c r="B234" s="4" t="s">
        <v>41</v>
      </c>
      <c r="C234" s="4" t="s">
        <v>43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35</v>
      </c>
      <c r="I234" s="5">
        <v>44774</v>
      </c>
      <c r="J234" s="6">
        <v>0</v>
      </c>
      <c r="K234" s="6">
        <v>0</v>
      </c>
      <c r="L234" s="6">
        <v>7741.8609999999999</v>
      </c>
      <c r="M234" s="6">
        <v>7741.8609999999999</v>
      </c>
      <c r="N234" s="6">
        <v>7741.8609999999999</v>
      </c>
      <c r="O234" s="6">
        <v>7741.8609999999999</v>
      </c>
      <c r="P234" s="6">
        <v>0</v>
      </c>
      <c r="Q234" s="4" t="s">
        <v>26</v>
      </c>
      <c r="R234" s="4">
        <v>0</v>
      </c>
      <c r="S234" s="4" t="s">
        <v>201</v>
      </c>
      <c r="T234" s="4" t="s">
        <v>458</v>
      </c>
      <c r="U234" s="4">
        <v>0</v>
      </c>
      <c r="V234" s="4">
        <v>7</v>
      </c>
      <c r="W234" s="4">
        <v>76</v>
      </c>
    </row>
    <row r="235" spans="1:23" ht="11.25" customHeight="1" x14ac:dyDescent="0.25">
      <c r="A235" s="4" t="s">
        <v>27</v>
      </c>
      <c r="B235" s="4" t="s">
        <v>41</v>
      </c>
      <c r="C235" s="4" t="s">
        <v>43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35</v>
      </c>
      <c r="I235" s="5">
        <v>44774</v>
      </c>
      <c r="J235" s="6">
        <v>0</v>
      </c>
      <c r="K235" s="6">
        <v>0</v>
      </c>
      <c r="L235" s="6">
        <v>-662.27700000000004</v>
      </c>
      <c r="M235" s="6">
        <v>-662.27700000000004</v>
      </c>
      <c r="N235" s="6">
        <v>-662.27700000000004</v>
      </c>
      <c r="O235" s="6">
        <v>-662.27700000000004</v>
      </c>
      <c r="P235" s="6">
        <v>0</v>
      </c>
      <c r="Q235" s="4" t="s">
        <v>26</v>
      </c>
      <c r="R235" s="4">
        <v>0</v>
      </c>
      <c r="S235" s="4" t="s">
        <v>201</v>
      </c>
      <c r="T235" s="4" t="s">
        <v>458</v>
      </c>
      <c r="U235" s="4">
        <v>0</v>
      </c>
      <c r="V235" s="4">
        <v>7</v>
      </c>
      <c r="W235" s="4">
        <v>76</v>
      </c>
    </row>
    <row r="236" spans="1:23" ht="11.25" customHeight="1" x14ac:dyDescent="0.25">
      <c r="A236" s="4" t="s">
        <v>28</v>
      </c>
      <c r="B236" s="4" t="s">
        <v>41</v>
      </c>
      <c r="C236" s="4" t="s">
        <v>43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44774</v>
      </c>
      <c r="J236" s="6">
        <v>0</v>
      </c>
      <c r="K236" s="6">
        <v>0</v>
      </c>
      <c r="L236" s="6">
        <v>47.619</v>
      </c>
      <c r="M236" s="6">
        <v>47.619</v>
      </c>
      <c r="N236" s="6">
        <v>47.619</v>
      </c>
      <c r="O236" s="6">
        <v>47.619</v>
      </c>
      <c r="P236" s="6">
        <v>0</v>
      </c>
      <c r="Q236" s="4" t="s">
        <v>26</v>
      </c>
      <c r="R236" s="4">
        <v>0</v>
      </c>
      <c r="S236" s="4" t="s">
        <v>201</v>
      </c>
      <c r="T236" s="4" t="s">
        <v>458</v>
      </c>
      <c r="U236" s="4">
        <v>0</v>
      </c>
      <c r="V236" s="4">
        <v>7</v>
      </c>
      <c r="W236" s="4">
        <v>76</v>
      </c>
    </row>
    <row r="237" spans="1:23" ht="11.25" customHeight="1" x14ac:dyDescent="0.25">
      <c r="A237" s="4" t="s">
        <v>21</v>
      </c>
      <c r="B237" s="4" t="s">
        <v>41</v>
      </c>
      <c r="C237" s="4" t="s">
        <v>43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44805</v>
      </c>
      <c r="J237" s="6">
        <v>0</v>
      </c>
      <c r="K237" s="6">
        <v>0</v>
      </c>
      <c r="L237" s="6">
        <v>7759.0110000000004</v>
      </c>
      <c r="M237" s="6">
        <v>7759.0110000000004</v>
      </c>
      <c r="N237" s="6">
        <v>7759.0110000000004</v>
      </c>
      <c r="O237" s="6">
        <v>7759.0110000000004</v>
      </c>
      <c r="P237" s="6">
        <v>0</v>
      </c>
      <c r="Q237" s="4" t="s">
        <v>26</v>
      </c>
      <c r="R237" s="4">
        <v>0</v>
      </c>
      <c r="S237" s="4" t="s">
        <v>202</v>
      </c>
      <c r="T237" s="4" t="s">
        <v>459</v>
      </c>
      <c r="U237" s="4">
        <v>0</v>
      </c>
      <c r="V237" s="4">
        <v>7</v>
      </c>
      <c r="W237" s="4">
        <v>76</v>
      </c>
    </row>
    <row r="238" spans="1:23" ht="11.25" customHeight="1" x14ac:dyDescent="0.25">
      <c r="A238" s="4" t="s">
        <v>27</v>
      </c>
      <c r="B238" s="4" t="s">
        <v>41</v>
      </c>
      <c r="C238" s="4" t="s">
        <v>43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44805</v>
      </c>
      <c r="J238" s="6">
        <v>0</v>
      </c>
      <c r="K238" s="6">
        <v>0</v>
      </c>
      <c r="L238" s="6">
        <v>106.202</v>
      </c>
      <c r="M238" s="6">
        <v>106.202</v>
      </c>
      <c r="N238" s="6">
        <v>106.202</v>
      </c>
      <c r="O238" s="6">
        <v>106.202</v>
      </c>
      <c r="P238" s="6">
        <v>0</v>
      </c>
      <c r="Q238" s="4" t="s">
        <v>26</v>
      </c>
      <c r="R238" s="4">
        <v>0</v>
      </c>
      <c r="S238" s="4" t="s">
        <v>202</v>
      </c>
      <c r="T238" s="4" t="s">
        <v>459</v>
      </c>
      <c r="U238" s="4">
        <v>0</v>
      </c>
      <c r="V238" s="4">
        <v>7</v>
      </c>
      <c r="W238" s="4">
        <v>76</v>
      </c>
    </row>
    <row r="239" spans="1:23" ht="11.25" customHeight="1" x14ac:dyDescent="0.25">
      <c r="A239" s="4" t="s">
        <v>28</v>
      </c>
      <c r="B239" s="4" t="s">
        <v>41</v>
      </c>
      <c r="C239" s="4" t="s">
        <v>43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44805</v>
      </c>
      <c r="J239" s="6">
        <v>0</v>
      </c>
      <c r="K239" s="6">
        <v>0</v>
      </c>
      <c r="L239" s="6">
        <v>37.768000000000001</v>
      </c>
      <c r="M239" s="6">
        <v>37.768000000000001</v>
      </c>
      <c r="N239" s="6">
        <v>37.768000000000001</v>
      </c>
      <c r="O239" s="6">
        <v>37.768000000000001</v>
      </c>
      <c r="P239" s="6">
        <v>0</v>
      </c>
      <c r="Q239" s="4" t="s">
        <v>26</v>
      </c>
      <c r="R239" s="4">
        <v>0</v>
      </c>
      <c r="S239" s="4" t="s">
        <v>202</v>
      </c>
      <c r="T239" s="4" t="s">
        <v>459</v>
      </c>
      <c r="U239" s="4">
        <v>0</v>
      </c>
      <c r="V239" s="4">
        <v>7</v>
      </c>
      <c r="W239" s="4">
        <v>76</v>
      </c>
    </row>
    <row r="240" spans="1:23" ht="11.25" customHeight="1" x14ac:dyDescent="0.25">
      <c r="A240" s="4" t="s">
        <v>21</v>
      </c>
      <c r="B240" s="4" t="s">
        <v>41</v>
      </c>
      <c r="C240" s="4" t="s">
        <v>43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44835</v>
      </c>
      <c r="J240" s="6">
        <v>0</v>
      </c>
      <c r="K240" s="6">
        <v>0</v>
      </c>
      <c r="L240" s="6">
        <v>8114.3739999999998</v>
      </c>
      <c r="M240" s="6">
        <v>8114.3739999999998</v>
      </c>
      <c r="N240" s="6">
        <v>8114.3739999999998</v>
      </c>
      <c r="O240" s="6">
        <v>8114.3739999999998</v>
      </c>
      <c r="P240" s="6">
        <v>0</v>
      </c>
      <c r="Q240" s="4" t="s">
        <v>26</v>
      </c>
      <c r="R240" s="4">
        <v>0</v>
      </c>
      <c r="S240" s="4" t="s">
        <v>203</v>
      </c>
      <c r="T240" s="4" t="s">
        <v>460</v>
      </c>
      <c r="U240" s="4">
        <v>0</v>
      </c>
      <c r="V240" s="4">
        <v>7</v>
      </c>
      <c r="W240" s="4">
        <v>76</v>
      </c>
    </row>
    <row r="241" spans="1:23" ht="11.25" customHeight="1" x14ac:dyDescent="0.25">
      <c r="A241" s="4" t="s">
        <v>27</v>
      </c>
      <c r="B241" s="4" t="s">
        <v>41</v>
      </c>
      <c r="C241" s="4" t="s">
        <v>43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44835</v>
      </c>
      <c r="J241" s="6">
        <v>0</v>
      </c>
      <c r="K241" s="6">
        <v>0</v>
      </c>
      <c r="L241" s="6">
        <v>12.051</v>
      </c>
      <c r="M241" s="6">
        <v>12.051</v>
      </c>
      <c r="N241" s="6">
        <v>12.051</v>
      </c>
      <c r="O241" s="6">
        <v>12.051</v>
      </c>
      <c r="P241" s="6">
        <v>0</v>
      </c>
      <c r="Q241" s="4" t="s">
        <v>26</v>
      </c>
      <c r="R241" s="4">
        <v>0</v>
      </c>
      <c r="S241" s="4" t="s">
        <v>203</v>
      </c>
      <c r="T241" s="4" t="s">
        <v>460</v>
      </c>
      <c r="U241" s="4">
        <v>0</v>
      </c>
      <c r="V241" s="4">
        <v>7</v>
      </c>
      <c r="W241" s="4">
        <v>76</v>
      </c>
    </row>
    <row r="242" spans="1:23" ht="11.25" customHeight="1" x14ac:dyDescent="0.25">
      <c r="A242" s="4" t="s">
        <v>28</v>
      </c>
      <c r="B242" s="4" t="s">
        <v>41</v>
      </c>
      <c r="C242" s="4" t="s">
        <v>43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44835</v>
      </c>
      <c r="J242" s="6">
        <v>0</v>
      </c>
      <c r="K242" s="6">
        <v>0</v>
      </c>
      <c r="L242" s="6">
        <v>99.346000000000004</v>
      </c>
      <c r="M242" s="6">
        <v>99.346000000000004</v>
      </c>
      <c r="N242" s="6">
        <v>99.346000000000004</v>
      </c>
      <c r="O242" s="6">
        <v>99.346000000000004</v>
      </c>
      <c r="P242" s="6">
        <v>0</v>
      </c>
      <c r="Q242" s="4" t="s">
        <v>26</v>
      </c>
      <c r="R242" s="4">
        <v>0</v>
      </c>
      <c r="S242" s="4" t="s">
        <v>203</v>
      </c>
      <c r="T242" s="4" t="s">
        <v>460</v>
      </c>
      <c r="U242" s="4">
        <v>0</v>
      </c>
      <c r="V242" s="4">
        <v>7</v>
      </c>
      <c r="W242" s="4">
        <v>76</v>
      </c>
    </row>
    <row r="243" spans="1:23" ht="11.25" customHeight="1" x14ac:dyDescent="0.25">
      <c r="A243" s="4" t="s">
        <v>54</v>
      </c>
      <c r="B243" s="4" t="s">
        <v>41</v>
      </c>
      <c r="C243" s="4" t="s">
        <v>43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44866</v>
      </c>
      <c r="J243" s="6">
        <v>0</v>
      </c>
      <c r="K243" s="6">
        <v>0</v>
      </c>
      <c r="L243" s="6">
        <v>8114.3739999999998</v>
      </c>
      <c r="M243" s="6">
        <v>8114.3739999999998</v>
      </c>
      <c r="N243" s="6">
        <v>8114.3739999999998</v>
      </c>
      <c r="O243" s="6">
        <v>8114.3739999999998</v>
      </c>
      <c r="P243" s="6">
        <v>0</v>
      </c>
      <c r="Q243" s="4" t="s">
        <v>26</v>
      </c>
      <c r="R243" s="4">
        <v>0</v>
      </c>
      <c r="S243" s="4" t="s">
        <v>204</v>
      </c>
      <c r="T243" s="4" t="s">
        <v>461</v>
      </c>
      <c r="U243" s="4">
        <v>0</v>
      </c>
      <c r="V243" s="4">
        <v>7</v>
      </c>
      <c r="W243" s="4">
        <v>76</v>
      </c>
    </row>
    <row r="244" spans="1:23" ht="11.25" customHeight="1" x14ac:dyDescent="0.25">
      <c r="A244" s="4" t="s">
        <v>54</v>
      </c>
      <c r="B244" s="4" t="s">
        <v>41</v>
      </c>
      <c r="C244" s="4" t="s">
        <v>43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44866</v>
      </c>
      <c r="J244" s="6">
        <v>0</v>
      </c>
      <c r="K244" s="6">
        <v>0</v>
      </c>
      <c r="L244" s="6">
        <v>12.051</v>
      </c>
      <c r="M244" s="6">
        <v>12.051</v>
      </c>
      <c r="N244" s="6">
        <v>12.051</v>
      </c>
      <c r="O244" s="6">
        <v>12.051</v>
      </c>
      <c r="P244" s="6">
        <v>0</v>
      </c>
      <c r="Q244" s="4" t="s">
        <v>26</v>
      </c>
      <c r="R244" s="4">
        <v>0</v>
      </c>
      <c r="S244" s="4" t="s">
        <v>204</v>
      </c>
      <c r="T244" s="4" t="s">
        <v>461</v>
      </c>
      <c r="U244" s="4">
        <v>0</v>
      </c>
      <c r="V244" s="4">
        <v>7</v>
      </c>
      <c r="W244" s="4">
        <v>76</v>
      </c>
    </row>
    <row r="245" spans="1:23" ht="11.25" customHeight="1" x14ac:dyDescent="0.25">
      <c r="A245" s="4" t="s">
        <v>54</v>
      </c>
      <c r="B245" s="4" t="s">
        <v>41</v>
      </c>
      <c r="C245" s="4" t="s">
        <v>43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44866</v>
      </c>
      <c r="J245" s="6">
        <v>0</v>
      </c>
      <c r="K245" s="6">
        <v>0</v>
      </c>
      <c r="L245" s="6">
        <v>99.346000000000004</v>
      </c>
      <c r="M245" s="6">
        <v>99.346000000000004</v>
      </c>
      <c r="N245" s="6">
        <v>99.346000000000004</v>
      </c>
      <c r="O245" s="6">
        <v>99.346000000000004</v>
      </c>
      <c r="P245" s="6">
        <v>0</v>
      </c>
      <c r="Q245" s="4" t="s">
        <v>26</v>
      </c>
      <c r="R245" s="4">
        <v>0</v>
      </c>
      <c r="S245" s="4" t="s">
        <v>204</v>
      </c>
      <c r="T245" s="4" t="s">
        <v>461</v>
      </c>
      <c r="U245" s="4">
        <v>0</v>
      </c>
      <c r="V245" s="4">
        <v>7</v>
      </c>
      <c r="W245" s="4">
        <v>76</v>
      </c>
    </row>
    <row r="246" spans="1:23" ht="11.25" customHeight="1" x14ac:dyDescent="0.25">
      <c r="A246" s="4" t="s">
        <v>21</v>
      </c>
      <c r="B246" s="4" t="s">
        <v>41</v>
      </c>
      <c r="C246" s="4" t="s">
        <v>43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44531</v>
      </c>
      <c r="J246" s="6">
        <v>34614</v>
      </c>
      <c r="K246" s="6">
        <v>34614</v>
      </c>
      <c r="L246" s="6">
        <v>0</v>
      </c>
      <c r="M246" s="6">
        <v>0</v>
      </c>
      <c r="N246" s="6">
        <v>0</v>
      </c>
      <c r="O246" s="6">
        <v>0</v>
      </c>
      <c r="P246" s="6">
        <v>266</v>
      </c>
      <c r="Q246" s="4" t="s">
        <v>26</v>
      </c>
      <c r="R246" s="4">
        <v>0</v>
      </c>
      <c r="S246" s="4" t="s">
        <v>205</v>
      </c>
      <c r="U246" s="4">
        <v>2</v>
      </c>
      <c r="V246" s="4">
        <v>0</v>
      </c>
      <c r="W246" s="4">
        <v>0</v>
      </c>
    </row>
    <row r="247" spans="1:23" ht="11.25" customHeight="1" x14ac:dyDescent="0.25">
      <c r="A247" s="4" t="s">
        <v>28</v>
      </c>
      <c r="B247" s="4" t="s">
        <v>41</v>
      </c>
      <c r="C247" s="4" t="s">
        <v>43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2609</v>
      </c>
      <c r="K247" s="6">
        <v>2609</v>
      </c>
      <c r="L247" s="6">
        <v>0</v>
      </c>
      <c r="M247" s="6">
        <v>0</v>
      </c>
      <c r="N247" s="6">
        <v>0</v>
      </c>
      <c r="O247" s="6">
        <v>0</v>
      </c>
      <c r="P247" s="6">
        <v>11</v>
      </c>
      <c r="Q247" s="4" t="s">
        <v>26</v>
      </c>
      <c r="R247" s="4">
        <v>0</v>
      </c>
      <c r="S247" s="4" t="s">
        <v>205</v>
      </c>
      <c r="U247" s="4">
        <v>2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41</v>
      </c>
      <c r="C248" s="4" t="s">
        <v>43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34281</v>
      </c>
      <c r="K248" s="6">
        <v>34281</v>
      </c>
      <c r="L248" s="6">
        <v>0</v>
      </c>
      <c r="M248" s="6">
        <v>0</v>
      </c>
      <c r="N248" s="6">
        <v>0</v>
      </c>
      <c r="O248" s="6">
        <v>0</v>
      </c>
      <c r="P248" s="6">
        <v>266</v>
      </c>
      <c r="Q248" s="4" t="s">
        <v>26</v>
      </c>
      <c r="R248" s="4">
        <v>0</v>
      </c>
      <c r="S248" s="4" t="s">
        <v>206</v>
      </c>
      <c r="U248" s="4">
        <v>2</v>
      </c>
      <c r="V248" s="4">
        <v>0</v>
      </c>
      <c r="W248" s="4">
        <v>0</v>
      </c>
    </row>
    <row r="249" spans="1:23" ht="11.25" customHeight="1" x14ac:dyDescent="0.25">
      <c r="A249" s="4" t="s">
        <v>27</v>
      </c>
      <c r="B249" s="4" t="s">
        <v>41</v>
      </c>
      <c r="C249" s="4" t="s">
        <v>43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44562</v>
      </c>
      <c r="J249" s="6">
        <v>-8457</v>
      </c>
      <c r="K249" s="6">
        <v>-8457</v>
      </c>
      <c r="L249" s="6">
        <v>0</v>
      </c>
      <c r="M249" s="6">
        <v>0</v>
      </c>
      <c r="N249" s="6">
        <v>0</v>
      </c>
      <c r="O249" s="6">
        <v>0</v>
      </c>
      <c r="P249" s="6">
        <v>-93</v>
      </c>
      <c r="Q249" s="4" t="s">
        <v>26</v>
      </c>
      <c r="R249" s="4">
        <v>0</v>
      </c>
      <c r="S249" s="4" t="s">
        <v>206</v>
      </c>
      <c r="U249" s="4">
        <v>2</v>
      </c>
      <c r="V249" s="4">
        <v>0</v>
      </c>
      <c r="W249" s="4">
        <v>0</v>
      </c>
    </row>
    <row r="250" spans="1:23" ht="11.25" customHeight="1" x14ac:dyDescent="0.25">
      <c r="A250" s="4" t="s">
        <v>28</v>
      </c>
      <c r="B250" s="4" t="s">
        <v>41</v>
      </c>
      <c r="C250" s="4" t="s">
        <v>43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2595</v>
      </c>
      <c r="K250" s="6">
        <v>2595</v>
      </c>
      <c r="L250" s="6">
        <v>0</v>
      </c>
      <c r="M250" s="6">
        <v>0</v>
      </c>
      <c r="N250" s="6">
        <v>0</v>
      </c>
      <c r="O250" s="6">
        <v>0</v>
      </c>
      <c r="P250" s="6">
        <v>11</v>
      </c>
      <c r="Q250" s="4" t="s">
        <v>26</v>
      </c>
      <c r="R250" s="4">
        <v>0</v>
      </c>
      <c r="S250" s="4" t="s">
        <v>206</v>
      </c>
      <c r="U250" s="4">
        <v>2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41</v>
      </c>
      <c r="C251" s="4" t="s">
        <v>43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44593</v>
      </c>
      <c r="J251" s="6">
        <v>34487</v>
      </c>
      <c r="K251" s="6">
        <v>34487</v>
      </c>
      <c r="L251" s="6">
        <v>0</v>
      </c>
      <c r="M251" s="6">
        <v>0</v>
      </c>
      <c r="N251" s="6">
        <v>0</v>
      </c>
      <c r="O251" s="6">
        <v>0</v>
      </c>
      <c r="P251" s="6">
        <v>267</v>
      </c>
      <c r="Q251" s="4" t="s">
        <v>26</v>
      </c>
      <c r="R251" s="4">
        <v>0</v>
      </c>
      <c r="S251" s="4" t="s">
        <v>207</v>
      </c>
      <c r="U251" s="4">
        <v>2</v>
      </c>
      <c r="V251" s="4">
        <v>0</v>
      </c>
      <c r="W251" s="4">
        <v>0</v>
      </c>
    </row>
    <row r="252" spans="1:23" ht="11.25" customHeight="1" x14ac:dyDescent="0.25">
      <c r="A252" s="4" t="s">
        <v>27</v>
      </c>
      <c r="B252" s="4" t="s">
        <v>41</v>
      </c>
      <c r="C252" s="4" t="s">
        <v>43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44593</v>
      </c>
      <c r="J252" s="6">
        <v>-380</v>
      </c>
      <c r="K252" s="6">
        <v>-380</v>
      </c>
      <c r="L252" s="6">
        <v>0</v>
      </c>
      <c r="M252" s="6">
        <v>0</v>
      </c>
      <c r="N252" s="6">
        <v>0</v>
      </c>
      <c r="O252" s="6">
        <v>0</v>
      </c>
      <c r="P252" s="6">
        <v>-4</v>
      </c>
      <c r="Q252" s="4" t="s">
        <v>26</v>
      </c>
      <c r="R252" s="4">
        <v>0</v>
      </c>
      <c r="S252" s="4" t="s">
        <v>207</v>
      </c>
      <c r="U252" s="4">
        <v>2</v>
      </c>
      <c r="V252" s="4">
        <v>0</v>
      </c>
      <c r="W252" s="4">
        <v>0</v>
      </c>
    </row>
    <row r="253" spans="1:23" ht="11.25" customHeight="1" x14ac:dyDescent="0.25">
      <c r="A253" s="4" t="s">
        <v>28</v>
      </c>
      <c r="B253" s="4" t="s">
        <v>41</v>
      </c>
      <c r="C253" s="4" t="s">
        <v>43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2625</v>
      </c>
      <c r="K253" s="6">
        <v>2625</v>
      </c>
      <c r="L253" s="6">
        <v>0</v>
      </c>
      <c r="M253" s="6">
        <v>0</v>
      </c>
      <c r="N253" s="6">
        <v>0</v>
      </c>
      <c r="O253" s="6">
        <v>0</v>
      </c>
      <c r="P253" s="6">
        <v>12</v>
      </c>
      <c r="Q253" s="4" t="s">
        <v>26</v>
      </c>
      <c r="R253" s="4">
        <v>0</v>
      </c>
      <c r="S253" s="4" t="s">
        <v>207</v>
      </c>
      <c r="U253" s="4">
        <v>2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41</v>
      </c>
      <c r="C254" s="4" t="s">
        <v>43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44621</v>
      </c>
      <c r="J254" s="6">
        <v>34359</v>
      </c>
      <c r="K254" s="6">
        <v>34359</v>
      </c>
      <c r="L254" s="6">
        <v>0</v>
      </c>
      <c r="M254" s="6">
        <v>0</v>
      </c>
      <c r="N254" s="6">
        <v>0</v>
      </c>
      <c r="O254" s="6">
        <v>0</v>
      </c>
      <c r="P254" s="6">
        <v>266</v>
      </c>
      <c r="Q254" s="4" t="s">
        <v>26</v>
      </c>
      <c r="R254" s="4">
        <v>0</v>
      </c>
      <c r="S254" s="4" t="s">
        <v>208</v>
      </c>
      <c r="U254" s="4">
        <v>2</v>
      </c>
      <c r="V254" s="4">
        <v>0</v>
      </c>
      <c r="W254" s="4">
        <v>0</v>
      </c>
    </row>
    <row r="255" spans="1:23" ht="11.25" customHeight="1" x14ac:dyDescent="0.25">
      <c r="A255" s="4" t="s">
        <v>27</v>
      </c>
      <c r="B255" s="4" t="s">
        <v>41</v>
      </c>
      <c r="C255" s="4" t="s">
        <v>43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-1979</v>
      </c>
      <c r="K255" s="6">
        <v>-1979</v>
      </c>
      <c r="L255" s="6">
        <v>0</v>
      </c>
      <c r="M255" s="6">
        <v>0</v>
      </c>
      <c r="N255" s="6">
        <v>0</v>
      </c>
      <c r="O255" s="6">
        <v>0</v>
      </c>
      <c r="P255" s="6">
        <v>-13</v>
      </c>
      <c r="Q255" s="4" t="s">
        <v>26</v>
      </c>
      <c r="R255" s="4">
        <v>0</v>
      </c>
      <c r="S255" s="4" t="s">
        <v>208</v>
      </c>
      <c r="U255" s="4">
        <v>2</v>
      </c>
      <c r="V255" s="4">
        <v>0</v>
      </c>
      <c r="W255" s="4">
        <v>0</v>
      </c>
    </row>
    <row r="256" spans="1:23" ht="11.25" customHeight="1" x14ac:dyDescent="0.25">
      <c r="A256" s="4" t="s">
        <v>28</v>
      </c>
      <c r="B256" s="4" t="s">
        <v>41</v>
      </c>
      <c r="C256" s="4" t="s">
        <v>43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2674</v>
      </c>
      <c r="K256" s="6">
        <v>2674</v>
      </c>
      <c r="L256" s="6">
        <v>0</v>
      </c>
      <c r="M256" s="6">
        <v>0</v>
      </c>
      <c r="N256" s="6">
        <v>0</v>
      </c>
      <c r="O256" s="6">
        <v>0</v>
      </c>
      <c r="P256" s="6">
        <v>13</v>
      </c>
      <c r="Q256" s="4" t="s">
        <v>26</v>
      </c>
      <c r="R256" s="4">
        <v>0</v>
      </c>
      <c r="S256" s="4" t="s">
        <v>208</v>
      </c>
      <c r="U256" s="4">
        <v>2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41</v>
      </c>
      <c r="C257" s="4" t="s">
        <v>43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44652</v>
      </c>
      <c r="J257" s="6">
        <v>34377</v>
      </c>
      <c r="K257" s="6">
        <v>34377</v>
      </c>
      <c r="L257" s="6">
        <v>0</v>
      </c>
      <c r="M257" s="6">
        <v>0</v>
      </c>
      <c r="N257" s="6">
        <v>0</v>
      </c>
      <c r="O257" s="6">
        <v>0</v>
      </c>
      <c r="P257" s="6">
        <v>267</v>
      </c>
      <c r="Q257" s="4" t="s">
        <v>26</v>
      </c>
      <c r="R257" s="4">
        <v>0</v>
      </c>
      <c r="S257" s="4" t="s">
        <v>209</v>
      </c>
      <c r="U257" s="4">
        <v>2</v>
      </c>
      <c r="V257" s="4">
        <v>0</v>
      </c>
      <c r="W257" s="4">
        <v>0</v>
      </c>
    </row>
    <row r="258" spans="1:23" ht="11.25" customHeight="1" x14ac:dyDescent="0.25">
      <c r="A258" s="4" t="s">
        <v>27</v>
      </c>
      <c r="B258" s="4" t="s">
        <v>41</v>
      </c>
      <c r="C258" s="4" t="s">
        <v>43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-75</v>
      </c>
      <c r="K258" s="6">
        <v>-75</v>
      </c>
      <c r="L258" s="6">
        <v>0</v>
      </c>
      <c r="M258" s="6">
        <v>0</v>
      </c>
      <c r="N258" s="6">
        <v>0</v>
      </c>
      <c r="O258" s="6">
        <v>0</v>
      </c>
      <c r="P258" s="6">
        <v>-1</v>
      </c>
      <c r="Q258" s="4" t="s">
        <v>26</v>
      </c>
      <c r="R258" s="4">
        <v>0</v>
      </c>
      <c r="S258" s="4" t="s">
        <v>209</v>
      </c>
      <c r="U258" s="4">
        <v>2</v>
      </c>
      <c r="V258" s="4">
        <v>0</v>
      </c>
      <c r="W258" s="4">
        <v>0</v>
      </c>
    </row>
    <row r="259" spans="1:23" ht="11.25" customHeight="1" x14ac:dyDescent="0.25">
      <c r="A259" s="4" t="s">
        <v>28</v>
      </c>
      <c r="B259" s="4" t="s">
        <v>41</v>
      </c>
      <c r="C259" s="4" t="s">
        <v>43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2666</v>
      </c>
      <c r="K259" s="6">
        <v>2666</v>
      </c>
      <c r="L259" s="6">
        <v>0</v>
      </c>
      <c r="M259" s="6">
        <v>0</v>
      </c>
      <c r="N259" s="6">
        <v>0</v>
      </c>
      <c r="O259" s="6">
        <v>0</v>
      </c>
      <c r="P259" s="6">
        <v>13</v>
      </c>
      <c r="Q259" s="4" t="s">
        <v>26</v>
      </c>
      <c r="R259" s="4">
        <v>0</v>
      </c>
      <c r="S259" s="4" t="s">
        <v>209</v>
      </c>
      <c r="U259" s="4">
        <v>2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41</v>
      </c>
      <c r="C260" s="4" t="s">
        <v>43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35545</v>
      </c>
      <c r="K260" s="6">
        <v>35545</v>
      </c>
      <c r="L260" s="6">
        <v>0</v>
      </c>
      <c r="M260" s="6">
        <v>0</v>
      </c>
      <c r="N260" s="6">
        <v>0</v>
      </c>
      <c r="O260" s="6">
        <v>0</v>
      </c>
      <c r="P260" s="6">
        <v>275</v>
      </c>
      <c r="Q260" s="4" t="s">
        <v>26</v>
      </c>
      <c r="R260" s="4">
        <v>0</v>
      </c>
      <c r="S260" s="4" t="s">
        <v>210</v>
      </c>
      <c r="U260" s="4">
        <v>2</v>
      </c>
      <c r="V260" s="4">
        <v>0</v>
      </c>
      <c r="W260" s="4">
        <v>0</v>
      </c>
    </row>
    <row r="261" spans="1:23" ht="11.25" customHeight="1" x14ac:dyDescent="0.25">
      <c r="A261" s="4" t="s">
        <v>28</v>
      </c>
      <c r="B261" s="4" t="s">
        <v>41</v>
      </c>
      <c r="C261" s="4" t="s">
        <v>43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2687</v>
      </c>
      <c r="K261" s="6">
        <v>2687</v>
      </c>
      <c r="L261" s="6">
        <v>0</v>
      </c>
      <c r="M261" s="6">
        <v>0</v>
      </c>
      <c r="N261" s="6">
        <v>0</v>
      </c>
      <c r="O261" s="6">
        <v>0</v>
      </c>
      <c r="P261" s="6">
        <v>13</v>
      </c>
      <c r="Q261" s="4" t="s">
        <v>26</v>
      </c>
      <c r="R261" s="4">
        <v>0</v>
      </c>
      <c r="S261" s="4" t="s">
        <v>210</v>
      </c>
      <c r="U261" s="4">
        <v>2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41</v>
      </c>
      <c r="C262" s="4" t="s">
        <v>43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34892</v>
      </c>
      <c r="K262" s="6">
        <v>34892</v>
      </c>
      <c r="L262" s="6">
        <v>0</v>
      </c>
      <c r="M262" s="6">
        <v>0</v>
      </c>
      <c r="N262" s="6">
        <v>0</v>
      </c>
      <c r="O262" s="6">
        <v>0</v>
      </c>
      <c r="P262" s="6">
        <v>272</v>
      </c>
      <c r="Q262" s="4" t="s">
        <v>26</v>
      </c>
      <c r="R262" s="4">
        <v>0</v>
      </c>
      <c r="S262" s="4" t="s">
        <v>211</v>
      </c>
      <c r="U262" s="4">
        <v>2</v>
      </c>
      <c r="V262" s="4">
        <v>0</v>
      </c>
      <c r="W262" s="4">
        <v>0</v>
      </c>
    </row>
    <row r="263" spans="1:23" ht="11.25" customHeight="1" x14ac:dyDescent="0.25">
      <c r="A263" s="4" t="s">
        <v>28</v>
      </c>
      <c r="B263" s="4" t="s">
        <v>41</v>
      </c>
      <c r="C263" s="4" t="s">
        <v>43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2679</v>
      </c>
      <c r="K263" s="6">
        <v>2679</v>
      </c>
      <c r="L263" s="6">
        <v>0</v>
      </c>
      <c r="M263" s="6">
        <v>0</v>
      </c>
      <c r="N263" s="6">
        <v>0</v>
      </c>
      <c r="O263" s="6">
        <v>0</v>
      </c>
      <c r="P263" s="6">
        <v>13</v>
      </c>
      <c r="Q263" s="4" t="s">
        <v>26</v>
      </c>
      <c r="R263" s="4">
        <v>0</v>
      </c>
      <c r="S263" s="4" t="s">
        <v>211</v>
      </c>
      <c r="U263" s="4">
        <v>2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41</v>
      </c>
      <c r="C264" s="4" t="s">
        <v>43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44743</v>
      </c>
      <c r="J264" s="6">
        <v>35617</v>
      </c>
      <c r="K264" s="6">
        <v>35617</v>
      </c>
      <c r="L264" s="6">
        <v>0</v>
      </c>
      <c r="M264" s="6">
        <v>0</v>
      </c>
      <c r="N264" s="6">
        <v>0</v>
      </c>
      <c r="O264" s="6">
        <v>0</v>
      </c>
      <c r="P264" s="6">
        <v>278</v>
      </c>
      <c r="Q264" s="4" t="s">
        <v>26</v>
      </c>
      <c r="R264" s="4">
        <v>0</v>
      </c>
      <c r="S264" s="4" t="s">
        <v>212</v>
      </c>
      <c r="U264" s="4">
        <v>2</v>
      </c>
      <c r="V264" s="4">
        <v>0</v>
      </c>
      <c r="W264" s="4">
        <v>0</v>
      </c>
    </row>
    <row r="265" spans="1:23" ht="11.25" customHeight="1" x14ac:dyDescent="0.25">
      <c r="A265" s="4" t="s">
        <v>28</v>
      </c>
      <c r="B265" s="4" t="s">
        <v>41</v>
      </c>
      <c r="C265" s="4" t="s">
        <v>43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44743</v>
      </c>
      <c r="J265" s="6">
        <v>2715</v>
      </c>
      <c r="K265" s="6">
        <v>2715</v>
      </c>
      <c r="L265" s="6">
        <v>0</v>
      </c>
      <c r="M265" s="6">
        <v>0</v>
      </c>
      <c r="N265" s="6">
        <v>0</v>
      </c>
      <c r="O265" s="6">
        <v>0</v>
      </c>
      <c r="P265" s="6">
        <v>13</v>
      </c>
      <c r="Q265" s="4" t="s">
        <v>26</v>
      </c>
      <c r="R265" s="4">
        <v>0</v>
      </c>
      <c r="S265" s="4" t="s">
        <v>212</v>
      </c>
      <c r="U265" s="4">
        <v>2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41</v>
      </c>
      <c r="C266" s="4" t="s">
        <v>43</v>
      </c>
      <c r="D266" s="4" t="s">
        <v>44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44774</v>
      </c>
      <c r="J266" s="6">
        <v>34579</v>
      </c>
      <c r="K266" s="6">
        <v>34579</v>
      </c>
      <c r="L266" s="6">
        <v>0</v>
      </c>
      <c r="M266" s="6">
        <v>0</v>
      </c>
      <c r="N266" s="6">
        <v>0</v>
      </c>
      <c r="O266" s="6">
        <v>0</v>
      </c>
      <c r="P266" s="6">
        <v>275</v>
      </c>
      <c r="Q266" s="4" t="s">
        <v>26</v>
      </c>
      <c r="R266" s="4">
        <v>0</v>
      </c>
      <c r="S266" s="4" t="s">
        <v>213</v>
      </c>
      <c r="U266" s="4">
        <v>2</v>
      </c>
      <c r="V266" s="4">
        <v>0</v>
      </c>
      <c r="W266" s="4">
        <v>0</v>
      </c>
    </row>
    <row r="267" spans="1:23" ht="11.25" customHeight="1" x14ac:dyDescent="0.25">
      <c r="A267" s="4" t="s">
        <v>27</v>
      </c>
      <c r="B267" s="4" t="s">
        <v>41</v>
      </c>
      <c r="C267" s="4" t="s">
        <v>43</v>
      </c>
      <c r="D267" s="4" t="s">
        <v>44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44774</v>
      </c>
      <c r="J267" s="6">
        <v>-954</v>
      </c>
      <c r="K267" s="6">
        <v>-954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26</v>
      </c>
      <c r="R267" s="4">
        <v>0</v>
      </c>
      <c r="S267" s="4" t="s">
        <v>213</v>
      </c>
      <c r="U267" s="4">
        <v>2</v>
      </c>
      <c r="V267" s="4">
        <v>0</v>
      </c>
      <c r="W267" s="4">
        <v>0</v>
      </c>
    </row>
    <row r="268" spans="1:23" ht="11.25" customHeight="1" x14ac:dyDescent="0.25">
      <c r="A268" s="4" t="s">
        <v>28</v>
      </c>
      <c r="B268" s="4" t="s">
        <v>41</v>
      </c>
      <c r="C268" s="4" t="s">
        <v>43</v>
      </c>
      <c r="D268" s="4" t="s">
        <v>44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44774</v>
      </c>
      <c r="J268" s="6">
        <v>2770</v>
      </c>
      <c r="K268" s="6">
        <v>2770</v>
      </c>
      <c r="L268" s="6">
        <v>0</v>
      </c>
      <c r="M268" s="6">
        <v>0</v>
      </c>
      <c r="N268" s="6">
        <v>0</v>
      </c>
      <c r="O268" s="6">
        <v>0</v>
      </c>
      <c r="P268" s="6">
        <v>14</v>
      </c>
      <c r="Q268" s="4" t="s">
        <v>26</v>
      </c>
      <c r="R268" s="4">
        <v>0</v>
      </c>
      <c r="S268" s="4" t="s">
        <v>213</v>
      </c>
      <c r="U268" s="4">
        <v>2</v>
      </c>
      <c r="V268" s="4">
        <v>0</v>
      </c>
      <c r="W268" s="4">
        <v>0</v>
      </c>
    </row>
    <row r="269" spans="1:23" ht="11.25" customHeight="1" x14ac:dyDescent="0.25">
      <c r="A269" s="4" t="s">
        <v>21</v>
      </c>
      <c r="B269" s="4" t="s">
        <v>41</v>
      </c>
      <c r="C269" s="4" t="s">
        <v>43</v>
      </c>
      <c r="D269" s="4" t="s">
        <v>44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44805</v>
      </c>
      <c r="J269" s="6">
        <v>35625</v>
      </c>
      <c r="K269" s="6">
        <v>35625</v>
      </c>
      <c r="L269" s="6">
        <v>0</v>
      </c>
      <c r="M269" s="6">
        <v>0</v>
      </c>
      <c r="N269" s="6">
        <v>0</v>
      </c>
      <c r="O269" s="6">
        <v>0</v>
      </c>
      <c r="P269" s="6">
        <v>284</v>
      </c>
      <c r="Q269" s="4" t="s">
        <v>26</v>
      </c>
      <c r="R269" s="4">
        <v>0</v>
      </c>
      <c r="S269" s="4" t="s">
        <v>214</v>
      </c>
      <c r="U269" s="4">
        <v>2</v>
      </c>
      <c r="V269" s="4">
        <v>0</v>
      </c>
      <c r="W269" s="4">
        <v>0</v>
      </c>
    </row>
    <row r="270" spans="1:23" ht="11.25" customHeight="1" x14ac:dyDescent="0.25">
      <c r="A270" s="4" t="s">
        <v>27</v>
      </c>
      <c r="B270" s="4" t="s">
        <v>41</v>
      </c>
      <c r="C270" s="4" t="s">
        <v>43</v>
      </c>
      <c r="D270" s="4" t="s">
        <v>44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44805</v>
      </c>
      <c r="J270" s="6">
        <v>129</v>
      </c>
      <c r="K270" s="6">
        <v>129</v>
      </c>
      <c r="L270" s="6">
        <v>0</v>
      </c>
      <c r="M270" s="6">
        <v>0</v>
      </c>
      <c r="N270" s="6">
        <v>0</v>
      </c>
      <c r="O270" s="6">
        <v>0</v>
      </c>
      <c r="P270" s="6">
        <v>5</v>
      </c>
      <c r="Q270" s="4" t="s">
        <v>26</v>
      </c>
      <c r="R270" s="4">
        <v>0</v>
      </c>
      <c r="S270" s="4" t="s">
        <v>214</v>
      </c>
      <c r="U270" s="4">
        <v>2</v>
      </c>
      <c r="V270" s="4">
        <v>0</v>
      </c>
      <c r="W270" s="4">
        <v>0</v>
      </c>
    </row>
    <row r="271" spans="1:23" ht="11.25" customHeight="1" x14ac:dyDescent="0.25">
      <c r="A271" s="4" t="s">
        <v>28</v>
      </c>
      <c r="B271" s="4" t="s">
        <v>41</v>
      </c>
      <c r="C271" s="4" t="s">
        <v>43</v>
      </c>
      <c r="D271" s="4" t="s">
        <v>44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44805</v>
      </c>
      <c r="J271" s="6">
        <v>2888</v>
      </c>
      <c r="K271" s="6">
        <v>2888</v>
      </c>
      <c r="L271" s="6">
        <v>0</v>
      </c>
      <c r="M271" s="6">
        <v>0</v>
      </c>
      <c r="N271" s="6">
        <v>0</v>
      </c>
      <c r="O271" s="6">
        <v>0</v>
      </c>
      <c r="P271" s="6">
        <v>15</v>
      </c>
      <c r="Q271" s="4" t="s">
        <v>26</v>
      </c>
      <c r="R271" s="4">
        <v>0</v>
      </c>
      <c r="S271" s="4" t="s">
        <v>214</v>
      </c>
      <c r="U271" s="4">
        <v>2</v>
      </c>
      <c r="V271" s="4">
        <v>0</v>
      </c>
      <c r="W271" s="4">
        <v>0</v>
      </c>
    </row>
    <row r="272" spans="1:23" ht="11.25" customHeight="1" x14ac:dyDescent="0.25">
      <c r="A272" s="4" t="s">
        <v>21</v>
      </c>
      <c r="B272" s="4" t="s">
        <v>41</v>
      </c>
      <c r="C272" s="4" t="s">
        <v>43</v>
      </c>
      <c r="D272" s="4" t="s">
        <v>44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44835</v>
      </c>
      <c r="J272" s="6">
        <v>35991</v>
      </c>
      <c r="K272" s="6">
        <v>35991</v>
      </c>
      <c r="L272" s="6">
        <v>0</v>
      </c>
      <c r="M272" s="6">
        <v>0</v>
      </c>
      <c r="N272" s="6">
        <v>0</v>
      </c>
      <c r="O272" s="6">
        <v>0</v>
      </c>
      <c r="P272" s="6">
        <v>286</v>
      </c>
      <c r="Q272" s="4" t="s">
        <v>26</v>
      </c>
      <c r="R272" s="4">
        <v>0</v>
      </c>
      <c r="S272" s="4" t="s">
        <v>215</v>
      </c>
      <c r="U272" s="4">
        <v>2</v>
      </c>
      <c r="V272" s="4">
        <v>0</v>
      </c>
      <c r="W272" s="4">
        <v>0</v>
      </c>
    </row>
    <row r="273" spans="1:23" ht="11.25" customHeight="1" x14ac:dyDescent="0.25">
      <c r="A273" s="4" t="s">
        <v>28</v>
      </c>
      <c r="B273" s="4" t="s">
        <v>41</v>
      </c>
      <c r="C273" s="4" t="s">
        <v>43</v>
      </c>
      <c r="D273" s="4" t="s">
        <v>44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44835</v>
      </c>
      <c r="J273" s="6">
        <v>3162</v>
      </c>
      <c r="K273" s="6">
        <v>3162</v>
      </c>
      <c r="L273" s="6">
        <v>0</v>
      </c>
      <c r="M273" s="6">
        <v>0</v>
      </c>
      <c r="N273" s="6">
        <v>0</v>
      </c>
      <c r="O273" s="6">
        <v>0</v>
      </c>
      <c r="P273" s="6">
        <v>16</v>
      </c>
      <c r="Q273" s="4" t="s">
        <v>26</v>
      </c>
      <c r="R273" s="4">
        <v>0</v>
      </c>
      <c r="S273" s="4" t="s">
        <v>215</v>
      </c>
      <c r="U273" s="4">
        <v>2</v>
      </c>
      <c r="V273" s="4">
        <v>0</v>
      </c>
      <c r="W273" s="4">
        <v>0</v>
      </c>
    </row>
    <row r="274" spans="1:23" ht="11.25" customHeight="1" x14ac:dyDescent="0.25">
      <c r="A274" s="4" t="s">
        <v>54</v>
      </c>
      <c r="B274" s="4" t="s">
        <v>41</v>
      </c>
      <c r="C274" s="4" t="s">
        <v>43</v>
      </c>
      <c r="D274" s="4" t="s">
        <v>44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44866</v>
      </c>
      <c r="J274" s="6">
        <v>35991</v>
      </c>
      <c r="K274" s="6">
        <v>35991</v>
      </c>
      <c r="L274" s="6">
        <v>0</v>
      </c>
      <c r="M274" s="6">
        <v>0</v>
      </c>
      <c r="N274" s="6">
        <v>0</v>
      </c>
      <c r="O274" s="6">
        <v>0</v>
      </c>
      <c r="P274" s="6">
        <v>286</v>
      </c>
      <c r="Q274" s="4" t="s">
        <v>26</v>
      </c>
      <c r="R274" s="4">
        <v>0</v>
      </c>
      <c r="S274" s="4" t="s">
        <v>216</v>
      </c>
      <c r="U274" s="4">
        <v>2</v>
      </c>
      <c r="V274" s="4">
        <v>0</v>
      </c>
      <c r="W274" s="4">
        <v>0</v>
      </c>
    </row>
    <row r="275" spans="1:23" ht="11.25" customHeight="1" x14ac:dyDescent="0.25">
      <c r="A275" s="4" t="s">
        <v>54</v>
      </c>
      <c r="B275" s="4" t="s">
        <v>41</v>
      </c>
      <c r="C275" s="4" t="s">
        <v>43</v>
      </c>
      <c r="D275" s="4" t="s">
        <v>44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44866</v>
      </c>
      <c r="J275" s="6">
        <v>3162</v>
      </c>
      <c r="K275" s="6">
        <v>3162</v>
      </c>
      <c r="L275" s="6">
        <v>0</v>
      </c>
      <c r="M275" s="6">
        <v>0</v>
      </c>
      <c r="N275" s="6">
        <v>0</v>
      </c>
      <c r="O275" s="6">
        <v>0</v>
      </c>
      <c r="P275" s="6">
        <v>16</v>
      </c>
      <c r="Q275" s="4" t="s">
        <v>26</v>
      </c>
      <c r="R275" s="4">
        <v>0</v>
      </c>
      <c r="S275" s="4" t="s">
        <v>216</v>
      </c>
      <c r="U275" s="4">
        <v>2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41</v>
      </c>
      <c r="C276" s="4" t="s">
        <v>43</v>
      </c>
      <c r="D276" s="4" t="s">
        <v>44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44531</v>
      </c>
      <c r="J276" s="6">
        <v>0</v>
      </c>
      <c r="K276" s="6">
        <v>0</v>
      </c>
      <c r="L276" s="6">
        <v>566.19600000000003</v>
      </c>
      <c r="M276" s="6">
        <v>566.19600000000003</v>
      </c>
      <c r="N276" s="6">
        <v>566.19600000000003</v>
      </c>
      <c r="O276" s="6">
        <v>566.19600000000003</v>
      </c>
      <c r="P276" s="6">
        <v>0</v>
      </c>
      <c r="Q276" s="4" t="s">
        <v>26</v>
      </c>
      <c r="R276" s="4">
        <v>0</v>
      </c>
      <c r="S276" s="4" t="s">
        <v>217</v>
      </c>
      <c r="T276" s="4" t="s">
        <v>462</v>
      </c>
      <c r="U276" s="4">
        <v>0</v>
      </c>
      <c r="V276" s="4">
        <v>5</v>
      </c>
      <c r="W276" s="4">
        <v>75</v>
      </c>
    </row>
    <row r="277" spans="1:23" ht="11.25" customHeight="1" x14ac:dyDescent="0.25">
      <c r="A277" s="4" t="s">
        <v>28</v>
      </c>
      <c r="B277" s="4" t="s">
        <v>41</v>
      </c>
      <c r="C277" s="4" t="s">
        <v>43</v>
      </c>
      <c r="D277" s="4" t="s">
        <v>44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44531</v>
      </c>
      <c r="J277" s="6">
        <v>0</v>
      </c>
      <c r="K277" s="6">
        <v>0</v>
      </c>
      <c r="L277" s="6">
        <v>6.758</v>
      </c>
      <c r="M277" s="6">
        <v>6.758</v>
      </c>
      <c r="N277" s="6">
        <v>6.758</v>
      </c>
      <c r="O277" s="6">
        <v>6.758</v>
      </c>
      <c r="P277" s="6">
        <v>0</v>
      </c>
      <c r="Q277" s="4" t="s">
        <v>26</v>
      </c>
      <c r="R277" s="4">
        <v>0</v>
      </c>
      <c r="S277" s="4" t="s">
        <v>217</v>
      </c>
      <c r="T277" s="4" t="s">
        <v>462</v>
      </c>
      <c r="U277" s="4">
        <v>0</v>
      </c>
      <c r="V277" s="4">
        <v>5</v>
      </c>
      <c r="W277" s="4">
        <v>75</v>
      </c>
    </row>
    <row r="278" spans="1:23" ht="11.25" customHeight="1" x14ac:dyDescent="0.25">
      <c r="A278" s="4" t="s">
        <v>21</v>
      </c>
      <c r="B278" s="4" t="s">
        <v>41</v>
      </c>
      <c r="C278" s="4" t="s">
        <v>43</v>
      </c>
      <c r="D278" s="4" t="s">
        <v>44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44562</v>
      </c>
      <c r="J278" s="6">
        <v>0</v>
      </c>
      <c r="K278" s="6">
        <v>0</v>
      </c>
      <c r="L278" s="6">
        <v>452.99900000000002</v>
      </c>
      <c r="M278" s="6">
        <v>452.99900000000002</v>
      </c>
      <c r="N278" s="6">
        <v>452.99900000000002</v>
      </c>
      <c r="O278" s="6">
        <v>452.99900000000002</v>
      </c>
      <c r="P278" s="6">
        <v>0</v>
      </c>
      <c r="Q278" s="4" t="s">
        <v>26</v>
      </c>
      <c r="R278" s="4">
        <v>0</v>
      </c>
      <c r="S278" s="4" t="s">
        <v>218</v>
      </c>
      <c r="T278" s="4" t="s">
        <v>463</v>
      </c>
      <c r="U278" s="4">
        <v>0</v>
      </c>
      <c r="V278" s="4">
        <v>5</v>
      </c>
      <c r="W278" s="4">
        <v>75</v>
      </c>
    </row>
    <row r="279" spans="1:23" ht="11.25" customHeight="1" x14ac:dyDescent="0.25">
      <c r="A279" s="4" t="s">
        <v>27</v>
      </c>
      <c r="B279" s="4" t="s">
        <v>41</v>
      </c>
      <c r="C279" s="4" t="s">
        <v>43</v>
      </c>
      <c r="D279" s="4" t="s">
        <v>44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44562</v>
      </c>
      <c r="J279" s="6">
        <v>0</v>
      </c>
      <c r="K279" s="6">
        <v>0</v>
      </c>
      <c r="L279" s="6">
        <v>-5.4119999999999999</v>
      </c>
      <c r="M279" s="6">
        <v>-5.4119999999999999</v>
      </c>
      <c r="N279" s="6">
        <v>-5.4119999999999999</v>
      </c>
      <c r="O279" s="6">
        <v>-5.4119999999999999</v>
      </c>
      <c r="P279" s="6">
        <v>0</v>
      </c>
      <c r="Q279" s="4" t="s">
        <v>26</v>
      </c>
      <c r="R279" s="4">
        <v>0</v>
      </c>
      <c r="S279" s="4" t="s">
        <v>218</v>
      </c>
      <c r="T279" s="4" t="s">
        <v>463</v>
      </c>
      <c r="U279" s="4">
        <v>0</v>
      </c>
      <c r="V279" s="4">
        <v>5</v>
      </c>
      <c r="W279" s="4">
        <v>75</v>
      </c>
    </row>
    <row r="280" spans="1:23" ht="11.25" customHeight="1" x14ac:dyDescent="0.25">
      <c r="A280" s="4" t="s">
        <v>28</v>
      </c>
      <c r="B280" s="4" t="s">
        <v>41</v>
      </c>
      <c r="C280" s="4" t="s">
        <v>43</v>
      </c>
      <c r="D280" s="4" t="s">
        <v>44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44562</v>
      </c>
      <c r="J280" s="6">
        <v>0</v>
      </c>
      <c r="K280" s="6">
        <v>0</v>
      </c>
      <c r="L280" s="6">
        <v>7.9669999999999996</v>
      </c>
      <c r="M280" s="6">
        <v>7.9669999999999996</v>
      </c>
      <c r="N280" s="6">
        <v>7.9669999999999996</v>
      </c>
      <c r="O280" s="6">
        <v>7.9669999999999996</v>
      </c>
      <c r="P280" s="6">
        <v>0</v>
      </c>
      <c r="Q280" s="4" t="s">
        <v>26</v>
      </c>
      <c r="R280" s="4">
        <v>0</v>
      </c>
      <c r="S280" s="4" t="s">
        <v>218</v>
      </c>
      <c r="T280" s="4" t="s">
        <v>463</v>
      </c>
      <c r="U280" s="4">
        <v>0</v>
      </c>
      <c r="V280" s="4">
        <v>5</v>
      </c>
      <c r="W280" s="4">
        <v>75</v>
      </c>
    </row>
    <row r="281" spans="1:23" ht="11.25" customHeight="1" x14ac:dyDescent="0.25">
      <c r="A281" s="4" t="s">
        <v>21</v>
      </c>
      <c r="B281" s="4" t="s">
        <v>41</v>
      </c>
      <c r="C281" s="4" t="s">
        <v>43</v>
      </c>
      <c r="D281" s="4" t="s">
        <v>44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44593</v>
      </c>
      <c r="J281" s="6">
        <v>0</v>
      </c>
      <c r="K281" s="6">
        <v>0</v>
      </c>
      <c r="L281" s="6">
        <v>467.32</v>
      </c>
      <c r="M281" s="6">
        <v>467.32</v>
      </c>
      <c r="N281" s="6">
        <v>467.32</v>
      </c>
      <c r="O281" s="6">
        <v>467.32</v>
      </c>
      <c r="P281" s="6">
        <v>0</v>
      </c>
      <c r="Q281" s="4" t="s">
        <v>26</v>
      </c>
      <c r="R281" s="4">
        <v>0</v>
      </c>
      <c r="S281" s="4" t="s">
        <v>219</v>
      </c>
      <c r="T281" s="4" t="s">
        <v>464</v>
      </c>
      <c r="U281" s="4">
        <v>0</v>
      </c>
      <c r="V281" s="4">
        <v>5</v>
      </c>
      <c r="W281" s="4">
        <v>75</v>
      </c>
    </row>
    <row r="282" spans="1:23" ht="11.25" customHeight="1" x14ac:dyDescent="0.25">
      <c r="A282" s="4" t="s">
        <v>27</v>
      </c>
      <c r="B282" s="4" t="s">
        <v>41</v>
      </c>
      <c r="C282" s="4" t="s">
        <v>43</v>
      </c>
      <c r="D282" s="4" t="s">
        <v>44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44593</v>
      </c>
      <c r="J282" s="6">
        <v>0</v>
      </c>
      <c r="K282" s="6">
        <v>0</v>
      </c>
      <c r="L282" s="6">
        <v>-8.2000000000000003E-2</v>
      </c>
      <c r="M282" s="6">
        <v>-8.2000000000000003E-2</v>
      </c>
      <c r="N282" s="6">
        <v>-8.2000000000000003E-2</v>
      </c>
      <c r="O282" s="6">
        <v>-8.2000000000000003E-2</v>
      </c>
      <c r="P282" s="6">
        <v>0</v>
      </c>
      <c r="Q282" s="4" t="s">
        <v>26</v>
      </c>
      <c r="R282" s="4">
        <v>0</v>
      </c>
      <c r="S282" s="4" t="s">
        <v>219</v>
      </c>
      <c r="T282" s="4" t="s">
        <v>464</v>
      </c>
      <c r="U282" s="4">
        <v>0</v>
      </c>
      <c r="V282" s="4">
        <v>5</v>
      </c>
      <c r="W282" s="4">
        <v>75</v>
      </c>
    </row>
    <row r="283" spans="1:23" ht="11.25" customHeight="1" x14ac:dyDescent="0.25">
      <c r="A283" s="4" t="s">
        <v>28</v>
      </c>
      <c r="B283" s="4" t="s">
        <v>41</v>
      </c>
      <c r="C283" s="4" t="s">
        <v>43</v>
      </c>
      <c r="D283" s="4" t="s">
        <v>44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44593</v>
      </c>
      <c r="J283" s="6">
        <v>0</v>
      </c>
      <c r="K283" s="6">
        <v>0</v>
      </c>
      <c r="L283" s="6">
        <v>3.9769999999999999</v>
      </c>
      <c r="M283" s="6">
        <v>3.9769999999999999</v>
      </c>
      <c r="N283" s="6">
        <v>3.9769999999999999</v>
      </c>
      <c r="O283" s="6">
        <v>3.9769999999999999</v>
      </c>
      <c r="P283" s="6">
        <v>0</v>
      </c>
      <c r="Q283" s="4" t="s">
        <v>26</v>
      </c>
      <c r="R283" s="4">
        <v>0</v>
      </c>
      <c r="S283" s="4" t="s">
        <v>219</v>
      </c>
      <c r="T283" s="4" t="s">
        <v>464</v>
      </c>
      <c r="U283" s="4">
        <v>0</v>
      </c>
      <c r="V283" s="4">
        <v>5</v>
      </c>
      <c r="W283" s="4">
        <v>75</v>
      </c>
    </row>
    <row r="284" spans="1:23" ht="11.25" customHeight="1" x14ac:dyDescent="0.25">
      <c r="A284" s="4" t="s">
        <v>21</v>
      </c>
      <c r="B284" s="4" t="s">
        <v>41</v>
      </c>
      <c r="C284" s="4" t="s">
        <v>43</v>
      </c>
      <c r="D284" s="4" t="s">
        <v>44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44621</v>
      </c>
      <c r="J284" s="6">
        <v>0</v>
      </c>
      <c r="K284" s="6">
        <v>0</v>
      </c>
      <c r="L284" s="6">
        <v>503.93299999999999</v>
      </c>
      <c r="M284" s="6">
        <v>503.93299999999999</v>
      </c>
      <c r="N284" s="6">
        <v>503.93299999999999</v>
      </c>
      <c r="O284" s="6">
        <v>503.93299999999999</v>
      </c>
      <c r="P284" s="6">
        <v>0</v>
      </c>
      <c r="Q284" s="4" t="s">
        <v>26</v>
      </c>
      <c r="R284" s="4">
        <v>0</v>
      </c>
      <c r="S284" s="4" t="s">
        <v>220</v>
      </c>
      <c r="T284" s="4" t="s">
        <v>465</v>
      </c>
      <c r="U284" s="4">
        <v>0</v>
      </c>
      <c r="V284" s="4">
        <v>5</v>
      </c>
      <c r="W284" s="4">
        <v>75</v>
      </c>
    </row>
    <row r="285" spans="1:23" ht="11.25" customHeight="1" x14ac:dyDescent="0.25">
      <c r="A285" s="4" t="s">
        <v>28</v>
      </c>
      <c r="B285" s="4" t="s">
        <v>41</v>
      </c>
      <c r="C285" s="4" t="s">
        <v>43</v>
      </c>
      <c r="D285" s="4" t="s">
        <v>44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44621</v>
      </c>
      <c r="J285" s="6">
        <v>0</v>
      </c>
      <c r="K285" s="6">
        <v>0</v>
      </c>
      <c r="L285" s="6">
        <v>7.6749999999999998</v>
      </c>
      <c r="M285" s="6">
        <v>7.6749999999999998</v>
      </c>
      <c r="N285" s="6">
        <v>7.6749999999999998</v>
      </c>
      <c r="O285" s="6">
        <v>7.6749999999999998</v>
      </c>
      <c r="P285" s="6">
        <v>0</v>
      </c>
      <c r="Q285" s="4" t="s">
        <v>26</v>
      </c>
      <c r="R285" s="4">
        <v>0</v>
      </c>
      <c r="S285" s="4" t="s">
        <v>220</v>
      </c>
      <c r="T285" s="4" t="s">
        <v>465</v>
      </c>
      <c r="U285" s="4">
        <v>0</v>
      </c>
      <c r="V285" s="4">
        <v>5</v>
      </c>
      <c r="W285" s="4">
        <v>75</v>
      </c>
    </row>
    <row r="286" spans="1:23" ht="11.25" customHeight="1" x14ac:dyDescent="0.25">
      <c r="A286" s="4" t="s">
        <v>21</v>
      </c>
      <c r="B286" s="4" t="s">
        <v>41</v>
      </c>
      <c r="C286" s="4" t="s">
        <v>43</v>
      </c>
      <c r="D286" s="4" t="s">
        <v>44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44652</v>
      </c>
      <c r="J286" s="6">
        <v>0</v>
      </c>
      <c r="K286" s="6">
        <v>0</v>
      </c>
      <c r="L286" s="6">
        <v>475.54500000000002</v>
      </c>
      <c r="M286" s="6">
        <v>475.54500000000002</v>
      </c>
      <c r="N286" s="6">
        <v>475.54500000000002</v>
      </c>
      <c r="O286" s="6">
        <v>475.54500000000002</v>
      </c>
      <c r="P286" s="6">
        <v>0</v>
      </c>
      <c r="Q286" s="4" t="s">
        <v>26</v>
      </c>
      <c r="R286" s="4">
        <v>0</v>
      </c>
      <c r="S286" s="4" t="s">
        <v>221</v>
      </c>
      <c r="T286" s="4" t="s">
        <v>466</v>
      </c>
      <c r="U286" s="4">
        <v>0</v>
      </c>
      <c r="V286" s="4">
        <v>5</v>
      </c>
      <c r="W286" s="4">
        <v>75</v>
      </c>
    </row>
    <row r="287" spans="1:23" ht="11.25" customHeight="1" x14ac:dyDescent="0.25">
      <c r="A287" s="4" t="s">
        <v>28</v>
      </c>
      <c r="B287" s="4" t="s">
        <v>41</v>
      </c>
      <c r="C287" s="4" t="s">
        <v>43</v>
      </c>
      <c r="D287" s="4" t="s">
        <v>44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44652</v>
      </c>
      <c r="J287" s="6">
        <v>0</v>
      </c>
      <c r="K287" s="6">
        <v>0</v>
      </c>
      <c r="L287" s="6">
        <v>9.2379999999999995</v>
      </c>
      <c r="M287" s="6">
        <v>9.2379999999999995</v>
      </c>
      <c r="N287" s="6">
        <v>9.2379999999999995</v>
      </c>
      <c r="O287" s="6">
        <v>9.2379999999999995</v>
      </c>
      <c r="P287" s="6">
        <v>0</v>
      </c>
      <c r="Q287" s="4" t="s">
        <v>26</v>
      </c>
      <c r="R287" s="4">
        <v>0</v>
      </c>
      <c r="S287" s="4" t="s">
        <v>221</v>
      </c>
      <c r="T287" s="4" t="s">
        <v>466</v>
      </c>
      <c r="U287" s="4">
        <v>0</v>
      </c>
      <c r="V287" s="4">
        <v>5</v>
      </c>
      <c r="W287" s="4">
        <v>75</v>
      </c>
    </row>
    <row r="288" spans="1:23" ht="11.25" customHeight="1" x14ac:dyDescent="0.25">
      <c r="A288" s="4" t="s">
        <v>21</v>
      </c>
      <c r="B288" s="4" t="s">
        <v>41</v>
      </c>
      <c r="C288" s="4" t="s">
        <v>43</v>
      </c>
      <c r="D288" s="4" t="s">
        <v>44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6">
        <v>0</v>
      </c>
      <c r="L288" s="6">
        <v>535.92899999999997</v>
      </c>
      <c r="M288" s="6">
        <v>535.92899999999997</v>
      </c>
      <c r="N288" s="6">
        <v>535.92899999999997</v>
      </c>
      <c r="O288" s="6">
        <v>535.92899999999997</v>
      </c>
      <c r="P288" s="6">
        <v>0</v>
      </c>
      <c r="Q288" s="4" t="s">
        <v>26</v>
      </c>
      <c r="R288" s="4">
        <v>0</v>
      </c>
      <c r="S288" s="4" t="s">
        <v>222</v>
      </c>
      <c r="T288" s="4" t="s">
        <v>467</v>
      </c>
      <c r="U288" s="4">
        <v>0</v>
      </c>
      <c r="V288" s="4">
        <v>5</v>
      </c>
      <c r="W288" s="4">
        <v>75</v>
      </c>
    </row>
    <row r="289" spans="1:23" ht="11.25" customHeight="1" x14ac:dyDescent="0.25">
      <c r="A289" s="4" t="s">
        <v>28</v>
      </c>
      <c r="B289" s="4" t="s">
        <v>41</v>
      </c>
      <c r="C289" s="4" t="s">
        <v>43</v>
      </c>
      <c r="D289" s="4" t="s">
        <v>44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44682</v>
      </c>
      <c r="J289" s="6">
        <v>0</v>
      </c>
      <c r="K289" s="6">
        <v>0</v>
      </c>
      <c r="L289" s="6">
        <v>11.457000000000001</v>
      </c>
      <c r="M289" s="6">
        <v>11.457000000000001</v>
      </c>
      <c r="N289" s="6">
        <v>11.457000000000001</v>
      </c>
      <c r="O289" s="6">
        <v>11.457000000000001</v>
      </c>
      <c r="P289" s="6">
        <v>0</v>
      </c>
      <c r="Q289" s="4" t="s">
        <v>26</v>
      </c>
      <c r="R289" s="4">
        <v>0</v>
      </c>
      <c r="S289" s="4" t="s">
        <v>222</v>
      </c>
      <c r="T289" s="4" t="s">
        <v>467</v>
      </c>
      <c r="U289" s="4">
        <v>0</v>
      </c>
      <c r="V289" s="4">
        <v>5</v>
      </c>
      <c r="W289" s="4">
        <v>75</v>
      </c>
    </row>
    <row r="290" spans="1:23" ht="11.25" customHeight="1" x14ac:dyDescent="0.25">
      <c r="A290" s="4" t="s">
        <v>21</v>
      </c>
      <c r="B290" s="4" t="s">
        <v>41</v>
      </c>
      <c r="C290" s="4" t="s">
        <v>43</v>
      </c>
      <c r="D290" s="4" t="s">
        <v>44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44713</v>
      </c>
      <c r="J290" s="6">
        <v>0</v>
      </c>
      <c r="K290" s="6">
        <v>0</v>
      </c>
      <c r="L290" s="6">
        <v>542.22500000000002</v>
      </c>
      <c r="M290" s="6">
        <v>542.22500000000002</v>
      </c>
      <c r="N290" s="6">
        <v>542.22500000000002</v>
      </c>
      <c r="O290" s="6">
        <v>542.22500000000002</v>
      </c>
      <c r="P290" s="6">
        <v>0</v>
      </c>
      <c r="Q290" s="4" t="s">
        <v>26</v>
      </c>
      <c r="R290" s="4">
        <v>0</v>
      </c>
      <c r="S290" s="4" t="s">
        <v>223</v>
      </c>
      <c r="T290" s="4" t="s">
        <v>468</v>
      </c>
      <c r="U290" s="4">
        <v>0</v>
      </c>
      <c r="V290" s="4">
        <v>5</v>
      </c>
      <c r="W290" s="4">
        <v>75</v>
      </c>
    </row>
    <row r="291" spans="1:23" ht="11.25" customHeight="1" x14ac:dyDescent="0.25">
      <c r="A291" s="4" t="s">
        <v>27</v>
      </c>
      <c r="B291" s="4" t="s">
        <v>41</v>
      </c>
      <c r="C291" s="4" t="s">
        <v>43</v>
      </c>
      <c r="D291" s="4" t="s">
        <v>44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44713</v>
      </c>
      <c r="J291" s="6">
        <v>0</v>
      </c>
      <c r="K291" s="6">
        <v>0</v>
      </c>
      <c r="L291" s="6">
        <v>-0.20799999999999999</v>
      </c>
      <c r="M291" s="6">
        <v>-0.20799999999999999</v>
      </c>
      <c r="N291" s="6">
        <v>-0.20799999999999999</v>
      </c>
      <c r="O291" s="6">
        <v>-0.20799999999999999</v>
      </c>
      <c r="P291" s="6">
        <v>0</v>
      </c>
      <c r="Q291" s="4" t="s">
        <v>26</v>
      </c>
      <c r="R291" s="4">
        <v>0</v>
      </c>
      <c r="S291" s="4" t="s">
        <v>223</v>
      </c>
      <c r="T291" s="4" t="s">
        <v>468</v>
      </c>
      <c r="U291" s="4">
        <v>0</v>
      </c>
      <c r="V291" s="4">
        <v>5</v>
      </c>
      <c r="W291" s="4">
        <v>75</v>
      </c>
    </row>
    <row r="292" spans="1:23" ht="11.25" customHeight="1" x14ac:dyDescent="0.25">
      <c r="A292" s="4" t="s">
        <v>28</v>
      </c>
      <c r="B292" s="4" t="s">
        <v>41</v>
      </c>
      <c r="C292" s="4" t="s">
        <v>43</v>
      </c>
      <c r="D292" s="4" t="s">
        <v>44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44713</v>
      </c>
      <c r="J292" s="6">
        <v>0</v>
      </c>
      <c r="K292" s="6">
        <v>0</v>
      </c>
      <c r="L292" s="6">
        <v>8.0050000000000008</v>
      </c>
      <c r="M292" s="6">
        <v>8.0050000000000008</v>
      </c>
      <c r="N292" s="6">
        <v>8.0050000000000008</v>
      </c>
      <c r="O292" s="6">
        <v>8.0050000000000008</v>
      </c>
      <c r="P292" s="6">
        <v>0</v>
      </c>
      <c r="Q292" s="4" t="s">
        <v>26</v>
      </c>
      <c r="R292" s="4">
        <v>0</v>
      </c>
      <c r="S292" s="4" t="s">
        <v>223</v>
      </c>
      <c r="T292" s="4" t="s">
        <v>468</v>
      </c>
      <c r="U292" s="4">
        <v>0</v>
      </c>
      <c r="V292" s="4">
        <v>5</v>
      </c>
      <c r="W292" s="4">
        <v>75</v>
      </c>
    </row>
    <row r="293" spans="1:23" ht="11.25" customHeight="1" x14ac:dyDescent="0.25">
      <c r="A293" s="4" t="s">
        <v>21</v>
      </c>
      <c r="B293" s="4" t="s">
        <v>41</v>
      </c>
      <c r="C293" s="4" t="s">
        <v>43</v>
      </c>
      <c r="D293" s="4" t="s">
        <v>44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44743</v>
      </c>
      <c r="J293" s="6">
        <v>0</v>
      </c>
      <c r="K293" s="6">
        <v>0</v>
      </c>
      <c r="L293" s="6">
        <v>564.05899999999997</v>
      </c>
      <c r="M293" s="6">
        <v>564.05899999999997</v>
      </c>
      <c r="N293" s="6">
        <v>564.05899999999997</v>
      </c>
      <c r="O293" s="6">
        <v>564.05899999999997</v>
      </c>
      <c r="P293" s="6">
        <v>0</v>
      </c>
      <c r="Q293" s="4" t="s">
        <v>26</v>
      </c>
      <c r="R293" s="4">
        <v>0</v>
      </c>
      <c r="S293" s="4" t="s">
        <v>224</v>
      </c>
      <c r="T293" s="4" t="s">
        <v>469</v>
      </c>
      <c r="U293" s="4">
        <v>0</v>
      </c>
      <c r="V293" s="4">
        <v>5</v>
      </c>
      <c r="W293" s="4">
        <v>75</v>
      </c>
    </row>
    <row r="294" spans="1:23" ht="11.25" customHeight="1" x14ac:dyDescent="0.25">
      <c r="A294" s="4" t="s">
        <v>28</v>
      </c>
      <c r="B294" s="4" t="s">
        <v>41</v>
      </c>
      <c r="C294" s="4" t="s">
        <v>43</v>
      </c>
      <c r="D294" s="4" t="s">
        <v>44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44743</v>
      </c>
      <c r="J294" s="6">
        <v>0</v>
      </c>
      <c r="K294" s="6">
        <v>0</v>
      </c>
      <c r="L294" s="6">
        <v>7.3079999999999998</v>
      </c>
      <c r="M294" s="6">
        <v>7.3079999999999998</v>
      </c>
      <c r="N294" s="6">
        <v>7.3079999999999998</v>
      </c>
      <c r="O294" s="6">
        <v>7.3079999999999998</v>
      </c>
      <c r="P294" s="6">
        <v>0</v>
      </c>
      <c r="Q294" s="4" t="s">
        <v>26</v>
      </c>
      <c r="R294" s="4">
        <v>0</v>
      </c>
      <c r="S294" s="4" t="s">
        <v>224</v>
      </c>
      <c r="T294" s="4" t="s">
        <v>469</v>
      </c>
      <c r="U294" s="4">
        <v>0</v>
      </c>
      <c r="V294" s="4">
        <v>5</v>
      </c>
      <c r="W294" s="4">
        <v>75</v>
      </c>
    </row>
    <row r="295" spans="1:23" ht="11.25" customHeight="1" x14ac:dyDescent="0.25">
      <c r="A295" s="4" t="s">
        <v>21</v>
      </c>
      <c r="B295" s="4" t="s">
        <v>41</v>
      </c>
      <c r="C295" s="4" t="s">
        <v>43</v>
      </c>
      <c r="D295" s="4" t="s">
        <v>44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44774</v>
      </c>
      <c r="J295" s="6">
        <v>0</v>
      </c>
      <c r="K295" s="6">
        <v>0</v>
      </c>
      <c r="L295" s="6">
        <v>676.577</v>
      </c>
      <c r="M295" s="6">
        <v>676.577</v>
      </c>
      <c r="N295" s="6">
        <v>676.577</v>
      </c>
      <c r="O295" s="6">
        <v>676.577</v>
      </c>
      <c r="P295" s="6">
        <v>0</v>
      </c>
      <c r="Q295" s="4" t="s">
        <v>26</v>
      </c>
      <c r="R295" s="4">
        <v>0</v>
      </c>
      <c r="S295" s="4" t="s">
        <v>225</v>
      </c>
      <c r="T295" s="4" t="s">
        <v>470</v>
      </c>
      <c r="U295" s="4">
        <v>0</v>
      </c>
      <c r="V295" s="4">
        <v>5</v>
      </c>
      <c r="W295" s="4">
        <v>75</v>
      </c>
    </row>
    <row r="296" spans="1:23" ht="11.25" customHeight="1" x14ac:dyDescent="0.25">
      <c r="A296" s="4" t="s">
        <v>27</v>
      </c>
      <c r="B296" s="4" t="s">
        <v>41</v>
      </c>
      <c r="C296" s="4" t="s">
        <v>43</v>
      </c>
      <c r="D296" s="4" t="s">
        <v>44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44774</v>
      </c>
      <c r="J296" s="6">
        <v>0</v>
      </c>
      <c r="K296" s="6">
        <v>0</v>
      </c>
      <c r="L296" s="6">
        <v>-34.831000000000003</v>
      </c>
      <c r="M296" s="6">
        <v>-34.831000000000003</v>
      </c>
      <c r="N296" s="6">
        <v>-34.831000000000003</v>
      </c>
      <c r="O296" s="6">
        <v>-34.831000000000003</v>
      </c>
      <c r="P296" s="6">
        <v>0</v>
      </c>
      <c r="Q296" s="4" t="s">
        <v>26</v>
      </c>
      <c r="R296" s="4">
        <v>0</v>
      </c>
      <c r="S296" s="4" t="s">
        <v>225</v>
      </c>
      <c r="T296" s="4" t="s">
        <v>470</v>
      </c>
      <c r="U296" s="4">
        <v>0</v>
      </c>
      <c r="V296" s="4">
        <v>5</v>
      </c>
      <c r="W296" s="4">
        <v>75</v>
      </c>
    </row>
    <row r="297" spans="1:23" ht="11.25" customHeight="1" x14ac:dyDescent="0.25">
      <c r="A297" s="4" t="s">
        <v>28</v>
      </c>
      <c r="B297" s="4" t="s">
        <v>41</v>
      </c>
      <c r="C297" s="4" t="s">
        <v>43</v>
      </c>
      <c r="D297" s="4" t="s">
        <v>44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44774</v>
      </c>
      <c r="J297" s="6">
        <v>0</v>
      </c>
      <c r="K297" s="6">
        <v>0</v>
      </c>
      <c r="L297" s="6">
        <v>7.0030000000000001</v>
      </c>
      <c r="M297" s="6">
        <v>7.0030000000000001</v>
      </c>
      <c r="N297" s="6">
        <v>7.0030000000000001</v>
      </c>
      <c r="O297" s="6">
        <v>7.0030000000000001</v>
      </c>
      <c r="P297" s="6">
        <v>0</v>
      </c>
      <c r="Q297" s="4" t="s">
        <v>26</v>
      </c>
      <c r="R297" s="4">
        <v>0</v>
      </c>
      <c r="S297" s="4" t="s">
        <v>225</v>
      </c>
      <c r="T297" s="4" t="s">
        <v>470</v>
      </c>
      <c r="U297" s="4">
        <v>0</v>
      </c>
      <c r="V297" s="4">
        <v>5</v>
      </c>
      <c r="W297" s="4">
        <v>75</v>
      </c>
    </row>
    <row r="298" spans="1:23" ht="11.25" customHeight="1" x14ac:dyDescent="0.25">
      <c r="A298" s="4" t="s">
        <v>21</v>
      </c>
      <c r="B298" s="4" t="s">
        <v>41</v>
      </c>
      <c r="C298" s="4" t="s">
        <v>43</v>
      </c>
      <c r="D298" s="4" t="s">
        <v>44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44805</v>
      </c>
      <c r="J298" s="6">
        <v>0</v>
      </c>
      <c r="K298" s="6">
        <v>0</v>
      </c>
      <c r="L298" s="6">
        <v>639.61699999999996</v>
      </c>
      <c r="M298" s="6">
        <v>639.61699999999996</v>
      </c>
      <c r="N298" s="6">
        <v>639.61699999999996</v>
      </c>
      <c r="O298" s="6">
        <v>639.61699999999996</v>
      </c>
      <c r="P298" s="6">
        <v>0</v>
      </c>
      <c r="Q298" s="4" t="s">
        <v>26</v>
      </c>
      <c r="R298" s="4">
        <v>0</v>
      </c>
      <c r="S298" s="4" t="s">
        <v>226</v>
      </c>
      <c r="T298" s="4" t="s">
        <v>471</v>
      </c>
      <c r="U298" s="4">
        <v>0</v>
      </c>
      <c r="V298" s="4">
        <v>5</v>
      </c>
      <c r="W298" s="4">
        <v>75</v>
      </c>
    </row>
    <row r="299" spans="1:23" ht="11.25" customHeight="1" x14ac:dyDescent="0.25">
      <c r="A299" s="4" t="s">
        <v>27</v>
      </c>
      <c r="B299" s="4" t="s">
        <v>41</v>
      </c>
      <c r="C299" s="4" t="s">
        <v>43</v>
      </c>
      <c r="D299" s="4" t="s">
        <v>44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44805</v>
      </c>
      <c r="J299" s="6">
        <v>0</v>
      </c>
      <c r="K299" s="6">
        <v>0</v>
      </c>
      <c r="L299" s="6">
        <v>8.4489999999999998</v>
      </c>
      <c r="M299" s="6">
        <v>8.4489999999999998</v>
      </c>
      <c r="N299" s="6">
        <v>8.4489999999999998</v>
      </c>
      <c r="O299" s="6">
        <v>8.4489999999999998</v>
      </c>
      <c r="P299" s="6">
        <v>0</v>
      </c>
      <c r="Q299" s="4" t="s">
        <v>26</v>
      </c>
      <c r="R299" s="4">
        <v>0</v>
      </c>
      <c r="S299" s="4" t="s">
        <v>226</v>
      </c>
      <c r="T299" s="4" t="s">
        <v>471</v>
      </c>
      <c r="U299" s="4">
        <v>0</v>
      </c>
      <c r="V299" s="4">
        <v>5</v>
      </c>
      <c r="W299" s="4">
        <v>75</v>
      </c>
    </row>
    <row r="300" spans="1:23" ht="11.25" customHeight="1" x14ac:dyDescent="0.25">
      <c r="A300" s="4" t="s">
        <v>28</v>
      </c>
      <c r="B300" s="4" t="s">
        <v>41</v>
      </c>
      <c r="C300" s="4" t="s">
        <v>43</v>
      </c>
      <c r="D300" s="4" t="s">
        <v>44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44805</v>
      </c>
      <c r="J300" s="6">
        <v>0</v>
      </c>
      <c r="K300" s="6">
        <v>0</v>
      </c>
      <c r="L300" s="6">
        <v>5.0990000000000002</v>
      </c>
      <c r="M300" s="6">
        <v>5.0990000000000002</v>
      </c>
      <c r="N300" s="6">
        <v>5.0990000000000002</v>
      </c>
      <c r="O300" s="6">
        <v>5.0990000000000002</v>
      </c>
      <c r="P300" s="6">
        <v>0</v>
      </c>
      <c r="Q300" s="4" t="s">
        <v>26</v>
      </c>
      <c r="R300" s="4">
        <v>0</v>
      </c>
      <c r="S300" s="4" t="s">
        <v>226</v>
      </c>
      <c r="T300" s="4" t="s">
        <v>471</v>
      </c>
      <c r="U300" s="4">
        <v>0</v>
      </c>
      <c r="V300" s="4">
        <v>5</v>
      </c>
      <c r="W300" s="4">
        <v>75</v>
      </c>
    </row>
    <row r="301" spans="1:23" ht="11.25" customHeight="1" x14ac:dyDescent="0.25">
      <c r="A301" s="4" t="s">
        <v>21</v>
      </c>
      <c r="B301" s="4" t="s">
        <v>41</v>
      </c>
      <c r="C301" s="4" t="s">
        <v>43</v>
      </c>
      <c r="D301" s="4" t="s">
        <v>44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44835</v>
      </c>
      <c r="J301" s="6">
        <v>0</v>
      </c>
      <c r="K301" s="6">
        <v>0</v>
      </c>
      <c r="L301" s="6">
        <v>620.55999999999995</v>
      </c>
      <c r="M301" s="6">
        <v>620.55999999999995</v>
      </c>
      <c r="N301" s="6">
        <v>620.55999999999995</v>
      </c>
      <c r="O301" s="6">
        <v>620.55999999999995</v>
      </c>
      <c r="P301" s="6">
        <v>0</v>
      </c>
      <c r="Q301" s="4" t="s">
        <v>26</v>
      </c>
      <c r="R301" s="4">
        <v>0</v>
      </c>
      <c r="S301" s="4" t="s">
        <v>227</v>
      </c>
      <c r="T301" s="4" t="s">
        <v>472</v>
      </c>
      <c r="U301" s="4">
        <v>0</v>
      </c>
      <c r="V301" s="4">
        <v>5</v>
      </c>
      <c r="W301" s="4">
        <v>75</v>
      </c>
    </row>
    <row r="302" spans="1:23" ht="11.25" customHeight="1" x14ac:dyDescent="0.25">
      <c r="A302" s="4" t="s">
        <v>27</v>
      </c>
      <c r="B302" s="4" t="s">
        <v>41</v>
      </c>
      <c r="C302" s="4" t="s">
        <v>43</v>
      </c>
      <c r="D302" s="4" t="s">
        <v>44</v>
      </c>
      <c r="E302" s="4" t="s">
        <v>25</v>
      </c>
      <c r="F302" s="4" t="s">
        <v>25</v>
      </c>
      <c r="G302" s="4" t="s">
        <v>25</v>
      </c>
      <c r="H302" s="4" t="s">
        <v>34</v>
      </c>
      <c r="I302" s="5">
        <v>44835</v>
      </c>
      <c r="J302" s="6">
        <v>0</v>
      </c>
      <c r="K302" s="6">
        <v>0</v>
      </c>
      <c r="L302" s="6">
        <v>-12.052</v>
      </c>
      <c r="M302" s="6">
        <v>-12.052</v>
      </c>
      <c r="N302" s="6">
        <v>-12.052</v>
      </c>
      <c r="O302" s="6">
        <v>-12.052</v>
      </c>
      <c r="P302" s="6">
        <v>0</v>
      </c>
      <c r="Q302" s="4" t="s">
        <v>26</v>
      </c>
      <c r="R302" s="4">
        <v>0</v>
      </c>
      <c r="S302" s="4" t="s">
        <v>227</v>
      </c>
      <c r="T302" s="4" t="s">
        <v>472</v>
      </c>
      <c r="U302" s="4">
        <v>0</v>
      </c>
      <c r="V302" s="4">
        <v>5</v>
      </c>
      <c r="W302" s="4">
        <v>75</v>
      </c>
    </row>
    <row r="303" spans="1:23" ht="11.25" customHeight="1" x14ac:dyDescent="0.25">
      <c r="A303" s="4" t="s">
        <v>28</v>
      </c>
      <c r="B303" s="4" t="s">
        <v>41</v>
      </c>
      <c r="C303" s="4" t="s">
        <v>43</v>
      </c>
      <c r="D303" s="4" t="s">
        <v>44</v>
      </c>
      <c r="E303" s="4" t="s">
        <v>25</v>
      </c>
      <c r="F303" s="4" t="s">
        <v>25</v>
      </c>
      <c r="G303" s="4" t="s">
        <v>25</v>
      </c>
      <c r="H303" s="4" t="s">
        <v>34</v>
      </c>
      <c r="I303" s="5">
        <v>44835</v>
      </c>
      <c r="J303" s="6">
        <v>0</v>
      </c>
      <c r="K303" s="6">
        <v>0</v>
      </c>
      <c r="L303" s="6">
        <v>12.87</v>
      </c>
      <c r="M303" s="6">
        <v>12.87</v>
      </c>
      <c r="N303" s="6">
        <v>12.87</v>
      </c>
      <c r="O303" s="6">
        <v>12.87</v>
      </c>
      <c r="P303" s="6">
        <v>0</v>
      </c>
      <c r="Q303" s="4" t="s">
        <v>26</v>
      </c>
      <c r="R303" s="4">
        <v>0</v>
      </c>
      <c r="S303" s="4" t="s">
        <v>227</v>
      </c>
      <c r="T303" s="4" t="s">
        <v>472</v>
      </c>
      <c r="U303" s="4">
        <v>0</v>
      </c>
      <c r="V303" s="4">
        <v>5</v>
      </c>
      <c r="W303" s="4">
        <v>75</v>
      </c>
    </row>
    <row r="304" spans="1:23" ht="11.25" customHeight="1" x14ac:dyDescent="0.25">
      <c r="A304" s="4" t="s">
        <v>54</v>
      </c>
      <c r="B304" s="4" t="s">
        <v>41</v>
      </c>
      <c r="C304" s="4" t="s">
        <v>43</v>
      </c>
      <c r="D304" s="4" t="s">
        <v>44</v>
      </c>
      <c r="E304" s="4" t="s">
        <v>25</v>
      </c>
      <c r="F304" s="4" t="s">
        <v>25</v>
      </c>
      <c r="G304" s="4" t="s">
        <v>25</v>
      </c>
      <c r="H304" s="4" t="s">
        <v>34</v>
      </c>
      <c r="I304" s="5">
        <v>44866</v>
      </c>
      <c r="J304" s="6">
        <v>0</v>
      </c>
      <c r="K304" s="6">
        <v>0</v>
      </c>
      <c r="L304" s="6">
        <v>620.55999999999995</v>
      </c>
      <c r="M304" s="6">
        <v>620.55999999999995</v>
      </c>
      <c r="N304" s="6">
        <v>620.55999999999995</v>
      </c>
      <c r="O304" s="6">
        <v>620.55999999999995</v>
      </c>
      <c r="P304" s="6">
        <v>0</v>
      </c>
      <c r="Q304" s="4" t="s">
        <v>26</v>
      </c>
      <c r="R304" s="4">
        <v>0</v>
      </c>
      <c r="S304" s="4" t="s">
        <v>228</v>
      </c>
      <c r="T304" s="4" t="s">
        <v>473</v>
      </c>
      <c r="U304" s="4">
        <v>0</v>
      </c>
      <c r="V304" s="4">
        <v>5</v>
      </c>
      <c r="W304" s="4">
        <v>75</v>
      </c>
    </row>
    <row r="305" spans="1:23" ht="11.25" customHeight="1" x14ac:dyDescent="0.25">
      <c r="A305" s="4" t="s">
        <v>54</v>
      </c>
      <c r="B305" s="4" t="s">
        <v>41</v>
      </c>
      <c r="C305" s="4" t="s">
        <v>43</v>
      </c>
      <c r="D305" s="4" t="s">
        <v>44</v>
      </c>
      <c r="E305" s="4" t="s">
        <v>25</v>
      </c>
      <c r="F305" s="4" t="s">
        <v>25</v>
      </c>
      <c r="G305" s="4" t="s">
        <v>25</v>
      </c>
      <c r="H305" s="4" t="s">
        <v>34</v>
      </c>
      <c r="I305" s="5">
        <v>44866</v>
      </c>
      <c r="J305" s="6">
        <v>0</v>
      </c>
      <c r="K305" s="6">
        <v>0</v>
      </c>
      <c r="L305" s="6">
        <v>-12.052</v>
      </c>
      <c r="M305" s="6">
        <v>-12.052</v>
      </c>
      <c r="N305" s="6">
        <v>-12.052</v>
      </c>
      <c r="O305" s="6">
        <v>-12.052</v>
      </c>
      <c r="P305" s="6">
        <v>0</v>
      </c>
      <c r="Q305" s="4" t="s">
        <v>26</v>
      </c>
      <c r="R305" s="4">
        <v>0</v>
      </c>
      <c r="S305" s="4" t="s">
        <v>228</v>
      </c>
      <c r="T305" s="4" t="s">
        <v>473</v>
      </c>
      <c r="U305" s="4">
        <v>0</v>
      </c>
      <c r="V305" s="4">
        <v>5</v>
      </c>
      <c r="W305" s="4">
        <v>75</v>
      </c>
    </row>
    <row r="306" spans="1:23" ht="11.25" customHeight="1" x14ac:dyDescent="0.25">
      <c r="A306" s="4" t="s">
        <v>54</v>
      </c>
      <c r="B306" s="4" t="s">
        <v>41</v>
      </c>
      <c r="C306" s="4" t="s">
        <v>43</v>
      </c>
      <c r="D306" s="4" t="s">
        <v>44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44866</v>
      </c>
      <c r="J306" s="6">
        <v>0</v>
      </c>
      <c r="K306" s="6">
        <v>0</v>
      </c>
      <c r="L306" s="6">
        <v>12.87</v>
      </c>
      <c r="M306" s="6">
        <v>12.87</v>
      </c>
      <c r="N306" s="6">
        <v>12.87</v>
      </c>
      <c r="O306" s="6">
        <v>12.87</v>
      </c>
      <c r="P306" s="6">
        <v>0</v>
      </c>
      <c r="Q306" s="4" t="s">
        <v>26</v>
      </c>
      <c r="R306" s="4">
        <v>0</v>
      </c>
      <c r="S306" s="4" t="s">
        <v>228</v>
      </c>
      <c r="T306" s="4" t="s">
        <v>473</v>
      </c>
      <c r="U306" s="4">
        <v>0</v>
      </c>
      <c r="V306" s="4">
        <v>5</v>
      </c>
      <c r="W306" s="4">
        <v>75</v>
      </c>
    </row>
    <row r="307" spans="1:23" ht="11.25" customHeight="1" x14ac:dyDescent="0.25">
      <c r="A307" s="4" t="s">
        <v>21</v>
      </c>
      <c r="B307" s="4" t="s">
        <v>41</v>
      </c>
      <c r="C307" s="4" t="s">
        <v>43</v>
      </c>
      <c r="D307" s="4" t="s">
        <v>53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44531</v>
      </c>
      <c r="J307" s="6">
        <v>0</v>
      </c>
      <c r="K307" s="6">
        <v>0</v>
      </c>
      <c r="L307" s="6">
        <v>10.906000000000001</v>
      </c>
      <c r="M307" s="6">
        <v>10.906000000000001</v>
      </c>
      <c r="N307" s="6">
        <v>10.906000000000001</v>
      </c>
      <c r="O307" s="6">
        <v>10.906000000000001</v>
      </c>
      <c r="P307" s="6">
        <v>0</v>
      </c>
      <c r="Q307" s="4" t="s">
        <v>26</v>
      </c>
      <c r="R307" s="4">
        <v>0</v>
      </c>
      <c r="S307" s="4" t="s">
        <v>193</v>
      </c>
      <c r="T307" s="4" t="s">
        <v>450</v>
      </c>
      <c r="U307" s="4">
        <v>0</v>
      </c>
      <c r="V307" s="4">
        <v>7</v>
      </c>
      <c r="W307" s="4">
        <v>76</v>
      </c>
    </row>
    <row r="308" spans="1:23" ht="11.25" customHeight="1" x14ac:dyDescent="0.25">
      <c r="A308" s="4" t="s">
        <v>21</v>
      </c>
      <c r="B308" s="4" t="s">
        <v>41</v>
      </c>
      <c r="C308" s="4" t="s">
        <v>43</v>
      </c>
      <c r="D308" s="4" t="s">
        <v>53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44562</v>
      </c>
      <c r="J308" s="6">
        <v>0</v>
      </c>
      <c r="K308" s="6">
        <v>0</v>
      </c>
      <c r="L308" s="6">
        <v>9.2889999999999997</v>
      </c>
      <c r="M308" s="6">
        <v>9.2889999999999997</v>
      </c>
      <c r="N308" s="6">
        <v>9.2889999999999997</v>
      </c>
      <c r="O308" s="6">
        <v>9.2889999999999997</v>
      </c>
      <c r="P308" s="6">
        <v>0</v>
      </c>
      <c r="Q308" s="4" t="s">
        <v>26</v>
      </c>
      <c r="R308" s="4">
        <v>0</v>
      </c>
      <c r="S308" s="4" t="s">
        <v>194</v>
      </c>
      <c r="T308" s="4" t="s">
        <v>451</v>
      </c>
      <c r="U308" s="4">
        <v>0</v>
      </c>
      <c r="V308" s="4">
        <v>7</v>
      </c>
      <c r="W308" s="4">
        <v>76</v>
      </c>
    </row>
    <row r="309" spans="1:23" ht="11.25" customHeight="1" x14ac:dyDescent="0.25">
      <c r="A309" s="4" t="s">
        <v>21</v>
      </c>
      <c r="B309" s="4" t="s">
        <v>41</v>
      </c>
      <c r="C309" s="4" t="s">
        <v>43</v>
      </c>
      <c r="D309" s="4" t="s">
        <v>53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44593</v>
      </c>
      <c r="J309" s="6">
        <v>0</v>
      </c>
      <c r="K309" s="6">
        <v>0</v>
      </c>
      <c r="L309" s="6">
        <v>11.365</v>
      </c>
      <c r="M309" s="6">
        <v>11.365</v>
      </c>
      <c r="N309" s="6">
        <v>11.365</v>
      </c>
      <c r="O309" s="6">
        <v>11.365</v>
      </c>
      <c r="P309" s="6">
        <v>0</v>
      </c>
      <c r="Q309" s="4" t="s">
        <v>26</v>
      </c>
      <c r="R309" s="4">
        <v>0</v>
      </c>
      <c r="S309" s="4" t="s">
        <v>195</v>
      </c>
      <c r="T309" s="4" t="s">
        <v>452</v>
      </c>
      <c r="U309" s="4">
        <v>0</v>
      </c>
      <c r="V309" s="4">
        <v>7</v>
      </c>
      <c r="W309" s="4">
        <v>76</v>
      </c>
    </row>
    <row r="310" spans="1:23" ht="11.25" customHeight="1" x14ac:dyDescent="0.25">
      <c r="A310" s="4" t="s">
        <v>21</v>
      </c>
      <c r="B310" s="4" t="s">
        <v>41</v>
      </c>
      <c r="C310" s="4" t="s">
        <v>43</v>
      </c>
      <c r="D310" s="4" t="s">
        <v>53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44621</v>
      </c>
      <c r="J310" s="6">
        <v>0</v>
      </c>
      <c r="K310" s="6">
        <v>0</v>
      </c>
      <c r="L310" s="6">
        <v>12.824999999999999</v>
      </c>
      <c r="M310" s="6">
        <v>12.824999999999999</v>
      </c>
      <c r="N310" s="6">
        <v>12.824999999999999</v>
      </c>
      <c r="O310" s="6">
        <v>12.824999999999999</v>
      </c>
      <c r="P310" s="6">
        <v>0</v>
      </c>
      <c r="Q310" s="4" t="s">
        <v>26</v>
      </c>
      <c r="R310" s="4">
        <v>0</v>
      </c>
      <c r="S310" s="4" t="s">
        <v>196</v>
      </c>
      <c r="T310" s="4" t="s">
        <v>453</v>
      </c>
      <c r="U310" s="4">
        <v>0</v>
      </c>
      <c r="V310" s="4">
        <v>7</v>
      </c>
      <c r="W310" s="4">
        <v>76</v>
      </c>
    </row>
    <row r="311" spans="1:23" ht="11.25" customHeight="1" x14ac:dyDescent="0.25">
      <c r="A311" s="4" t="s">
        <v>21</v>
      </c>
      <c r="B311" s="4" t="s">
        <v>41</v>
      </c>
      <c r="C311" s="4" t="s">
        <v>43</v>
      </c>
      <c r="D311" s="4" t="s">
        <v>53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44652</v>
      </c>
      <c r="J311" s="6">
        <v>0</v>
      </c>
      <c r="K311" s="6">
        <v>0</v>
      </c>
      <c r="L311" s="6">
        <v>11.499000000000001</v>
      </c>
      <c r="M311" s="6">
        <v>11.499000000000001</v>
      </c>
      <c r="N311" s="6">
        <v>11.499000000000001</v>
      </c>
      <c r="O311" s="6">
        <v>11.499000000000001</v>
      </c>
      <c r="P311" s="6">
        <v>0</v>
      </c>
      <c r="Q311" s="4" t="s">
        <v>26</v>
      </c>
      <c r="R311" s="4">
        <v>0</v>
      </c>
      <c r="S311" s="4" t="s">
        <v>197</v>
      </c>
      <c r="T311" s="4" t="s">
        <v>454</v>
      </c>
      <c r="U311" s="4">
        <v>0</v>
      </c>
      <c r="V311" s="4">
        <v>7</v>
      </c>
      <c r="W311" s="4">
        <v>76</v>
      </c>
    </row>
    <row r="312" spans="1:23" ht="11.25" customHeight="1" x14ac:dyDescent="0.25">
      <c r="A312" s="4" t="s">
        <v>21</v>
      </c>
      <c r="B312" s="4" t="s">
        <v>41</v>
      </c>
      <c r="C312" s="4" t="s">
        <v>43</v>
      </c>
      <c r="D312" s="4" t="s">
        <v>53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44682</v>
      </c>
      <c r="J312" s="6">
        <v>0</v>
      </c>
      <c r="K312" s="6">
        <v>0</v>
      </c>
      <c r="L312" s="6">
        <v>14.749000000000001</v>
      </c>
      <c r="M312" s="6">
        <v>14.749000000000001</v>
      </c>
      <c r="N312" s="6">
        <v>14.749000000000001</v>
      </c>
      <c r="O312" s="6">
        <v>14.749000000000001</v>
      </c>
      <c r="P312" s="6">
        <v>0</v>
      </c>
      <c r="Q312" s="4" t="s">
        <v>26</v>
      </c>
      <c r="R312" s="4">
        <v>0</v>
      </c>
      <c r="S312" s="4" t="s">
        <v>198</v>
      </c>
      <c r="T312" s="4" t="s">
        <v>455</v>
      </c>
      <c r="U312" s="4">
        <v>0</v>
      </c>
      <c r="V312" s="4">
        <v>7</v>
      </c>
      <c r="W312" s="4">
        <v>76</v>
      </c>
    </row>
    <row r="313" spans="1:23" ht="11.25" customHeight="1" x14ac:dyDescent="0.25">
      <c r="A313" s="4" t="s">
        <v>21</v>
      </c>
      <c r="B313" s="4" t="s">
        <v>41</v>
      </c>
      <c r="C313" s="4" t="s">
        <v>43</v>
      </c>
      <c r="D313" s="4" t="s">
        <v>53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44713</v>
      </c>
      <c r="J313" s="6">
        <v>0</v>
      </c>
      <c r="K313" s="6">
        <v>0</v>
      </c>
      <c r="L313" s="6">
        <v>15.952999999999999</v>
      </c>
      <c r="M313" s="6">
        <v>15.952999999999999</v>
      </c>
      <c r="N313" s="6">
        <v>15.952999999999999</v>
      </c>
      <c r="O313" s="6">
        <v>15.952999999999999</v>
      </c>
      <c r="P313" s="6">
        <v>0</v>
      </c>
      <c r="Q313" s="4" t="s">
        <v>26</v>
      </c>
      <c r="R313" s="4">
        <v>0</v>
      </c>
      <c r="S313" s="4" t="s">
        <v>199</v>
      </c>
      <c r="T313" s="4" t="s">
        <v>456</v>
      </c>
      <c r="U313" s="4">
        <v>0</v>
      </c>
      <c r="V313" s="4">
        <v>7</v>
      </c>
      <c r="W313" s="4">
        <v>76</v>
      </c>
    </row>
    <row r="314" spans="1:23" ht="11.25" customHeight="1" x14ac:dyDescent="0.25">
      <c r="A314" s="4" t="s">
        <v>21</v>
      </c>
      <c r="B314" s="4" t="s">
        <v>41</v>
      </c>
      <c r="C314" s="4" t="s">
        <v>43</v>
      </c>
      <c r="D314" s="4" t="s">
        <v>53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44743</v>
      </c>
      <c r="J314" s="6">
        <v>0</v>
      </c>
      <c r="K314" s="6">
        <v>0</v>
      </c>
      <c r="L314" s="6">
        <v>7.33</v>
      </c>
      <c r="M314" s="6">
        <v>7.33</v>
      </c>
      <c r="N314" s="6">
        <v>7.33</v>
      </c>
      <c r="O314" s="6">
        <v>7.33</v>
      </c>
      <c r="P314" s="6">
        <v>0</v>
      </c>
      <c r="Q314" s="4" t="s">
        <v>26</v>
      </c>
      <c r="R314" s="4">
        <v>0</v>
      </c>
      <c r="S314" s="4" t="s">
        <v>200</v>
      </c>
      <c r="T314" s="4" t="s">
        <v>457</v>
      </c>
      <c r="U314" s="4">
        <v>0</v>
      </c>
      <c r="V314" s="4">
        <v>7</v>
      </c>
      <c r="W314" s="4">
        <v>76</v>
      </c>
    </row>
    <row r="315" spans="1:23" ht="11.25" customHeight="1" x14ac:dyDescent="0.25">
      <c r="A315" s="4" t="s">
        <v>21</v>
      </c>
      <c r="B315" s="4" t="s">
        <v>41</v>
      </c>
      <c r="C315" s="4" t="s">
        <v>43</v>
      </c>
      <c r="D315" s="4" t="s">
        <v>53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44774</v>
      </c>
      <c r="J315" s="6">
        <v>0</v>
      </c>
      <c r="K315" s="6">
        <v>0</v>
      </c>
      <c r="L315" s="6">
        <v>8.3680000000000003</v>
      </c>
      <c r="M315" s="6">
        <v>8.3680000000000003</v>
      </c>
      <c r="N315" s="6">
        <v>8.3680000000000003</v>
      </c>
      <c r="O315" s="6">
        <v>8.3680000000000003</v>
      </c>
      <c r="P315" s="6">
        <v>0</v>
      </c>
      <c r="Q315" s="4" t="s">
        <v>26</v>
      </c>
      <c r="R315" s="4">
        <v>0</v>
      </c>
      <c r="S315" s="4" t="s">
        <v>201</v>
      </c>
      <c r="T315" s="4" t="s">
        <v>458</v>
      </c>
      <c r="U315" s="4">
        <v>0</v>
      </c>
      <c r="V315" s="4">
        <v>7</v>
      </c>
      <c r="W315" s="4">
        <v>76</v>
      </c>
    </row>
    <row r="316" spans="1:23" ht="11.25" customHeight="1" x14ac:dyDescent="0.25">
      <c r="A316" s="4" t="s">
        <v>21</v>
      </c>
      <c r="B316" s="4" t="s">
        <v>41</v>
      </c>
      <c r="C316" s="4" t="s">
        <v>43</v>
      </c>
      <c r="D316" s="4" t="s">
        <v>53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44805</v>
      </c>
      <c r="J316" s="6">
        <v>0</v>
      </c>
      <c r="K316" s="6">
        <v>0</v>
      </c>
      <c r="L316" s="6">
        <v>7.6829999999999998</v>
      </c>
      <c r="M316" s="6">
        <v>7.6829999999999998</v>
      </c>
      <c r="N316" s="6">
        <v>7.6829999999999998</v>
      </c>
      <c r="O316" s="6">
        <v>7.6829999999999998</v>
      </c>
      <c r="P316" s="6">
        <v>0</v>
      </c>
      <c r="Q316" s="4" t="s">
        <v>26</v>
      </c>
      <c r="R316" s="4">
        <v>0</v>
      </c>
      <c r="S316" s="4" t="s">
        <v>202</v>
      </c>
      <c r="T316" s="4" t="s">
        <v>459</v>
      </c>
      <c r="U316" s="4">
        <v>0</v>
      </c>
      <c r="V316" s="4">
        <v>7</v>
      </c>
      <c r="W316" s="4">
        <v>76</v>
      </c>
    </row>
    <row r="317" spans="1:23" ht="11.25" customHeight="1" x14ac:dyDescent="0.25">
      <c r="A317" s="4" t="s">
        <v>21</v>
      </c>
      <c r="B317" s="4" t="s">
        <v>41</v>
      </c>
      <c r="C317" s="4" t="s">
        <v>43</v>
      </c>
      <c r="D317" s="4" t="s">
        <v>53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44835</v>
      </c>
      <c r="J317" s="6">
        <v>0</v>
      </c>
      <c r="K317" s="6">
        <v>0</v>
      </c>
      <c r="L317" s="6">
        <v>13.304</v>
      </c>
      <c r="M317" s="6">
        <v>13.304</v>
      </c>
      <c r="N317" s="6">
        <v>13.304</v>
      </c>
      <c r="O317" s="6">
        <v>13.304</v>
      </c>
      <c r="P317" s="6">
        <v>0</v>
      </c>
      <c r="Q317" s="4" t="s">
        <v>26</v>
      </c>
      <c r="R317" s="4">
        <v>0</v>
      </c>
      <c r="S317" s="4" t="s">
        <v>203</v>
      </c>
      <c r="T317" s="4" t="s">
        <v>460</v>
      </c>
      <c r="U317" s="4">
        <v>0</v>
      </c>
      <c r="V317" s="4">
        <v>7</v>
      </c>
      <c r="W317" s="4">
        <v>76</v>
      </c>
    </row>
    <row r="318" spans="1:23" ht="11.25" customHeight="1" x14ac:dyDescent="0.25">
      <c r="A318" s="4" t="s">
        <v>54</v>
      </c>
      <c r="B318" s="4" t="s">
        <v>41</v>
      </c>
      <c r="C318" s="4" t="s">
        <v>43</v>
      </c>
      <c r="D318" s="4" t="s">
        <v>53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44866</v>
      </c>
      <c r="J318" s="6">
        <v>0</v>
      </c>
      <c r="K318" s="6">
        <v>0</v>
      </c>
      <c r="L318" s="6">
        <v>13.304</v>
      </c>
      <c r="M318" s="6">
        <v>13.304</v>
      </c>
      <c r="N318" s="6">
        <v>13.304</v>
      </c>
      <c r="O318" s="6">
        <v>13.304</v>
      </c>
      <c r="P318" s="6">
        <v>0</v>
      </c>
      <c r="Q318" s="4" t="s">
        <v>26</v>
      </c>
      <c r="R318" s="4">
        <v>0</v>
      </c>
      <c r="S318" s="4" t="s">
        <v>204</v>
      </c>
      <c r="T318" s="4" t="s">
        <v>461</v>
      </c>
      <c r="U318" s="4">
        <v>0</v>
      </c>
      <c r="V318" s="4">
        <v>7</v>
      </c>
      <c r="W318" s="4">
        <v>76</v>
      </c>
    </row>
    <row r="319" spans="1:23" ht="11.25" customHeight="1" x14ac:dyDescent="0.25">
      <c r="A319" s="4" t="s">
        <v>21</v>
      </c>
      <c r="B319" s="4" t="s">
        <v>41</v>
      </c>
      <c r="C319" s="4" t="s">
        <v>43</v>
      </c>
      <c r="D319" s="4" t="s">
        <v>53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44531</v>
      </c>
      <c r="J319" s="6">
        <v>155</v>
      </c>
      <c r="K319" s="6">
        <v>155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4" t="s">
        <v>26</v>
      </c>
      <c r="R319" s="4">
        <v>0</v>
      </c>
      <c r="S319" s="4" t="s">
        <v>205</v>
      </c>
      <c r="U319" s="4">
        <v>2</v>
      </c>
      <c r="V319" s="4">
        <v>0</v>
      </c>
      <c r="W319" s="4">
        <v>0</v>
      </c>
    </row>
    <row r="320" spans="1:23" ht="11.25" customHeight="1" x14ac:dyDescent="0.25">
      <c r="A320" s="4" t="s">
        <v>21</v>
      </c>
      <c r="B320" s="4" t="s">
        <v>41</v>
      </c>
      <c r="C320" s="4" t="s">
        <v>43</v>
      </c>
      <c r="D320" s="4" t="s">
        <v>53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44562</v>
      </c>
      <c r="J320" s="6">
        <v>155</v>
      </c>
      <c r="K320" s="6">
        <v>155</v>
      </c>
      <c r="L320" s="6">
        <v>0</v>
      </c>
      <c r="M320" s="6">
        <v>0</v>
      </c>
      <c r="N320" s="6">
        <v>0</v>
      </c>
      <c r="O320" s="6">
        <v>0</v>
      </c>
      <c r="P320" s="6">
        <v>1</v>
      </c>
      <c r="Q320" s="4" t="s">
        <v>26</v>
      </c>
      <c r="R320" s="4">
        <v>0</v>
      </c>
      <c r="S320" s="4" t="s">
        <v>206</v>
      </c>
      <c r="U320" s="4">
        <v>2</v>
      </c>
      <c r="V320" s="4">
        <v>0</v>
      </c>
      <c r="W320" s="4">
        <v>0</v>
      </c>
    </row>
    <row r="321" spans="1:23" ht="11.25" customHeight="1" x14ac:dyDescent="0.25">
      <c r="A321" s="4" t="s">
        <v>21</v>
      </c>
      <c r="B321" s="4" t="s">
        <v>41</v>
      </c>
      <c r="C321" s="4" t="s">
        <v>43</v>
      </c>
      <c r="D321" s="4" t="s">
        <v>53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44593</v>
      </c>
      <c r="J321" s="6">
        <v>155</v>
      </c>
      <c r="K321" s="6">
        <v>155</v>
      </c>
      <c r="L321" s="6">
        <v>0</v>
      </c>
      <c r="M321" s="6">
        <v>0</v>
      </c>
      <c r="N321" s="6">
        <v>0</v>
      </c>
      <c r="O321" s="6">
        <v>0</v>
      </c>
      <c r="P321" s="6">
        <v>1</v>
      </c>
      <c r="Q321" s="4" t="s">
        <v>26</v>
      </c>
      <c r="R321" s="4">
        <v>0</v>
      </c>
      <c r="S321" s="4" t="s">
        <v>207</v>
      </c>
      <c r="U321" s="4">
        <v>2</v>
      </c>
      <c r="V321" s="4">
        <v>0</v>
      </c>
      <c r="W321" s="4">
        <v>0</v>
      </c>
    </row>
    <row r="322" spans="1:23" ht="11.25" customHeight="1" x14ac:dyDescent="0.25">
      <c r="A322" s="4" t="s">
        <v>21</v>
      </c>
      <c r="B322" s="4" t="s">
        <v>41</v>
      </c>
      <c r="C322" s="4" t="s">
        <v>43</v>
      </c>
      <c r="D322" s="4" t="s">
        <v>53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44621</v>
      </c>
      <c r="J322" s="6">
        <v>155</v>
      </c>
      <c r="K322" s="6">
        <v>155</v>
      </c>
      <c r="L322" s="6">
        <v>0</v>
      </c>
      <c r="M322" s="6">
        <v>0</v>
      </c>
      <c r="N322" s="6">
        <v>0</v>
      </c>
      <c r="O322" s="6">
        <v>0</v>
      </c>
      <c r="P322" s="6">
        <v>1</v>
      </c>
      <c r="Q322" s="4" t="s">
        <v>26</v>
      </c>
      <c r="R322" s="4">
        <v>0</v>
      </c>
      <c r="S322" s="4" t="s">
        <v>208</v>
      </c>
      <c r="U322" s="4">
        <v>2</v>
      </c>
      <c r="V322" s="4">
        <v>0</v>
      </c>
      <c r="W322" s="4">
        <v>0</v>
      </c>
    </row>
    <row r="323" spans="1:23" ht="11.25" customHeight="1" x14ac:dyDescent="0.25">
      <c r="A323" s="4" t="s">
        <v>21</v>
      </c>
      <c r="B323" s="4" t="s">
        <v>41</v>
      </c>
      <c r="C323" s="4" t="s">
        <v>43</v>
      </c>
      <c r="D323" s="4" t="s">
        <v>53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44652</v>
      </c>
      <c r="J323" s="6">
        <v>155</v>
      </c>
      <c r="K323" s="6">
        <v>155</v>
      </c>
      <c r="L323" s="6">
        <v>0</v>
      </c>
      <c r="M323" s="6">
        <v>0</v>
      </c>
      <c r="N323" s="6">
        <v>0</v>
      </c>
      <c r="O323" s="6">
        <v>0</v>
      </c>
      <c r="P323" s="6">
        <v>1</v>
      </c>
      <c r="Q323" s="4" t="s">
        <v>26</v>
      </c>
      <c r="R323" s="4">
        <v>0</v>
      </c>
      <c r="S323" s="4" t="s">
        <v>209</v>
      </c>
      <c r="U323" s="4">
        <v>2</v>
      </c>
      <c r="V323" s="4">
        <v>0</v>
      </c>
      <c r="W323" s="4">
        <v>0</v>
      </c>
    </row>
    <row r="324" spans="1:23" ht="11.25" customHeight="1" x14ac:dyDescent="0.25">
      <c r="A324" s="4" t="s">
        <v>21</v>
      </c>
      <c r="B324" s="4" t="s">
        <v>41</v>
      </c>
      <c r="C324" s="4" t="s">
        <v>43</v>
      </c>
      <c r="D324" s="4" t="s">
        <v>53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44682</v>
      </c>
      <c r="J324" s="6">
        <v>155</v>
      </c>
      <c r="K324" s="6">
        <v>155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4" t="s">
        <v>26</v>
      </c>
      <c r="R324" s="4">
        <v>0</v>
      </c>
      <c r="S324" s="4" t="s">
        <v>210</v>
      </c>
      <c r="U324" s="4">
        <v>2</v>
      </c>
      <c r="V324" s="4">
        <v>0</v>
      </c>
      <c r="W324" s="4">
        <v>0</v>
      </c>
    </row>
    <row r="325" spans="1:23" ht="11.25" customHeight="1" x14ac:dyDescent="0.25">
      <c r="A325" s="4" t="s">
        <v>21</v>
      </c>
      <c r="B325" s="4" t="s">
        <v>41</v>
      </c>
      <c r="C325" s="4" t="s">
        <v>43</v>
      </c>
      <c r="D325" s="4" t="s">
        <v>53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44713</v>
      </c>
      <c r="J325" s="6">
        <v>155</v>
      </c>
      <c r="K325" s="6">
        <v>155</v>
      </c>
      <c r="L325" s="6">
        <v>0</v>
      </c>
      <c r="M325" s="6">
        <v>0</v>
      </c>
      <c r="N325" s="6">
        <v>0</v>
      </c>
      <c r="O325" s="6">
        <v>0</v>
      </c>
      <c r="P325" s="6">
        <v>1</v>
      </c>
      <c r="Q325" s="4" t="s">
        <v>26</v>
      </c>
      <c r="R325" s="4">
        <v>0</v>
      </c>
      <c r="S325" s="4" t="s">
        <v>211</v>
      </c>
      <c r="U325" s="4">
        <v>2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41</v>
      </c>
      <c r="C326" s="4" t="s">
        <v>43</v>
      </c>
      <c r="D326" s="4" t="s">
        <v>53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44743</v>
      </c>
      <c r="J326" s="6">
        <v>155</v>
      </c>
      <c r="K326" s="6">
        <v>155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4" t="s">
        <v>26</v>
      </c>
      <c r="R326" s="4">
        <v>0</v>
      </c>
      <c r="S326" s="4" t="s">
        <v>212</v>
      </c>
      <c r="U326" s="4">
        <v>2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41</v>
      </c>
      <c r="C327" s="4" t="s">
        <v>43</v>
      </c>
      <c r="D327" s="4" t="s">
        <v>53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44774</v>
      </c>
      <c r="J327" s="6">
        <v>155</v>
      </c>
      <c r="K327" s="6">
        <v>155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4" t="s">
        <v>26</v>
      </c>
      <c r="R327" s="4">
        <v>0</v>
      </c>
      <c r="S327" s="4" t="s">
        <v>213</v>
      </c>
      <c r="U327" s="4">
        <v>2</v>
      </c>
      <c r="V327" s="4">
        <v>0</v>
      </c>
      <c r="W327" s="4">
        <v>0</v>
      </c>
    </row>
    <row r="328" spans="1:23" ht="11.25" customHeight="1" x14ac:dyDescent="0.25">
      <c r="A328" s="4" t="s">
        <v>21</v>
      </c>
      <c r="B328" s="4" t="s">
        <v>41</v>
      </c>
      <c r="C328" s="4" t="s">
        <v>43</v>
      </c>
      <c r="D328" s="4" t="s">
        <v>53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44805</v>
      </c>
      <c r="J328" s="6">
        <v>155</v>
      </c>
      <c r="K328" s="6">
        <v>155</v>
      </c>
      <c r="L328" s="6">
        <v>0</v>
      </c>
      <c r="M328" s="6">
        <v>0</v>
      </c>
      <c r="N328" s="6">
        <v>0</v>
      </c>
      <c r="O328" s="6">
        <v>0</v>
      </c>
      <c r="P328" s="6">
        <v>1</v>
      </c>
      <c r="Q328" s="4" t="s">
        <v>26</v>
      </c>
      <c r="R328" s="4">
        <v>0</v>
      </c>
      <c r="S328" s="4" t="s">
        <v>214</v>
      </c>
      <c r="U328" s="4">
        <v>2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41</v>
      </c>
      <c r="C329" s="4" t="s">
        <v>43</v>
      </c>
      <c r="D329" s="4" t="s">
        <v>53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44835</v>
      </c>
      <c r="J329" s="6">
        <v>155</v>
      </c>
      <c r="K329" s="6">
        <v>155</v>
      </c>
      <c r="L329" s="6">
        <v>0</v>
      </c>
      <c r="M329" s="6">
        <v>0</v>
      </c>
      <c r="N329" s="6">
        <v>0</v>
      </c>
      <c r="O329" s="6">
        <v>0</v>
      </c>
      <c r="P329" s="6">
        <v>2</v>
      </c>
      <c r="Q329" s="4" t="s">
        <v>26</v>
      </c>
      <c r="R329" s="4">
        <v>0</v>
      </c>
      <c r="S329" s="4" t="s">
        <v>215</v>
      </c>
      <c r="U329" s="4">
        <v>2</v>
      </c>
      <c r="V329" s="4">
        <v>0</v>
      </c>
      <c r="W329" s="4">
        <v>0</v>
      </c>
    </row>
    <row r="330" spans="1:23" ht="11.25" customHeight="1" x14ac:dyDescent="0.25">
      <c r="A330" s="4" t="s">
        <v>54</v>
      </c>
      <c r="B330" s="4" t="s">
        <v>41</v>
      </c>
      <c r="C330" s="4" t="s">
        <v>43</v>
      </c>
      <c r="D330" s="4" t="s">
        <v>53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44866</v>
      </c>
      <c r="J330" s="6">
        <v>155</v>
      </c>
      <c r="K330" s="6">
        <v>155</v>
      </c>
      <c r="L330" s="6">
        <v>0</v>
      </c>
      <c r="M330" s="6">
        <v>0</v>
      </c>
      <c r="N330" s="6">
        <v>0</v>
      </c>
      <c r="O330" s="6">
        <v>0</v>
      </c>
      <c r="P330" s="6">
        <v>2</v>
      </c>
      <c r="Q330" s="4" t="s">
        <v>26</v>
      </c>
      <c r="R330" s="4">
        <v>0</v>
      </c>
      <c r="S330" s="4" t="s">
        <v>216</v>
      </c>
      <c r="U330" s="4">
        <v>2</v>
      </c>
      <c r="V330" s="4">
        <v>0</v>
      </c>
      <c r="W330" s="4">
        <v>0</v>
      </c>
    </row>
    <row r="331" spans="1:23" ht="11.25" customHeight="1" x14ac:dyDescent="0.25">
      <c r="A331" s="4" t="s">
        <v>21</v>
      </c>
      <c r="B331" s="4" t="s">
        <v>41</v>
      </c>
      <c r="C331" s="4" t="s">
        <v>43</v>
      </c>
      <c r="D331" s="4" t="s">
        <v>53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44531</v>
      </c>
      <c r="J331" s="6">
        <v>0</v>
      </c>
      <c r="K331" s="6">
        <v>0</v>
      </c>
      <c r="L331" s="6">
        <v>0.41</v>
      </c>
      <c r="M331" s="6">
        <v>0.41</v>
      </c>
      <c r="N331" s="6">
        <v>0.41</v>
      </c>
      <c r="O331" s="6">
        <v>0.41</v>
      </c>
      <c r="P331" s="6">
        <v>0</v>
      </c>
      <c r="Q331" s="4" t="s">
        <v>26</v>
      </c>
      <c r="R331" s="4">
        <v>0</v>
      </c>
      <c r="S331" s="4" t="s">
        <v>217</v>
      </c>
      <c r="T331" s="4" t="s">
        <v>462</v>
      </c>
      <c r="U331" s="4">
        <v>0</v>
      </c>
      <c r="V331" s="4">
        <v>5</v>
      </c>
      <c r="W331" s="4">
        <v>75</v>
      </c>
    </row>
    <row r="332" spans="1:23" ht="11.25" customHeight="1" x14ac:dyDescent="0.25">
      <c r="A332" s="4" t="s">
        <v>21</v>
      </c>
      <c r="B332" s="4" t="s">
        <v>41</v>
      </c>
      <c r="C332" s="4" t="s">
        <v>43</v>
      </c>
      <c r="D332" s="4" t="s">
        <v>53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44562</v>
      </c>
      <c r="J332" s="6">
        <v>0</v>
      </c>
      <c r="K332" s="6">
        <v>0</v>
      </c>
      <c r="L332" s="6">
        <v>0.52500000000000002</v>
      </c>
      <c r="M332" s="6">
        <v>0.52500000000000002</v>
      </c>
      <c r="N332" s="6">
        <v>0.52500000000000002</v>
      </c>
      <c r="O332" s="6">
        <v>0.52500000000000002</v>
      </c>
      <c r="P332" s="6">
        <v>0</v>
      </c>
      <c r="Q332" s="4" t="s">
        <v>26</v>
      </c>
      <c r="R332" s="4">
        <v>0</v>
      </c>
      <c r="S332" s="4" t="s">
        <v>218</v>
      </c>
      <c r="T332" s="4" t="s">
        <v>463</v>
      </c>
      <c r="U332" s="4">
        <v>0</v>
      </c>
      <c r="V332" s="4">
        <v>5</v>
      </c>
      <c r="W332" s="4">
        <v>75</v>
      </c>
    </row>
    <row r="333" spans="1:23" ht="11.25" customHeight="1" x14ac:dyDescent="0.25">
      <c r="A333" s="4" t="s">
        <v>21</v>
      </c>
      <c r="B333" s="4" t="s">
        <v>41</v>
      </c>
      <c r="C333" s="4" t="s">
        <v>43</v>
      </c>
      <c r="D333" s="4" t="s">
        <v>53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44593</v>
      </c>
      <c r="J333" s="6">
        <v>0</v>
      </c>
      <c r="K333" s="6">
        <v>0</v>
      </c>
      <c r="L333" s="6">
        <v>0.63900000000000001</v>
      </c>
      <c r="M333" s="6">
        <v>0.63900000000000001</v>
      </c>
      <c r="N333" s="6">
        <v>0.63900000000000001</v>
      </c>
      <c r="O333" s="6">
        <v>0.63900000000000001</v>
      </c>
      <c r="P333" s="6">
        <v>0</v>
      </c>
      <c r="Q333" s="4" t="s">
        <v>26</v>
      </c>
      <c r="R333" s="4">
        <v>0</v>
      </c>
      <c r="S333" s="4" t="s">
        <v>219</v>
      </c>
      <c r="T333" s="4" t="s">
        <v>464</v>
      </c>
      <c r="U333" s="4">
        <v>0</v>
      </c>
      <c r="V333" s="4">
        <v>5</v>
      </c>
      <c r="W333" s="4">
        <v>75</v>
      </c>
    </row>
    <row r="334" spans="1:23" ht="11.25" customHeight="1" x14ac:dyDescent="0.25">
      <c r="A334" s="4" t="s">
        <v>21</v>
      </c>
      <c r="B334" s="4" t="s">
        <v>41</v>
      </c>
      <c r="C334" s="4" t="s">
        <v>43</v>
      </c>
      <c r="D334" s="4" t="s">
        <v>53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44621</v>
      </c>
      <c r="J334" s="6">
        <v>0</v>
      </c>
      <c r="K334" s="6">
        <v>0</v>
      </c>
      <c r="L334" s="6">
        <v>0.81</v>
      </c>
      <c r="M334" s="6">
        <v>0.81</v>
      </c>
      <c r="N334" s="6">
        <v>0.81</v>
      </c>
      <c r="O334" s="6">
        <v>0.81</v>
      </c>
      <c r="P334" s="6">
        <v>0</v>
      </c>
      <c r="Q334" s="4" t="s">
        <v>26</v>
      </c>
      <c r="R334" s="4">
        <v>0</v>
      </c>
      <c r="S334" s="4" t="s">
        <v>220</v>
      </c>
      <c r="T334" s="4" t="s">
        <v>465</v>
      </c>
      <c r="U334" s="4">
        <v>0</v>
      </c>
      <c r="V334" s="4">
        <v>5</v>
      </c>
      <c r="W334" s="4">
        <v>75</v>
      </c>
    </row>
    <row r="335" spans="1:23" ht="11.25" customHeight="1" x14ac:dyDescent="0.25">
      <c r="A335" s="4" t="s">
        <v>21</v>
      </c>
      <c r="B335" s="4" t="s">
        <v>41</v>
      </c>
      <c r="C335" s="4" t="s">
        <v>43</v>
      </c>
      <c r="D335" s="4" t="s">
        <v>53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44652</v>
      </c>
      <c r="J335" s="6">
        <v>0</v>
      </c>
      <c r="K335" s="6">
        <v>0</v>
      </c>
      <c r="L335" s="6">
        <v>0.69399999999999995</v>
      </c>
      <c r="M335" s="6">
        <v>0.69399999999999995</v>
      </c>
      <c r="N335" s="6">
        <v>0.69399999999999995</v>
      </c>
      <c r="O335" s="6">
        <v>0.69399999999999995</v>
      </c>
      <c r="P335" s="6">
        <v>0</v>
      </c>
      <c r="Q335" s="4" t="s">
        <v>26</v>
      </c>
      <c r="R335" s="4">
        <v>0</v>
      </c>
      <c r="S335" s="4" t="s">
        <v>221</v>
      </c>
      <c r="T335" s="4" t="s">
        <v>466</v>
      </c>
      <c r="U335" s="4">
        <v>0</v>
      </c>
      <c r="V335" s="4">
        <v>5</v>
      </c>
      <c r="W335" s="4">
        <v>75</v>
      </c>
    </row>
    <row r="336" spans="1:23" ht="11.25" customHeight="1" x14ac:dyDescent="0.25">
      <c r="A336" s="4" t="s">
        <v>21</v>
      </c>
      <c r="B336" s="4" t="s">
        <v>41</v>
      </c>
      <c r="C336" s="4" t="s">
        <v>43</v>
      </c>
      <c r="D336" s="4" t="s">
        <v>53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44682</v>
      </c>
      <c r="J336" s="6">
        <v>0</v>
      </c>
      <c r="K336" s="6">
        <v>0</v>
      </c>
      <c r="L336" s="6">
        <v>0.88600000000000001</v>
      </c>
      <c r="M336" s="6">
        <v>0.88600000000000001</v>
      </c>
      <c r="N336" s="6">
        <v>0.88600000000000001</v>
      </c>
      <c r="O336" s="6">
        <v>0.88600000000000001</v>
      </c>
      <c r="P336" s="6">
        <v>0</v>
      </c>
      <c r="Q336" s="4" t="s">
        <v>26</v>
      </c>
      <c r="R336" s="4">
        <v>0</v>
      </c>
      <c r="S336" s="4" t="s">
        <v>222</v>
      </c>
      <c r="T336" s="4" t="s">
        <v>467</v>
      </c>
      <c r="U336" s="4">
        <v>0</v>
      </c>
      <c r="V336" s="4">
        <v>5</v>
      </c>
      <c r="W336" s="4">
        <v>75</v>
      </c>
    </row>
    <row r="337" spans="1:23" ht="11.25" customHeight="1" x14ac:dyDescent="0.25">
      <c r="A337" s="4" t="s">
        <v>21</v>
      </c>
      <c r="B337" s="4" t="s">
        <v>41</v>
      </c>
      <c r="C337" s="4" t="s">
        <v>43</v>
      </c>
      <c r="D337" s="4" t="s">
        <v>53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44713</v>
      </c>
      <c r="J337" s="6">
        <v>0</v>
      </c>
      <c r="K337" s="6">
        <v>0</v>
      </c>
      <c r="L337" s="6">
        <v>0.999</v>
      </c>
      <c r="M337" s="6">
        <v>0.999</v>
      </c>
      <c r="N337" s="6">
        <v>0.999</v>
      </c>
      <c r="O337" s="6">
        <v>0.999</v>
      </c>
      <c r="P337" s="6">
        <v>0</v>
      </c>
      <c r="Q337" s="4" t="s">
        <v>26</v>
      </c>
      <c r="R337" s="4">
        <v>0</v>
      </c>
      <c r="S337" s="4" t="s">
        <v>223</v>
      </c>
      <c r="T337" s="4" t="s">
        <v>468</v>
      </c>
      <c r="U337" s="4">
        <v>0</v>
      </c>
      <c r="V337" s="4">
        <v>5</v>
      </c>
      <c r="W337" s="4">
        <v>75</v>
      </c>
    </row>
    <row r="338" spans="1:23" ht="11.25" customHeight="1" x14ac:dyDescent="0.25">
      <c r="A338" s="4" t="s">
        <v>21</v>
      </c>
      <c r="B338" s="4" t="s">
        <v>41</v>
      </c>
      <c r="C338" s="4" t="s">
        <v>43</v>
      </c>
      <c r="D338" s="4" t="s">
        <v>53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44743</v>
      </c>
      <c r="J338" s="6">
        <v>0</v>
      </c>
      <c r="K338" s="6">
        <v>0</v>
      </c>
      <c r="L338" s="6">
        <v>0.441</v>
      </c>
      <c r="M338" s="6">
        <v>0.441</v>
      </c>
      <c r="N338" s="6">
        <v>0.441</v>
      </c>
      <c r="O338" s="6">
        <v>0.441</v>
      </c>
      <c r="P338" s="6">
        <v>0</v>
      </c>
      <c r="Q338" s="4" t="s">
        <v>26</v>
      </c>
      <c r="R338" s="4">
        <v>0</v>
      </c>
      <c r="S338" s="4" t="s">
        <v>224</v>
      </c>
      <c r="T338" s="4" t="s">
        <v>469</v>
      </c>
      <c r="U338" s="4">
        <v>0</v>
      </c>
      <c r="V338" s="4">
        <v>5</v>
      </c>
      <c r="W338" s="4">
        <v>75</v>
      </c>
    </row>
    <row r="339" spans="1:23" ht="11.25" customHeight="1" x14ac:dyDescent="0.25">
      <c r="A339" s="4" t="s">
        <v>21</v>
      </c>
      <c r="B339" s="4" t="s">
        <v>41</v>
      </c>
      <c r="C339" s="4" t="s">
        <v>43</v>
      </c>
      <c r="D339" s="4" t="s">
        <v>53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44774</v>
      </c>
      <c r="J339" s="6">
        <v>0</v>
      </c>
      <c r="K339" s="6">
        <v>0</v>
      </c>
      <c r="L339" s="6">
        <v>0.57899999999999996</v>
      </c>
      <c r="M339" s="6">
        <v>0.57899999999999996</v>
      </c>
      <c r="N339" s="6">
        <v>0.57899999999999996</v>
      </c>
      <c r="O339" s="6">
        <v>0.57899999999999996</v>
      </c>
      <c r="P339" s="6">
        <v>0</v>
      </c>
      <c r="Q339" s="4" t="s">
        <v>26</v>
      </c>
      <c r="R339" s="4">
        <v>0</v>
      </c>
      <c r="S339" s="4" t="s">
        <v>225</v>
      </c>
      <c r="T339" s="4" t="s">
        <v>470</v>
      </c>
      <c r="U339" s="4">
        <v>0</v>
      </c>
      <c r="V339" s="4">
        <v>5</v>
      </c>
      <c r="W339" s="4">
        <v>75</v>
      </c>
    </row>
    <row r="340" spans="1:23" ht="11.25" customHeight="1" x14ac:dyDescent="0.25">
      <c r="A340" s="4" t="s">
        <v>21</v>
      </c>
      <c r="B340" s="4" t="s">
        <v>41</v>
      </c>
      <c r="C340" s="4" t="s">
        <v>43</v>
      </c>
      <c r="D340" s="4" t="s">
        <v>53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44805</v>
      </c>
      <c r="J340" s="6">
        <v>0</v>
      </c>
      <c r="K340" s="6">
        <v>0</v>
      </c>
      <c r="L340" s="6">
        <v>0.45400000000000001</v>
      </c>
      <c r="M340" s="6">
        <v>0.45400000000000001</v>
      </c>
      <c r="N340" s="6">
        <v>0.45400000000000001</v>
      </c>
      <c r="O340" s="6">
        <v>0.45400000000000001</v>
      </c>
      <c r="P340" s="6">
        <v>0</v>
      </c>
      <c r="Q340" s="4" t="s">
        <v>26</v>
      </c>
      <c r="R340" s="4">
        <v>0</v>
      </c>
      <c r="S340" s="4" t="s">
        <v>226</v>
      </c>
      <c r="T340" s="4" t="s">
        <v>471</v>
      </c>
      <c r="U340" s="4">
        <v>0</v>
      </c>
      <c r="V340" s="4">
        <v>5</v>
      </c>
      <c r="W340" s="4">
        <v>75</v>
      </c>
    </row>
    <row r="341" spans="1:23" ht="11.25" customHeight="1" x14ac:dyDescent="0.25">
      <c r="A341" s="4" t="s">
        <v>21</v>
      </c>
      <c r="B341" s="4" t="s">
        <v>41</v>
      </c>
      <c r="C341" s="4" t="s">
        <v>43</v>
      </c>
      <c r="D341" s="4" t="s">
        <v>53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44835</v>
      </c>
      <c r="J341" s="6">
        <v>0</v>
      </c>
      <c r="K341" s="6">
        <v>0</v>
      </c>
      <c r="L341" s="6">
        <v>0.51500000000000001</v>
      </c>
      <c r="M341" s="6">
        <v>0.51500000000000001</v>
      </c>
      <c r="N341" s="6">
        <v>0.51500000000000001</v>
      </c>
      <c r="O341" s="6">
        <v>0.51500000000000001</v>
      </c>
      <c r="P341" s="6">
        <v>0</v>
      </c>
      <c r="Q341" s="4" t="s">
        <v>26</v>
      </c>
      <c r="R341" s="4">
        <v>0</v>
      </c>
      <c r="S341" s="4" t="s">
        <v>227</v>
      </c>
      <c r="T341" s="4" t="s">
        <v>472</v>
      </c>
      <c r="U341" s="4">
        <v>0</v>
      </c>
      <c r="V341" s="4">
        <v>5</v>
      </c>
      <c r="W341" s="4">
        <v>75</v>
      </c>
    </row>
    <row r="342" spans="1:23" ht="11.25" customHeight="1" x14ac:dyDescent="0.25">
      <c r="A342" s="4" t="s">
        <v>54</v>
      </c>
      <c r="B342" s="4" t="s">
        <v>41</v>
      </c>
      <c r="C342" s="4" t="s">
        <v>43</v>
      </c>
      <c r="D342" s="4" t="s">
        <v>53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44866</v>
      </c>
      <c r="J342" s="6">
        <v>0</v>
      </c>
      <c r="K342" s="6">
        <v>0</v>
      </c>
      <c r="L342" s="6">
        <v>0.51500000000000001</v>
      </c>
      <c r="M342" s="6">
        <v>0.51500000000000001</v>
      </c>
      <c r="N342" s="6">
        <v>0.51500000000000001</v>
      </c>
      <c r="O342" s="6">
        <v>0.51500000000000001</v>
      </c>
      <c r="P342" s="6">
        <v>0</v>
      </c>
      <c r="Q342" s="4" t="s">
        <v>26</v>
      </c>
      <c r="R342" s="4">
        <v>0</v>
      </c>
      <c r="S342" s="4" t="s">
        <v>228</v>
      </c>
      <c r="T342" s="4" t="s">
        <v>473</v>
      </c>
      <c r="U342" s="4">
        <v>0</v>
      </c>
      <c r="V342" s="4">
        <v>5</v>
      </c>
      <c r="W342" s="4">
        <v>75</v>
      </c>
    </row>
    <row r="343" spans="1:23" ht="11.25" customHeight="1" x14ac:dyDescent="0.25">
      <c r="A343" s="4" t="s">
        <v>21</v>
      </c>
      <c r="B343" s="4" t="s">
        <v>41</v>
      </c>
      <c r="C343" s="4" t="s">
        <v>43</v>
      </c>
      <c r="D343" s="4" t="s">
        <v>38</v>
      </c>
      <c r="E343" s="4" t="s">
        <v>25</v>
      </c>
      <c r="F343" s="4" t="s">
        <v>55</v>
      </c>
      <c r="G343" s="4" t="s">
        <v>25</v>
      </c>
      <c r="H343" s="4" t="s">
        <v>35</v>
      </c>
      <c r="I343" s="5">
        <v>44531</v>
      </c>
      <c r="J343" s="6">
        <v>0</v>
      </c>
      <c r="K343" s="6">
        <v>0</v>
      </c>
      <c r="L343" s="6">
        <v>705.88300000000004</v>
      </c>
      <c r="M343" s="6">
        <v>705.88300000000004</v>
      </c>
      <c r="N343" s="6">
        <v>0</v>
      </c>
      <c r="O343" s="6">
        <v>0</v>
      </c>
      <c r="P343" s="6">
        <v>0</v>
      </c>
      <c r="Q343" s="4" t="s">
        <v>56</v>
      </c>
      <c r="R343" s="4">
        <v>0</v>
      </c>
      <c r="S343" s="4" t="s">
        <v>193</v>
      </c>
      <c r="U343" s="4">
        <v>0</v>
      </c>
      <c r="V343" s="4">
        <v>7</v>
      </c>
      <c r="W343" s="4">
        <v>0</v>
      </c>
    </row>
    <row r="344" spans="1:23" ht="11.25" customHeight="1" x14ac:dyDescent="0.25">
      <c r="A344" s="4" t="s">
        <v>21</v>
      </c>
      <c r="B344" s="4" t="s">
        <v>41</v>
      </c>
      <c r="C344" s="4" t="s">
        <v>43</v>
      </c>
      <c r="D344" s="4" t="s">
        <v>38</v>
      </c>
      <c r="E344" s="4" t="s">
        <v>25</v>
      </c>
      <c r="F344" s="4" t="s">
        <v>55</v>
      </c>
      <c r="G344" s="4" t="s">
        <v>25</v>
      </c>
      <c r="H344" s="4" t="s">
        <v>35</v>
      </c>
      <c r="I344" s="5">
        <v>44562</v>
      </c>
      <c r="J344" s="6">
        <v>0</v>
      </c>
      <c r="K344" s="6">
        <v>0</v>
      </c>
      <c r="L344" s="6">
        <v>66.093000000000004</v>
      </c>
      <c r="M344" s="6">
        <v>66.093000000000004</v>
      </c>
      <c r="N344" s="6">
        <v>0</v>
      </c>
      <c r="O344" s="6">
        <v>0</v>
      </c>
      <c r="P344" s="6">
        <v>0</v>
      </c>
      <c r="Q344" s="4" t="s">
        <v>56</v>
      </c>
      <c r="R344" s="4">
        <v>0</v>
      </c>
      <c r="S344" s="4" t="s">
        <v>194</v>
      </c>
      <c r="U344" s="4">
        <v>0</v>
      </c>
      <c r="V344" s="4">
        <v>7</v>
      </c>
      <c r="W344" s="4">
        <v>0</v>
      </c>
    </row>
    <row r="345" spans="1:23" ht="11.25" customHeight="1" x14ac:dyDescent="0.25">
      <c r="A345" s="4" t="s">
        <v>21</v>
      </c>
      <c r="B345" s="4" t="s">
        <v>41</v>
      </c>
      <c r="C345" s="4" t="s">
        <v>43</v>
      </c>
      <c r="D345" s="4" t="s">
        <v>38</v>
      </c>
      <c r="E345" s="4" t="s">
        <v>25</v>
      </c>
      <c r="F345" s="4" t="s">
        <v>55</v>
      </c>
      <c r="G345" s="4" t="s">
        <v>25</v>
      </c>
      <c r="H345" s="4" t="s">
        <v>35</v>
      </c>
      <c r="I345" s="5">
        <v>44593</v>
      </c>
      <c r="J345" s="6">
        <v>0</v>
      </c>
      <c r="K345" s="6">
        <v>0</v>
      </c>
      <c r="L345" s="6">
        <v>71.325999999999993</v>
      </c>
      <c r="M345" s="6">
        <v>71.325999999999993</v>
      </c>
      <c r="N345" s="6">
        <v>0</v>
      </c>
      <c r="O345" s="6">
        <v>0</v>
      </c>
      <c r="P345" s="6">
        <v>0</v>
      </c>
      <c r="Q345" s="4" t="s">
        <v>56</v>
      </c>
      <c r="R345" s="4">
        <v>0</v>
      </c>
      <c r="S345" s="4" t="s">
        <v>195</v>
      </c>
      <c r="U345" s="4">
        <v>0</v>
      </c>
      <c r="V345" s="4">
        <v>7</v>
      </c>
      <c r="W345" s="4">
        <v>0</v>
      </c>
    </row>
    <row r="346" spans="1:23" ht="11.25" customHeight="1" x14ac:dyDescent="0.25">
      <c r="A346" s="4" t="s">
        <v>21</v>
      </c>
      <c r="B346" s="4" t="s">
        <v>41</v>
      </c>
      <c r="C346" s="4" t="s">
        <v>43</v>
      </c>
      <c r="D346" s="4" t="s">
        <v>38</v>
      </c>
      <c r="E346" s="4" t="s">
        <v>25</v>
      </c>
      <c r="F346" s="4" t="s">
        <v>55</v>
      </c>
      <c r="G346" s="4" t="s">
        <v>25</v>
      </c>
      <c r="H346" s="4" t="s">
        <v>35</v>
      </c>
      <c r="I346" s="5">
        <v>44621</v>
      </c>
      <c r="J346" s="6">
        <v>0</v>
      </c>
      <c r="K346" s="6">
        <v>0</v>
      </c>
      <c r="L346" s="6">
        <v>87.573999999999998</v>
      </c>
      <c r="M346" s="6">
        <v>87.573999999999998</v>
      </c>
      <c r="N346" s="6">
        <v>0</v>
      </c>
      <c r="O346" s="6">
        <v>0</v>
      </c>
      <c r="P346" s="6">
        <v>0</v>
      </c>
      <c r="Q346" s="4" t="s">
        <v>56</v>
      </c>
      <c r="R346" s="4">
        <v>0</v>
      </c>
      <c r="S346" s="4" t="s">
        <v>196</v>
      </c>
      <c r="U346" s="4">
        <v>0</v>
      </c>
      <c r="V346" s="4">
        <v>7</v>
      </c>
      <c r="W346" s="4">
        <v>0</v>
      </c>
    </row>
    <row r="347" spans="1:23" ht="11.25" customHeight="1" x14ac:dyDescent="0.25">
      <c r="A347" s="4" t="s">
        <v>21</v>
      </c>
      <c r="B347" s="4" t="s">
        <v>41</v>
      </c>
      <c r="C347" s="4" t="s">
        <v>43</v>
      </c>
      <c r="D347" s="4" t="s">
        <v>38</v>
      </c>
      <c r="E347" s="4" t="s">
        <v>25</v>
      </c>
      <c r="F347" s="4" t="s">
        <v>55</v>
      </c>
      <c r="G347" s="4" t="s">
        <v>25</v>
      </c>
      <c r="H347" s="4" t="s">
        <v>35</v>
      </c>
      <c r="I347" s="5">
        <v>44652</v>
      </c>
      <c r="J347" s="6">
        <v>0</v>
      </c>
      <c r="K347" s="6">
        <v>0</v>
      </c>
      <c r="L347" s="6">
        <v>112.223</v>
      </c>
      <c r="M347" s="6">
        <v>112.223</v>
      </c>
      <c r="N347" s="6">
        <v>0</v>
      </c>
      <c r="O347" s="6">
        <v>0</v>
      </c>
      <c r="P347" s="6">
        <v>0</v>
      </c>
      <c r="Q347" s="4" t="s">
        <v>56</v>
      </c>
      <c r="R347" s="4">
        <v>0</v>
      </c>
      <c r="S347" s="4" t="s">
        <v>197</v>
      </c>
      <c r="U347" s="4">
        <v>0</v>
      </c>
      <c r="V347" s="4">
        <v>7</v>
      </c>
      <c r="W347" s="4">
        <v>0</v>
      </c>
    </row>
    <row r="348" spans="1:23" ht="11.25" customHeight="1" x14ac:dyDescent="0.25">
      <c r="A348" s="4" t="s">
        <v>21</v>
      </c>
      <c r="B348" s="4" t="s">
        <v>41</v>
      </c>
      <c r="C348" s="4" t="s">
        <v>43</v>
      </c>
      <c r="D348" s="4" t="s">
        <v>38</v>
      </c>
      <c r="E348" s="4" t="s">
        <v>25</v>
      </c>
      <c r="F348" s="4" t="s">
        <v>55</v>
      </c>
      <c r="G348" s="4" t="s">
        <v>25</v>
      </c>
      <c r="H348" s="4" t="s">
        <v>35</v>
      </c>
      <c r="I348" s="5">
        <v>44682</v>
      </c>
      <c r="J348" s="6">
        <v>0</v>
      </c>
      <c r="K348" s="6">
        <v>0</v>
      </c>
      <c r="L348" s="6">
        <v>131.78</v>
      </c>
      <c r="M348" s="6">
        <v>131.78</v>
      </c>
      <c r="N348" s="6">
        <v>0</v>
      </c>
      <c r="O348" s="6">
        <v>0</v>
      </c>
      <c r="P348" s="6">
        <v>0</v>
      </c>
      <c r="Q348" s="4" t="s">
        <v>56</v>
      </c>
      <c r="R348" s="4">
        <v>0</v>
      </c>
      <c r="S348" s="4" t="s">
        <v>198</v>
      </c>
      <c r="U348" s="4">
        <v>0</v>
      </c>
      <c r="V348" s="4">
        <v>7</v>
      </c>
      <c r="W348" s="4">
        <v>0</v>
      </c>
    </row>
    <row r="349" spans="1:23" ht="11.25" customHeight="1" x14ac:dyDescent="0.25">
      <c r="A349" s="4" t="s">
        <v>21</v>
      </c>
      <c r="B349" s="4" t="s">
        <v>41</v>
      </c>
      <c r="C349" s="4" t="s">
        <v>43</v>
      </c>
      <c r="D349" s="4" t="s">
        <v>38</v>
      </c>
      <c r="E349" s="4" t="s">
        <v>25</v>
      </c>
      <c r="F349" s="4" t="s">
        <v>55</v>
      </c>
      <c r="G349" s="4" t="s">
        <v>25</v>
      </c>
      <c r="H349" s="4" t="s">
        <v>35</v>
      </c>
      <c r="I349" s="5">
        <v>44713</v>
      </c>
      <c r="J349" s="6">
        <v>0</v>
      </c>
      <c r="K349" s="6">
        <v>0</v>
      </c>
      <c r="L349" s="6">
        <v>130.40799999999999</v>
      </c>
      <c r="M349" s="6">
        <v>130.40799999999999</v>
      </c>
      <c r="N349" s="6">
        <v>0</v>
      </c>
      <c r="O349" s="6">
        <v>0</v>
      </c>
      <c r="P349" s="6">
        <v>0</v>
      </c>
      <c r="Q349" s="4" t="s">
        <v>56</v>
      </c>
      <c r="R349" s="4">
        <v>0</v>
      </c>
      <c r="S349" s="4" t="s">
        <v>199</v>
      </c>
      <c r="U349" s="4">
        <v>0</v>
      </c>
      <c r="V349" s="4">
        <v>7</v>
      </c>
      <c r="W349" s="4">
        <v>0</v>
      </c>
    </row>
    <row r="350" spans="1:23" ht="11.25" customHeight="1" x14ac:dyDescent="0.25">
      <c r="A350" s="4" t="s">
        <v>21</v>
      </c>
      <c r="B350" s="4" t="s">
        <v>41</v>
      </c>
      <c r="C350" s="4" t="s">
        <v>43</v>
      </c>
      <c r="D350" s="4" t="s">
        <v>38</v>
      </c>
      <c r="E350" s="4" t="s">
        <v>25</v>
      </c>
      <c r="F350" s="4" t="s">
        <v>55</v>
      </c>
      <c r="G350" s="4" t="s">
        <v>25</v>
      </c>
      <c r="H350" s="4" t="s">
        <v>35</v>
      </c>
      <c r="I350" s="5">
        <v>44743</v>
      </c>
      <c r="J350" s="6">
        <v>0</v>
      </c>
      <c r="K350" s="6">
        <v>0</v>
      </c>
      <c r="L350" s="6">
        <v>116.18899999999999</v>
      </c>
      <c r="M350" s="6">
        <v>116.18899999999999</v>
      </c>
      <c r="N350" s="6">
        <v>0</v>
      </c>
      <c r="O350" s="6">
        <v>0</v>
      </c>
      <c r="P350" s="6">
        <v>0</v>
      </c>
      <c r="Q350" s="4" t="s">
        <v>56</v>
      </c>
      <c r="R350" s="4">
        <v>0</v>
      </c>
      <c r="S350" s="4" t="s">
        <v>200</v>
      </c>
      <c r="U350" s="4">
        <v>0</v>
      </c>
      <c r="V350" s="4">
        <v>7</v>
      </c>
      <c r="W350" s="4">
        <v>0</v>
      </c>
    </row>
    <row r="351" spans="1:23" ht="11.25" customHeight="1" x14ac:dyDescent="0.25">
      <c r="A351" s="4" t="s">
        <v>21</v>
      </c>
      <c r="B351" s="4" t="s">
        <v>41</v>
      </c>
      <c r="C351" s="4" t="s">
        <v>43</v>
      </c>
      <c r="D351" s="4" t="s">
        <v>38</v>
      </c>
      <c r="E351" s="4" t="s">
        <v>25</v>
      </c>
      <c r="F351" s="4" t="s">
        <v>55</v>
      </c>
      <c r="G351" s="4" t="s">
        <v>25</v>
      </c>
      <c r="H351" s="4" t="s">
        <v>35</v>
      </c>
      <c r="I351" s="5">
        <v>44774</v>
      </c>
      <c r="J351" s="6">
        <v>0</v>
      </c>
      <c r="K351" s="6">
        <v>0</v>
      </c>
      <c r="L351" s="6">
        <v>148.827</v>
      </c>
      <c r="M351" s="6">
        <v>148.827</v>
      </c>
      <c r="N351" s="6">
        <v>0</v>
      </c>
      <c r="O351" s="6">
        <v>0</v>
      </c>
      <c r="P351" s="6">
        <v>0</v>
      </c>
      <c r="Q351" s="4" t="s">
        <v>56</v>
      </c>
      <c r="R351" s="4">
        <v>0</v>
      </c>
      <c r="S351" s="4" t="s">
        <v>201</v>
      </c>
      <c r="U351" s="4">
        <v>0</v>
      </c>
      <c r="V351" s="4">
        <v>7</v>
      </c>
      <c r="W351" s="4">
        <v>0</v>
      </c>
    </row>
    <row r="352" spans="1:23" ht="11.25" customHeight="1" x14ac:dyDescent="0.25">
      <c r="A352" s="4" t="s">
        <v>21</v>
      </c>
      <c r="B352" s="4" t="s">
        <v>41</v>
      </c>
      <c r="C352" s="4" t="s">
        <v>43</v>
      </c>
      <c r="D352" s="4" t="s">
        <v>38</v>
      </c>
      <c r="E352" s="4" t="s">
        <v>25</v>
      </c>
      <c r="F352" s="4" t="s">
        <v>55</v>
      </c>
      <c r="G352" s="4" t="s">
        <v>25</v>
      </c>
      <c r="H352" s="4" t="s">
        <v>35</v>
      </c>
      <c r="I352" s="5">
        <v>44805</v>
      </c>
      <c r="J352" s="6">
        <v>0</v>
      </c>
      <c r="K352" s="6">
        <v>0</v>
      </c>
      <c r="L352" s="6">
        <v>137.489</v>
      </c>
      <c r="M352" s="6">
        <v>137.489</v>
      </c>
      <c r="N352" s="6">
        <v>0</v>
      </c>
      <c r="O352" s="6">
        <v>0</v>
      </c>
      <c r="P352" s="6">
        <v>0</v>
      </c>
      <c r="Q352" s="4" t="s">
        <v>56</v>
      </c>
      <c r="R352" s="4">
        <v>0</v>
      </c>
      <c r="S352" s="4" t="s">
        <v>202</v>
      </c>
      <c r="U352" s="4">
        <v>0</v>
      </c>
      <c r="V352" s="4">
        <v>7</v>
      </c>
      <c r="W352" s="4">
        <v>0</v>
      </c>
    </row>
    <row r="353" spans="1:23" ht="11.25" customHeight="1" x14ac:dyDescent="0.25">
      <c r="A353" s="4" t="s">
        <v>21</v>
      </c>
      <c r="B353" s="4" t="s">
        <v>41</v>
      </c>
      <c r="C353" s="4" t="s">
        <v>43</v>
      </c>
      <c r="D353" s="4" t="s">
        <v>38</v>
      </c>
      <c r="E353" s="4" t="s">
        <v>25</v>
      </c>
      <c r="F353" s="4" t="s">
        <v>55</v>
      </c>
      <c r="G353" s="4" t="s">
        <v>25</v>
      </c>
      <c r="H353" s="4" t="s">
        <v>35</v>
      </c>
      <c r="I353" s="5">
        <v>44835</v>
      </c>
      <c r="J353" s="6">
        <v>0</v>
      </c>
      <c r="K353" s="6">
        <v>0</v>
      </c>
      <c r="L353" s="6">
        <v>143.334</v>
      </c>
      <c r="M353" s="6">
        <v>143.334</v>
      </c>
      <c r="N353" s="6">
        <v>0</v>
      </c>
      <c r="O353" s="6">
        <v>0</v>
      </c>
      <c r="P353" s="6">
        <v>0</v>
      </c>
      <c r="Q353" s="4" t="s">
        <v>56</v>
      </c>
      <c r="R353" s="4">
        <v>0</v>
      </c>
      <c r="S353" s="4" t="s">
        <v>203</v>
      </c>
      <c r="U353" s="4">
        <v>0</v>
      </c>
      <c r="V353" s="4">
        <v>7</v>
      </c>
      <c r="W353" s="4">
        <v>0</v>
      </c>
    </row>
    <row r="354" spans="1:23" ht="11.25" customHeight="1" x14ac:dyDescent="0.25">
      <c r="A354" s="4" t="s">
        <v>54</v>
      </c>
      <c r="B354" s="4" t="s">
        <v>41</v>
      </c>
      <c r="C354" s="4" t="s">
        <v>43</v>
      </c>
      <c r="D354" s="4" t="s">
        <v>38</v>
      </c>
      <c r="E354" s="4" t="s">
        <v>25</v>
      </c>
      <c r="F354" s="4" t="s">
        <v>55</v>
      </c>
      <c r="G354" s="4" t="s">
        <v>25</v>
      </c>
      <c r="H354" s="4" t="s">
        <v>35</v>
      </c>
      <c r="I354" s="5">
        <v>44866</v>
      </c>
      <c r="J354" s="6">
        <v>0</v>
      </c>
      <c r="K354" s="6">
        <v>0</v>
      </c>
      <c r="L354" s="6">
        <v>143.334</v>
      </c>
      <c r="M354" s="6">
        <v>143.334</v>
      </c>
      <c r="N354" s="6">
        <v>0</v>
      </c>
      <c r="O354" s="6">
        <v>0</v>
      </c>
      <c r="P354" s="6">
        <v>0</v>
      </c>
      <c r="Q354" s="4" t="s">
        <v>56</v>
      </c>
      <c r="R354" s="4">
        <v>0</v>
      </c>
      <c r="S354" s="4" t="s">
        <v>204</v>
      </c>
      <c r="U354" s="4">
        <v>0</v>
      </c>
      <c r="V354" s="4">
        <v>7</v>
      </c>
      <c r="W354" s="4">
        <v>0</v>
      </c>
    </row>
    <row r="355" spans="1:23" ht="11.25" customHeight="1" x14ac:dyDescent="0.25">
      <c r="A355" s="4" t="s">
        <v>21</v>
      </c>
      <c r="B355" s="4" t="s">
        <v>41</v>
      </c>
      <c r="C355" s="4" t="s">
        <v>43</v>
      </c>
      <c r="D355" s="4" t="s">
        <v>38</v>
      </c>
      <c r="E355" s="4" t="s">
        <v>25</v>
      </c>
      <c r="F355" s="4" t="s">
        <v>55</v>
      </c>
      <c r="G355" s="4" t="s">
        <v>25</v>
      </c>
      <c r="H355" s="4" t="s">
        <v>25</v>
      </c>
      <c r="I355" s="5">
        <v>44531</v>
      </c>
      <c r="J355" s="6">
        <v>3683</v>
      </c>
      <c r="K355" s="6">
        <v>752.18008440999995</v>
      </c>
      <c r="L355" s="6">
        <v>0</v>
      </c>
      <c r="M355" s="6">
        <v>0</v>
      </c>
      <c r="N355" s="6">
        <v>0</v>
      </c>
      <c r="O355" s="6">
        <v>0</v>
      </c>
      <c r="P355" s="6">
        <v>9</v>
      </c>
      <c r="Q355" s="4" t="s">
        <v>56</v>
      </c>
      <c r="R355" s="4">
        <v>0</v>
      </c>
      <c r="S355" s="4" t="s">
        <v>205</v>
      </c>
      <c r="U355" s="4">
        <v>2</v>
      </c>
      <c r="V355" s="4">
        <v>0</v>
      </c>
      <c r="W355" s="4">
        <v>0</v>
      </c>
    </row>
    <row r="356" spans="1:23" ht="11.25" customHeight="1" x14ac:dyDescent="0.25">
      <c r="A356" s="4" t="s">
        <v>21</v>
      </c>
      <c r="B356" s="4" t="s">
        <v>41</v>
      </c>
      <c r="C356" s="4" t="s">
        <v>43</v>
      </c>
      <c r="D356" s="4" t="s">
        <v>38</v>
      </c>
      <c r="E356" s="4" t="s">
        <v>25</v>
      </c>
      <c r="F356" s="4" t="s">
        <v>55</v>
      </c>
      <c r="G356" s="4" t="s">
        <v>25</v>
      </c>
      <c r="H356" s="4" t="s">
        <v>25</v>
      </c>
      <c r="I356" s="5">
        <v>44562</v>
      </c>
      <c r="J356" s="6">
        <v>3678</v>
      </c>
      <c r="K356" s="6">
        <v>1327.758</v>
      </c>
      <c r="L356" s="6">
        <v>0</v>
      </c>
      <c r="M356" s="6">
        <v>0</v>
      </c>
      <c r="N356" s="6">
        <v>0</v>
      </c>
      <c r="O356" s="6">
        <v>0</v>
      </c>
      <c r="P356" s="6">
        <v>9</v>
      </c>
      <c r="Q356" s="4" t="s">
        <v>56</v>
      </c>
      <c r="R356" s="4">
        <v>0</v>
      </c>
      <c r="S356" s="4" t="s">
        <v>206</v>
      </c>
      <c r="U356" s="4">
        <v>2</v>
      </c>
      <c r="V356" s="4">
        <v>0</v>
      </c>
      <c r="W356" s="4">
        <v>0</v>
      </c>
    </row>
    <row r="357" spans="1:23" ht="11.25" customHeight="1" x14ac:dyDescent="0.25">
      <c r="A357" s="4" t="s">
        <v>21</v>
      </c>
      <c r="B357" s="4" t="s">
        <v>41</v>
      </c>
      <c r="C357" s="4" t="s">
        <v>43</v>
      </c>
      <c r="D357" s="4" t="s">
        <v>38</v>
      </c>
      <c r="E357" s="4" t="s">
        <v>25</v>
      </c>
      <c r="F357" s="4" t="s">
        <v>55</v>
      </c>
      <c r="G357" s="4" t="s">
        <v>25</v>
      </c>
      <c r="H357" s="4" t="s">
        <v>25</v>
      </c>
      <c r="I357" s="5">
        <v>44593</v>
      </c>
      <c r="J357" s="6">
        <v>3681</v>
      </c>
      <c r="K357" s="6">
        <v>1500.3756000000001</v>
      </c>
      <c r="L357" s="6">
        <v>0</v>
      </c>
      <c r="M357" s="6">
        <v>0</v>
      </c>
      <c r="N357" s="6">
        <v>0</v>
      </c>
      <c r="O357" s="6">
        <v>0</v>
      </c>
      <c r="P357" s="6">
        <v>9</v>
      </c>
      <c r="Q357" s="4" t="s">
        <v>56</v>
      </c>
      <c r="R357" s="4">
        <v>0</v>
      </c>
      <c r="S357" s="4" t="s">
        <v>207</v>
      </c>
      <c r="U357" s="4">
        <v>2</v>
      </c>
      <c r="V357" s="4">
        <v>0</v>
      </c>
      <c r="W357" s="4">
        <v>0</v>
      </c>
    </row>
    <row r="358" spans="1:23" ht="11.25" customHeight="1" x14ac:dyDescent="0.25">
      <c r="A358" s="4" t="s">
        <v>21</v>
      </c>
      <c r="B358" s="4" t="s">
        <v>41</v>
      </c>
      <c r="C358" s="4" t="s">
        <v>43</v>
      </c>
      <c r="D358" s="4" t="s">
        <v>38</v>
      </c>
      <c r="E358" s="4" t="s">
        <v>25</v>
      </c>
      <c r="F358" s="4" t="s">
        <v>55</v>
      </c>
      <c r="G358" s="4" t="s">
        <v>25</v>
      </c>
      <c r="H358" s="4" t="s">
        <v>25</v>
      </c>
      <c r="I358" s="5">
        <v>44621</v>
      </c>
      <c r="J358" s="6">
        <v>3684</v>
      </c>
      <c r="K358" s="6">
        <v>1918.6271999999999</v>
      </c>
      <c r="L358" s="6">
        <v>0</v>
      </c>
      <c r="M358" s="6">
        <v>0</v>
      </c>
      <c r="N358" s="6">
        <v>0</v>
      </c>
      <c r="O358" s="6">
        <v>0</v>
      </c>
      <c r="P358" s="6">
        <v>9</v>
      </c>
      <c r="Q358" s="4" t="s">
        <v>56</v>
      </c>
      <c r="R358" s="4">
        <v>0</v>
      </c>
      <c r="S358" s="4" t="s">
        <v>208</v>
      </c>
      <c r="U358" s="4">
        <v>2</v>
      </c>
      <c r="V358" s="4">
        <v>0</v>
      </c>
      <c r="W358" s="4">
        <v>0</v>
      </c>
    </row>
    <row r="359" spans="1:23" ht="11.25" customHeight="1" x14ac:dyDescent="0.25">
      <c r="A359" s="4" t="s">
        <v>21</v>
      </c>
      <c r="B359" s="4" t="s">
        <v>41</v>
      </c>
      <c r="C359" s="4" t="s">
        <v>43</v>
      </c>
      <c r="D359" s="4" t="s">
        <v>38</v>
      </c>
      <c r="E359" s="4" t="s">
        <v>25</v>
      </c>
      <c r="F359" s="4" t="s">
        <v>55</v>
      </c>
      <c r="G359" s="4" t="s">
        <v>25</v>
      </c>
      <c r="H359" s="4" t="s">
        <v>25</v>
      </c>
      <c r="I359" s="5">
        <v>44652</v>
      </c>
      <c r="J359" s="6">
        <v>4528</v>
      </c>
      <c r="K359" s="6">
        <v>2571.904</v>
      </c>
      <c r="L359" s="6">
        <v>0</v>
      </c>
      <c r="M359" s="6">
        <v>0</v>
      </c>
      <c r="N359" s="6">
        <v>0</v>
      </c>
      <c r="O359" s="6">
        <v>0</v>
      </c>
      <c r="P359" s="6">
        <v>10</v>
      </c>
      <c r="Q359" s="4" t="s">
        <v>56</v>
      </c>
      <c r="R359" s="4">
        <v>0</v>
      </c>
      <c r="S359" s="4" t="s">
        <v>209</v>
      </c>
      <c r="U359" s="4">
        <v>2</v>
      </c>
      <c r="V359" s="4">
        <v>0</v>
      </c>
      <c r="W359" s="4">
        <v>0</v>
      </c>
    </row>
    <row r="360" spans="1:23" ht="11.25" customHeight="1" x14ac:dyDescent="0.25">
      <c r="A360" s="4" t="s">
        <v>21</v>
      </c>
      <c r="B360" s="4" t="s">
        <v>41</v>
      </c>
      <c r="C360" s="4" t="s">
        <v>43</v>
      </c>
      <c r="D360" s="4" t="s">
        <v>38</v>
      </c>
      <c r="E360" s="4" t="s">
        <v>25</v>
      </c>
      <c r="F360" s="4" t="s">
        <v>55</v>
      </c>
      <c r="G360" s="4" t="s">
        <v>25</v>
      </c>
      <c r="H360" s="4" t="s">
        <v>25</v>
      </c>
      <c r="I360" s="5">
        <v>44682</v>
      </c>
      <c r="J360" s="6">
        <v>4635</v>
      </c>
      <c r="K360" s="6">
        <v>2917.7325000000001</v>
      </c>
      <c r="L360" s="6">
        <v>0</v>
      </c>
      <c r="M360" s="6">
        <v>0</v>
      </c>
      <c r="N360" s="6">
        <v>0</v>
      </c>
      <c r="O360" s="6">
        <v>0</v>
      </c>
      <c r="P360" s="6">
        <v>11</v>
      </c>
      <c r="Q360" s="4" t="s">
        <v>56</v>
      </c>
      <c r="R360" s="4">
        <v>0</v>
      </c>
      <c r="S360" s="4" t="s">
        <v>210</v>
      </c>
      <c r="U360" s="4">
        <v>2</v>
      </c>
      <c r="V360" s="4">
        <v>0</v>
      </c>
      <c r="W360" s="4">
        <v>0</v>
      </c>
    </row>
    <row r="361" spans="1:23" ht="11.25" customHeight="1" x14ac:dyDescent="0.25">
      <c r="A361" s="4" t="s">
        <v>21</v>
      </c>
      <c r="B361" s="4" t="s">
        <v>41</v>
      </c>
      <c r="C361" s="4" t="s">
        <v>43</v>
      </c>
      <c r="D361" s="4" t="s">
        <v>38</v>
      </c>
      <c r="E361" s="4" t="s">
        <v>25</v>
      </c>
      <c r="F361" s="4" t="s">
        <v>55</v>
      </c>
      <c r="G361" s="4" t="s">
        <v>25</v>
      </c>
      <c r="H361" s="4" t="s">
        <v>25</v>
      </c>
      <c r="I361" s="5">
        <v>44713</v>
      </c>
      <c r="J361" s="6">
        <v>4694</v>
      </c>
      <c r="K361" s="6">
        <v>2970.8326000000002</v>
      </c>
      <c r="L361" s="6">
        <v>0</v>
      </c>
      <c r="M361" s="6">
        <v>0</v>
      </c>
      <c r="N361" s="6">
        <v>0</v>
      </c>
      <c r="O361" s="6">
        <v>0</v>
      </c>
      <c r="P361" s="6">
        <v>12</v>
      </c>
      <c r="Q361" s="4" t="s">
        <v>56</v>
      </c>
      <c r="R361" s="4">
        <v>0</v>
      </c>
      <c r="S361" s="4" t="s">
        <v>211</v>
      </c>
      <c r="U361" s="4">
        <v>2</v>
      </c>
      <c r="V361" s="4">
        <v>0</v>
      </c>
      <c r="W361" s="4">
        <v>0</v>
      </c>
    </row>
    <row r="362" spans="1:23" ht="11.25" customHeight="1" x14ac:dyDescent="0.25">
      <c r="A362" s="4" t="s">
        <v>21</v>
      </c>
      <c r="B362" s="4" t="s">
        <v>41</v>
      </c>
      <c r="C362" s="4" t="s">
        <v>43</v>
      </c>
      <c r="D362" s="4" t="s">
        <v>38</v>
      </c>
      <c r="E362" s="4" t="s">
        <v>25</v>
      </c>
      <c r="F362" s="4" t="s">
        <v>55</v>
      </c>
      <c r="G362" s="4" t="s">
        <v>25</v>
      </c>
      <c r="H362" s="4" t="s">
        <v>25</v>
      </c>
      <c r="I362" s="5">
        <v>44743</v>
      </c>
      <c r="J362" s="6">
        <v>5006</v>
      </c>
      <c r="K362" s="6">
        <v>2841.9061999999999</v>
      </c>
      <c r="L362" s="6">
        <v>0</v>
      </c>
      <c r="M362" s="6">
        <v>0</v>
      </c>
      <c r="N362" s="6">
        <v>0</v>
      </c>
      <c r="O362" s="6">
        <v>0</v>
      </c>
      <c r="P362" s="6">
        <v>13</v>
      </c>
      <c r="Q362" s="4" t="s">
        <v>56</v>
      </c>
      <c r="R362" s="4">
        <v>0</v>
      </c>
      <c r="S362" s="4" t="s">
        <v>212</v>
      </c>
      <c r="U362" s="4">
        <v>2</v>
      </c>
      <c r="V362" s="4">
        <v>0</v>
      </c>
      <c r="W362" s="4">
        <v>0</v>
      </c>
    </row>
    <row r="363" spans="1:23" ht="11.25" customHeight="1" x14ac:dyDescent="0.25">
      <c r="A363" s="4" t="s">
        <v>21</v>
      </c>
      <c r="B363" s="4" t="s">
        <v>41</v>
      </c>
      <c r="C363" s="4" t="s">
        <v>43</v>
      </c>
      <c r="D363" s="4" t="s">
        <v>38</v>
      </c>
      <c r="E363" s="4" t="s">
        <v>25</v>
      </c>
      <c r="F363" s="4" t="s">
        <v>55</v>
      </c>
      <c r="G363" s="4" t="s">
        <v>25</v>
      </c>
      <c r="H363" s="4" t="s">
        <v>25</v>
      </c>
      <c r="I363" s="5">
        <v>44774</v>
      </c>
      <c r="J363" s="6">
        <v>5132</v>
      </c>
      <c r="K363" s="6">
        <v>3368.1316000000002</v>
      </c>
      <c r="L363" s="6">
        <v>0</v>
      </c>
      <c r="M363" s="6">
        <v>0</v>
      </c>
      <c r="N363" s="6">
        <v>0</v>
      </c>
      <c r="O363" s="6">
        <v>0</v>
      </c>
      <c r="P363" s="6">
        <v>13</v>
      </c>
      <c r="Q363" s="4" t="s">
        <v>56</v>
      </c>
      <c r="R363" s="4">
        <v>0</v>
      </c>
      <c r="S363" s="4" t="s">
        <v>213</v>
      </c>
      <c r="U363" s="4">
        <v>2</v>
      </c>
      <c r="V363" s="4">
        <v>0</v>
      </c>
      <c r="W363" s="4">
        <v>0</v>
      </c>
    </row>
    <row r="364" spans="1:23" ht="11.25" customHeight="1" x14ac:dyDescent="0.25">
      <c r="A364" s="4" t="s">
        <v>21</v>
      </c>
      <c r="B364" s="4" t="s">
        <v>41</v>
      </c>
      <c r="C364" s="4" t="s">
        <v>43</v>
      </c>
      <c r="D364" s="4" t="s">
        <v>38</v>
      </c>
      <c r="E364" s="4" t="s">
        <v>25</v>
      </c>
      <c r="F364" s="4" t="s">
        <v>55</v>
      </c>
      <c r="G364" s="4" t="s">
        <v>25</v>
      </c>
      <c r="H364" s="4" t="s">
        <v>25</v>
      </c>
      <c r="I364" s="5">
        <v>44805</v>
      </c>
      <c r="J364" s="6">
        <v>5029</v>
      </c>
      <c r="K364" s="6">
        <v>3364.9038999999998</v>
      </c>
      <c r="L364" s="6">
        <v>0</v>
      </c>
      <c r="M364" s="6">
        <v>0</v>
      </c>
      <c r="N364" s="6">
        <v>0</v>
      </c>
      <c r="O364" s="6">
        <v>0</v>
      </c>
      <c r="P364" s="6">
        <v>13</v>
      </c>
      <c r="Q364" s="4" t="s">
        <v>56</v>
      </c>
      <c r="R364" s="4">
        <v>0</v>
      </c>
      <c r="S364" s="4" t="s">
        <v>214</v>
      </c>
      <c r="U364" s="4">
        <v>2</v>
      </c>
      <c r="V364" s="4">
        <v>0</v>
      </c>
      <c r="W364" s="4">
        <v>0</v>
      </c>
    </row>
    <row r="365" spans="1:23" ht="11.25" customHeight="1" x14ac:dyDescent="0.25">
      <c r="A365" s="4" t="s">
        <v>21</v>
      </c>
      <c r="B365" s="4" t="s">
        <v>41</v>
      </c>
      <c r="C365" s="4" t="s">
        <v>43</v>
      </c>
      <c r="D365" s="4" t="s">
        <v>38</v>
      </c>
      <c r="E365" s="4" t="s">
        <v>25</v>
      </c>
      <c r="F365" s="4" t="s">
        <v>55</v>
      </c>
      <c r="G365" s="4" t="s">
        <v>25</v>
      </c>
      <c r="H365" s="4" t="s">
        <v>25</v>
      </c>
      <c r="I365" s="5">
        <v>44835</v>
      </c>
      <c r="J365" s="6">
        <v>5023</v>
      </c>
      <c r="K365" s="6">
        <v>3196.6372000000001</v>
      </c>
      <c r="L365" s="6">
        <v>0</v>
      </c>
      <c r="M365" s="6">
        <v>0</v>
      </c>
      <c r="N365" s="6">
        <v>0</v>
      </c>
      <c r="O365" s="6">
        <v>0</v>
      </c>
      <c r="P365" s="6">
        <v>13</v>
      </c>
      <c r="Q365" s="4" t="s">
        <v>56</v>
      </c>
      <c r="R365" s="4">
        <v>0</v>
      </c>
      <c r="S365" s="4" t="s">
        <v>215</v>
      </c>
      <c r="U365" s="4">
        <v>2</v>
      </c>
      <c r="V365" s="4">
        <v>0</v>
      </c>
      <c r="W365" s="4">
        <v>0</v>
      </c>
    </row>
    <row r="366" spans="1:23" ht="11.25" customHeight="1" x14ac:dyDescent="0.25">
      <c r="A366" s="4" t="s">
        <v>54</v>
      </c>
      <c r="B366" s="4" t="s">
        <v>41</v>
      </c>
      <c r="C366" s="4" t="s">
        <v>43</v>
      </c>
      <c r="D366" s="4" t="s">
        <v>38</v>
      </c>
      <c r="E366" s="4" t="s">
        <v>25</v>
      </c>
      <c r="F366" s="4" t="s">
        <v>55</v>
      </c>
      <c r="G366" s="4" t="s">
        <v>25</v>
      </c>
      <c r="H366" s="4" t="s">
        <v>25</v>
      </c>
      <c r="I366" s="5">
        <v>44866</v>
      </c>
      <c r="J366" s="6">
        <v>5023</v>
      </c>
      <c r="K366" s="6">
        <v>3196.6372000000001</v>
      </c>
      <c r="L366" s="6">
        <v>0</v>
      </c>
      <c r="M366" s="6">
        <v>0</v>
      </c>
      <c r="N366" s="6">
        <v>0</v>
      </c>
      <c r="O366" s="6">
        <v>0</v>
      </c>
      <c r="P366" s="6">
        <v>13</v>
      </c>
      <c r="Q366" s="4" t="s">
        <v>56</v>
      </c>
      <c r="R366" s="4">
        <v>0</v>
      </c>
      <c r="S366" s="4" t="s">
        <v>216</v>
      </c>
      <c r="U366" s="4">
        <v>2</v>
      </c>
      <c r="V366" s="4">
        <v>0</v>
      </c>
      <c r="W366" s="4">
        <v>0</v>
      </c>
    </row>
    <row r="367" spans="1:23" ht="11.25" customHeight="1" x14ac:dyDescent="0.25">
      <c r="A367" s="4" t="s">
        <v>21</v>
      </c>
      <c r="B367" s="4" t="s">
        <v>41</v>
      </c>
      <c r="C367" s="4" t="s">
        <v>43</v>
      </c>
      <c r="D367" s="4" t="s">
        <v>38</v>
      </c>
      <c r="E367" s="4" t="s">
        <v>25</v>
      </c>
      <c r="F367" s="4" t="s">
        <v>55</v>
      </c>
      <c r="G367" s="4" t="s">
        <v>25</v>
      </c>
      <c r="H367" s="4" t="s">
        <v>34</v>
      </c>
      <c r="I367" s="5">
        <v>44531</v>
      </c>
      <c r="J367" s="6">
        <v>0</v>
      </c>
      <c r="K367" s="6">
        <v>0</v>
      </c>
      <c r="L367" s="6">
        <v>79.353999999999999</v>
      </c>
      <c r="M367" s="6">
        <v>32.726844186740003</v>
      </c>
      <c r="N367" s="6">
        <v>0</v>
      </c>
      <c r="O367" s="6">
        <v>0</v>
      </c>
      <c r="P367" s="6">
        <v>0</v>
      </c>
      <c r="Q367" s="4" t="s">
        <v>56</v>
      </c>
      <c r="R367" s="4">
        <v>0</v>
      </c>
      <c r="S367" s="4" t="s">
        <v>217</v>
      </c>
      <c r="U367" s="4">
        <v>0</v>
      </c>
      <c r="V367" s="4">
        <v>5</v>
      </c>
      <c r="W367" s="4">
        <v>0</v>
      </c>
    </row>
    <row r="368" spans="1:23" ht="11.25" customHeight="1" x14ac:dyDescent="0.25">
      <c r="A368" s="4" t="s">
        <v>21</v>
      </c>
      <c r="B368" s="4" t="s">
        <v>41</v>
      </c>
      <c r="C368" s="4" t="s">
        <v>43</v>
      </c>
      <c r="D368" s="4" t="s">
        <v>38</v>
      </c>
      <c r="E368" s="4" t="s">
        <v>25</v>
      </c>
      <c r="F368" s="4" t="s">
        <v>55</v>
      </c>
      <c r="G368" s="4" t="s">
        <v>25</v>
      </c>
      <c r="H368" s="4" t="s">
        <v>34</v>
      </c>
      <c r="I368" s="5">
        <v>44562</v>
      </c>
      <c r="J368" s="6">
        <v>0</v>
      </c>
      <c r="K368" s="6">
        <v>0</v>
      </c>
      <c r="L368" s="6">
        <v>656.43799999999999</v>
      </c>
      <c r="M368" s="6">
        <v>248.461783</v>
      </c>
      <c r="N368" s="6">
        <v>0</v>
      </c>
      <c r="O368" s="6">
        <v>0</v>
      </c>
      <c r="P368" s="6">
        <v>0</v>
      </c>
      <c r="Q368" s="4" t="s">
        <v>56</v>
      </c>
      <c r="R368" s="4">
        <v>0</v>
      </c>
      <c r="S368" s="4" t="s">
        <v>218</v>
      </c>
      <c r="U368" s="4">
        <v>0</v>
      </c>
      <c r="V368" s="4">
        <v>5</v>
      </c>
      <c r="W368" s="4">
        <v>0</v>
      </c>
    </row>
    <row r="369" spans="1:23" ht="11.25" customHeight="1" x14ac:dyDescent="0.25">
      <c r="A369" s="4" t="s">
        <v>21</v>
      </c>
      <c r="B369" s="4" t="s">
        <v>41</v>
      </c>
      <c r="C369" s="4" t="s">
        <v>43</v>
      </c>
      <c r="D369" s="4" t="s">
        <v>38</v>
      </c>
      <c r="E369" s="4" t="s">
        <v>25</v>
      </c>
      <c r="F369" s="4" t="s">
        <v>55</v>
      </c>
      <c r="G369" s="4" t="s">
        <v>25</v>
      </c>
      <c r="H369" s="4" t="s">
        <v>34</v>
      </c>
      <c r="I369" s="5">
        <v>44593</v>
      </c>
      <c r="J369" s="6">
        <v>0</v>
      </c>
      <c r="K369" s="6">
        <v>0</v>
      </c>
      <c r="L369" s="6">
        <v>636.64099999999996</v>
      </c>
      <c r="M369" s="6">
        <v>311.44477719999998</v>
      </c>
      <c r="N369" s="6">
        <v>0</v>
      </c>
      <c r="O369" s="6">
        <v>0</v>
      </c>
      <c r="P369" s="6">
        <v>0</v>
      </c>
      <c r="Q369" s="4" t="s">
        <v>56</v>
      </c>
      <c r="R369" s="4">
        <v>0</v>
      </c>
      <c r="S369" s="4" t="s">
        <v>219</v>
      </c>
      <c r="U369" s="4">
        <v>0</v>
      </c>
      <c r="V369" s="4">
        <v>5</v>
      </c>
      <c r="W369" s="4">
        <v>0</v>
      </c>
    </row>
    <row r="370" spans="1:23" ht="11.25" customHeight="1" x14ac:dyDescent="0.25">
      <c r="A370" s="4" t="s">
        <v>21</v>
      </c>
      <c r="B370" s="4" t="s">
        <v>41</v>
      </c>
      <c r="C370" s="4" t="s">
        <v>43</v>
      </c>
      <c r="D370" s="4" t="s">
        <v>38</v>
      </c>
      <c r="E370" s="4" t="s">
        <v>25</v>
      </c>
      <c r="F370" s="4" t="s">
        <v>55</v>
      </c>
      <c r="G370" s="4" t="s">
        <v>25</v>
      </c>
      <c r="H370" s="4" t="s">
        <v>34</v>
      </c>
      <c r="I370" s="5">
        <v>44621</v>
      </c>
      <c r="J370" s="6">
        <v>0</v>
      </c>
      <c r="K370" s="6">
        <v>0</v>
      </c>
      <c r="L370" s="6">
        <v>724.59900000000005</v>
      </c>
      <c r="M370" s="6">
        <v>61.953214500000001</v>
      </c>
      <c r="N370" s="6">
        <v>0</v>
      </c>
      <c r="O370" s="6">
        <v>0</v>
      </c>
      <c r="P370" s="6">
        <v>0</v>
      </c>
      <c r="Q370" s="4" t="s">
        <v>56</v>
      </c>
      <c r="R370" s="4">
        <v>0</v>
      </c>
      <c r="S370" s="4" t="s">
        <v>220</v>
      </c>
      <c r="U370" s="4">
        <v>0</v>
      </c>
      <c r="V370" s="4">
        <v>5</v>
      </c>
      <c r="W370" s="4">
        <v>0</v>
      </c>
    </row>
    <row r="371" spans="1:23" ht="11.25" customHeight="1" x14ac:dyDescent="0.25">
      <c r="A371" s="4" t="s">
        <v>21</v>
      </c>
      <c r="B371" s="4" t="s">
        <v>41</v>
      </c>
      <c r="C371" s="4" t="s">
        <v>43</v>
      </c>
      <c r="D371" s="4" t="s">
        <v>38</v>
      </c>
      <c r="E371" s="4" t="s">
        <v>25</v>
      </c>
      <c r="F371" s="4" t="s">
        <v>55</v>
      </c>
      <c r="G371" s="4" t="s">
        <v>25</v>
      </c>
      <c r="H371" s="4" t="s">
        <v>34</v>
      </c>
      <c r="I371" s="5">
        <v>44652</v>
      </c>
      <c r="J371" s="6">
        <v>0</v>
      </c>
      <c r="K371" s="6">
        <v>0</v>
      </c>
      <c r="L371" s="6">
        <v>1063.9159999999999</v>
      </c>
      <c r="M371" s="6">
        <v>128.0954864</v>
      </c>
      <c r="N371" s="6">
        <v>0</v>
      </c>
      <c r="O371" s="6">
        <v>0</v>
      </c>
      <c r="P371" s="6">
        <v>0</v>
      </c>
      <c r="Q371" s="4" t="s">
        <v>56</v>
      </c>
      <c r="R371" s="4">
        <v>0</v>
      </c>
      <c r="S371" s="4" t="s">
        <v>221</v>
      </c>
      <c r="U371" s="4">
        <v>0</v>
      </c>
      <c r="V371" s="4">
        <v>5</v>
      </c>
      <c r="W371" s="4">
        <v>0</v>
      </c>
    </row>
    <row r="372" spans="1:23" ht="11.25" customHeight="1" x14ac:dyDescent="0.25">
      <c r="A372" s="4" t="s">
        <v>21</v>
      </c>
      <c r="B372" s="4" t="s">
        <v>41</v>
      </c>
      <c r="C372" s="4" t="s">
        <v>43</v>
      </c>
      <c r="D372" s="4" t="s">
        <v>38</v>
      </c>
      <c r="E372" s="4" t="s">
        <v>25</v>
      </c>
      <c r="F372" s="4" t="s">
        <v>55</v>
      </c>
      <c r="G372" s="4" t="s">
        <v>25</v>
      </c>
      <c r="H372" s="4" t="s">
        <v>34</v>
      </c>
      <c r="I372" s="5">
        <v>44682</v>
      </c>
      <c r="J372" s="6">
        <v>0</v>
      </c>
      <c r="K372" s="6">
        <v>0</v>
      </c>
      <c r="L372" s="6">
        <v>1145.528</v>
      </c>
      <c r="M372" s="6">
        <v>-11.684385600000001</v>
      </c>
      <c r="N372" s="6">
        <v>0</v>
      </c>
      <c r="O372" s="6">
        <v>0</v>
      </c>
      <c r="P372" s="6">
        <v>0</v>
      </c>
      <c r="Q372" s="4" t="s">
        <v>56</v>
      </c>
      <c r="R372" s="4">
        <v>0</v>
      </c>
      <c r="S372" s="4" t="s">
        <v>222</v>
      </c>
      <c r="U372" s="4">
        <v>0</v>
      </c>
      <c r="V372" s="4">
        <v>5</v>
      </c>
      <c r="W372" s="4">
        <v>0</v>
      </c>
    </row>
    <row r="373" spans="1:23" ht="11.25" customHeight="1" x14ac:dyDescent="0.25">
      <c r="A373" s="4" t="s">
        <v>21</v>
      </c>
      <c r="B373" s="4" t="s">
        <v>41</v>
      </c>
      <c r="C373" s="4" t="s">
        <v>43</v>
      </c>
      <c r="D373" s="4" t="s">
        <v>38</v>
      </c>
      <c r="E373" s="4" t="s">
        <v>25</v>
      </c>
      <c r="F373" s="4" t="s">
        <v>55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1190.585</v>
      </c>
      <c r="M373" s="6">
        <v>95.842092500000007</v>
      </c>
      <c r="N373" s="6">
        <v>0</v>
      </c>
      <c r="O373" s="6">
        <v>0</v>
      </c>
      <c r="P373" s="6">
        <v>0</v>
      </c>
      <c r="Q373" s="4" t="s">
        <v>56</v>
      </c>
      <c r="R373" s="4">
        <v>0</v>
      </c>
      <c r="S373" s="4" t="s">
        <v>223</v>
      </c>
      <c r="U373" s="4">
        <v>0</v>
      </c>
      <c r="V373" s="4">
        <v>5</v>
      </c>
      <c r="W373" s="4">
        <v>0</v>
      </c>
    </row>
    <row r="374" spans="1:23" ht="11.25" customHeight="1" x14ac:dyDescent="0.25">
      <c r="A374" s="4" t="s">
        <v>21</v>
      </c>
      <c r="B374" s="4" t="s">
        <v>41</v>
      </c>
      <c r="C374" s="4" t="s">
        <v>43</v>
      </c>
      <c r="D374" s="4" t="s">
        <v>38</v>
      </c>
      <c r="E374" s="4" t="s">
        <v>25</v>
      </c>
      <c r="F374" s="4" t="s">
        <v>55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1201.797</v>
      </c>
      <c r="M374" s="6">
        <v>332.5372299</v>
      </c>
      <c r="N374" s="6">
        <v>0</v>
      </c>
      <c r="O374" s="6">
        <v>0</v>
      </c>
      <c r="P374" s="6">
        <v>0</v>
      </c>
      <c r="Q374" s="4" t="s">
        <v>56</v>
      </c>
      <c r="R374" s="4">
        <v>0</v>
      </c>
      <c r="S374" s="4" t="s">
        <v>224</v>
      </c>
      <c r="U374" s="4">
        <v>0</v>
      </c>
      <c r="V374" s="4">
        <v>5</v>
      </c>
      <c r="W374" s="4">
        <v>0</v>
      </c>
    </row>
    <row r="375" spans="1:23" ht="11.25" customHeight="1" x14ac:dyDescent="0.25">
      <c r="A375" s="4" t="s">
        <v>21</v>
      </c>
      <c r="B375" s="4" t="s">
        <v>41</v>
      </c>
      <c r="C375" s="4" t="s">
        <v>43</v>
      </c>
      <c r="D375" s="4" t="s">
        <v>38</v>
      </c>
      <c r="E375" s="4" t="s">
        <v>25</v>
      </c>
      <c r="F375" s="4" t="s">
        <v>55</v>
      </c>
      <c r="G375" s="4" t="s">
        <v>25</v>
      </c>
      <c r="H375" s="4" t="s">
        <v>34</v>
      </c>
      <c r="I375" s="5">
        <v>44774</v>
      </c>
      <c r="J375" s="6">
        <v>0</v>
      </c>
      <c r="K375" s="6">
        <v>0</v>
      </c>
      <c r="L375" s="6">
        <v>1344.97</v>
      </c>
      <c r="M375" s="6">
        <v>-158.033975</v>
      </c>
      <c r="N375" s="6">
        <v>0</v>
      </c>
      <c r="O375" s="6">
        <v>0</v>
      </c>
      <c r="P375" s="6">
        <v>0</v>
      </c>
      <c r="Q375" s="4" t="s">
        <v>56</v>
      </c>
      <c r="R375" s="4">
        <v>0</v>
      </c>
      <c r="S375" s="4" t="s">
        <v>225</v>
      </c>
      <c r="U375" s="4">
        <v>0</v>
      </c>
      <c r="V375" s="4">
        <v>5</v>
      </c>
      <c r="W375" s="4">
        <v>0</v>
      </c>
    </row>
    <row r="376" spans="1:23" ht="11.25" customHeight="1" x14ac:dyDescent="0.25">
      <c r="A376" s="4" t="s">
        <v>21</v>
      </c>
      <c r="B376" s="4" t="s">
        <v>41</v>
      </c>
      <c r="C376" s="4" t="s">
        <v>43</v>
      </c>
      <c r="D376" s="4" t="s">
        <v>38</v>
      </c>
      <c r="E376" s="4" t="s">
        <v>25</v>
      </c>
      <c r="F376" s="4" t="s">
        <v>55</v>
      </c>
      <c r="G376" s="4" t="s">
        <v>25</v>
      </c>
      <c r="H376" s="4" t="s">
        <v>34</v>
      </c>
      <c r="I376" s="5">
        <v>44805</v>
      </c>
      <c r="J376" s="6">
        <v>0</v>
      </c>
      <c r="K376" s="6">
        <v>0</v>
      </c>
      <c r="L376" s="6">
        <v>1285.78</v>
      </c>
      <c r="M376" s="6">
        <v>150.43626</v>
      </c>
      <c r="N376" s="6">
        <v>0</v>
      </c>
      <c r="O376" s="6">
        <v>0</v>
      </c>
      <c r="P376" s="6">
        <v>0</v>
      </c>
      <c r="Q376" s="4" t="s">
        <v>56</v>
      </c>
      <c r="R376" s="4">
        <v>0</v>
      </c>
      <c r="S376" s="4" t="s">
        <v>226</v>
      </c>
      <c r="U376" s="4">
        <v>0</v>
      </c>
      <c r="V376" s="4">
        <v>5</v>
      </c>
      <c r="W376" s="4">
        <v>0</v>
      </c>
    </row>
    <row r="377" spans="1:23" ht="11.25" customHeight="1" x14ac:dyDescent="0.25">
      <c r="A377" s="4" t="s">
        <v>21</v>
      </c>
      <c r="B377" s="4" t="s">
        <v>41</v>
      </c>
      <c r="C377" s="4" t="s">
        <v>43</v>
      </c>
      <c r="D377" s="4" t="s">
        <v>38</v>
      </c>
      <c r="E377" s="4" t="s">
        <v>25</v>
      </c>
      <c r="F377" s="4" t="s">
        <v>55</v>
      </c>
      <c r="G377" s="4" t="s">
        <v>25</v>
      </c>
      <c r="H377" s="4" t="s">
        <v>34</v>
      </c>
      <c r="I377" s="5">
        <v>44835</v>
      </c>
      <c r="J377" s="6">
        <v>0</v>
      </c>
      <c r="K377" s="6">
        <v>0</v>
      </c>
      <c r="L377" s="6">
        <v>1357.423</v>
      </c>
      <c r="M377" s="6">
        <v>-199.8126656</v>
      </c>
      <c r="N377" s="6">
        <v>0</v>
      </c>
      <c r="O377" s="6">
        <v>0</v>
      </c>
      <c r="P377" s="6">
        <v>0</v>
      </c>
      <c r="Q377" s="4" t="s">
        <v>56</v>
      </c>
      <c r="R377" s="4">
        <v>0</v>
      </c>
      <c r="S377" s="4" t="s">
        <v>227</v>
      </c>
      <c r="U377" s="4">
        <v>0</v>
      </c>
      <c r="V377" s="4">
        <v>5</v>
      </c>
      <c r="W377" s="4">
        <v>0</v>
      </c>
    </row>
    <row r="378" spans="1:23" ht="11.25" customHeight="1" x14ac:dyDescent="0.25">
      <c r="A378" s="4" t="s">
        <v>54</v>
      </c>
      <c r="B378" s="4" t="s">
        <v>41</v>
      </c>
      <c r="C378" s="4" t="s">
        <v>43</v>
      </c>
      <c r="D378" s="4" t="s">
        <v>38</v>
      </c>
      <c r="E378" s="4" t="s">
        <v>25</v>
      </c>
      <c r="F378" s="4" t="s">
        <v>55</v>
      </c>
      <c r="G378" s="4" t="s">
        <v>25</v>
      </c>
      <c r="H378" s="4" t="s">
        <v>34</v>
      </c>
      <c r="I378" s="5">
        <v>44866</v>
      </c>
      <c r="J378" s="6">
        <v>0</v>
      </c>
      <c r="K378" s="6">
        <v>0</v>
      </c>
      <c r="L378" s="6">
        <v>1357.423</v>
      </c>
      <c r="M378" s="6">
        <v>-199.8126656</v>
      </c>
      <c r="N378" s="6">
        <v>0</v>
      </c>
      <c r="O378" s="6">
        <v>0</v>
      </c>
      <c r="P378" s="6">
        <v>0</v>
      </c>
      <c r="Q378" s="4" t="s">
        <v>56</v>
      </c>
      <c r="R378" s="4">
        <v>0</v>
      </c>
      <c r="S378" s="4" t="s">
        <v>228</v>
      </c>
      <c r="U378" s="4">
        <v>0</v>
      </c>
      <c r="V378" s="4">
        <v>5</v>
      </c>
      <c r="W378" s="4">
        <v>0</v>
      </c>
    </row>
    <row r="379" spans="1:23" ht="11.25" customHeight="1" x14ac:dyDescent="0.25">
      <c r="A379" s="4" t="s">
        <v>21</v>
      </c>
      <c r="B379" s="4" t="s">
        <v>41</v>
      </c>
      <c r="C379" s="4" t="s">
        <v>43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44531</v>
      </c>
      <c r="J379" s="6">
        <v>0</v>
      </c>
      <c r="K379" s="6">
        <v>0</v>
      </c>
      <c r="L379" s="6">
        <v>1329.452</v>
      </c>
      <c r="M379" s="6">
        <v>1329.452</v>
      </c>
      <c r="N379" s="6">
        <v>1329.452</v>
      </c>
      <c r="O379" s="6">
        <v>1329.452</v>
      </c>
      <c r="P379" s="6">
        <v>0</v>
      </c>
      <c r="Q379" s="4" t="s">
        <v>26</v>
      </c>
      <c r="R379" s="4">
        <v>0</v>
      </c>
      <c r="S379" s="4" t="s">
        <v>193</v>
      </c>
      <c r="T379" s="4" t="s">
        <v>450</v>
      </c>
      <c r="U379" s="4">
        <v>0</v>
      </c>
      <c r="V379" s="4">
        <v>7</v>
      </c>
      <c r="W379" s="4">
        <v>76</v>
      </c>
    </row>
    <row r="380" spans="1:23" ht="11.25" customHeight="1" x14ac:dyDescent="0.25">
      <c r="A380" s="4" t="s">
        <v>28</v>
      </c>
      <c r="B380" s="4" t="s">
        <v>41</v>
      </c>
      <c r="C380" s="4" t="s">
        <v>43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18.178000000000001</v>
      </c>
      <c r="M380" s="6">
        <v>18.178000000000001</v>
      </c>
      <c r="N380" s="6">
        <v>18.178000000000001</v>
      </c>
      <c r="O380" s="6">
        <v>18.178000000000001</v>
      </c>
      <c r="P380" s="6">
        <v>0</v>
      </c>
      <c r="Q380" s="4" t="s">
        <v>26</v>
      </c>
      <c r="R380" s="4">
        <v>0</v>
      </c>
      <c r="S380" s="4" t="s">
        <v>193</v>
      </c>
      <c r="T380" s="4" t="s">
        <v>450</v>
      </c>
      <c r="U380" s="4">
        <v>0</v>
      </c>
      <c r="V380" s="4">
        <v>7</v>
      </c>
      <c r="W380" s="4">
        <v>76</v>
      </c>
    </row>
    <row r="381" spans="1:23" ht="11.25" customHeight="1" x14ac:dyDescent="0.25">
      <c r="A381" s="4" t="s">
        <v>21</v>
      </c>
      <c r="B381" s="4" t="s">
        <v>41</v>
      </c>
      <c r="C381" s="4" t="s">
        <v>43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1329.62</v>
      </c>
      <c r="M381" s="6">
        <v>1329.62</v>
      </c>
      <c r="N381" s="6">
        <v>1329.62</v>
      </c>
      <c r="O381" s="6">
        <v>1329.62</v>
      </c>
      <c r="P381" s="6">
        <v>0</v>
      </c>
      <c r="Q381" s="4" t="s">
        <v>26</v>
      </c>
      <c r="R381" s="4">
        <v>0</v>
      </c>
      <c r="S381" s="4" t="s">
        <v>194</v>
      </c>
      <c r="T381" s="4" t="s">
        <v>451</v>
      </c>
      <c r="U381" s="4">
        <v>0</v>
      </c>
      <c r="V381" s="4">
        <v>7</v>
      </c>
      <c r="W381" s="4">
        <v>76</v>
      </c>
    </row>
    <row r="382" spans="1:23" ht="11.25" customHeight="1" x14ac:dyDescent="0.25">
      <c r="A382" s="4" t="s">
        <v>28</v>
      </c>
      <c r="B382" s="4" t="s">
        <v>41</v>
      </c>
      <c r="C382" s="4" t="s">
        <v>43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44562</v>
      </c>
      <c r="J382" s="6">
        <v>0</v>
      </c>
      <c r="K382" s="6">
        <v>0</v>
      </c>
      <c r="L382" s="6">
        <v>20.651</v>
      </c>
      <c r="M382" s="6">
        <v>20.651</v>
      </c>
      <c r="N382" s="6">
        <v>20.651</v>
      </c>
      <c r="O382" s="6">
        <v>20.651</v>
      </c>
      <c r="P382" s="6">
        <v>0</v>
      </c>
      <c r="Q382" s="4" t="s">
        <v>26</v>
      </c>
      <c r="R382" s="4">
        <v>0</v>
      </c>
      <c r="S382" s="4" t="s">
        <v>194</v>
      </c>
      <c r="T382" s="4" t="s">
        <v>451</v>
      </c>
      <c r="U382" s="4">
        <v>0</v>
      </c>
      <c r="V382" s="4">
        <v>7</v>
      </c>
      <c r="W382" s="4">
        <v>76</v>
      </c>
    </row>
    <row r="383" spans="1:23" ht="11.25" customHeight="1" x14ac:dyDescent="0.25">
      <c r="A383" s="4" t="s">
        <v>21</v>
      </c>
      <c r="B383" s="4" t="s">
        <v>41</v>
      </c>
      <c r="C383" s="4" t="s">
        <v>43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44593</v>
      </c>
      <c r="J383" s="6">
        <v>0</v>
      </c>
      <c r="K383" s="6">
        <v>0</v>
      </c>
      <c r="L383" s="6">
        <v>1111.395</v>
      </c>
      <c r="M383" s="6">
        <v>1111.395</v>
      </c>
      <c r="N383" s="6">
        <v>1111.395</v>
      </c>
      <c r="O383" s="6">
        <v>1111.395</v>
      </c>
      <c r="P383" s="6">
        <v>0</v>
      </c>
      <c r="Q383" s="4" t="s">
        <v>26</v>
      </c>
      <c r="R383" s="4">
        <v>0</v>
      </c>
      <c r="S383" s="4" t="s">
        <v>195</v>
      </c>
      <c r="T383" s="4" t="s">
        <v>452</v>
      </c>
      <c r="U383" s="4">
        <v>0</v>
      </c>
      <c r="V383" s="4">
        <v>7</v>
      </c>
      <c r="W383" s="4">
        <v>76</v>
      </c>
    </row>
    <row r="384" spans="1:23" ht="11.25" customHeight="1" x14ac:dyDescent="0.25">
      <c r="A384" s="4" t="s">
        <v>28</v>
      </c>
      <c r="B384" s="4" t="s">
        <v>41</v>
      </c>
      <c r="C384" s="4" t="s">
        <v>43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44593</v>
      </c>
      <c r="J384" s="6">
        <v>0</v>
      </c>
      <c r="K384" s="6">
        <v>0</v>
      </c>
      <c r="L384" s="6">
        <v>13.91</v>
      </c>
      <c r="M384" s="6">
        <v>13.91</v>
      </c>
      <c r="N384" s="6">
        <v>13.91</v>
      </c>
      <c r="O384" s="6">
        <v>13.91</v>
      </c>
      <c r="P384" s="6">
        <v>0</v>
      </c>
      <c r="Q384" s="4" t="s">
        <v>26</v>
      </c>
      <c r="R384" s="4">
        <v>0</v>
      </c>
      <c r="S384" s="4" t="s">
        <v>195</v>
      </c>
      <c r="T384" s="4" t="s">
        <v>452</v>
      </c>
      <c r="U384" s="4">
        <v>0</v>
      </c>
      <c r="V384" s="4">
        <v>7</v>
      </c>
      <c r="W384" s="4">
        <v>76</v>
      </c>
    </row>
    <row r="385" spans="1:23" ht="11.25" customHeight="1" x14ac:dyDescent="0.25">
      <c r="A385" s="4" t="s">
        <v>21</v>
      </c>
      <c r="B385" s="4" t="s">
        <v>41</v>
      </c>
      <c r="C385" s="4" t="s">
        <v>43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44621</v>
      </c>
      <c r="J385" s="6">
        <v>0</v>
      </c>
      <c r="K385" s="6">
        <v>0</v>
      </c>
      <c r="L385" s="6">
        <v>1456.5519999999999</v>
      </c>
      <c r="M385" s="6">
        <v>1456.5519999999999</v>
      </c>
      <c r="N385" s="6">
        <v>1456.5519999999999</v>
      </c>
      <c r="O385" s="6">
        <v>1456.5519999999999</v>
      </c>
      <c r="P385" s="6">
        <v>0</v>
      </c>
      <c r="Q385" s="4" t="s">
        <v>26</v>
      </c>
      <c r="R385" s="4">
        <v>0</v>
      </c>
      <c r="S385" s="4" t="s">
        <v>196</v>
      </c>
      <c r="T385" s="4" t="s">
        <v>453</v>
      </c>
      <c r="U385" s="4">
        <v>0</v>
      </c>
      <c r="V385" s="4">
        <v>7</v>
      </c>
      <c r="W385" s="4">
        <v>76</v>
      </c>
    </row>
    <row r="386" spans="1:23" ht="11.25" customHeight="1" x14ac:dyDescent="0.25">
      <c r="A386" s="4" t="s">
        <v>28</v>
      </c>
      <c r="B386" s="4" t="s">
        <v>41</v>
      </c>
      <c r="C386" s="4" t="s">
        <v>43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44621</v>
      </c>
      <c r="J386" s="6">
        <v>0</v>
      </c>
      <c r="K386" s="6">
        <v>0</v>
      </c>
      <c r="L386" s="6">
        <v>22.111999999999998</v>
      </c>
      <c r="M386" s="6">
        <v>22.111999999999998</v>
      </c>
      <c r="N386" s="6">
        <v>22.111999999999998</v>
      </c>
      <c r="O386" s="6">
        <v>22.111999999999998</v>
      </c>
      <c r="P386" s="6">
        <v>0</v>
      </c>
      <c r="Q386" s="4" t="s">
        <v>26</v>
      </c>
      <c r="R386" s="4">
        <v>0</v>
      </c>
      <c r="S386" s="4" t="s">
        <v>196</v>
      </c>
      <c r="T386" s="4" t="s">
        <v>453</v>
      </c>
      <c r="U386" s="4">
        <v>0</v>
      </c>
      <c r="V386" s="4">
        <v>7</v>
      </c>
      <c r="W386" s="4">
        <v>76</v>
      </c>
    </row>
    <row r="387" spans="1:23" ht="11.25" customHeight="1" x14ac:dyDescent="0.25">
      <c r="A387" s="4" t="s">
        <v>21</v>
      </c>
      <c r="B387" s="4" t="s">
        <v>41</v>
      </c>
      <c r="C387" s="4" t="s">
        <v>43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44652</v>
      </c>
      <c r="J387" s="6">
        <v>0</v>
      </c>
      <c r="K387" s="6">
        <v>0</v>
      </c>
      <c r="L387" s="6">
        <v>1076.3869999999999</v>
      </c>
      <c r="M387" s="6">
        <v>1076.3869999999999</v>
      </c>
      <c r="N387" s="6">
        <v>1076.3869999999999</v>
      </c>
      <c r="O387" s="6">
        <v>1076.3869999999999</v>
      </c>
      <c r="P387" s="6">
        <v>0</v>
      </c>
      <c r="Q387" s="4" t="s">
        <v>26</v>
      </c>
      <c r="R387" s="4">
        <v>0</v>
      </c>
      <c r="S387" s="4" t="s">
        <v>197</v>
      </c>
      <c r="T387" s="4" t="s">
        <v>454</v>
      </c>
      <c r="U387" s="4">
        <v>0</v>
      </c>
      <c r="V387" s="4">
        <v>7</v>
      </c>
      <c r="W387" s="4">
        <v>76</v>
      </c>
    </row>
    <row r="388" spans="1:23" ht="11.25" customHeight="1" x14ac:dyDescent="0.25">
      <c r="A388" s="4" t="s">
        <v>28</v>
      </c>
      <c r="B388" s="4" t="s">
        <v>41</v>
      </c>
      <c r="C388" s="4" t="s">
        <v>43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44652</v>
      </c>
      <c r="J388" s="6">
        <v>0</v>
      </c>
      <c r="K388" s="6">
        <v>0</v>
      </c>
      <c r="L388" s="6">
        <v>17.192</v>
      </c>
      <c r="M388" s="6">
        <v>17.192</v>
      </c>
      <c r="N388" s="6">
        <v>17.192</v>
      </c>
      <c r="O388" s="6">
        <v>17.192</v>
      </c>
      <c r="P388" s="6">
        <v>0</v>
      </c>
      <c r="Q388" s="4" t="s">
        <v>26</v>
      </c>
      <c r="R388" s="4">
        <v>0</v>
      </c>
      <c r="S388" s="4" t="s">
        <v>197</v>
      </c>
      <c r="T388" s="4" t="s">
        <v>454</v>
      </c>
      <c r="U388" s="4">
        <v>0</v>
      </c>
      <c r="V388" s="4">
        <v>7</v>
      </c>
      <c r="W388" s="4">
        <v>76</v>
      </c>
    </row>
    <row r="389" spans="1:23" ht="11.25" customHeight="1" x14ac:dyDescent="0.25">
      <c r="A389" s="4" t="s">
        <v>21</v>
      </c>
      <c r="B389" s="4" t="s">
        <v>41</v>
      </c>
      <c r="C389" s="4" t="s">
        <v>43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44682</v>
      </c>
      <c r="J389" s="6">
        <v>0</v>
      </c>
      <c r="K389" s="6">
        <v>0</v>
      </c>
      <c r="L389" s="6">
        <v>1233.008</v>
      </c>
      <c r="M389" s="6">
        <v>1233.008</v>
      </c>
      <c r="N389" s="6">
        <v>1233.008</v>
      </c>
      <c r="O389" s="6">
        <v>1233.008</v>
      </c>
      <c r="P389" s="6">
        <v>0</v>
      </c>
      <c r="Q389" s="4" t="s">
        <v>26</v>
      </c>
      <c r="R389" s="4">
        <v>0</v>
      </c>
      <c r="S389" s="4" t="s">
        <v>198</v>
      </c>
      <c r="T389" s="4" t="s">
        <v>455</v>
      </c>
      <c r="U389" s="4">
        <v>0</v>
      </c>
      <c r="V389" s="4">
        <v>7</v>
      </c>
      <c r="W389" s="4">
        <v>76</v>
      </c>
    </row>
    <row r="390" spans="1:23" ht="11.25" customHeight="1" x14ac:dyDescent="0.25">
      <c r="A390" s="4" t="s">
        <v>27</v>
      </c>
      <c r="B390" s="4" t="s">
        <v>41</v>
      </c>
      <c r="C390" s="4" t="s">
        <v>43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44682</v>
      </c>
      <c r="J390" s="6">
        <v>0</v>
      </c>
      <c r="K390" s="6">
        <v>0</v>
      </c>
      <c r="L390" s="6">
        <v>91.399000000000001</v>
      </c>
      <c r="M390" s="6">
        <v>91.399000000000001</v>
      </c>
      <c r="N390" s="6">
        <v>91.399000000000001</v>
      </c>
      <c r="O390" s="6">
        <v>91.399000000000001</v>
      </c>
      <c r="P390" s="6">
        <v>0</v>
      </c>
      <c r="Q390" s="4" t="s">
        <v>26</v>
      </c>
      <c r="R390" s="4">
        <v>0</v>
      </c>
      <c r="S390" s="4" t="s">
        <v>198</v>
      </c>
      <c r="T390" s="4" t="s">
        <v>455</v>
      </c>
      <c r="U390" s="4">
        <v>0</v>
      </c>
      <c r="V390" s="4">
        <v>7</v>
      </c>
      <c r="W390" s="4">
        <v>76</v>
      </c>
    </row>
    <row r="391" spans="1:23" ht="11.25" customHeight="1" x14ac:dyDescent="0.25">
      <c r="A391" s="4" t="s">
        <v>28</v>
      </c>
      <c r="B391" s="4" t="s">
        <v>41</v>
      </c>
      <c r="C391" s="4" t="s">
        <v>43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44682</v>
      </c>
      <c r="J391" s="6">
        <v>0</v>
      </c>
      <c r="K391" s="6">
        <v>0</v>
      </c>
      <c r="L391" s="6">
        <v>30.978999999999999</v>
      </c>
      <c r="M391" s="6">
        <v>30.978999999999999</v>
      </c>
      <c r="N391" s="6">
        <v>30.978999999999999</v>
      </c>
      <c r="O391" s="6">
        <v>30.978999999999999</v>
      </c>
      <c r="P391" s="6">
        <v>0</v>
      </c>
      <c r="Q391" s="4" t="s">
        <v>26</v>
      </c>
      <c r="R391" s="4">
        <v>0</v>
      </c>
      <c r="S391" s="4" t="s">
        <v>198</v>
      </c>
      <c r="T391" s="4" t="s">
        <v>455</v>
      </c>
      <c r="U391" s="4">
        <v>0</v>
      </c>
      <c r="V391" s="4">
        <v>7</v>
      </c>
      <c r="W391" s="4">
        <v>76</v>
      </c>
    </row>
    <row r="392" spans="1:23" ht="11.25" customHeight="1" x14ac:dyDescent="0.25">
      <c r="A392" s="4" t="s">
        <v>21</v>
      </c>
      <c r="B392" s="4" t="s">
        <v>41</v>
      </c>
      <c r="C392" s="4" t="s">
        <v>43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44713</v>
      </c>
      <c r="J392" s="6">
        <v>0</v>
      </c>
      <c r="K392" s="6">
        <v>0</v>
      </c>
      <c r="L392" s="6">
        <v>1219.1420000000001</v>
      </c>
      <c r="M392" s="6">
        <v>1219.1420000000001</v>
      </c>
      <c r="N392" s="6">
        <v>1219.1420000000001</v>
      </c>
      <c r="O392" s="6">
        <v>1219.1420000000001</v>
      </c>
      <c r="P392" s="6">
        <v>0</v>
      </c>
      <c r="Q392" s="4" t="s">
        <v>26</v>
      </c>
      <c r="R392" s="4">
        <v>0</v>
      </c>
      <c r="S392" s="4" t="s">
        <v>199</v>
      </c>
      <c r="T392" s="4" t="s">
        <v>456</v>
      </c>
      <c r="U392" s="4">
        <v>0</v>
      </c>
      <c r="V392" s="4">
        <v>7</v>
      </c>
      <c r="W392" s="4">
        <v>76</v>
      </c>
    </row>
    <row r="393" spans="1:23" ht="11.25" customHeight="1" x14ac:dyDescent="0.25">
      <c r="A393" s="4" t="s">
        <v>28</v>
      </c>
      <c r="B393" s="4" t="s">
        <v>41</v>
      </c>
      <c r="C393" s="4" t="s">
        <v>43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44713</v>
      </c>
      <c r="J393" s="6">
        <v>0</v>
      </c>
      <c r="K393" s="6">
        <v>0</v>
      </c>
      <c r="L393" s="6">
        <v>40.295999999999999</v>
      </c>
      <c r="M393" s="6">
        <v>40.295999999999999</v>
      </c>
      <c r="N393" s="6">
        <v>40.295999999999999</v>
      </c>
      <c r="O393" s="6">
        <v>40.295999999999999</v>
      </c>
      <c r="P393" s="6">
        <v>0</v>
      </c>
      <c r="Q393" s="4" t="s">
        <v>26</v>
      </c>
      <c r="R393" s="4">
        <v>0</v>
      </c>
      <c r="S393" s="4" t="s">
        <v>199</v>
      </c>
      <c r="T393" s="4" t="s">
        <v>456</v>
      </c>
      <c r="U393" s="4">
        <v>0</v>
      </c>
      <c r="V393" s="4">
        <v>7</v>
      </c>
      <c r="W393" s="4">
        <v>76</v>
      </c>
    </row>
    <row r="394" spans="1:23" ht="11.25" customHeight="1" x14ac:dyDescent="0.25">
      <c r="A394" s="4" t="s">
        <v>21</v>
      </c>
      <c r="B394" s="4" t="s">
        <v>41</v>
      </c>
      <c r="C394" s="4" t="s">
        <v>43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44743</v>
      </c>
      <c r="J394" s="6">
        <v>0</v>
      </c>
      <c r="K394" s="6">
        <v>0</v>
      </c>
      <c r="L394" s="6">
        <v>1342.5150000000001</v>
      </c>
      <c r="M394" s="6">
        <v>1342.5150000000001</v>
      </c>
      <c r="N394" s="6">
        <v>1342.5150000000001</v>
      </c>
      <c r="O394" s="6">
        <v>1342.5150000000001</v>
      </c>
      <c r="P394" s="6">
        <v>0</v>
      </c>
      <c r="Q394" s="4" t="s">
        <v>26</v>
      </c>
      <c r="R394" s="4">
        <v>0</v>
      </c>
      <c r="S394" s="4" t="s">
        <v>200</v>
      </c>
      <c r="T394" s="4" t="s">
        <v>457</v>
      </c>
      <c r="U394" s="4">
        <v>0</v>
      </c>
      <c r="V394" s="4">
        <v>7</v>
      </c>
      <c r="W394" s="4">
        <v>76</v>
      </c>
    </row>
    <row r="395" spans="1:23" ht="11.25" customHeight="1" x14ac:dyDescent="0.25">
      <c r="A395" s="4" t="s">
        <v>28</v>
      </c>
      <c r="B395" s="4" t="s">
        <v>41</v>
      </c>
      <c r="C395" s="4" t="s">
        <v>43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44743</v>
      </c>
      <c r="J395" s="6">
        <v>0</v>
      </c>
      <c r="K395" s="6">
        <v>0</v>
      </c>
      <c r="L395" s="6">
        <v>30.295000000000002</v>
      </c>
      <c r="M395" s="6">
        <v>30.295000000000002</v>
      </c>
      <c r="N395" s="6">
        <v>30.295000000000002</v>
      </c>
      <c r="O395" s="6">
        <v>30.295000000000002</v>
      </c>
      <c r="P395" s="6">
        <v>0</v>
      </c>
      <c r="Q395" s="4" t="s">
        <v>26</v>
      </c>
      <c r="R395" s="4">
        <v>0</v>
      </c>
      <c r="S395" s="4" t="s">
        <v>200</v>
      </c>
      <c r="T395" s="4" t="s">
        <v>457</v>
      </c>
      <c r="U395" s="4">
        <v>0</v>
      </c>
      <c r="V395" s="4">
        <v>7</v>
      </c>
      <c r="W395" s="4">
        <v>76</v>
      </c>
    </row>
    <row r="396" spans="1:23" ht="11.25" customHeight="1" x14ac:dyDescent="0.25">
      <c r="A396" s="4" t="s">
        <v>21</v>
      </c>
      <c r="B396" s="4" t="s">
        <v>41</v>
      </c>
      <c r="C396" s="4" t="s">
        <v>43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44774</v>
      </c>
      <c r="J396" s="6">
        <v>0</v>
      </c>
      <c r="K396" s="6">
        <v>0</v>
      </c>
      <c r="L396" s="6">
        <v>1379.3009999999999</v>
      </c>
      <c r="M396" s="6">
        <v>1379.3009999999999</v>
      </c>
      <c r="N396" s="6">
        <v>1379.3009999999999</v>
      </c>
      <c r="O396" s="6">
        <v>1379.3009999999999</v>
      </c>
      <c r="P396" s="6">
        <v>0</v>
      </c>
      <c r="Q396" s="4" t="s">
        <v>26</v>
      </c>
      <c r="R396" s="4">
        <v>0</v>
      </c>
      <c r="S396" s="4" t="s">
        <v>201</v>
      </c>
      <c r="T396" s="4" t="s">
        <v>458</v>
      </c>
      <c r="U396" s="4">
        <v>0</v>
      </c>
      <c r="V396" s="4">
        <v>7</v>
      </c>
      <c r="W396" s="4">
        <v>76</v>
      </c>
    </row>
    <row r="397" spans="1:23" ht="11.25" customHeight="1" x14ac:dyDescent="0.25">
      <c r="A397" s="4" t="s">
        <v>28</v>
      </c>
      <c r="B397" s="4" t="s">
        <v>41</v>
      </c>
      <c r="C397" s="4" t="s">
        <v>43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44774</v>
      </c>
      <c r="J397" s="6">
        <v>0</v>
      </c>
      <c r="K397" s="6">
        <v>0</v>
      </c>
      <c r="L397" s="6">
        <v>30.385999999999999</v>
      </c>
      <c r="M397" s="6">
        <v>30.385999999999999</v>
      </c>
      <c r="N397" s="6">
        <v>30.385999999999999</v>
      </c>
      <c r="O397" s="6">
        <v>30.385999999999999</v>
      </c>
      <c r="P397" s="6">
        <v>0</v>
      </c>
      <c r="Q397" s="4" t="s">
        <v>26</v>
      </c>
      <c r="R397" s="4">
        <v>0</v>
      </c>
      <c r="S397" s="4" t="s">
        <v>201</v>
      </c>
      <c r="T397" s="4" t="s">
        <v>458</v>
      </c>
      <c r="U397" s="4">
        <v>0</v>
      </c>
      <c r="V397" s="4">
        <v>7</v>
      </c>
      <c r="W397" s="4">
        <v>76</v>
      </c>
    </row>
    <row r="398" spans="1:23" ht="11.25" customHeight="1" x14ac:dyDescent="0.25">
      <c r="A398" s="4" t="s">
        <v>21</v>
      </c>
      <c r="B398" s="4" t="s">
        <v>41</v>
      </c>
      <c r="C398" s="4" t="s">
        <v>43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44805</v>
      </c>
      <c r="J398" s="6">
        <v>0</v>
      </c>
      <c r="K398" s="6">
        <v>0</v>
      </c>
      <c r="L398" s="6">
        <v>1306.277</v>
      </c>
      <c r="M398" s="6">
        <v>1306.277</v>
      </c>
      <c r="N398" s="6">
        <v>1306.277</v>
      </c>
      <c r="O398" s="6">
        <v>1306.277</v>
      </c>
      <c r="P398" s="6">
        <v>0</v>
      </c>
      <c r="Q398" s="4" t="s">
        <v>26</v>
      </c>
      <c r="R398" s="4">
        <v>0</v>
      </c>
      <c r="S398" s="4" t="s">
        <v>202</v>
      </c>
      <c r="T398" s="4" t="s">
        <v>459</v>
      </c>
      <c r="U398" s="4">
        <v>0</v>
      </c>
      <c r="V398" s="4">
        <v>7</v>
      </c>
      <c r="W398" s="4">
        <v>76</v>
      </c>
    </row>
    <row r="399" spans="1:23" ht="11.25" customHeight="1" x14ac:dyDescent="0.25">
      <c r="A399" s="4" t="s">
        <v>28</v>
      </c>
      <c r="B399" s="4" t="s">
        <v>41</v>
      </c>
      <c r="C399" s="4" t="s">
        <v>43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44805</v>
      </c>
      <c r="J399" s="6">
        <v>0</v>
      </c>
      <c r="K399" s="6">
        <v>0</v>
      </c>
      <c r="L399" s="6">
        <v>25.713999999999999</v>
      </c>
      <c r="M399" s="6">
        <v>25.713999999999999</v>
      </c>
      <c r="N399" s="6">
        <v>25.713999999999999</v>
      </c>
      <c r="O399" s="6">
        <v>25.713999999999999</v>
      </c>
      <c r="P399" s="6">
        <v>0</v>
      </c>
      <c r="Q399" s="4" t="s">
        <v>26</v>
      </c>
      <c r="R399" s="4">
        <v>0</v>
      </c>
      <c r="S399" s="4" t="s">
        <v>202</v>
      </c>
      <c r="T399" s="4" t="s">
        <v>459</v>
      </c>
      <c r="U399" s="4">
        <v>0</v>
      </c>
      <c r="V399" s="4">
        <v>7</v>
      </c>
      <c r="W399" s="4">
        <v>76</v>
      </c>
    </row>
    <row r="400" spans="1:23" ht="11.25" customHeight="1" x14ac:dyDescent="0.25">
      <c r="A400" s="4" t="s">
        <v>21</v>
      </c>
      <c r="B400" s="4" t="s">
        <v>41</v>
      </c>
      <c r="C400" s="4" t="s">
        <v>43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44835</v>
      </c>
      <c r="J400" s="6">
        <v>0</v>
      </c>
      <c r="K400" s="6">
        <v>0</v>
      </c>
      <c r="L400" s="6">
        <v>1231.605</v>
      </c>
      <c r="M400" s="6">
        <v>1231.605</v>
      </c>
      <c r="N400" s="6">
        <v>1231.605</v>
      </c>
      <c r="O400" s="6">
        <v>1231.605</v>
      </c>
      <c r="P400" s="6">
        <v>0</v>
      </c>
      <c r="Q400" s="4" t="s">
        <v>26</v>
      </c>
      <c r="R400" s="4">
        <v>0</v>
      </c>
      <c r="S400" s="4" t="s">
        <v>203</v>
      </c>
      <c r="T400" s="4" t="s">
        <v>460</v>
      </c>
      <c r="U400" s="4">
        <v>0</v>
      </c>
      <c r="V400" s="4">
        <v>7</v>
      </c>
      <c r="W400" s="4">
        <v>76</v>
      </c>
    </row>
    <row r="401" spans="1:23" ht="11.25" customHeight="1" x14ac:dyDescent="0.25">
      <c r="A401" s="4" t="s">
        <v>28</v>
      </c>
      <c r="B401" s="4" t="s">
        <v>41</v>
      </c>
      <c r="C401" s="4" t="s">
        <v>43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44835</v>
      </c>
      <c r="J401" s="6">
        <v>0</v>
      </c>
      <c r="K401" s="6">
        <v>0</v>
      </c>
      <c r="L401" s="6">
        <v>22.917000000000002</v>
      </c>
      <c r="M401" s="6">
        <v>22.917000000000002</v>
      </c>
      <c r="N401" s="6">
        <v>22.917000000000002</v>
      </c>
      <c r="O401" s="6">
        <v>22.917000000000002</v>
      </c>
      <c r="P401" s="6">
        <v>0</v>
      </c>
      <c r="Q401" s="4" t="s">
        <v>26</v>
      </c>
      <c r="R401" s="4">
        <v>0</v>
      </c>
      <c r="S401" s="4" t="s">
        <v>203</v>
      </c>
      <c r="T401" s="4" t="s">
        <v>460</v>
      </c>
      <c r="U401" s="4">
        <v>0</v>
      </c>
      <c r="V401" s="4">
        <v>7</v>
      </c>
      <c r="W401" s="4">
        <v>76</v>
      </c>
    </row>
    <row r="402" spans="1:23" ht="11.25" customHeight="1" x14ac:dyDescent="0.25">
      <c r="A402" s="4" t="s">
        <v>54</v>
      </c>
      <c r="B402" s="4" t="s">
        <v>41</v>
      </c>
      <c r="C402" s="4" t="s">
        <v>43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44866</v>
      </c>
      <c r="J402" s="6">
        <v>0</v>
      </c>
      <c r="K402" s="6">
        <v>0</v>
      </c>
      <c r="L402" s="6">
        <v>1231.605</v>
      </c>
      <c r="M402" s="6">
        <v>1231.605</v>
      </c>
      <c r="N402" s="6">
        <v>1231.605</v>
      </c>
      <c r="O402" s="6">
        <v>1231.605</v>
      </c>
      <c r="P402" s="6">
        <v>0</v>
      </c>
      <c r="Q402" s="4" t="s">
        <v>26</v>
      </c>
      <c r="R402" s="4">
        <v>0</v>
      </c>
      <c r="S402" s="4" t="s">
        <v>204</v>
      </c>
      <c r="T402" s="4" t="s">
        <v>461</v>
      </c>
      <c r="U402" s="4">
        <v>0</v>
      </c>
      <c r="V402" s="4">
        <v>7</v>
      </c>
      <c r="W402" s="4">
        <v>76</v>
      </c>
    </row>
    <row r="403" spans="1:23" ht="11.25" customHeight="1" x14ac:dyDescent="0.25">
      <c r="A403" s="4" t="s">
        <v>54</v>
      </c>
      <c r="B403" s="4" t="s">
        <v>41</v>
      </c>
      <c r="C403" s="4" t="s">
        <v>43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44866</v>
      </c>
      <c r="J403" s="6">
        <v>0</v>
      </c>
      <c r="K403" s="6">
        <v>0</v>
      </c>
      <c r="L403" s="6">
        <v>22.917000000000002</v>
      </c>
      <c r="M403" s="6">
        <v>22.917000000000002</v>
      </c>
      <c r="N403" s="6">
        <v>22.917000000000002</v>
      </c>
      <c r="O403" s="6">
        <v>22.917000000000002</v>
      </c>
      <c r="P403" s="6">
        <v>0</v>
      </c>
      <c r="Q403" s="4" t="s">
        <v>26</v>
      </c>
      <c r="R403" s="4">
        <v>0</v>
      </c>
      <c r="S403" s="4" t="s">
        <v>204</v>
      </c>
      <c r="T403" s="4" t="s">
        <v>461</v>
      </c>
      <c r="U403" s="4">
        <v>0</v>
      </c>
      <c r="V403" s="4">
        <v>7</v>
      </c>
      <c r="W403" s="4">
        <v>76</v>
      </c>
    </row>
    <row r="404" spans="1:23" ht="11.25" customHeight="1" x14ac:dyDescent="0.25">
      <c r="A404" s="4" t="s">
        <v>21</v>
      </c>
      <c r="B404" s="4" t="s">
        <v>41</v>
      </c>
      <c r="C404" s="4" t="s">
        <v>43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44531</v>
      </c>
      <c r="J404" s="6">
        <v>6591</v>
      </c>
      <c r="K404" s="6">
        <v>6591</v>
      </c>
      <c r="L404" s="6">
        <v>0</v>
      </c>
      <c r="M404" s="6">
        <v>0</v>
      </c>
      <c r="N404" s="6">
        <v>0</v>
      </c>
      <c r="O404" s="6">
        <v>0</v>
      </c>
      <c r="P404" s="6">
        <v>27</v>
      </c>
      <c r="Q404" s="4" t="s">
        <v>26</v>
      </c>
      <c r="R404" s="4">
        <v>0</v>
      </c>
      <c r="S404" s="4" t="s">
        <v>205</v>
      </c>
      <c r="U404" s="4">
        <v>2</v>
      </c>
      <c r="V404" s="4">
        <v>0</v>
      </c>
      <c r="W404" s="4">
        <v>0</v>
      </c>
    </row>
    <row r="405" spans="1:23" ht="11.25" customHeight="1" x14ac:dyDescent="0.25">
      <c r="A405" s="4" t="s">
        <v>28</v>
      </c>
      <c r="B405" s="4" t="s">
        <v>41</v>
      </c>
      <c r="C405" s="4" t="s">
        <v>43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44531</v>
      </c>
      <c r="J405" s="6">
        <v>330</v>
      </c>
      <c r="K405" s="6">
        <v>330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4" t="s">
        <v>26</v>
      </c>
      <c r="R405" s="4">
        <v>0</v>
      </c>
      <c r="S405" s="4" t="s">
        <v>205</v>
      </c>
      <c r="U405" s="4">
        <v>2</v>
      </c>
      <c r="V405" s="4">
        <v>0</v>
      </c>
      <c r="W405" s="4">
        <v>0</v>
      </c>
    </row>
    <row r="406" spans="1:23" ht="11.25" customHeight="1" x14ac:dyDescent="0.25">
      <c r="A406" s="4" t="s">
        <v>21</v>
      </c>
      <c r="B406" s="4" t="s">
        <v>41</v>
      </c>
      <c r="C406" s="4" t="s">
        <v>43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6511</v>
      </c>
      <c r="K406" s="6">
        <v>6511</v>
      </c>
      <c r="L406" s="6">
        <v>0</v>
      </c>
      <c r="M406" s="6">
        <v>0</v>
      </c>
      <c r="N406" s="6">
        <v>0</v>
      </c>
      <c r="O406" s="6">
        <v>0</v>
      </c>
      <c r="P406" s="6">
        <v>27</v>
      </c>
      <c r="Q406" s="4" t="s">
        <v>26</v>
      </c>
      <c r="R406" s="4">
        <v>0</v>
      </c>
      <c r="S406" s="4" t="s">
        <v>206</v>
      </c>
      <c r="U406" s="4">
        <v>2</v>
      </c>
      <c r="V406" s="4">
        <v>0</v>
      </c>
      <c r="W406" s="4">
        <v>0</v>
      </c>
    </row>
    <row r="407" spans="1:23" ht="11.25" customHeight="1" x14ac:dyDescent="0.25">
      <c r="A407" s="4" t="s">
        <v>28</v>
      </c>
      <c r="B407" s="4" t="s">
        <v>41</v>
      </c>
      <c r="C407" s="4" t="s">
        <v>43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330</v>
      </c>
      <c r="K407" s="6">
        <v>330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4" t="s">
        <v>26</v>
      </c>
      <c r="R407" s="4">
        <v>0</v>
      </c>
      <c r="S407" s="4" t="s">
        <v>206</v>
      </c>
      <c r="U407" s="4">
        <v>2</v>
      </c>
      <c r="V407" s="4">
        <v>0</v>
      </c>
      <c r="W407" s="4">
        <v>0</v>
      </c>
    </row>
    <row r="408" spans="1:23" ht="11.25" customHeight="1" x14ac:dyDescent="0.25">
      <c r="A408" s="4" t="s">
        <v>21</v>
      </c>
      <c r="B408" s="4" t="s">
        <v>41</v>
      </c>
      <c r="C408" s="4" t="s">
        <v>43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6450</v>
      </c>
      <c r="K408" s="6">
        <v>6450</v>
      </c>
      <c r="L408" s="6">
        <v>0</v>
      </c>
      <c r="M408" s="6">
        <v>0</v>
      </c>
      <c r="N408" s="6">
        <v>0</v>
      </c>
      <c r="O408" s="6">
        <v>0</v>
      </c>
      <c r="P408" s="6">
        <v>27</v>
      </c>
      <c r="Q408" s="4" t="s">
        <v>26</v>
      </c>
      <c r="R408" s="4">
        <v>0</v>
      </c>
      <c r="S408" s="4" t="s">
        <v>207</v>
      </c>
      <c r="U408" s="4">
        <v>2</v>
      </c>
      <c r="V408" s="4">
        <v>0</v>
      </c>
      <c r="W408" s="4">
        <v>0</v>
      </c>
    </row>
    <row r="409" spans="1:23" ht="11.25" customHeight="1" x14ac:dyDescent="0.25">
      <c r="A409" s="4" t="s">
        <v>28</v>
      </c>
      <c r="B409" s="4" t="s">
        <v>41</v>
      </c>
      <c r="C409" s="4" t="s">
        <v>43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44593</v>
      </c>
      <c r="J409" s="6">
        <v>330</v>
      </c>
      <c r="K409" s="6">
        <v>330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4" t="s">
        <v>26</v>
      </c>
      <c r="R409" s="4">
        <v>0</v>
      </c>
      <c r="S409" s="4" t="s">
        <v>207</v>
      </c>
      <c r="U409" s="4">
        <v>2</v>
      </c>
      <c r="V409" s="4">
        <v>0</v>
      </c>
      <c r="W409" s="4">
        <v>0</v>
      </c>
    </row>
    <row r="410" spans="1:23" ht="11.25" customHeight="1" x14ac:dyDescent="0.25">
      <c r="A410" s="4" t="s">
        <v>21</v>
      </c>
      <c r="B410" s="4" t="s">
        <v>41</v>
      </c>
      <c r="C410" s="4" t="s">
        <v>43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6630</v>
      </c>
      <c r="K410" s="6">
        <v>6630</v>
      </c>
      <c r="L410" s="6">
        <v>0</v>
      </c>
      <c r="M410" s="6">
        <v>0</v>
      </c>
      <c r="N410" s="6">
        <v>0</v>
      </c>
      <c r="O410" s="6">
        <v>0</v>
      </c>
      <c r="P410" s="6">
        <v>29</v>
      </c>
      <c r="Q410" s="4" t="s">
        <v>26</v>
      </c>
      <c r="R410" s="4">
        <v>0</v>
      </c>
      <c r="S410" s="4" t="s">
        <v>208</v>
      </c>
      <c r="U410" s="4">
        <v>2</v>
      </c>
      <c r="V410" s="4">
        <v>0</v>
      </c>
      <c r="W410" s="4">
        <v>0</v>
      </c>
    </row>
    <row r="411" spans="1:23" ht="11.25" customHeight="1" x14ac:dyDescent="0.25">
      <c r="A411" s="4" t="s">
        <v>28</v>
      </c>
      <c r="B411" s="4" t="s">
        <v>41</v>
      </c>
      <c r="C411" s="4" t="s">
        <v>43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330</v>
      </c>
      <c r="K411" s="6">
        <v>330</v>
      </c>
      <c r="L411" s="6">
        <v>0</v>
      </c>
      <c r="M411" s="6">
        <v>0</v>
      </c>
      <c r="N411" s="6">
        <v>0</v>
      </c>
      <c r="O411" s="6">
        <v>0</v>
      </c>
      <c r="P411" s="6">
        <v>1</v>
      </c>
      <c r="Q411" s="4" t="s">
        <v>26</v>
      </c>
      <c r="R411" s="4">
        <v>0</v>
      </c>
      <c r="S411" s="4" t="s">
        <v>208</v>
      </c>
      <c r="U411" s="4">
        <v>2</v>
      </c>
      <c r="V411" s="4">
        <v>0</v>
      </c>
      <c r="W411" s="4">
        <v>0</v>
      </c>
    </row>
    <row r="412" spans="1:23" ht="11.25" customHeight="1" x14ac:dyDescent="0.25">
      <c r="A412" s="4" t="s">
        <v>21</v>
      </c>
      <c r="B412" s="4" t="s">
        <v>41</v>
      </c>
      <c r="C412" s="4" t="s">
        <v>43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5759</v>
      </c>
      <c r="K412" s="6">
        <v>5759</v>
      </c>
      <c r="L412" s="6">
        <v>0</v>
      </c>
      <c r="M412" s="6">
        <v>0</v>
      </c>
      <c r="N412" s="6">
        <v>0</v>
      </c>
      <c r="O412" s="6">
        <v>0</v>
      </c>
      <c r="P412" s="6">
        <v>28</v>
      </c>
      <c r="Q412" s="4" t="s">
        <v>26</v>
      </c>
      <c r="R412" s="4">
        <v>0</v>
      </c>
      <c r="S412" s="4" t="s">
        <v>209</v>
      </c>
      <c r="U412" s="4">
        <v>2</v>
      </c>
      <c r="V412" s="4">
        <v>0</v>
      </c>
      <c r="W412" s="4">
        <v>0</v>
      </c>
    </row>
    <row r="413" spans="1:23" ht="11.25" customHeight="1" x14ac:dyDescent="0.25">
      <c r="A413" s="4" t="s">
        <v>28</v>
      </c>
      <c r="B413" s="4" t="s">
        <v>41</v>
      </c>
      <c r="C413" s="4" t="s">
        <v>43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330</v>
      </c>
      <c r="K413" s="6">
        <v>330</v>
      </c>
      <c r="L413" s="6">
        <v>0</v>
      </c>
      <c r="M413" s="6">
        <v>0</v>
      </c>
      <c r="N413" s="6">
        <v>0</v>
      </c>
      <c r="O413" s="6">
        <v>0</v>
      </c>
      <c r="P413" s="6">
        <v>1</v>
      </c>
      <c r="Q413" s="4" t="s">
        <v>26</v>
      </c>
      <c r="R413" s="4">
        <v>0</v>
      </c>
      <c r="S413" s="4" t="s">
        <v>209</v>
      </c>
      <c r="U413" s="4">
        <v>2</v>
      </c>
      <c r="V413" s="4">
        <v>0</v>
      </c>
      <c r="W413" s="4">
        <v>0</v>
      </c>
    </row>
    <row r="414" spans="1:23" ht="11.25" customHeight="1" x14ac:dyDescent="0.25">
      <c r="A414" s="4" t="s">
        <v>21</v>
      </c>
      <c r="B414" s="4" t="s">
        <v>41</v>
      </c>
      <c r="C414" s="4" t="s">
        <v>43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6463</v>
      </c>
      <c r="K414" s="6">
        <v>6463</v>
      </c>
      <c r="L414" s="6">
        <v>0</v>
      </c>
      <c r="M414" s="6">
        <v>0</v>
      </c>
      <c r="N414" s="6">
        <v>0</v>
      </c>
      <c r="O414" s="6">
        <v>0</v>
      </c>
      <c r="P414" s="6">
        <v>35</v>
      </c>
      <c r="Q414" s="4" t="s">
        <v>26</v>
      </c>
      <c r="R414" s="4">
        <v>0</v>
      </c>
      <c r="S414" s="4" t="s">
        <v>210</v>
      </c>
      <c r="U414" s="4">
        <v>2</v>
      </c>
      <c r="V414" s="4">
        <v>0</v>
      </c>
      <c r="W414" s="4">
        <v>0</v>
      </c>
    </row>
    <row r="415" spans="1:23" ht="11.25" customHeight="1" x14ac:dyDescent="0.25">
      <c r="A415" s="4" t="s">
        <v>27</v>
      </c>
      <c r="B415" s="4" t="s">
        <v>41</v>
      </c>
      <c r="C415" s="4" t="s">
        <v>43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240</v>
      </c>
      <c r="K415" s="6">
        <v>240</v>
      </c>
      <c r="L415" s="6">
        <v>0</v>
      </c>
      <c r="M415" s="6">
        <v>0</v>
      </c>
      <c r="N415" s="6">
        <v>0</v>
      </c>
      <c r="O415" s="6">
        <v>0</v>
      </c>
      <c r="P415" s="6">
        <v>2</v>
      </c>
      <c r="Q415" s="4" t="s">
        <v>26</v>
      </c>
      <c r="R415" s="4">
        <v>0</v>
      </c>
      <c r="S415" s="4" t="s">
        <v>210</v>
      </c>
      <c r="U415" s="4">
        <v>2</v>
      </c>
      <c r="V415" s="4">
        <v>0</v>
      </c>
      <c r="W415" s="4">
        <v>0</v>
      </c>
    </row>
    <row r="416" spans="1:23" ht="11.25" customHeight="1" x14ac:dyDescent="0.25">
      <c r="A416" s="4" t="s">
        <v>28</v>
      </c>
      <c r="B416" s="4" t="s">
        <v>41</v>
      </c>
      <c r="C416" s="4" t="s">
        <v>43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44682</v>
      </c>
      <c r="J416" s="6">
        <v>330</v>
      </c>
      <c r="K416" s="6">
        <v>330</v>
      </c>
      <c r="L416" s="6">
        <v>0</v>
      </c>
      <c r="M416" s="6">
        <v>0</v>
      </c>
      <c r="N416" s="6">
        <v>0</v>
      </c>
      <c r="O416" s="6">
        <v>0</v>
      </c>
      <c r="P416" s="6">
        <v>1</v>
      </c>
      <c r="Q416" s="4" t="s">
        <v>26</v>
      </c>
      <c r="R416" s="4">
        <v>0</v>
      </c>
      <c r="S416" s="4" t="s">
        <v>210</v>
      </c>
      <c r="U416" s="4">
        <v>2</v>
      </c>
      <c r="V416" s="4">
        <v>0</v>
      </c>
      <c r="W416" s="4">
        <v>0</v>
      </c>
    </row>
    <row r="417" spans="1:23" ht="11.25" customHeight="1" x14ac:dyDescent="0.25">
      <c r="A417" s="4" t="s">
        <v>21</v>
      </c>
      <c r="B417" s="4" t="s">
        <v>41</v>
      </c>
      <c r="C417" s="4" t="s">
        <v>43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6213</v>
      </c>
      <c r="K417" s="6">
        <v>6213</v>
      </c>
      <c r="L417" s="6">
        <v>0</v>
      </c>
      <c r="M417" s="6">
        <v>0</v>
      </c>
      <c r="N417" s="6">
        <v>0</v>
      </c>
      <c r="O417" s="6">
        <v>0</v>
      </c>
      <c r="P417" s="6">
        <v>30</v>
      </c>
      <c r="Q417" s="4" t="s">
        <v>26</v>
      </c>
      <c r="R417" s="4">
        <v>0</v>
      </c>
      <c r="S417" s="4" t="s">
        <v>211</v>
      </c>
      <c r="U417" s="4">
        <v>2</v>
      </c>
      <c r="V417" s="4">
        <v>0</v>
      </c>
      <c r="W417" s="4">
        <v>0</v>
      </c>
    </row>
    <row r="418" spans="1:23" ht="11.25" customHeight="1" x14ac:dyDescent="0.25">
      <c r="A418" s="4" t="s">
        <v>28</v>
      </c>
      <c r="B418" s="4" t="s">
        <v>41</v>
      </c>
      <c r="C418" s="4" t="s">
        <v>43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44713</v>
      </c>
      <c r="J418" s="6">
        <v>330</v>
      </c>
      <c r="K418" s="6">
        <v>330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4" t="s">
        <v>26</v>
      </c>
      <c r="R418" s="4">
        <v>0</v>
      </c>
      <c r="S418" s="4" t="s">
        <v>211</v>
      </c>
      <c r="U418" s="4">
        <v>2</v>
      </c>
      <c r="V418" s="4">
        <v>0</v>
      </c>
      <c r="W418" s="4">
        <v>0</v>
      </c>
    </row>
    <row r="419" spans="1:23" ht="11.25" customHeight="1" x14ac:dyDescent="0.25">
      <c r="A419" s="4" t="s">
        <v>21</v>
      </c>
      <c r="B419" s="4" t="s">
        <v>41</v>
      </c>
      <c r="C419" s="4" t="s">
        <v>43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44743</v>
      </c>
      <c r="J419" s="6">
        <v>6541</v>
      </c>
      <c r="K419" s="6">
        <v>6541</v>
      </c>
      <c r="L419" s="6">
        <v>0</v>
      </c>
      <c r="M419" s="6">
        <v>0</v>
      </c>
      <c r="N419" s="6">
        <v>0</v>
      </c>
      <c r="O419" s="6">
        <v>0</v>
      </c>
      <c r="P419" s="6">
        <v>28</v>
      </c>
      <c r="Q419" s="4" t="s">
        <v>26</v>
      </c>
      <c r="R419" s="4">
        <v>0</v>
      </c>
      <c r="S419" s="4" t="s">
        <v>212</v>
      </c>
      <c r="U419" s="4">
        <v>2</v>
      </c>
      <c r="V419" s="4">
        <v>0</v>
      </c>
      <c r="W419" s="4">
        <v>0</v>
      </c>
    </row>
    <row r="420" spans="1:23" ht="11.25" customHeight="1" x14ac:dyDescent="0.25">
      <c r="A420" s="4" t="s">
        <v>28</v>
      </c>
      <c r="B420" s="4" t="s">
        <v>41</v>
      </c>
      <c r="C420" s="4" t="s">
        <v>43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44743</v>
      </c>
      <c r="J420" s="6">
        <v>330</v>
      </c>
      <c r="K420" s="6">
        <v>330</v>
      </c>
      <c r="L420" s="6">
        <v>0</v>
      </c>
      <c r="M420" s="6">
        <v>0</v>
      </c>
      <c r="N420" s="6">
        <v>0</v>
      </c>
      <c r="O420" s="6">
        <v>0</v>
      </c>
      <c r="P420" s="6">
        <v>1</v>
      </c>
      <c r="Q420" s="4" t="s">
        <v>26</v>
      </c>
      <c r="R420" s="4">
        <v>0</v>
      </c>
      <c r="S420" s="4" t="s">
        <v>212</v>
      </c>
      <c r="U420" s="4">
        <v>2</v>
      </c>
      <c r="V420" s="4">
        <v>0</v>
      </c>
      <c r="W420" s="4">
        <v>0</v>
      </c>
    </row>
    <row r="421" spans="1:23" ht="11.25" customHeight="1" x14ac:dyDescent="0.25">
      <c r="A421" s="4" t="s">
        <v>21</v>
      </c>
      <c r="B421" s="4" t="s">
        <v>41</v>
      </c>
      <c r="C421" s="4" t="s">
        <v>43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44774</v>
      </c>
      <c r="J421" s="6">
        <v>6104</v>
      </c>
      <c r="K421" s="6">
        <v>6104</v>
      </c>
      <c r="L421" s="6">
        <v>0</v>
      </c>
      <c r="M421" s="6">
        <v>0</v>
      </c>
      <c r="N421" s="6">
        <v>0</v>
      </c>
      <c r="O421" s="6">
        <v>0</v>
      </c>
      <c r="P421" s="6">
        <v>30</v>
      </c>
      <c r="Q421" s="4" t="s">
        <v>26</v>
      </c>
      <c r="R421" s="4">
        <v>0</v>
      </c>
      <c r="S421" s="4" t="s">
        <v>213</v>
      </c>
      <c r="U421" s="4">
        <v>2</v>
      </c>
      <c r="V421" s="4">
        <v>0</v>
      </c>
      <c r="W421" s="4">
        <v>0</v>
      </c>
    </row>
    <row r="422" spans="1:23" ht="11.25" customHeight="1" x14ac:dyDescent="0.25">
      <c r="A422" s="4" t="s">
        <v>28</v>
      </c>
      <c r="B422" s="4" t="s">
        <v>41</v>
      </c>
      <c r="C422" s="4" t="s">
        <v>43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44774</v>
      </c>
      <c r="J422" s="6">
        <v>330</v>
      </c>
      <c r="K422" s="6">
        <v>330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4" t="s">
        <v>26</v>
      </c>
      <c r="R422" s="4">
        <v>0</v>
      </c>
      <c r="S422" s="4" t="s">
        <v>213</v>
      </c>
      <c r="U422" s="4">
        <v>2</v>
      </c>
      <c r="V422" s="4">
        <v>0</v>
      </c>
      <c r="W422" s="4">
        <v>0</v>
      </c>
    </row>
    <row r="423" spans="1:23" ht="11.25" customHeight="1" x14ac:dyDescent="0.25">
      <c r="A423" s="4" t="s">
        <v>21</v>
      </c>
      <c r="B423" s="4" t="s">
        <v>41</v>
      </c>
      <c r="C423" s="4" t="s">
        <v>43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44805</v>
      </c>
      <c r="J423" s="6">
        <v>7027</v>
      </c>
      <c r="K423" s="6">
        <v>7027</v>
      </c>
      <c r="L423" s="6">
        <v>0</v>
      </c>
      <c r="M423" s="6">
        <v>0</v>
      </c>
      <c r="N423" s="6">
        <v>0</v>
      </c>
      <c r="O423" s="6">
        <v>0</v>
      </c>
      <c r="P423" s="6">
        <v>32</v>
      </c>
      <c r="Q423" s="4" t="s">
        <v>26</v>
      </c>
      <c r="R423" s="4">
        <v>0</v>
      </c>
      <c r="S423" s="4" t="s">
        <v>214</v>
      </c>
      <c r="U423" s="4">
        <v>2</v>
      </c>
      <c r="V423" s="4">
        <v>0</v>
      </c>
      <c r="W423" s="4">
        <v>0</v>
      </c>
    </row>
    <row r="424" spans="1:23" ht="11.25" customHeight="1" x14ac:dyDescent="0.25">
      <c r="A424" s="4" t="s">
        <v>28</v>
      </c>
      <c r="B424" s="4" t="s">
        <v>41</v>
      </c>
      <c r="C424" s="4" t="s">
        <v>43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44805</v>
      </c>
      <c r="J424" s="6">
        <v>344</v>
      </c>
      <c r="K424" s="6">
        <v>344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4" t="s">
        <v>26</v>
      </c>
      <c r="R424" s="4">
        <v>0</v>
      </c>
      <c r="S424" s="4" t="s">
        <v>214</v>
      </c>
      <c r="U424" s="4">
        <v>2</v>
      </c>
      <c r="V424" s="4">
        <v>0</v>
      </c>
      <c r="W424" s="4">
        <v>0</v>
      </c>
    </row>
    <row r="425" spans="1:23" ht="11.25" customHeight="1" x14ac:dyDescent="0.25">
      <c r="A425" s="4" t="s">
        <v>21</v>
      </c>
      <c r="B425" s="4" t="s">
        <v>41</v>
      </c>
      <c r="C425" s="4" t="s">
        <v>43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44835</v>
      </c>
      <c r="J425" s="6">
        <v>6924</v>
      </c>
      <c r="K425" s="6">
        <v>6924</v>
      </c>
      <c r="L425" s="6">
        <v>0</v>
      </c>
      <c r="M425" s="6">
        <v>0</v>
      </c>
      <c r="N425" s="6">
        <v>0</v>
      </c>
      <c r="O425" s="6">
        <v>0</v>
      </c>
      <c r="P425" s="6">
        <v>32</v>
      </c>
      <c r="Q425" s="4" t="s">
        <v>26</v>
      </c>
      <c r="R425" s="4">
        <v>0</v>
      </c>
      <c r="S425" s="4" t="s">
        <v>215</v>
      </c>
      <c r="U425" s="4">
        <v>2</v>
      </c>
      <c r="V425" s="4">
        <v>0</v>
      </c>
      <c r="W425" s="4">
        <v>0</v>
      </c>
    </row>
    <row r="426" spans="1:23" ht="11.25" customHeight="1" x14ac:dyDescent="0.25">
      <c r="A426" s="4" t="s">
        <v>27</v>
      </c>
      <c r="B426" s="4" t="s">
        <v>41</v>
      </c>
      <c r="C426" s="4" t="s">
        <v>43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44835</v>
      </c>
      <c r="J426" s="6">
        <v>-715</v>
      </c>
      <c r="K426" s="6">
        <v>-715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4" t="s">
        <v>26</v>
      </c>
      <c r="R426" s="4">
        <v>0</v>
      </c>
      <c r="S426" s="4" t="s">
        <v>215</v>
      </c>
      <c r="U426" s="4">
        <v>2</v>
      </c>
      <c r="V426" s="4">
        <v>0</v>
      </c>
      <c r="W426" s="4">
        <v>0</v>
      </c>
    </row>
    <row r="427" spans="1:23" ht="11.25" customHeight="1" x14ac:dyDescent="0.25">
      <c r="A427" s="4" t="s">
        <v>28</v>
      </c>
      <c r="B427" s="4" t="s">
        <v>41</v>
      </c>
      <c r="C427" s="4" t="s">
        <v>43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44835</v>
      </c>
      <c r="J427" s="6">
        <v>330</v>
      </c>
      <c r="K427" s="6">
        <v>330</v>
      </c>
      <c r="L427" s="6">
        <v>0</v>
      </c>
      <c r="M427" s="6">
        <v>0</v>
      </c>
      <c r="N427" s="6">
        <v>0</v>
      </c>
      <c r="O427" s="6">
        <v>0</v>
      </c>
      <c r="P427" s="6">
        <v>1</v>
      </c>
      <c r="Q427" s="4" t="s">
        <v>26</v>
      </c>
      <c r="R427" s="4">
        <v>0</v>
      </c>
      <c r="S427" s="4" t="s">
        <v>215</v>
      </c>
      <c r="U427" s="4">
        <v>2</v>
      </c>
      <c r="V427" s="4">
        <v>0</v>
      </c>
      <c r="W427" s="4">
        <v>0</v>
      </c>
    </row>
    <row r="428" spans="1:23" ht="11.25" customHeight="1" x14ac:dyDescent="0.25">
      <c r="A428" s="4" t="s">
        <v>54</v>
      </c>
      <c r="B428" s="4" t="s">
        <v>41</v>
      </c>
      <c r="C428" s="4" t="s">
        <v>43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44866</v>
      </c>
      <c r="J428" s="6">
        <v>6924</v>
      </c>
      <c r="K428" s="6">
        <v>6924</v>
      </c>
      <c r="L428" s="6">
        <v>0</v>
      </c>
      <c r="M428" s="6">
        <v>0</v>
      </c>
      <c r="N428" s="6">
        <v>0</v>
      </c>
      <c r="O428" s="6">
        <v>0</v>
      </c>
      <c r="P428" s="6">
        <v>32</v>
      </c>
      <c r="Q428" s="4" t="s">
        <v>26</v>
      </c>
      <c r="R428" s="4">
        <v>0</v>
      </c>
      <c r="S428" s="4" t="s">
        <v>216</v>
      </c>
      <c r="U428" s="4">
        <v>2</v>
      </c>
      <c r="V428" s="4">
        <v>0</v>
      </c>
      <c r="W428" s="4">
        <v>0</v>
      </c>
    </row>
    <row r="429" spans="1:23" ht="11.25" customHeight="1" x14ac:dyDescent="0.25">
      <c r="A429" s="4" t="s">
        <v>54</v>
      </c>
      <c r="B429" s="4" t="s">
        <v>41</v>
      </c>
      <c r="C429" s="4" t="s">
        <v>43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44866</v>
      </c>
      <c r="J429" s="6">
        <v>-715</v>
      </c>
      <c r="K429" s="6">
        <v>-715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26</v>
      </c>
      <c r="R429" s="4">
        <v>0</v>
      </c>
      <c r="S429" s="4" t="s">
        <v>216</v>
      </c>
      <c r="U429" s="4">
        <v>2</v>
      </c>
      <c r="V429" s="4">
        <v>0</v>
      </c>
      <c r="W429" s="4">
        <v>0</v>
      </c>
    </row>
    <row r="430" spans="1:23" ht="11.25" customHeight="1" x14ac:dyDescent="0.25">
      <c r="A430" s="4" t="s">
        <v>54</v>
      </c>
      <c r="B430" s="4" t="s">
        <v>41</v>
      </c>
      <c r="C430" s="4" t="s">
        <v>43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44866</v>
      </c>
      <c r="J430" s="6">
        <v>330</v>
      </c>
      <c r="K430" s="6">
        <v>330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4" t="s">
        <v>26</v>
      </c>
      <c r="R430" s="4">
        <v>0</v>
      </c>
      <c r="S430" s="4" t="s">
        <v>216</v>
      </c>
      <c r="U430" s="4">
        <v>2</v>
      </c>
      <c r="V430" s="4">
        <v>0</v>
      </c>
      <c r="W430" s="4">
        <v>0</v>
      </c>
    </row>
    <row r="431" spans="1:23" ht="11.25" customHeight="1" x14ac:dyDescent="0.25">
      <c r="A431" s="4" t="s">
        <v>21</v>
      </c>
      <c r="B431" s="4" t="s">
        <v>41</v>
      </c>
      <c r="C431" s="4" t="s">
        <v>43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44531</v>
      </c>
      <c r="J431" s="6">
        <v>0</v>
      </c>
      <c r="K431" s="6">
        <v>0</v>
      </c>
      <c r="L431" s="6">
        <v>110.20399999999999</v>
      </c>
      <c r="M431" s="6">
        <v>110.20399999999999</v>
      </c>
      <c r="N431" s="6">
        <v>110.20399999999999</v>
      </c>
      <c r="O431" s="6">
        <v>110.20399999999999</v>
      </c>
      <c r="P431" s="6">
        <v>0</v>
      </c>
      <c r="Q431" s="4" t="s">
        <v>26</v>
      </c>
      <c r="R431" s="4">
        <v>0</v>
      </c>
      <c r="S431" s="4" t="s">
        <v>217</v>
      </c>
      <c r="T431" s="4" t="s">
        <v>462</v>
      </c>
      <c r="U431" s="4">
        <v>0</v>
      </c>
      <c r="V431" s="4">
        <v>5</v>
      </c>
      <c r="W431" s="4">
        <v>75</v>
      </c>
    </row>
    <row r="432" spans="1:23" ht="11.25" customHeight="1" x14ac:dyDescent="0.25">
      <c r="A432" s="4" t="s">
        <v>28</v>
      </c>
      <c r="B432" s="4" t="s">
        <v>41</v>
      </c>
      <c r="C432" s="4" t="s">
        <v>43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44531</v>
      </c>
      <c r="J432" s="6">
        <v>0</v>
      </c>
      <c r="K432" s="6">
        <v>0</v>
      </c>
      <c r="L432" s="6">
        <v>0.93200000000000005</v>
      </c>
      <c r="M432" s="6">
        <v>0.93200000000000005</v>
      </c>
      <c r="N432" s="6">
        <v>0.93200000000000005</v>
      </c>
      <c r="O432" s="6">
        <v>0.93200000000000005</v>
      </c>
      <c r="P432" s="6">
        <v>0</v>
      </c>
      <c r="Q432" s="4" t="s">
        <v>26</v>
      </c>
      <c r="R432" s="4">
        <v>0</v>
      </c>
      <c r="S432" s="4" t="s">
        <v>217</v>
      </c>
      <c r="T432" s="4" t="s">
        <v>462</v>
      </c>
      <c r="U432" s="4">
        <v>0</v>
      </c>
      <c r="V432" s="4">
        <v>5</v>
      </c>
      <c r="W432" s="4">
        <v>75</v>
      </c>
    </row>
    <row r="433" spans="1:23" ht="11.25" customHeight="1" x14ac:dyDescent="0.25">
      <c r="A433" s="4" t="s">
        <v>21</v>
      </c>
      <c r="B433" s="4" t="s">
        <v>41</v>
      </c>
      <c r="C433" s="4" t="s">
        <v>43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44562</v>
      </c>
      <c r="J433" s="6">
        <v>0</v>
      </c>
      <c r="K433" s="6">
        <v>0</v>
      </c>
      <c r="L433" s="6">
        <v>100.327</v>
      </c>
      <c r="M433" s="6">
        <v>100.327</v>
      </c>
      <c r="N433" s="6">
        <v>100.327</v>
      </c>
      <c r="O433" s="6">
        <v>100.327</v>
      </c>
      <c r="P433" s="6">
        <v>0</v>
      </c>
      <c r="Q433" s="4" t="s">
        <v>26</v>
      </c>
      <c r="R433" s="4">
        <v>0</v>
      </c>
      <c r="S433" s="4" t="s">
        <v>218</v>
      </c>
      <c r="T433" s="4" t="s">
        <v>463</v>
      </c>
      <c r="U433" s="4">
        <v>0</v>
      </c>
      <c r="V433" s="4">
        <v>5</v>
      </c>
      <c r="W433" s="4">
        <v>75</v>
      </c>
    </row>
    <row r="434" spans="1:23" ht="11.25" customHeight="1" x14ac:dyDescent="0.25">
      <c r="A434" s="4" t="s">
        <v>28</v>
      </c>
      <c r="B434" s="4" t="s">
        <v>41</v>
      </c>
      <c r="C434" s="4" t="s">
        <v>43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44562</v>
      </c>
      <c r="J434" s="6">
        <v>0</v>
      </c>
      <c r="K434" s="6">
        <v>0</v>
      </c>
      <c r="L434" s="6">
        <v>0.59099999999999997</v>
      </c>
      <c r="M434" s="6">
        <v>0.59099999999999997</v>
      </c>
      <c r="N434" s="6">
        <v>0.59099999999999997</v>
      </c>
      <c r="O434" s="6">
        <v>0.59099999999999997</v>
      </c>
      <c r="P434" s="6">
        <v>0</v>
      </c>
      <c r="Q434" s="4" t="s">
        <v>26</v>
      </c>
      <c r="R434" s="4">
        <v>0</v>
      </c>
      <c r="S434" s="4" t="s">
        <v>218</v>
      </c>
      <c r="T434" s="4" t="s">
        <v>463</v>
      </c>
      <c r="U434" s="4">
        <v>0</v>
      </c>
      <c r="V434" s="4">
        <v>5</v>
      </c>
      <c r="W434" s="4">
        <v>75</v>
      </c>
    </row>
    <row r="435" spans="1:23" ht="11.25" customHeight="1" x14ac:dyDescent="0.25">
      <c r="A435" s="4" t="s">
        <v>21</v>
      </c>
      <c r="B435" s="4" t="s">
        <v>41</v>
      </c>
      <c r="C435" s="4" t="s">
        <v>43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44593</v>
      </c>
      <c r="J435" s="6">
        <v>0</v>
      </c>
      <c r="K435" s="6">
        <v>0</v>
      </c>
      <c r="L435" s="6">
        <v>74.650999999999996</v>
      </c>
      <c r="M435" s="6">
        <v>74.650999999999996</v>
      </c>
      <c r="N435" s="6">
        <v>74.650999999999996</v>
      </c>
      <c r="O435" s="6">
        <v>74.650999999999996</v>
      </c>
      <c r="P435" s="6">
        <v>0</v>
      </c>
      <c r="Q435" s="4" t="s">
        <v>26</v>
      </c>
      <c r="R435" s="4">
        <v>0</v>
      </c>
      <c r="S435" s="4" t="s">
        <v>219</v>
      </c>
      <c r="T435" s="4" t="s">
        <v>464</v>
      </c>
      <c r="U435" s="4">
        <v>0</v>
      </c>
      <c r="V435" s="4">
        <v>5</v>
      </c>
      <c r="W435" s="4">
        <v>75</v>
      </c>
    </row>
    <row r="436" spans="1:23" ht="11.25" customHeight="1" x14ac:dyDescent="0.25">
      <c r="A436" s="4" t="s">
        <v>28</v>
      </c>
      <c r="B436" s="4" t="s">
        <v>41</v>
      </c>
      <c r="C436" s="4" t="s">
        <v>43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44593</v>
      </c>
      <c r="J436" s="6">
        <v>0</v>
      </c>
      <c r="K436" s="6">
        <v>0</v>
      </c>
      <c r="L436" s="6">
        <v>0.34399999999999997</v>
      </c>
      <c r="M436" s="6">
        <v>0.34399999999999997</v>
      </c>
      <c r="N436" s="6">
        <v>0.34399999999999997</v>
      </c>
      <c r="O436" s="6">
        <v>0.34399999999999997</v>
      </c>
      <c r="P436" s="6">
        <v>0</v>
      </c>
      <c r="Q436" s="4" t="s">
        <v>26</v>
      </c>
      <c r="R436" s="4">
        <v>0</v>
      </c>
      <c r="S436" s="4" t="s">
        <v>219</v>
      </c>
      <c r="T436" s="4" t="s">
        <v>464</v>
      </c>
      <c r="U436" s="4">
        <v>0</v>
      </c>
      <c r="V436" s="4">
        <v>5</v>
      </c>
      <c r="W436" s="4">
        <v>75</v>
      </c>
    </row>
    <row r="437" spans="1:23" ht="11.25" customHeight="1" x14ac:dyDescent="0.25">
      <c r="A437" s="4" t="s">
        <v>21</v>
      </c>
      <c r="B437" s="4" t="s">
        <v>41</v>
      </c>
      <c r="C437" s="4" t="s">
        <v>43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44621</v>
      </c>
      <c r="J437" s="6">
        <v>0</v>
      </c>
      <c r="K437" s="6">
        <v>0</v>
      </c>
      <c r="L437" s="6">
        <v>107.3</v>
      </c>
      <c r="M437" s="6">
        <v>107.3</v>
      </c>
      <c r="N437" s="6">
        <v>107.3</v>
      </c>
      <c r="O437" s="6">
        <v>107.3</v>
      </c>
      <c r="P437" s="6">
        <v>0</v>
      </c>
      <c r="Q437" s="4" t="s">
        <v>26</v>
      </c>
      <c r="R437" s="4">
        <v>0</v>
      </c>
      <c r="S437" s="4" t="s">
        <v>220</v>
      </c>
      <c r="T437" s="4" t="s">
        <v>465</v>
      </c>
      <c r="U437" s="4">
        <v>0</v>
      </c>
      <c r="V437" s="4">
        <v>5</v>
      </c>
      <c r="W437" s="4">
        <v>75</v>
      </c>
    </row>
    <row r="438" spans="1:23" ht="11.25" customHeight="1" x14ac:dyDescent="0.25">
      <c r="A438" s="4" t="s">
        <v>28</v>
      </c>
      <c r="B438" s="4" t="s">
        <v>41</v>
      </c>
      <c r="C438" s="4" t="s">
        <v>43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44621</v>
      </c>
      <c r="J438" s="6">
        <v>0</v>
      </c>
      <c r="K438" s="6">
        <v>0</v>
      </c>
      <c r="L438" s="6">
        <v>0.58799999999999997</v>
      </c>
      <c r="M438" s="6">
        <v>0.58799999999999997</v>
      </c>
      <c r="N438" s="6">
        <v>0.58799999999999997</v>
      </c>
      <c r="O438" s="6">
        <v>0.58799999999999997</v>
      </c>
      <c r="P438" s="6">
        <v>0</v>
      </c>
      <c r="Q438" s="4" t="s">
        <v>26</v>
      </c>
      <c r="R438" s="4">
        <v>0</v>
      </c>
      <c r="S438" s="4" t="s">
        <v>220</v>
      </c>
      <c r="T438" s="4" t="s">
        <v>465</v>
      </c>
      <c r="U438" s="4">
        <v>0</v>
      </c>
      <c r="V438" s="4">
        <v>5</v>
      </c>
      <c r="W438" s="4">
        <v>75</v>
      </c>
    </row>
    <row r="439" spans="1:23" ht="11.25" customHeight="1" x14ac:dyDescent="0.25">
      <c r="A439" s="4" t="s">
        <v>21</v>
      </c>
      <c r="B439" s="4" t="s">
        <v>41</v>
      </c>
      <c r="C439" s="4" t="s">
        <v>43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44652</v>
      </c>
      <c r="J439" s="6">
        <v>0</v>
      </c>
      <c r="K439" s="6">
        <v>0</v>
      </c>
      <c r="L439" s="6">
        <v>74.23</v>
      </c>
      <c r="M439" s="6">
        <v>74.23</v>
      </c>
      <c r="N439" s="6">
        <v>74.23</v>
      </c>
      <c r="O439" s="6">
        <v>74.23</v>
      </c>
      <c r="P439" s="6">
        <v>0</v>
      </c>
      <c r="Q439" s="4" t="s">
        <v>26</v>
      </c>
      <c r="R439" s="4">
        <v>0</v>
      </c>
      <c r="S439" s="4" t="s">
        <v>221</v>
      </c>
      <c r="T439" s="4" t="s">
        <v>466</v>
      </c>
      <c r="U439" s="4">
        <v>0</v>
      </c>
      <c r="V439" s="4">
        <v>5</v>
      </c>
      <c r="W439" s="4">
        <v>75</v>
      </c>
    </row>
    <row r="440" spans="1:23" ht="11.25" customHeight="1" x14ac:dyDescent="0.25">
      <c r="A440" s="4" t="s">
        <v>28</v>
      </c>
      <c r="B440" s="4" t="s">
        <v>41</v>
      </c>
      <c r="C440" s="4" t="s">
        <v>43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44652</v>
      </c>
      <c r="J440" s="6">
        <v>0</v>
      </c>
      <c r="K440" s="6">
        <v>0</v>
      </c>
      <c r="L440" s="6">
        <v>0.63600000000000001</v>
      </c>
      <c r="M440" s="6">
        <v>0.63600000000000001</v>
      </c>
      <c r="N440" s="6">
        <v>0.63600000000000001</v>
      </c>
      <c r="O440" s="6">
        <v>0.63600000000000001</v>
      </c>
      <c r="P440" s="6">
        <v>0</v>
      </c>
      <c r="Q440" s="4" t="s">
        <v>26</v>
      </c>
      <c r="R440" s="4">
        <v>0</v>
      </c>
      <c r="S440" s="4" t="s">
        <v>221</v>
      </c>
      <c r="T440" s="4" t="s">
        <v>466</v>
      </c>
      <c r="U440" s="4">
        <v>0</v>
      </c>
      <c r="V440" s="4">
        <v>5</v>
      </c>
      <c r="W440" s="4">
        <v>75</v>
      </c>
    </row>
    <row r="441" spans="1:23" ht="11.25" customHeight="1" x14ac:dyDescent="0.25">
      <c r="A441" s="4" t="s">
        <v>21</v>
      </c>
      <c r="B441" s="4" t="s">
        <v>41</v>
      </c>
      <c r="C441" s="4" t="s">
        <v>43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44682</v>
      </c>
      <c r="J441" s="6">
        <v>0</v>
      </c>
      <c r="K441" s="6">
        <v>0</v>
      </c>
      <c r="L441" s="6">
        <v>78.004999999999995</v>
      </c>
      <c r="M441" s="6">
        <v>78.004999999999995</v>
      </c>
      <c r="N441" s="6">
        <v>78.004999999999995</v>
      </c>
      <c r="O441" s="6">
        <v>78.004999999999995</v>
      </c>
      <c r="P441" s="6">
        <v>0</v>
      </c>
      <c r="Q441" s="4" t="s">
        <v>26</v>
      </c>
      <c r="R441" s="4">
        <v>0</v>
      </c>
      <c r="S441" s="4" t="s">
        <v>222</v>
      </c>
      <c r="T441" s="4" t="s">
        <v>467</v>
      </c>
      <c r="U441" s="4">
        <v>0</v>
      </c>
      <c r="V441" s="4">
        <v>5</v>
      </c>
      <c r="W441" s="4">
        <v>75</v>
      </c>
    </row>
    <row r="442" spans="1:23" ht="11.25" customHeight="1" x14ac:dyDescent="0.25">
      <c r="A442" s="4" t="s">
        <v>27</v>
      </c>
      <c r="B442" s="4" t="s">
        <v>41</v>
      </c>
      <c r="C442" s="4" t="s">
        <v>43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44682</v>
      </c>
      <c r="J442" s="6">
        <v>0</v>
      </c>
      <c r="K442" s="6">
        <v>0</v>
      </c>
      <c r="L442" s="6">
        <v>8.4109999999999996</v>
      </c>
      <c r="M442" s="6">
        <v>8.4109999999999996</v>
      </c>
      <c r="N442" s="6">
        <v>8.4109999999999996</v>
      </c>
      <c r="O442" s="6">
        <v>8.4109999999999996</v>
      </c>
      <c r="P442" s="6">
        <v>0</v>
      </c>
      <c r="Q442" s="4" t="s">
        <v>26</v>
      </c>
      <c r="R442" s="4">
        <v>0</v>
      </c>
      <c r="S442" s="4" t="s">
        <v>222</v>
      </c>
      <c r="T442" s="4" t="s">
        <v>467</v>
      </c>
      <c r="U442" s="4">
        <v>0</v>
      </c>
      <c r="V442" s="4">
        <v>5</v>
      </c>
      <c r="W442" s="4">
        <v>75</v>
      </c>
    </row>
    <row r="443" spans="1:23" ht="11.25" customHeight="1" x14ac:dyDescent="0.25">
      <c r="A443" s="4" t="s">
        <v>28</v>
      </c>
      <c r="B443" s="4" t="s">
        <v>41</v>
      </c>
      <c r="C443" s="4" t="s">
        <v>43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44682</v>
      </c>
      <c r="J443" s="6">
        <v>0</v>
      </c>
      <c r="K443" s="6">
        <v>0</v>
      </c>
      <c r="L443" s="6">
        <v>0.78900000000000003</v>
      </c>
      <c r="M443" s="6">
        <v>0.78900000000000003</v>
      </c>
      <c r="N443" s="6">
        <v>0.78900000000000003</v>
      </c>
      <c r="O443" s="6">
        <v>0.78900000000000003</v>
      </c>
      <c r="P443" s="6">
        <v>0</v>
      </c>
      <c r="Q443" s="4" t="s">
        <v>26</v>
      </c>
      <c r="R443" s="4">
        <v>0</v>
      </c>
      <c r="S443" s="4" t="s">
        <v>222</v>
      </c>
      <c r="T443" s="4" t="s">
        <v>467</v>
      </c>
      <c r="U443" s="4">
        <v>0</v>
      </c>
      <c r="V443" s="4">
        <v>5</v>
      </c>
      <c r="W443" s="4">
        <v>75</v>
      </c>
    </row>
    <row r="444" spans="1:23" ht="11.25" customHeight="1" x14ac:dyDescent="0.25">
      <c r="A444" s="4" t="s">
        <v>21</v>
      </c>
      <c r="B444" s="4" t="s">
        <v>41</v>
      </c>
      <c r="C444" s="4" t="s">
        <v>43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44713</v>
      </c>
      <c r="J444" s="6">
        <v>0</v>
      </c>
      <c r="K444" s="6">
        <v>0</v>
      </c>
      <c r="L444" s="6">
        <v>324.58499999999998</v>
      </c>
      <c r="M444" s="6">
        <v>324.58499999999998</v>
      </c>
      <c r="N444" s="6">
        <v>324.58499999999998</v>
      </c>
      <c r="O444" s="6">
        <v>324.58499999999998</v>
      </c>
      <c r="P444" s="6">
        <v>0</v>
      </c>
      <c r="Q444" s="4" t="s">
        <v>26</v>
      </c>
      <c r="R444" s="4">
        <v>0</v>
      </c>
      <c r="S444" s="4" t="s">
        <v>223</v>
      </c>
      <c r="T444" s="4" t="s">
        <v>468</v>
      </c>
      <c r="U444" s="4">
        <v>0</v>
      </c>
      <c r="V444" s="4">
        <v>5</v>
      </c>
      <c r="W444" s="4">
        <v>75</v>
      </c>
    </row>
    <row r="445" spans="1:23" ht="11.25" customHeight="1" x14ac:dyDescent="0.25">
      <c r="A445" s="4" t="s">
        <v>28</v>
      </c>
      <c r="B445" s="4" t="s">
        <v>41</v>
      </c>
      <c r="C445" s="4" t="s">
        <v>43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44713</v>
      </c>
      <c r="J445" s="6">
        <v>0</v>
      </c>
      <c r="K445" s="6">
        <v>0</v>
      </c>
      <c r="L445" s="6">
        <v>0.68600000000000005</v>
      </c>
      <c r="M445" s="6">
        <v>0.68600000000000005</v>
      </c>
      <c r="N445" s="6">
        <v>0.68600000000000005</v>
      </c>
      <c r="O445" s="6">
        <v>0.68600000000000005</v>
      </c>
      <c r="P445" s="6">
        <v>0</v>
      </c>
      <c r="Q445" s="4" t="s">
        <v>26</v>
      </c>
      <c r="R445" s="4">
        <v>0</v>
      </c>
      <c r="S445" s="4" t="s">
        <v>223</v>
      </c>
      <c r="T445" s="4" t="s">
        <v>468</v>
      </c>
      <c r="U445" s="4">
        <v>0</v>
      </c>
      <c r="V445" s="4">
        <v>5</v>
      </c>
      <c r="W445" s="4">
        <v>75</v>
      </c>
    </row>
    <row r="446" spans="1:23" ht="11.25" customHeight="1" x14ac:dyDescent="0.25">
      <c r="A446" s="4" t="s">
        <v>21</v>
      </c>
      <c r="B446" s="4" t="s">
        <v>41</v>
      </c>
      <c r="C446" s="4" t="s">
        <v>43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44743</v>
      </c>
      <c r="J446" s="6">
        <v>0</v>
      </c>
      <c r="K446" s="6">
        <v>0</v>
      </c>
      <c r="L446" s="6">
        <v>82.054000000000002</v>
      </c>
      <c r="M446" s="6">
        <v>82.054000000000002</v>
      </c>
      <c r="N446" s="6">
        <v>82.054000000000002</v>
      </c>
      <c r="O446" s="6">
        <v>82.054000000000002</v>
      </c>
      <c r="P446" s="6">
        <v>0</v>
      </c>
      <c r="Q446" s="4" t="s">
        <v>26</v>
      </c>
      <c r="R446" s="4">
        <v>0</v>
      </c>
      <c r="S446" s="4" t="s">
        <v>224</v>
      </c>
      <c r="T446" s="4" t="s">
        <v>469</v>
      </c>
      <c r="U446" s="4">
        <v>0</v>
      </c>
      <c r="V446" s="4">
        <v>5</v>
      </c>
      <c r="W446" s="4">
        <v>75</v>
      </c>
    </row>
    <row r="447" spans="1:23" ht="11.25" customHeight="1" x14ac:dyDescent="0.25">
      <c r="A447" s="4" t="s">
        <v>28</v>
      </c>
      <c r="B447" s="4" t="s">
        <v>41</v>
      </c>
      <c r="C447" s="4" t="s">
        <v>43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44743</v>
      </c>
      <c r="J447" s="6">
        <v>0</v>
      </c>
      <c r="K447" s="6">
        <v>0</v>
      </c>
      <c r="L447" s="6">
        <v>0.65</v>
      </c>
      <c r="M447" s="6">
        <v>0.65</v>
      </c>
      <c r="N447" s="6">
        <v>0.65</v>
      </c>
      <c r="O447" s="6">
        <v>0.65</v>
      </c>
      <c r="P447" s="6">
        <v>0</v>
      </c>
      <c r="Q447" s="4" t="s">
        <v>26</v>
      </c>
      <c r="R447" s="4">
        <v>0</v>
      </c>
      <c r="S447" s="4" t="s">
        <v>224</v>
      </c>
      <c r="T447" s="4" t="s">
        <v>469</v>
      </c>
      <c r="U447" s="4">
        <v>0</v>
      </c>
      <c r="V447" s="4">
        <v>5</v>
      </c>
      <c r="W447" s="4">
        <v>75</v>
      </c>
    </row>
    <row r="448" spans="1:23" ht="11.25" customHeight="1" x14ac:dyDescent="0.25">
      <c r="A448" s="4" t="s">
        <v>21</v>
      </c>
      <c r="B448" s="4" t="s">
        <v>41</v>
      </c>
      <c r="C448" s="4" t="s">
        <v>43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44774</v>
      </c>
      <c r="J448" s="6">
        <v>0</v>
      </c>
      <c r="K448" s="6">
        <v>0</v>
      </c>
      <c r="L448" s="6">
        <v>100.376</v>
      </c>
      <c r="M448" s="6">
        <v>100.376</v>
      </c>
      <c r="N448" s="6">
        <v>100.376</v>
      </c>
      <c r="O448" s="6">
        <v>100.376</v>
      </c>
      <c r="P448" s="6">
        <v>0</v>
      </c>
      <c r="Q448" s="4" t="s">
        <v>26</v>
      </c>
      <c r="R448" s="4">
        <v>0</v>
      </c>
      <c r="S448" s="4" t="s">
        <v>225</v>
      </c>
      <c r="T448" s="4" t="s">
        <v>470</v>
      </c>
      <c r="U448" s="4">
        <v>0</v>
      </c>
      <c r="V448" s="4">
        <v>5</v>
      </c>
      <c r="W448" s="4">
        <v>75</v>
      </c>
    </row>
    <row r="449" spans="1:23" ht="11.25" customHeight="1" x14ac:dyDescent="0.25">
      <c r="A449" s="4" t="s">
        <v>28</v>
      </c>
      <c r="B449" s="4" t="s">
        <v>41</v>
      </c>
      <c r="C449" s="4" t="s">
        <v>43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44774</v>
      </c>
      <c r="J449" s="6">
        <v>0</v>
      </c>
      <c r="K449" s="6">
        <v>0</v>
      </c>
      <c r="L449" s="6">
        <v>0.78</v>
      </c>
      <c r="M449" s="6">
        <v>0.78</v>
      </c>
      <c r="N449" s="6">
        <v>0.78</v>
      </c>
      <c r="O449" s="6">
        <v>0.78</v>
      </c>
      <c r="P449" s="6">
        <v>0</v>
      </c>
      <c r="Q449" s="4" t="s">
        <v>26</v>
      </c>
      <c r="R449" s="4">
        <v>0</v>
      </c>
      <c r="S449" s="4" t="s">
        <v>225</v>
      </c>
      <c r="T449" s="4" t="s">
        <v>470</v>
      </c>
      <c r="U449" s="4">
        <v>0</v>
      </c>
      <c r="V449" s="4">
        <v>5</v>
      </c>
      <c r="W449" s="4">
        <v>75</v>
      </c>
    </row>
    <row r="450" spans="1:23" ht="11.25" customHeight="1" x14ac:dyDescent="0.25">
      <c r="A450" s="4" t="s">
        <v>21</v>
      </c>
      <c r="B450" s="4" t="s">
        <v>41</v>
      </c>
      <c r="C450" s="4" t="s">
        <v>43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44805</v>
      </c>
      <c r="J450" s="6">
        <v>0</v>
      </c>
      <c r="K450" s="6">
        <v>0</v>
      </c>
      <c r="L450" s="6">
        <v>93.033000000000001</v>
      </c>
      <c r="M450" s="6">
        <v>93.033000000000001</v>
      </c>
      <c r="N450" s="6">
        <v>93.033000000000001</v>
      </c>
      <c r="O450" s="6">
        <v>93.033000000000001</v>
      </c>
      <c r="P450" s="6">
        <v>0</v>
      </c>
      <c r="Q450" s="4" t="s">
        <v>26</v>
      </c>
      <c r="R450" s="4">
        <v>0</v>
      </c>
      <c r="S450" s="4" t="s">
        <v>226</v>
      </c>
      <c r="T450" s="4" t="s">
        <v>471</v>
      </c>
      <c r="U450" s="4">
        <v>0</v>
      </c>
      <c r="V450" s="4">
        <v>5</v>
      </c>
      <c r="W450" s="4">
        <v>75</v>
      </c>
    </row>
    <row r="451" spans="1:23" ht="11.25" customHeight="1" x14ac:dyDescent="0.25">
      <c r="A451" s="4" t="s">
        <v>28</v>
      </c>
      <c r="B451" s="4" t="s">
        <v>41</v>
      </c>
      <c r="C451" s="4" t="s">
        <v>43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44805</v>
      </c>
      <c r="J451" s="6">
        <v>0</v>
      </c>
      <c r="K451" s="6">
        <v>0</v>
      </c>
      <c r="L451" s="6">
        <v>0.66</v>
      </c>
      <c r="M451" s="6">
        <v>0.66</v>
      </c>
      <c r="N451" s="6">
        <v>0.66</v>
      </c>
      <c r="O451" s="6">
        <v>0.66</v>
      </c>
      <c r="P451" s="6">
        <v>0</v>
      </c>
      <c r="Q451" s="4" t="s">
        <v>26</v>
      </c>
      <c r="R451" s="4">
        <v>0</v>
      </c>
      <c r="S451" s="4" t="s">
        <v>226</v>
      </c>
      <c r="T451" s="4" t="s">
        <v>471</v>
      </c>
      <c r="U451" s="4">
        <v>0</v>
      </c>
      <c r="V451" s="4">
        <v>5</v>
      </c>
      <c r="W451" s="4">
        <v>75</v>
      </c>
    </row>
    <row r="452" spans="1:23" ht="11.25" customHeight="1" x14ac:dyDescent="0.25">
      <c r="A452" s="4" t="s">
        <v>21</v>
      </c>
      <c r="B452" s="4" t="s">
        <v>41</v>
      </c>
      <c r="C452" s="4" t="s">
        <v>43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44835</v>
      </c>
      <c r="J452" s="6">
        <v>0</v>
      </c>
      <c r="K452" s="6">
        <v>0</v>
      </c>
      <c r="L452" s="6">
        <v>83.108999999999995</v>
      </c>
      <c r="M452" s="6">
        <v>83.108999999999995</v>
      </c>
      <c r="N452" s="6">
        <v>83.108999999999995</v>
      </c>
      <c r="O452" s="6">
        <v>83.108999999999995</v>
      </c>
      <c r="P452" s="6">
        <v>0</v>
      </c>
      <c r="Q452" s="4" t="s">
        <v>26</v>
      </c>
      <c r="R452" s="4">
        <v>0</v>
      </c>
      <c r="S452" s="4" t="s">
        <v>227</v>
      </c>
      <c r="T452" s="4" t="s">
        <v>472</v>
      </c>
      <c r="U452" s="4">
        <v>0</v>
      </c>
      <c r="V452" s="4">
        <v>5</v>
      </c>
      <c r="W452" s="4">
        <v>75</v>
      </c>
    </row>
    <row r="453" spans="1:23" ht="11.25" customHeight="1" x14ac:dyDescent="0.25">
      <c r="A453" s="4" t="s">
        <v>27</v>
      </c>
      <c r="B453" s="4" t="s">
        <v>41</v>
      </c>
      <c r="C453" s="4" t="s">
        <v>43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44835</v>
      </c>
      <c r="J453" s="6">
        <v>0</v>
      </c>
      <c r="K453" s="6">
        <v>0</v>
      </c>
      <c r="L453" s="6">
        <v>-3.516</v>
      </c>
      <c r="M453" s="6">
        <v>-3.516</v>
      </c>
      <c r="N453" s="6">
        <v>-3.516</v>
      </c>
      <c r="O453" s="6">
        <v>-3.516</v>
      </c>
      <c r="P453" s="6">
        <v>0</v>
      </c>
      <c r="Q453" s="4" t="s">
        <v>26</v>
      </c>
      <c r="R453" s="4">
        <v>0</v>
      </c>
      <c r="S453" s="4" t="s">
        <v>227</v>
      </c>
      <c r="T453" s="4" t="s">
        <v>472</v>
      </c>
      <c r="U453" s="4">
        <v>0</v>
      </c>
      <c r="V453" s="4">
        <v>5</v>
      </c>
      <c r="W453" s="4">
        <v>75</v>
      </c>
    </row>
    <row r="454" spans="1:23" ht="11.25" customHeight="1" x14ac:dyDescent="0.25">
      <c r="A454" s="4" t="s">
        <v>28</v>
      </c>
      <c r="B454" s="4" t="s">
        <v>41</v>
      </c>
      <c r="C454" s="4" t="s">
        <v>43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34</v>
      </c>
      <c r="I454" s="5">
        <v>44835</v>
      </c>
      <c r="J454" s="6">
        <v>0</v>
      </c>
      <c r="K454" s="6">
        <v>0</v>
      </c>
      <c r="L454" s="6">
        <v>0.60699999999999998</v>
      </c>
      <c r="M454" s="6">
        <v>0.60699999999999998</v>
      </c>
      <c r="N454" s="6">
        <v>0.60699999999999998</v>
      </c>
      <c r="O454" s="6">
        <v>0.60699999999999998</v>
      </c>
      <c r="P454" s="6">
        <v>0</v>
      </c>
      <c r="Q454" s="4" t="s">
        <v>26</v>
      </c>
      <c r="R454" s="4">
        <v>0</v>
      </c>
      <c r="S454" s="4" t="s">
        <v>227</v>
      </c>
      <c r="T454" s="4" t="s">
        <v>472</v>
      </c>
      <c r="U454" s="4">
        <v>0</v>
      </c>
      <c r="V454" s="4">
        <v>5</v>
      </c>
      <c r="W454" s="4">
        <v>75</v>
      </c>
    </row>
    <row r="455" spans="1:23" ht="11.25" customHeight="1" x14ac:dyDescent="0.25">
      <c r="A455" s="4" t="s">
        <v>54</v>
      </c>
      <c r="B455" s="4" t="s">
        <v>41</v>
      </c>
      <c r="C455" s="4" t="s">
        <v>43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34</v>
      </c>
      <c r="I455" s="5">
        <v>44866</v>
      </c>
      <c r="J455" s="6">
        <v>0</v>
      </c>
      <c r="K455" s="6">
        <v>0</v>
      </c>
      <c r="L455" s="6">
        <v>83.108999999999995</v>
      </c>
      <c r="M455" s="6">
        <v>83.108999999999995</v>
      </c>
      <c r="N455" s="6">
        <v>83.108999999999995</v>
      </c>
      <c r="O455" s="6">
        <v>83.108999999999995</v>
      </c>
      <c r="P455" s="6">
        <v>0</v>
      </c>
      <c r="Q455" s="4" t="s">
        <v>26</v>
      </c>
      <c r="R455" s="4">
        <v>0</v>
      </c>
      <c r="S455" s="4" t="s">
        <v>228</v>
      </c>
      <c r="T455" s="4" t="s">
        <v>473</v>
      </c>
      <c r="U455" s="4">
        <v>0</v>
      </c>
      <c r="V455" s="4">
        <v>5</v>
      </c>
      <c r="W455" s="4">
        <v>75</v>
      </c>
    </row>
    <row r="456" spans="1:23" ht="11.25" customHeight="1" x14ac:dyDescent="0.25">
      <c r="A456" s="4" t="s">
        <v>54</v>
      </c>
      <c r="B456" s="4" t="s">
        <v>41</v>
      </c>
      <c r="C456" s="4" t="s">
        <v>43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34</v>
      </c>
      <c r="I456" s="5">
        <v>44866</v>
      </c>
      <c r="J456" s="6">
        <v>0</v>
      </c>
      <c r="K456" s="6">
        <v>0</v>
      </c>
      <c r="L456" s="6">
        <v>-3.516</v>
      </c>
      <c r="M456" s="6">
        <v>-3.516</v>
      </c>
      <c r="N456" s="6">
        <v>-3.516</v>
      </c>
      <c r="O456" s="6">
        <v>-3.516</v>
      </c>
      <c r="P456" s="6">
        <v>0</v>
      </c>
      <c r="Q456" s="4" t="s">
        <v>26</v>
      </c>
      <c r="R456" s="4">
        <v>0</v>
      </c>
      <c r="S456" s="4" t="s">
        <v>228</v>
      </c>
      <c r="T456" s="4" t="s">
        <v>473</v>
      </c>
      <c r="U456" s="4">
        <v>0</v>
      </c>
      <c r="V456" s="4">
        <v>5</v>
      </c>
      <c r="W456" s="4">
        <v>75</v>
      </c>
    </row>
    <row r="457" spans="1:23" ht="11.25" customHeight="1" x14ac:dyDescent="0.25">
      <c r="A457" s="4" t="s">
        <v>54</v>
      </c>
      <c r="B457" s="4" t="s">
        <v>41</v>
      </c>
      <c r="C457" s="4" t="s">
        <v>43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34</v>
      </c>
      <c r="I457" s="5">
        <v>44866</v>
      </c>
      <c r="J457" s="6">
        <v>0</v>
      </c>
      <c r="K457" s="6">
        <v>0</v>
      </c>
      <c r="L457" s="6">
        <v>0.60699999999999998</v>
      </c>
      <c r="M457" s="6">
        <v>0.60699999999999998</v>
      </c>
      <c r="N457" s="6">
        <v>0.60699999999999998</v>
      </c>
      <c r="O457" s="6">
        <v>0.60699999999999998</v>
      </c>
      <c r="P457" s="6">
        <v>0</v>
      </c>
      <c r="Q457" s="4" t="s">
        <v>26</v>
      </c>
      <c r="R457" s="4">
        <v>0</v>
      </c>
      <c r="S457" s="4" t="s">
        <v>228</v>
      </c>
      <c r="T457" s="4" t="s">
        <v>473</v>
      </c>
      <c r="U457" s="4">
        <v>0</v>
      </c>
      <c r="V457" s="4">
        <v>5</v>
      </c>
      <c r="W457" s="4">
        <v>75</v>
      </c>
    </row>
    <row r="458" spans="1:23" ht="11.25" customHeight="1" x14ac:dyDescent="0.25">
      <c r="A458" s="4" t="s">
        <v>21</v>
      </c>
      <c r="B458" s="4" t="s">
        <v>41</v>
      </c>
      <c r="C458" s="4" t="s">
        <v>43</v>
      </c>
      <c r="D458" s="4" t="s">
        <v>47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44531</v>
      </c>
      <c r="J458" s="6">
        <v>0</v>
      </c>
      <c r="K458" s="6">
        <v>0</v>
      </c>
      <c r="L458" s="6">
        <v>4140.1959999999999</v>
      </c>
      <c r="M458" s="6">
        <v>4140.1959999999999</v>
      </c>
      <c r="N458" s="6">
        <v>4140.1959999999999</v>
      </c>
      <c r="O458" s="6">
        <v>4140.1959999999999</v>
      </c>
      <c r="P458" s="6">
        <v>0</v>
      </c>
      <c r="Q458" s="4" t="s">
        <v>26</v>
      </c>
      <c r="R458" s="4">
        <v>0</v>
      </c>
      <c r="S458" s="4" t="s">
        <v>193</v>
      </c>
      <c r="T458" s="4" t="s">
        <v>450</v>
      </c>
      <c r="U458" s="4">
        <v>0</v>
      </c>
      <c r="V458" s="4">
        <v>7</v>
      </c>
      <c r="W458" s="4">
        <v>76</v>
      </c>
    </row>
    <row r="459" spans="1:23" ht="11.25" customHeight="1" x14ac:dyDescent="0.25">
      <c r="A459" s="4" t="s">
        <v>27</v>
      </c>
      <c r="B459" s="4" t="s">
        <v>41</v>
      </c>
      <c r="C459" s="4" t="s">
        <v>43</v>
      </c>
      <c r="D459" s="4" t="s">
        <v>47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44531</v>
      </c>
      <c r="J459" s="6">
        <v>0</v>
      </c>
      <c r="K459" s="6">
        <v>0</v>
      </c>
      <c r="L459" s="6">
        <v>7.6669999999999998</v>
      </c>
      <c r="M459" s="6">
        <v>7.6669999999999998</v>
      </c>
      <c r="N459" s="6">
        <v>7.6669999999999998</v>
      </c>
      <c r="O459" s="6">
        <v>7.6669999999999998</v>
      </c>
      <c r="P459" s="6">
        <v>0</v>
      </c>
      <c r="Q459" s="4" t="s">
        <v>26</v>
      </c>
      <c r="R459" s="4">
        <v>0</v>
      </c>
      <c r="S459" s="4" t="s">
        <v>193</v>
      </c>
      <c r="T459" s="4" t="s">
        <v>450</v>
      </c>
      <c r="U459" s="4">
        <v>0</v>
      </c>
      <c r="V459" s="4">
        <v>7</v>
      </c>
      <c r="W459" s="4">
        <v>76</v>
      </c>
    </row>
    <row r="460" spans="1:23" ht="11.25" customHeight="1" x14ac:dyDescent="0.25">
      <c r="A460" s="4" t="s">
        <v>28</v>
      </c>
      <c r="B460" s="4" t="s">
        <v>41</v>
      </c>
      <c r="C460" s="4" t="s">
        <v>43</v>
      </c>
      <c r="D460" s="4" t="s">
        <v>47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44531</v>
      </c>
      <c r="J460" s="6">
        <v>0</v>
      </c>
      <c r="K460" s="6">
        <v>0</v>
      </c>
      <c r="L460" s="6">
        <v>64.272999999999996</v>
      </c>
      <c r="M460" s="6">
        <v>64.272999999999996</v>
      </c>
      <c r="N460" s="6">
        <v>64.272999999999996</v>
      </c>
      <c r="O460" s="6">
        <v>64.272999999999996</v>
      </c>
      <c r="P460" s="6">
        <v>0</v>
      </c>
      <c r="Q460" s="4" t="s">
        <v>26</v>
      </c>
      <c r="R460" s="4">
        <v>0</v>
      </c>
      <c r="S460" s="4" t="s">
        <v>193</v>
      </c>
      <c r="T460" s="4" t="s">
        <v>450</v>
      </c>
      <c r="U460" s="4">
        <v>0</v>
      </c>
      <c r="V460" s="4">
        <v>7</v>
      </c>
      <c r="W460" s="4">
        <v>76</v>
      </c>
    </row>
    <row r="461" spans="1:23" ht="11.25" customHeight="1" x14ac:dyDescent="0.25">
      <c r="A461" s="4" t="s">
        <v>21</v>
      </c>
      <c r="B461" s="4" t="s">
        <v>41</v>
      </c>
      <c r="C461" s="4" t="s">
        <v>43</v>
      </c>
      <c r="D461" s="4" t="s">
        <v>47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44562</v>
      </c>
      <c r="J461" s="6">
        <v>0</v>
      </c>
      <c r="K461" s="6">
        <v>0</v>
      </c>
      <c r="L461" s="6">
        <v>3557.1550000000002</v>
      </c>
      <c r="M461" s="6">
        <v>3557.1550000000002</v>
      </c>
      <c r="N461" s="6">
        <v>3557.1550000000002</v>
      </c>
      <c r="O461" s="6">
        <v>3557.1550000000002</v>
      </c>
      <c r="P461" s="6">
        <v>0</v>
      </c>
      <c r="Q461" s="4" t="s">
        <v>26</v>
      </c>
      <c r="R461" s="4">
        <v>0</v>
      </c>
      <c r="S461" s="4" t="s">
        <v>194</v>
      </c>
      <c r="T461" s="4" t="s">
        <v>451</v>
      </c>
      <c r="U461" s="4">
        <v>0</v>
      </c>
      <c r="V461" s="4">
        <v>7</v>
      </c>
      <c r="W461" s="4">
        <v>76</v>
      </c>
    </row>
    <row r="462" spans="1:23" ht="11.25" customHeight="1" x14ac:dyDescent="0.25">
      <c r="A462" s="4" t="s">
        <v>28</v>
      </c>
      <c r="B462" s="4" t="s">
        <v>41</v>
      </c>
      <c r="C462" s="4" t="s">
        <v>43</v>
      </c>
      <c r="D462" s="4" t="s">
        <v>47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44562</v>
      </c>
      <c r="J462" s="6">
        <v>0</v>
      </c>
      <c r="K462" s="6">
        <v>0</v>
      </c>
      <c r="L462" s="6">
        <v>64.825000000000003</v>
      </c>
      <c r="M462" s="6">
        <v>64.825000000000003</v>
      </c>
      <c r="N462" s="6">
        <v>64.825000000000003</v>
      </c>
      <c r="O462" s="6">
        <v>64.825000000000003</v>
      </c>
      <c r="P462" s="6">
        <v>0</v>
      </c>
      <c r="Q462" s="4" t="s">
        <v>26</v>
      </c>
      <c r="R462" s="4">
        <v>0</v>
      </c>
      <c r="S462" s="4" t="s">
        <v>194</v>
      </c>
      <c r="T462" s="4" t="s">
        <v>451</v>
      </c>
      <c r="U462" s="4">
        <v>0</v>
      </c>
      <c r="V462" s="4">
        <v>7</v>
      </c>
      <c r="W462" s="4">
        <v>76</v>
      </c>
    </row>
    <row r="463" spans="1:23" ht="11.25" customHeight="1" x14ac:dyDescent="0.25">
      <c r="A463" s="4" t="s">
        <v>21</v>
      </c>
      <c r="B463" s="4" t="s">
        <v>41</v>
      </c>
      <c r="C463" s="4" t="s">
        <v>43</v>
      </c>
      <c r="D463" s="4" t="s">
        <v>47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44593</v>
      </c>
      <c r="J463" s="6">
        <v>0</v>
      </c>
      <c r="K463" s="6">
        <v>0</v>
      </c>
      <c r="L463" s="6">
        <v>3298.5520000000001</v>
      </c>
      <c r="M463" s="6">
        <v>3298.5520000000001</v>
      </c>
      <c r="N463" s="6">
        <v>3298.5520000000001</v>
      </c>
      <c r="O463" s="6">
        <v>3298.5520000000001</v>
      </c>
      <c r="P463" s="6">
        <v>0</v>
      </c>
      <c r="Q463" s="4" t="s">
        <v>26</v>
      </c>
      <c r="R463" s="4">
        <v>0</v>
      </c>
      <c r="S463" s="4" t="s">
        <v>195</v>
      </c>
      <c r="T463" s="4" t="s">
        <v>452</v>
      </c>
      <c r="U463" s="4">
        <v>0</v>
      </c>
      <c r="V463" s="4">
        <v>7</v>
      </c>
      <c r="W463" s="4">
        <v>76</v>
      </c>
    </row>
    <row r="464" spans="1:23" ht="11.25" customHeight="1" x14ac:dyDescent="0.25">
      <c r="A464" s="4" t="s">
        <v>28</v>
      </c>
      <c r="B464" s="4" t="s">
        <v>41</v>
      </c>
      <c r="C464" s="4" t="s">
        <v>43</v>
      </c>
      <c r="D464" s="4" t="s">
        <v>47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44593</v>
      </c>
      <c r="J464" s="6">
        <v>0</v>
      </c>
      <c r="K464" s="6">
        <v>0</v>
      </c>
      <c r="L464" s="6">
        <v>55.905000000000001</v>
      </c>
      <c r="M464" s="6">
        <v>55.905000000000001</v>
      </c>
      <c r="N464" s="6">
        <v>55.905000000000001</v>
      </c>
      <c r="O464" s="6">
        <v>55.905000000000001</v>
      </c>
      <c r="P464" s="6">
        <v>0</v>
      </c>
      <c r="Q464" s="4" t="s">
        <v>26</v>
      </c>
      <c r="R464" s="4">
        <v>0</v>
      </c>
      <c r="S464" s="4" t="s">
        <v>195</v>
      </c>
      <c r="T464" s="4" t="s">
        <v>452</v>
      </c>
      <c r="U464" s="4">
        <v>0</v>
      </c>
      <c r="V464" s="4">
        <v>7</v>
      </c>
      <c r="W464" s="4">
        <v>76</v>
      </c>
    </row>
    <row r="465" spans="1:23" ht="11.25" customHeight="1" x14ac:dyDescent="0.25">
      <c r="A465" s="4" t="s">
        <v>21</v>
      </c>
      <c r="B465" s="4" t="s">
        <v>41</v>
      </c>
      <c r="C465" s="4" t="s">
        <v>43</v>
      </c>
      <c r="D465" s="4" t="s">
        <v>47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44621</v>
      </c>
      <c r="J465" s="6">
        <v>0</v>
      </c>
      <c r="K465" s="6">
        <v>0</v>
      </c>
      <c r="L465" s="6">
        <v>4174.9399999999996</v>
      </c>
      <c r="M465" s="6">
        <v>4174.9399999999996</v>
      </c>
      <c r="N465" s="6">
        <v>4174.9399999999996</v>
      </c>
      <c r="O465" s="6">
        <v>4174.9399999999996</v>
      </c>
      <c r="P465" s="6">
        <v>0</v>
      </c>
      <c r="Q465" s="4" t="s">
        <v>26</v>
      </c>
      <c r="R465" s="4">
        <v>0</v>
      </c>
      <c r="S465" s="4" t="s">
        <v>196</v>
      </c>
      <c r="T465" s="4" t="s">
        <v>453</v>
      </c>
      <c r="U465" s="4">
        <v>0</v>
      </c>
      <c r="V465" s="4">
        <v>7</v>
      </c>
      <c r="W465" s="4">
        <v>76</v>
      </c>
    </row>
    <row r="466" spans="1:23" ht="11.25" customHeight="1" x14ac:dyDescent="0.25">
      <c r="A466" s="4" t="s">
        <v>28</v>
      </c>
      <c r="B466" s="4" t="s">
        <v>41</v>
      </c>
      <c r="C466" s="4" t="s">
        <v>43</v>
      </c>
      <c r="D466" s="4" t="s">
        <v>47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44621</v>
      </c>
      <c r="J466" s="6">
        <v>0</v>
      </c>
      <c r="K466" s="6">
        <v>0</v>
      </c>
      <c r="L466" s="6">
        <v>85.408000000000001</v>
      </c>
      <c r="M466" s="6">
        <v>85.408000000000001</v>
      </c>
      <c r="N466" s="6">
        <v>85.408000000000001</v>
      </c>
      <c r="O466" s="6">
        <v>85.408000000000001</v>
      </c>
      <c r="P466" s="6">
        <v>0</v>
      </c>
      <c r="Q466" s="4" t="s">
        <v>26</v>
      </c>
      <c r="R466" s="4">
        <v>0</v>
      </c>
      <c r="S466" s="4" t="s">
        <v>196</v>
      </c>
      <c r="T466" s="4" t="s">
        <v>453</v>
      </c>
      <c r="U466" s="4">
        <v>0</v>
      </c>
      <c r="V466" s="4">
        <v>7</v>
      </c>
      <c r="W466" s="4">
        <v>76</v>
      </c>
    </row>
    <row r="467" spans="1:23" ht="11.25" customHeight="1" x14ac:dyDescent="0.25">
      <c r="A467" s="4" t="s">
        <v>21</v>
      </c>
      <c r="B467" s="4" t="s">
        <v>41</v>
      </c>
      <c r="C467" s="4" t="s">
        <v>43</v>
      </c>
      <c r="D467" s="4" t="s">
        <v>47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44652</v>
      </c>
      <c r="J467" s="6">
        <v>0</v>
      </c>
      <c r="K467" s="6">
        <v>0</v>
      </c>
      <c r="L467" s="6">
        <v>4163.1490000000003</v>
      </c>
      <c r="M467" s="6">
        <v>4163.1490000000003</v>
      </c>
      <c r="N467" s="6">
        <v>4163.1490000000003</v>
      </c>
      <c r="O467" s="6">
        <v>4163.1490000000003</v>
      </c>
      <c r="P467" s="6">
        <v>0</v>
      </c>
      <c r="Q467" s="4" t="s">
        <v>26</v>
      </c>
      <c r="R467" s="4">
        <v>0</v>
      </c>
      <c r="S467" s="4" t="s">
        <v>197</v>
      </c>
      <c r="T467" s="4" t="s">
        <v>454</v>
      </c>
      <c r="U467" s="4">
        <v>0</v>
      </c>
      <c r="V467" s="4">
        <v>7</v>
      </c>
      <c r="W467" s="4">
        <v>76</v>
      </c>
    </row>
    <row r="468" spans="1:23" ht="11.25" customHeight="1" x14ac:dyDescent="0.25">
      <c r="A468" s="4" t="s">
        <v>28</v>
      </c>
      <c r="B468" s="4" t="s">
        <v>41</v>
      </c>
      <c r="C468" s="4" t="s">
        <v>43</v>
      </c>
      <c r="D468" s="4" t="s">
        <v>47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44652</v>
      </c>
      <c r="J468" s="6">
        <v>0</v>
      </c>
      <c r="K468" s="6">
        <v>0</v>
      </c>
      <c r="L468" s="6">
        <v>77.251000000000005</v>
      </c>
      <c r="M468" s="6">
        <v>77.251000000000005</v>
      </c>
      <c r="N468" s="6">
        <v>77.251000000000005</v>
      </c>
      <c r="O468" s="6">
        <v>77.251000000000005</v>
      </c>
      <c r="P468" s="6">
        <v>0</v>
      </c>
      <c r="Q468" s="4" t="s">
        <v>26</v>
      </c>
      <c r="R468" s="4">
        <v>0</v>
      </c>
      <c r="S468" s="4" t="s">
        <v>197</v>
      </c>
      <c r="T468" s="4" t="s">
        <v>454</v>
      </c>
      <c r="U468" s="4">
        <v>0</v>
      </c>
      <c r="V468" s="4">
        <v>7</v>
      </c>
      <c r="W468" s="4">
        <v>76</v>
      </c>
    </row>
    <row r="469" spans="1:23" ht="11.25" customHeight="1" x14ac:dyDescent="0.25">
      <c r="A469" s="4" t="s">
        <v>21</v>
      </c>
      <c r="B469" s="4" t="s">
        <v>41</v>
      </c>
      <c r="C469" s="4" t="s">
        <v>43</v>
      </c>
      <c r="D469" s="4" t="s">
        <v>47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44682</v>
      </c>
      <c r="J469" s="6">
        <v>0</v>
      </c>
      <c r="K469" s="6">
        <v>0</v>
      </c>
      <c r="L469" s="6">
        <v>4474.741</v>
      </c>
      <c r="M469" s="6">
        <v>4474.741</v>
      </c>
      <c r="N469" s="6">
        <v>4474.741</v>
      </c>
      <c r="O469" s="6">
        <v>4474.741</v>
      </c>
      <c r="P469" s="6">
        <v>0</v>
      </c>
      <c r="Q469" s="4" t="s">
        <v>26</v>
      </c>
      <c r="R469" s="4">
        <v>0</v>
      </c>
      <c r="S469" s="4" t="s">
        <v>198</v>
      </c>
      <c r="T469" s="4" t="s">
        <v>455</v>
      </c>
      <c r="U469" s="4">
        <v>0</v>
      </c>
      <c r="V469" s="4">
        <v>7</v>
      </c>
      <c r="W469" s="4">
        <v>76</v>
      </c>
    </row>
    <row r="470" spans="1:23" ht="11.25" customHeight="1" x14ac:dyDescent="0.25">
      <c r="A470" s="4" t="s">
        <v>27</v>
      </c>
      <c r="B470" s="4" t="s">
        <v>41</v>
      </c>
      <c r="C470" s="4" t="s">
        <v>43</v>
      </c>
      <c r="D470" s="4" t="s">
        <v>47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44682</v>
      </c>
      <c r="J470" s="6">
        <v>0</v>
      </c>
      <c r="K470" s="6">
        <v>0</v>
      </c>
      <c r="L470" s="6">
        <v>-91.399000000000001</v>
      </c>
      <c r="M470" s="6">
        <v>-91.399000000000001</v>
      </c>
      <c r="N470" s="6">
        <v>-91.399000000000001</v>
      </c>
      <c r="O470" s="6">
        <v>-91.399000000000001</v>
      </c>
      <c r="P470" s="6">
        <v>0</v>
      </c>
      <c r="Q470" s="4" t="s">
        <v>26</v>
      </c>
      <c r="R470" s="4">
        <v>0</v>
      </c>
      <c r="S470" s="4" t="s">
        <v>198</v>
      </c>
      <c r="T470" s="4" t="s">
        <v>455</v>
      </c>
      <c r="U470" s="4">
        <v>0</v>
      </c>
      <c r="V470" s="4">
        <v>7</v>
      </c>
      <c r="W470" s="4">
        <v>76</v>
      </c>
    </row>
    <row r="471" spans="1:23" ht="11.25" customHeight="1" x14ac:dyDescent="0.25">
      <c r="A471" s="4" t="s">
        <v>28</v>
      </c>
      <c r="B471" s="4" t="s">
        <v>41</v>
      </c>
      <c r="C471" s="4" t="s">
        <v>43</v>
      </c>
      <c r="D471" s="4" t="s">
        <v>47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44682</v>
      </c>
      <c r="J471" s="6">
        <v>0</v>
      </c>
      <c r="K471" s="6">
        <v>0</v>
      </c>
      <c r="L471" s="6">
        <v>112.651</v>
      </c>
      <c r="M471" s="6">
        <v>112.651</v>
      </c>
      <c r="N471" s="6">
        <v>112.651</v>
      </c>
      <c r="O471" s="6">
        <v>112.651</v>
      </c>
      <c r="P471" s="6">
        <v>0</v>
      </c>
      <c r="Q471" s="4" t="s">
        <v>26</v>
      </c>
      <c r="R471" s="4">
        <v>0</v>
      </c>
      <c r="S471" s="4" t="s">
        <v>198</v>
      </c>
      <c r="T471" s="4" t="s">
        <v>455</v>
      </c>
      <c r="U471" s="4">
        <v>0</v>
      </c>
      <c r="V471" s="4">
        <v>7</v>
      </c>
      <c r="W471" s="4">
        <v>76</v>
      </c>
    </row>
    <row r="472" spans="1:23" ht="11.25" customHeight="1" x14ac:dyDescent="0.25">
      <c r="A472" s="4" t="s">
        <v>21</v>
      </c>
      <c r="B472" s="4" t="s">
        <v>41</v>
      </c>
      <c r="C472" s="4" t="s">
        <v>43</v>
      </c>
      <c r="D472" s="4" t="s">
        <v>47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44713</v>
      </c>
      <c r="J472" s="6">
        <v>0</v>
      </c>
      <c r="K472" s="6">
        <v>0</v>
      </c>
      <c r="L472" s="6">
        <v>4406.8590000000004</v>
      </c>
      <c r="M472" s="6">
        <v>4406.8590000000004</v>
      </c>
      <c r="N472" s="6">
        <v>4406.8590000000004</v>
      </c>
      <c r="O472" s="6">
        <v>4406.8590000000004</v>
      </c>
      <c r="P472" s="6">
        <v>0</v>
      </c>
      <c r="Q472" s="4" t="s">
        <v>26</v>
      </c>
      <c r="R472" s="4">
        <v>0</v>
      </c>
      <c r="S472" s="4" t="s">
        <v>199</v>
      </c>
      <c r="T472" s="4" t="s">
        <v>456</v>
      </c>
      <c r="U472" s="4">
        <v>0</v>
      </c>
      <c r="V472" s="4">
        <v>7</v>
      </c>
      <c r="W472" s="4">
        <v>76</v>
      </c>
    </row>
    <row r="473" spans="1:23" ht="11.25" customHeight="1" x14ac:dyDescent="0.25">
      <c r="A473" s="4" t="s">
        <v>28</v>
      </c>
      <c r="B473" s="4" t="s">
        <v>41</v>
      </c>
      <c r="C473" s="4" t="s">
        <v>43</v>
      </c>
      <c r="D473" s="4" t="s">
        <v>47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44713</v>
      </c>
      <c r="J473" s="6">
        <v>0</v>
      </c>
      <c r="K473" s="6">
        <v>0</v>
      </c>
      <c r="L473" s="6">
        <v>86.426000000000002</v>
      </c>
      <c r="M473" s="6">
        <v>86.426000000000002</v>
      </c>
      <c r="N473" s="6">
        <v>86.426000000000002</v>
      </c>
      <c r="O473" s="6">
        <v>86.426000000000002</v>
      </c>
      <c r="P473" s="6">
        <v>0</v>
      </c>
      <c r="Q473" s="4" t="s">
        <v>26</v>
      </c>
      <c r="R473" s="4">
        <v>0</v>
      </c>
      <c r="S473" s="4" t="s">
        <v>199</v>
      </c>
      <c r="T473" s="4" t="s">
        <v>456</v>
      </c>
      <c r="U473" s="4">
        <v>0</v>
      </c>
      <c r="V473" s="4">
        <v>7</v>
      </c>
      <c r="W473" s="4">
        <v>76</v>
      </c>
    </row>
    <row r="474" spans="1:23" ht="11.25" customHeight="1" x14ac:dyDescent="0.25">
      <c r="A474" s="4" t="s">
        <v>21</v>
      </c>
      <c r="B474" s="4" t="s">
        <v>41</v>
      </c>
      <c r="C474" s="4" t="s">
        <v>43</v>
      </c>
      <c r="D474" s="4" t="s">
        <v>47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44743</v>
      </c>
      <c r="J474" s="6">
        <v>0</v>
      </c>
      <c r="K474" s="6">
        <v>0</v>
      </c>
      <c r="L474" s="6">
        <v>3639.0540000000001</v>
      </c>
      <c r="M474" s="6">
        <v>3639.0540000000001</v>
      </c>
      <c r="N474" s="6">
        <v>3639.0540000000001</v>
      </c>
      <c r="O474" s="6">
        <v>3639.0540000000001</v>
      </c>
      <c r="P474" s="6">
        <v>0</v>
      </c>
      <c r="Q474" s="4" t="s">
        <v>26</v>
      </c>
      <c r="R474" s="4">
        <v>0</v>
      </c>
      <c r="S474" s="4" t="s">
        <v>200</v>
      </c>
      <c r="T474" s="4" t="s">
        <v>457</v>
      </c>
      <c r="U474" s="4">
        <v>0</v>
      </c>
      <c r="V474" s="4">
        <v>7</v>
      </c>
      <c r="W474" s="4">
        <v>76</v>
      </c>
    </row>
    <row r="475" spans="1:23" ht="11.25" customHeight="1" x14ac:dyDescent="0.25">
      <c r="A475" s="4" t="s">
        <v>27</v>
      </c>
      <c r="B475" s="4" t="s">
        <v>41</v>
      </c>
      <c r="C475" s="4" t="s">
        <v>43</v>
      </c>
      <c r="D475" s="4" t="s">
        <v>47</v>
      </c>
      <c r="E475" s="4" t="s">
        <v>25</v>
      </c>
      <c r="F475" s="4" t="s">
        <v>25</v>
      </c>
      <c r="G475" s="4" t="s">
        <v>25</v>
      </c>
      <c r="H475" s="4" t="s">
        <v>35</v>
      </c>
      <c r="I475" s="5">
        <v>44743</v>
      </c>
      <c r="J475" s="6">
        <v>0</v>
      </c>
      <c r="K475" s="6">
        <v>0</v>
      </c>
      <c r="L475" s="6">
        <v>31.006</v>
      </c>
      <c r="M475" s="6">
        <v>31.006</v>
      </c>
      <c r="N475" s="6">
        <v>31.006</v>
      </c>
      <c r="O475" s="6">
        <v>31.006</v>
      </c>
      <c r="P475" s="6">
        <v>0</v>
      </c>
      <c r="Q475" s="4" t="s">
        <v>26</v>
      </c>
      <c r="R475" s="4">
        <v>0</v>
      </c>
      <c r="S475" s="4" t="s">
        <v>200</v>
      </c>
      <c r="T475" s="4" t="s">
        <v>457</v>
      </c>
      <c r="U475" s="4">
        <v>0</v>
      </c>
      <c r="V475" s="4">
        <v>7</v>
      </c>
      <c r="W475" s="4">
        <v>76</v>
      </c>
    </row>
    <row r="476" spans="1:23" ht="11.25" customHeight="1" x14ac:dyDescent="0.25">
      <c r="A476" s="4" t="s">
        <v>28</v>
      </c>
      <c r="B476" s="4" t="s">
        <v>41</v>
      </c>
      <c r="C476" s="4" t="s">
        <v>43</v>
      </c>
      <c r="D476" s="4" t="s">
        <v>47</v>
      </c>
      <c r="E476" s="4" t="s">
        <v>25</v>
      </c>
      <c r="F476" s="4" t="s">
        <v>25</v>
      </c>
      <c r="G476" s="4" t="s">
        <v>25</v>
      </c>
      <c r="H476" s="4" t="s">
        <v>35</v>
      </c>
      <c r="I476" s="5">
        <v>44743</v>
      </c>
      <c r="J476" s="6">
        <v>0</v>
      </c>
      <c r="K476" s="6">
        <v>0</v>
      </c>
      <c r="L476" s="6">
        <v>114.834</v>
      </c>
      <c r="M476" s="6">
        <v>114.834</v>
      </c>
      <c r="N476" s="6">
        <v>114.834</v>
      </c>
      <c r="O476" s="6">
        <v>114.834</v>
      </c>
      <c r="P476" s="6">
        <v>0</v>
      </c>
      <c r="Q476" s="4" t="s">
        <v>26</v>
      </c>
      <c r="R476" s="4">
        <v>0</v>
      </c>
      <c r="S476" s="4" t="s">
        <v>200</v>
      </c>
      <c r="T476" s="4" t="s">
        <v>457</v>
      </c>
      <c r="U476" s="4">
        <v>0</v>
      </c>
      <c r="V476" s="4">
        <v>7</v>
      </c>
      <c r="W476" s="4">
        <v>76</v>
      </c>
    </row>
    <row r="477" spans="1:23" ht="11.25" customHeight="1" x14ac:dyDescent="0.25">
      <c r="A477" s="4" t="s">
        <v>21</v>
      </c>
      <c r="B477" s="4" t="s">
        <v>41</v>
      </c>
      <c r="C477" s="4" t="s">
        <v>43</v>
      </c>
      <c r="D477" s="4" t="s">
        <v>47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44774</v>
      </c>
      <c r="J477" s="6">
        <v>0</v>
      </c>
      <c r="K477" s="6">
        <v>0</v>
      </c>
      <c r="L477" s="6">
        <v>4372.8040000000001</v>
      </c>
      <c r="M477" s="6">
        <v>4372.8040000000001</v>
      </c>
      <c r="N477" s="6">
        <v>4372.8040000000001</v>
      </c>
      <c r="O477" s="6">
        <v>4372.8040000000001</v>
      </c>
      <c r="P477" s="6">
        <v>0</v>
      </c>
      <c r="Q477" s="4" t="s">
        <v>26</v>
      </c>
      <c r="R477" s="4">
        <v>0</v>
      </c>
      <c r="S477" s="4" t="s">
        <v>201</v>
      </c>
      <c r="T477" s="4" t="s">
        <v>458</v>
      </c>
      <c r="U477" s="4">
        <v>0</v>
      </c>
      <c r="V477" s="4">
        <v>7</v>
      </c>
      <c r="W477" s="4">
        <v>76</v>
      </c>
    </row>
    <row r="478" spans="1:23" ht="11.25" customHeight="1" x14ac:dyDescent="0.25">
      <c r="A478" s="4" t="s">
        <v>27</v>
      </c>
      <c r="B478" s="4" t="s">
        <v>41</v>
      </c>
      <c r="C478" s="4" t="s">
        <v>43</v>
      </c>
      <c r="D478" s="4" t="s">
        <v>47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44774</v>
      </c>
      <c r="J478" s="6">
        <v>0</v>
      </c>
      <c r="K478" s="6">
        <v>0</v>
      </c>
      <c r="L478" s="6">
        <v>1E-3</v>
      </c>
      <c r="M478" s="6">
        <v>1E-3</v>
      </c>
      <c r="N478" s="6">
        <v>1E-3</v>
      </c>
      <c r="O478" s="6">
        <v>1E-3</v>
      </c>
      <c r="P478" s="6">
        <v>0</v>
      </c>
      <c r="Q478" s="4" t="s">
        <v>26</v>
      </c>
      <c r="R478" s="4">
        <v>0</v>
      </c>
      <c r="S478" s="4" t="s">
        <v>201</v>
      </c>
      <c r="T478" s="4" t="s">
        <v>458</v>
      </c>
      <c r="U478" s="4">
        <v>0</v>
      </c>
      <c r="V478" s="4">
        <v>7</v>
      </c>
      <c r="W478" s="4">
        <v>76</v>
      </c>
    </row>
    <row r="479" spans="1:23" ht="11.25" customHeight="1" x14ac:dyDescent="0.25">
      <c r="A479" s="4" t="s">
        <v>28</v>
      </c>
      <c r="B479" s="4" t="s">
        <v>41</v>
      </c>
      <c r="C479" s="4" t="s">
        <v>43</v>
      </c>
      <c r="D479" s="4" t="s">
        <v>47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44774</v>
      </c>
      <c r="J479" s="6">
        <v>0</v>
      </c>
      <c r="K479" s="6">
        <v>0</v>
      </c>
      <c r="L479" s="6">
        <v>139.92500000000001</v>
      </c>
      <c r="M479" s="6">
        <v>139.92500000000001</v>
      </c>
      <c r="N479" s="6">
        <v>139.92500000000001</v>
      </c>
      <c r="O479" s="6">
        <v>139.92500000000001</v>
      </c>
      <c r="P479" s="6">
        <v>0</v>
      </c>
      <c r="Q479" s="4" t="s">
        <v>26</v>
      </c>
      <c r="R479" s="4">
        <v>0</v>
      </c>
      <c r="S479" s="4" t="s">
        <v>201</v>
      </c>
      <c r="T479" s="4" t="s">
        <v>458</v>
      </c>
      <c r="U479" s="4">
        <v>0</v>
      </c>
      <c r="V479" s="4">
        <v>7</v>
      </c>
      <c r="W479" s="4">
        <v>76</v>
      </c>
    </row>
    <row r="480" spans="1:23" ht="11.25" customHeight="1" x14ac:dyDescent="0.25">
      <c r="A480" s="4" t="s">
        <v>21</v>
      </c>
      <c r="B480" s="4" t="s">
        <v>41</v>
      </c>
      <c r="C480" s="4" t="s">
        <v>43</v>
      </c>
      <c r="D480" s="4" t="s">
        <v>47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44805</v>
      </c>
      <c r="J480" s="6">
        <v>0</v>
      </c>
      <c r="K480" s="6">
        <v>0</v>
      </c>
      <c r="L480" s="6">
        <v>4781.7860000000001</v>
      </c>
      <c r="M480" s="6">
        <v>4781.7860000000001</v>
      </c>
      <c r="N480" s="6">
        <v>4781.7860000000001</v>
      </c>
      <c r="O480" s="6">
        <v>4781.7860000000001</v>
      </c>
      <c r="P480" s="6">
        <v>0</v>
      </c>
      <c r="Q480" s="4" t="s">
        <v>26</v>
      </c>
      <c r="R480" s="4">
        <v>0</v>
      </c>
      <c r="S480" s="4" t="s">
        <v>202</v>
      </c>
      <c r="T480" s="4" t="s">
        <v>459</v>
      </c>
      <c r="U480" s="4">
        <v>0</v>
      </c>
      <c r="V480" s="4">
        <v>7</v>
      </c>
      <c r="W480" s="4">
        <v>76</v>
      </c>
    </row>
    <row r="481" spans="1:23" ht="11.25" customHeight="1" x14ac:dyDescent="0.25">
      <c r="A481" s="4" t="s">
        <v>27</v>
      </c>
      <c r="B481" s="4" t="s">
        <v>41</v>
      </c>
      <c r="C481" s="4" t="s">
        <v>43</v>
      </c>
      <c r="D481" s="4" t="s">
        <v>47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44805</v>
      </c>
      <c r="J481" s="6">
        <v>0</v>
      </c>
      <c r="K481" s="6">
        <v>0</v>
      </c>
      <c r="L481" s="6">
        <v>543.77800000000002</v>
      </c>
      <c r="M481" s="6">
        <v>543.77800000000002</v>
      </c>
      <c r="N481" s="6">
        <v>543.77800000000002</v>
      </c>
      <c r="O481" s="6">
        <v>543.77800000000002</v>
      </c>
      <c r="P481" s="6">
        <v>0</v>
      </c>
      <c r="Q481" s="4" t="s">
        <v>26</v>
      </c>
      <c r="R481" s="4">
        <v>0</v>
      </c>
      <c r="S481" s="4" t="s">
        <v>202</v>
      </c>
      <c r="T481" s="4" t="s">
        <v>459</v>
      </c>
      <c r="U481" s="4">
        <v>0</v>
      </c>
      <c r="V481" s="4">
        <v>7</v>
      </c>
      <c r="W481" s="4">
        <v>76</v>
      </c>
    </row>
    <row r="482" spans="1:23" ht="11.25" customHeight="1" x14ac:dyDescent="0.25">
      <c r="A482" s="4" t="s">
        <v>28</v>
      </c>
      <c r="B482" s="4" t="s">
        <v>41</v>
      </c>
      <c r="C482" s="4" t="s">
        <v>43</v>
      </c>
      <c r="D482" s="4" t="s">
        <v>47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44805</v>
      </c>
      <c r="J482" s="6">
        <v>0</v>
      </c>
      <c r="K482" s="6">
        <v>0</v>
      </c>
      <c r="L482" s="6">
        <v>89.397000000000006</v>
      </c>
      <c r="M482" s="6">
        <v>89.397000000000006</v>
      </c>
      <c r="N482" s="6">
        <v>89.397000000000006</v>
      </c>
      <c r="O482" s="6">
        <v>89.397000000000006</v>
      </c>
      <c r="P482" s="6">
        <v>0</v>
      </c>
      <c r="Q482" s="4" t="s">
        <v>26</v>
      </c>
      <c r="R482" s="4">
        <v>0</v>
      </c>
      <c r="S482" s="4" t="s">
        <v>202</v>
      </c>
      <c r="T482" s="4" t="s">
        <v>459</v>
      </c>
      <c r="U482" s="4">
        <v>0</v>
      </c>
      <c r="V482" s="4">
        <v>7</v>
      </c>
      <c r="W482" s="4">
        <v>76</v>
      </c>
    </row>
    <row r="483" spans="1:23" ht="11.25" customHeight="1" x14ac:dyDescent="0.25">
      <c r="A483" s="4" t="s">
        <v>21</v>
      </c>
      <c r="B483" s="4" t="s">
        <v>41</v>
      </c>
      <c r="C483" s="4" t="s">
        <v>43</v>
      </c>
      <c r="D483" s="4" t="s">
        <v>47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44835</v>
      </c>
      <c r="J483" s="6">
        <v>0</v>
      </c>
      <c r="K483" s="6">
        <v>0</v>
      </c>
      <c r="L483" s="6">
        <v>5109.7160000000003</v>
      </c>
      <c r="M483" s="6">
        <v>5109.7160000000003</v>
      </c>
      <c r="N483" s="6">
        <v>5109.7160000000003</v>
      </c>
      <c r="O483" s="6">
        <v>5109.7160000000003</v>
      </c>
      <c r="P483" s="6">
        <v>0</v>
      </c>
      <c r="Q483" s="4" t="s">
        <v>26</v>
      </c>
      <c r="R483" s="4">
        <v>0</v>
      </c>
      <c r="S483" s="4" t="s">
        <v>203</v>
      </c>
      <c r="T483" s="4" t="s">
        <v>460</v>
      </c>
      <c r="U483" s="4">
        <v>0</v>
      </c>
      <c r="V483" s="4">
        <v>7</v>
      </c>
      <c r="W483" s="4">
        <v>76</v>
      </c>
    </row>
    <row r="484" spans="1:23" ht="11.25" customHeight="1" x14ac:dyDescent="0.25">
      <c r="A484" s="4" t="s">
        <v>28</v>
      </c>
      <c r="B484" s="4" t="s">
        <v>41</v>
      </c>
      <c r="C484" s="4" t="s">
        <v>43</v>
      </c>
      <c r="D484" s="4" t="s">
        <v>47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44835</v>
      </c>
      <c r="J484" s="6">
        <v>0</v>
      </c>
      <c r="K484" s="6">
        <v>0</v>
      </c>
      <c r="L484" s="6">
        <v>102.911</v>
      </c>
      <c r="M484" s="6">
        <v>102.911</v>
      </c>
      <c r="N484" s="6">
        <v>102.911</v>
      </c>
      <c r="O484" s="6">
        <v>102.911</v>
      </c>
      <c r="P484" s="6">
        <v>0</v>
      </c>
      <c r="Q484" s="4" t="s">
        <v>26</v>
      </c>
      <c r="R484" s="4">
        <v>0</v>
      </c>
      <c r="S484" s="4" t="s">
        <v>203</v>
      </c>
      <c r="T484" s="4" t="s">
        <v>460</v>
      </c>
      <c r="U484" s="4">
        <v>0</v>
      </c>
      <c r="V484" s="4">
        <v>7</v>
      </c>
      <c r="W484" s="4">
        <v>76</v>
      </c>
    </row>
    <row r="485" spans="1:23" ht="11.25" customHeight="1" x14ac:dyDescent="0.25">
      <c r="A485" s="4" t="s">
        <v>28</v>
      </c>
      <c r="B485" s="4" t="s">
        <v>41</v>
      </c>
      <c r="C485" s="4" t="s">
        <v>43</v>
      </c>
      <c r="D485" s="4" t="s">
        <v>47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44835</v>
      </c>
      <c r="J485" s="6">
        <v>0</v>
      </c>
      <c r="K485" s="6">
        <v>0</v>
      </c>
      <c r="L485" s="6">
        <v>18.387</v>
      </c>
      <c r="M485" s="6">
        <v>18.387</v>
      </c>
      <c r="N485" s="6">
        <v>18.387</v>
      </c>
      <c r="O485" s="6">
        <v>18.387</v>
      </c>
      <c r="P485" s="6">
        <v>0</v>
      </c>
      <c r="Q485" s="4" t="s">
        <v>26</v>
      </c>
      <c r="R485" s="4">
        <v>0</v>
      </c>
      <c r="S485" s="4" t="s">
        <v>203</v>
      </c>
      <c r="T485" s="4" t="s">
        <v>460</v>
      </c>
      <c r="U485" s="4">
        <v>0</v>
      </c>
      <c r="V485" s="4">
        <v>7</v>
      </c>
      <c r="W485" s="4">
        <v>76</v>
      </c>
    </row>
    <row r="486" spans="1:23" ht="11.25" customHeight="1" x14ac:dyDescent="0.25">
      <c r="A486" s="4" t="s">
        <v>54</v>
      </c>
      <c r="B486" s="4" t="s">
        <v>41</v>
      </c>
      <c r="C486" s="4" t="s">
        <v>43</v>
      </c>
      <c r="D486" s="4" t="s">
        <v>47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44866</v>
      </c>
      <c r="J486" s="6">
        <v>0</v>
      </c>
      <c r="K486" s="6">
        <v>0</v>
      </c>
      <c r="L486" s="6">
        <v>5109.7160000000003</v>
      </c>
      <c r="M486" s="6">
        <v>5109.7160000000003</v>
      </c>
      <c r="N486" s="6">
        <v>5109.7160000000003</v>
      </c>
      <c r="O486" s="6">
        <v>5109.7160000000003</v>
      </c>
      <c r="P486" s="6">
        <v>0</v>
      </c>
      <c r="Q486" s="4" t="s">
        <v>26</v>
      </c>
      <c r="R486" s="4">
        <v>0</v>
      </c>
      <c r="S486" s="4" t="s">
        <v>204</v>
      </c>
      <c r="T486" s="4" t="s">
        <v>461</v>
      </c>
      <c r="U486" s="4">
        <v>0</v>
      </c>
      <c r="V486" s="4">
        <v>7</v>
      </c>
      <c r="W486" s="4">
        <v>76</v>
      </c>
    </row>
    <row r="487" spans="1:23" ht="11.25" customHeight="1" x14ac:dyDescent="0.25">
      <c r="A487" s="4" t="s">
        <v>54</v>
      </c>
      <c r="B487" s="4" t="s">
        <v>41</v>
      </c>
      <c r="C487" s="4" t="s">
        <v>43</v>
      </c>
      <c r="D487" s="4" t="s">
        <v>47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44866</v>
      </c>
      <c r="J487" s="6">
        <v>0</v>
      </c>
      <c r="K487" s="6">
        <v>0</v>
      </c>
      <c r="L487" s="6">
        <v>102.911</v>
      </c>
      <c r="M487" s="6">
        <v>102.911</v>
      </c>
      <c r="N487" s="6">
        <v>102.911</v>
      </c>
      <c r="O487" s="6">
        <v>102.911</v>
      </c>
      <c r="P487" s="6">
        <v>0</v>
      </c>
      <c r="Q487" s="4" t="s">
        <v>26</v>
      </c>
      <c r="R487" s="4">
        <v>0</v>
      </c>
      <c r="S487" s="4" t="s">
        <v>204</v>
      </c>
      <c r="T487" s="4" t="s">
        <v>461</v>
      </c>
      <c r="U487" s="4">
        <v>0</v>
      </c>
      <c r="V487" s="4">
        <v>7</v>
      </c>
      <c r="W487" s="4">
        <v>76</v>
      </c>
    </row>
    <row r="488" spans="1:23" ht="11.25" customHeight="1" x14ac:dyDescent="0.25">
      <c r="A488" s="4" t="s">
        <v>54</v>
      </c>
      <c r="B488" s="4" t="s">
        <v>41</v>
      </c>
      <c r="C488" s="4" t="s">
        <v>43</v>
      </c>
      <c r="D488" s="4" t="s">
        <v>47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44866</v>
      </c>
      <c r="J488" s="6">
        <v>0</v>
      </c>
      <c r="K488" s="6">
        <v>0</v>
      </c>
      <c r="L488" s="6">
        <v>18.387</v>
      </c>
      <c r="M488" s="6">
        <v>18.387</v>
      </c>
      <c r="N488" s="6">
        <v>18.387</v>
      </c>
      <c r="O488" s="6">
        <v>18.387</v>
      </c>
      <c r="P488" s="6">
        <v>0</v>
      </c>
      <c r="Q488" s="4" t="s">
        <v>26</v>
      </c>
      <c r="R488" s="4">
        <v>0</v>
      </c>
      <c r="S488" s="4" t="s">
        <v>204</v>
      </c>
      <c r="T488" s="4" t="s">
        <v>461</v>
      </c>
      <c r="U488" s="4">
        <v>0</v>
      </c>
      <c r="V488" s="4">
        <v>7</v>
      </c>
      <c r="W488" s="4">
        <v>76</v>
      </c>
    </row>
    <row r="489" spans="1:23" ht="11.25" customHeight="1" x14ac:dyDescent="0.25">
      <c r="A489" s="4" t="s">
        <v>21</v>
      </c>
      <c r="B489" s="4" t="s">
        <v>41</v>
      </c>
      <c r="C489" s="4" t="s">
        <v>43</v>
      </c>
      <c r="D489" s="4" t="s">
        <v>47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44531</v>
      </c>
      <c r="J489" s="6">
        <v>28556</v>
      </c>
      <c r="K489" s="6">
        <v>28556</v>
      </c>
      <c r="L489" s="6">
        <v>0</v>
      </c>
      <c r="M489" s="6">
        <v>0</v>
      </c>
      <c r="N489" s="6">
        <v>0</v>
      </c>
      <c r="O489" s="6">
        <v>0</v>
      </c>
      <c r="P489" s="6">
        <v>266</v>
      </c>
      <c r="Q489" s="4" t="s">
        <v>26</v>
      </c>
      <c r="R489" s="4">
        <v>0</v>
      </c>
      <c r="S489" s="4" t="s">
        <v>205</v>
      </c>
      <c r="U489" s="4">
        <v>2</v>
      </c>
      <c r="V489" s="4">
        <v>0</v>
      </c>
      <c r="W489" s="4">
        <v>0</v>
      </c>
    </row>
    <row r="490" spans="1:23" ht="11.25" customHeight="1" x14ac:dyDescent="0.25">
      <c r="A490" s="4" t="s">
        <v>27</v>
      </c>
      <c r="B490" s="4" t="s">
        <v>41</v>
      </c>
      <c r="C490" s="4" t="s">
        <v>43</v>
      </c>
      <c r="D490" s="4" t="s">
        <v>47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44531</v>
      </c>
      <c r="J490" s="6">
        <v>-1109</v>
      </c>
      <c r="K490" s="6">
        <v>-1109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26</v>
      </c>
      <c r="R490" s="4">
        <v>0</v>
      </c>
      <c r="S490" s="4" t="s">
        <v>205</v>
      </c>
      <c r="U490" s="4">
        <v>2</v>
      </c>
      <c r="V490" s="4">
        <v>0</v>
      </c>
      <c r="W490" s="4">
        <v>0</v>
      </c>
    </row>
    <row r="491" spans="1:23" ht="11.25" customHeight="1" x14ac:dyDescent="0.25">
      <c r="A491" s="4" t="s">
        <v>28</v>
      </c>
      <c r="B491" s="4" t="s">
        <v>41</v>
      </c>
      <c r="C491" s="4" t="s">
        <v>43</v>
      </c>
      <c r="D491" s="4" t="s">
        <v>47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44531</v>
      </c>
      <c r="J491" s="6">
        <v>2255</v>
      </c>
      <c r="K491" s="6">
        <v>2255</v>
      </c>
      <c r="L491" s="6">
        <v>0</v>
      </c>
      <c r="M491" s="6">
        <v>0</v>
      </c>
      <c r="N491" s="6">
        <v>0</v>
      </c>
      <c r="O491" s="6">
        <v>0</v>
      </c>
      <c r="P491" s="6">
        <v>8</v>
      </c>
      <c r="Q491" s="4" t="s">
        <v>26</v>
      </c>
      <c r="R491" s="4">
        <v>0</v>
      </c>
      <c r="S491" s="4" t="s">
        <v>205</v>
      </c>
      <c r="U491" s="4">
        <v>2</v>
      </c>
      <c r="V491" s="4">
        <v>0</v>
      </c>
      <c r="W491" s="4">
        <v>0</v>
      </c>
    </row>
    <row r="492" spans="1:23" ht="11.25" customHeight="1" x14ac:dyDescent="0.25">
      <c r="A492" s="4" t="s">
        <v>21</v>
      </c>
      <c r="B492" s="4" t="s">
        <v>41</v>
      </c>
      <c r="C492" s="4" t="s">
        <v>43</v>
      </c>
      <c r="D492" s="4" t="s">
        <v>47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44562</v>
      </c>
      <c r="J492" s="6">
        <v>26922</v>
      </c>
      <c r="K492" s="6">
        <v>26922</v>
      </c>
      <c r="L492" s="6">
        <v>0</v>
      </c>
      <c r="M492" s="6">
        <v>0</v>
      </c>
      <c r="N492" s="6">
        <v>0</v>
      </c>
      <c r="O492" s="6">
        <v>0</v>
      </c>
      <c r="P492" s="6">
        <v>267</v>
      </c>
      <c r="Q492" s="4" t="s">
        <v>26</v>
      </c>
      <c r="R492" s="4">
        <v>0</v>
      </c>
      <c r="S492" s="4" t="s">
        <v>206</v>
      </c>
      <c r="U492" s="4">
        <v>2</v>
      </c>
      <c r="V492" s="4">
        <v>0</v>
      </c>
      <c r="W492" s="4">
        <v>0</v>
      </c>
    </row>
    <row r="493" spans="1:23" ht="11.25" customHeight="1" x14ac:dyDescent="0.25">
      <c r="A493" s="4" t="s">
        <v>28</v>
      </c>
      <c r="B493" s="4" t="s">
        <v>41</v>
      </c>
      <c r="C493" s="4" t="s">
        <v>43</v>
      </c>
      <c r="D493" s="4" t="s">
        <v>47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44562</v>
      </c>
      <c r="J493" s="6">
        <v>2255</v>
      </c>
      <c r="K493" s="6">
        <v>2255</v>
      </c>
      <c r="L493" s="6">
        <v>0</v>
      </c>
      <c r="M493" s="6">
        <v>0</v>
      </c>
      <c r="N493" s="6">
        <v>0</v>
      </c>
      <c r="O493" s="6">
        <v>0</v>
      </c>
      <c r="P493" s="6">
        <v>8</v>
      </c>
      <c r="Q493" s="4" t="s">
        <v>26</v>
      </c>
      <c r="R493" s="4">
        <v>0</v>
      </c>
      <c r="S493" s="4" t="s">
        <v>206</v>
      </c>
      <c r="U493" s="4">
        <v>2</v>
      </c>
      <c r="V493" s="4">
        <v>0</v>
      </c>
      <c r="W493" s="4">
        <v>0</v>
      </c>
    </row>
    <row r="494" spans="1:23" ht="11.25" customHeight="1" x14ac:dyDescent="0.25">
      <c r="A494" s="4" t="s">
        <v>21</v>
      </c>
      <c r="B494" s="4" t="s">
        <v>41</v>
      </c>
      <c r="C494" s="4" t="s">
        <v>43</v>
      </c>
      <c r="D494" s="4" t="s">
        <v>47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44593</v>
      </c>
      <c r="J494" s="6">
        <v>26582</v>
      </c>
      <c r="K494" s="6">
        <v>26582</v>
      </c>
      <c r="L494" s="6">
        <v>0</v>
      </c>
      <c r="M494" s="6">
        <v>0</v>
      </c>
      <c r="N494" s="6">
        <v>0</v>
      </c>
      <c r="O494" s="6">
        <v>0</v>
      </c>
      <c r="P494" s="6">
        <v>266</v>
      </c>
      <c r="Q494" s="4" t="s">
        <v>26</v>
      </c>
      <c r="R494" s="4">
        <v>0</v>
      </c>
      <c r="S494" s="4" t="s">
        <v>207</v>
      </c>
      <c r="U494" s="4">
        <v>2</v>
      </c>
      <c r="V494" s="4">
        <v>0</v>
      </c>
      <c r="W494" s="4">
        <v>0</v>
      </c>
    </row>
    <row r="495" spans="1:23" ht="11.25" customHeight="1" x14ac:dyDescent="0.25">
      <c r="A495" s="4" t="s">
        <v>28</v>
      </c>
      <c r="B495" s="4" t="s">
        <v>41</v>
      </c>
      <c r="C495" s="4" t="s">
        <v>43</v>
      </c>
      <c r="D495" s="4" t="s">
        <v>47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44593</v>
      </c>
      <c r="J495" s="6">
        <v>2255</v>
      </c>
      <c r="K495" s="6">
        <v>2255</v>
      </c>
      <c r="L495" s="6">
        <v>0</v>
      </c>
      <c r="M495" s="6">
        <v>0</v>
      </c>
      <c r="N495" s="6">
        <v>0</v>
      </c>
      <c r="O495" s="6">
        <v>0</v>
      </c>
      <c r="P495" s="6">
        <v>8</v>
      </c>
      <c r="Q495" s="4" t="s">
        <v>26</v>
      </c>
      <c r="R495" s="4">
        <v>0</v>
      </c>
      <c r="S495" s="4" t="s">
        <v>207</v>
      </c>
      <c r="U495" s="4">
        <v>2</v>
      </c>
      <c r="V495" s="4">
        <v>0</v>
      </c>
      <c r="W495" s="4">
        <v>0</v>
      </c>
    </row>
    <row r="496" spans="1:23" ht="11.25" customHeight="1" x14ac:dyDescent="0.25">
      <c r="A496" s="4" t="s">
        <v>21</v>
      </c>
      <c r="B496" s="4" t="s">
        <v>41</v>
      </c>
      <c r="C496" s="4" t="s">
        <v>43</v>
      </c>
      <c r="D496" s="4" t="s">
        <v>47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44621</v>
      </c>
      <c r="J496" s="6">
        <v>27408</v>
      </c>
      <c r="K496" s="6">
        <v>27408</v>
      </c>
      <c r="L496" s="6">
        <v>0</v>
      </c>
      <c r="M496" s="6">
        <v>0</v>
      </c>
      <c r="N496" s="6">
        <v>0</v>
      </c>
      <c r="O496" s="6">
        <v>0</v>
      </c>
      <c r="P496" s="6">
        <v>268</v>
      </c>
      <c r="Q496" s="4" t="s">
        <v>26</v>
      </c>
      <c r="R496" s="4">
        <v>0</v>
      </c>
      <c r="S496" s="4" t="s">
        <v>208</v>
      </c>
      <c r="U496" s="4">
        <v>2</v>
      </c>
      <c r="V496" s="4">
        <v>0</v>
      </c>
      <c r="W496" s="4">
        <v>0</v>
      </c>
    </row>
    <row r="497" spans="1:23" ht="11.25" customHeight="1" x14ac:dyDescent="0.25">
      <c r="A497" s="4" t="s">
        <v>28</v>
      </c>
      <c r="B497" s="4" t="s">
        <v>41</v>
      </c>
      <c r="C497" s="4" t="s">
        <v>43</v>
      </c>
      <c r="D497" s="4" t="s">
        <v>47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44621</v>
      </c>
      <c r="J497" s="6">
        <v>2703</v>
      </c>
      <c r="K497" s="6">
        <v>2703</v>
      </c>
      <c r="L497" s="6">
        <v>0</v>
      </c>
      <c r="M497" s="6">
        <v>0</v>
      </c>
      <c r="N497" s="6">
        <v>0</v>
      </c>
      <c r="O497" s="6">
        <v>0</v>
      </c>
      <c r="P497" s="6">
        <v>9</v>
      </c>
      <c r="Q497" s="4" t="s">
        <v>26</v>
      </c>
      <c r="R497" s="4">
        <v>0</v>
      </c>
      <c r="S497" s="4" t="s">
        <v>208</v>
      </c>
      <c r="U497" s="4">
        <v>2</v>
      </c>
      <c r="V497" s="4">
        <v>0</v>
      </c>
      <c r="W497" s="4">
        <v>0</v>
      </c>
    </row>
    <row r="498" spans="1:23" ht="11.25" customHeight="1" x14ac:dyDescent="0.25">
      <c r="A498" s="4" t="s">
        <v>21</v>
      </c>
      <c r="B498" s="4" t="s">
        <v>41</v>
      </c>
      <c r="C498" s="4" t="s">
        <v>43</v>
      </c>
      <c r="D498" s="4" t="s">
        <v>47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44652</v>
      </c>
      <c r="J498" s="6">
        <v>27542</v>
      </c>
      <c r="K498" s="6">
        <v>27542</v>
      </c>
      <c r="L498" s="6">
        <v>0</v>
      </c>
      <c r="M498" s="6">
        <v>0</v>
      </c>
      <c r="N498" s="6">
        <v>0</v>
      </c>
      <c r="O498" s="6">
        <v>0</v>
      </c>
      <c r="P498" s="6">
        <v>272</v>
      </c>
      <c r="Q498" s="4" t="s">
        <v>26</v>
      </c>
      <c r="R498" s="4">
        <v>0</v>
      </c>
      <c r="S498" s="4" t="s">
        <v>209</v>
      </c>
      <c r="U498" s="4">
        <v>2</v>
      </c>
      <c r="V498" s="4">
        <v>0</v>
      </c>
      <c r="W498" s="4">
        <v>0</v>
      </c>
    </row>
    <row r="499" spans="1:23" ht="11.25" customHeight="1" x14ac:dyDescent="0.25">
      <c r="A499" s="4" t="s">
        <v>28</v>
      </c>
      <c r="B499" s="4" t="s">
        <v>41</v>
      </c>
      <c r="C499" s="4" t="s">
        <v>43</v>
      </c>
      <c r="D499" s="4" t="s">
        <v>47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44652</v>
      </c>
      <c r="J499" s="6">
        <v>2426</v>
      </c>
      <c r="K499" s="6">
        <v>2426</v>
      </c>
      <c r="L499" s="6">
        <v>0</v>
      </c>
      <c r="M499" s="6">
        <v>0</v>
      </c>
      <c r="N499" s="6">
        <v>0</v>
      </c>
      <c r="O499" s="6">
        <v>0</v>
      </c>
      <c r="P499" s="6">
        <v>9</v>
      </c>
      <c r="Q499" s="4" t="s">
        <v>26</v>
      </c>
      <c r="R499" s="4">
        <v>0</v>
      </c>
      <c r="S499" s="4" t="s">
        <v>209</v>
      </c>
      <c r="U499" s="4">
        <v>2</v>
      </c>
      <c r="V499" s="4">
        <v>0</v>
      </c>
      <c r="W499" s="4">
        <v>0</v>
      </c>
    </row>
    <row r="500" spans="1:23" ht="11.25" customHeight="1" x14ac:dyDescent="0.25">
      <c r="A500" s="4" t="s">
        <v>28</v>
      </c>
      <c r="B500" s="4" t="s">
        <v>41</v>
      </c>
      <c r="C500" s="4" t="s">
        <v>43</v>
      </c>
      <c r="D500" s="4" t="s">
        <v>47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44652</v>
      </c>
      <c r="J500" s="6">
        <v>-288</v>
      </c>
      <c r="K500" s="6">
        <v>-288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4" t="s">
        <v>26</v>
      </c>
      <c r="R500" s="4">
        <v>0</v>
      </c>
      <c r="S500" s="4" t="s">
        <v>209</v>
      </c>
      <c r="U500" s="4">
        <v>2</v>
      </c>
      <c r="V500" s="4">
        <v>0</v>
      </c>
      <c r="W500" s="4">
        <v>0</v>
      </c>
    </row>
    <row r="501" spans="1:23" ht="11.25" customHeight="1" x14ac:dyDescent="0.25">
      <c r="A501" s="4" t="s">
        <v>21</v>
      </c>
      <c r="B501" s="4" t="s">
        <v>41</v>
      </c>
      <c r="C501" s="4" t="s">
        <v>43</v>
      </c>
      <c r="D501" s="4" t="s">
        <v>47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44682</v>
      </c>
      <c r="J501" s="6">
        <v>27057</v>
      </c>
      <c r="K501" s="6">
        <v>27057</v>
      </c>
      <c r="L501" s="6">
        <v>0</v>
      </c>
      <c r="M501" s="6">
        <v>0</v>
      </c>
      <c r="N501" s="6">
        <v>0</v>
      </c>
      <c r="O501" s="6">
        <v>0</v>
      </c>
      <c r="P501" s="6">
        <v>269</v>
      </c>
      <c r="Q501" s="4" t="s">
        <v>26</v>
      </c>
      <c r="R501" s="4">
        <v>0</v>
      </c>
      <c r="S501" s="4" t="s">
        <v>210</v>
      </c>
      <c r="U501" s="4">
        <v>2</v>
      </c>
      <c r="V501" s="4">
        <v>0</v>
      </c>
      <c r="W501" s="4">
        <v>0</v>
      </c>
    </row>
    <row r="502" spans="1:23" ht="11.25" customHeight="1" x14ac:dyDescent="0.25">
      <c r="A502" s="4" t="s">
        <v>27</v>
      </c>
      <c r="B502" s="4" t="s">
        <v>41</v>
      </c>
      <c r="C502" s="4" t="s">
        <v>43</v>
      </c>
      <c r="D502" s="4" t="s">
        <v>47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44682</v>
      </c>
      <c r="J502" s="6">
        <v>-240</v>
      </c>
      <c r="K502" s="6">
        <v>-240</v>
      </c>
      <c r="L502" s="6">
        <v>0</v>
      </c>
      <c r="M502" s="6">
        <v>0</v>
      </c>
      <c r="N502" s="6">
        <v>0</v>
      </c>
      <c r="O502" s="6">
        <v>0</v>
      </c>
      <c r="P502" s="6">
        <v>-2</v>
      </c>
      <c r="Q502" s="4" t="s">
        <v>26</v>
      </c>
      <c r="R502" s="4">
        <v>0</v>
      </c>
      <c r="S502" s="4" t="s">
        <v>210</v>
      </c>
      <c r="U502" s="4">
        <v>2</v>
      </c>
      <c r="V502" s="4">
        <v>0</v>
      </c>
      <c r="W502" s="4">
        <v>0</v>
      </c>
    </row>
    <row r="503" spans="1:23" ht="11.25" customHeight="1" x14ac:dyDescent="0.25">
      <c r="A503" s="4" t="s">
        <v>28</v>
      </c>
      <c r="B503" s="4" t="s">
        <v>41</v>
      </c>
      <c r="C503" s="4" t="s">
        <v>43</v>
      </c>
      <c r="D503" s="4" t="s">
        <v>47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44682</v>
      </c>
      <c r="J503" s="6">
        <v>2415</v>
      </c>
      <c r="K503" s="6">
        <v>2415</v>
      </c>
      <c r="L503" s="6">
        <v>0</v>
      </c>
      <c r="M503" s="6">
        <v>0</v>
      </c>
      <c r="N503" s="6">
        <v>0</v>
      </c>
      <c r="O503" s="6">
        <v>0</v>
      </c>
      <c r="P503" s="6">
        <v>9</v>
      </c>
      <c r="Q503" s="4" t="s">
        <v>26</v>
      </c>
      <c r="R503" s="4">
        <v>0</v>
      </c>
      <c r="S503" s="4" t="s">
        <v>210</v>
      </c>
      <c r="U503" s="4">
        <v>2</v>
      </c>
      <c r="V503" s="4">
        <v>0</v>
      </c>
      <c r="W503" s="4">
        <v>0</v>
      </c>
    </row>
    <row r="504" spans="1:23" ht="11.25" customHeight="1" x14ac:dyDescent="0.25">
      <c r="A504" s="4" t="s">
        <v>21</v>
      </c>
      <c r="B504" s="4" t="s">
        <v>41</v>
      </c>
      <c r="C504" s="4" t="s">
        <v>43</v>
      </c>
      <c r="D504" s="4" t="s">
        <v>47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44713</v>
      </c>
      <c r="J504" s="6">
        <v>27186</v>
      </c>
      <c r="K504" s="6">
        <v>27186</v>
      </c>
      <c r="L504" s="6">
        <v>0</v>
      </c>
      <c r="M504" s="6">
        <v>0</v>
      </c>
      <c r="N504" s="6">
        <v>0</v>
      </c>
      <c r="O504" s="6">
        <v>0</v>
      </c>
      <c r="P504" s="6">
        <v>269</v>
      </c>
      <c r="Q504" s="4" t="s">
        <v>26</v>
      </c>
      <c r="R504" s="4">
        <v>0</v>
      </c>
      <c r="S504" s="4" t="s">
        <v>211</v>
      </c>
      <c r="U504" s="4">
        <v>2</v>
      </c>
      <c r="V504" s="4">
        <v>0</v>
      </c>
      <c r="W504" s="4">
        <v>0</v>
      </c>
    </row>
    <row r="505" spans="1:23" ht="11.25" customHeight="1" x14ac:dyDescent="0.25">
      <c r="A505" s="4" t="s">
        <v>28</v>
      </c>
      <c r="B505" s="4" t="s">
        <v>41</v>
      </c>
      <c r="C505" s="4" t="s">
        <v>43</v>
      </c>
      <c r="D505" s="4" t="s">
        <v>47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44713</v>
      </c>
      <c r="J505" s="6">
        <v>2419</v>
      </c>
      <c r="K505" s="6">
        <v>2419</v>
      </c>
      <c r="L505" s="6">
        <v>0</v>
      </c>
      <c r="M505" s="6">
        <v>0</v>
      </c>
      <c r="N505" s="6">
        <v>0</v>
      </c>
      <c r="O505" s="6">
        <v>0</v>
      </c>
      <c r="P505" s="6">
        <v>9</v>
      </c>
      <c r="Q505" s="4" t="s">
        <v>26</v>
      </c>
      <c r="R505" s="4">
        <v>0</v>
      </c>
      <c r="S505" s="4" t="s">
        <v>211</v>
      </c>
      <c r="U505" s="4">
        <v>2</v>
      </c>
      <c r="V505" s="4">
        <v>0</v>
      </c>
      <c r="W505" s="4">
        <v>0</v>
      </c>
    </row>
    <row r="506" spans="1:23" ht="11.25" customHeight="1" x14ac:dyDescent="0.25">
      <c r="A506" s="4" t="s">
        <v>21</v>
      </c>
      <c r="B506" s="4" t="s">
        <v>41</v>
      </c>
      <c r="C506" s="4" t="s">
        <v>43</v>
      </c>
      <c r="D506" s="4" t="s">
        <v>47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44743</v>
      </c>
      <c r="J506" s="6">
        <v>29472</v>
      </c>
      <c r="K506" s="6">
        <v>29472</v>
      </c>
      <c r="L506" s="6">
        <v>0</v>
      </c>
      <c r="M506" s="6">
        <v>0</v>
      </c>
      <c r="N506" s="6">
        <v>0</v>
      </c>
      <c r="O506" s="6">
        <v>0</v>
      </c>
      <c r="P506" s="6">
        <v>262</v>
      </c>
      <c r="Q506" s="4" t="s">
        <v>26</v>
      </c>
      <c r="R506" s="4">
        <v>0</v>
      </c>
      <c r="S506" s="4" t="s">
        <v>212</v>
      </c>
      <c r="U506" s="4">
        <v>2</v>
      </c>
      <c r="V506" s="4">
        <v>0</v>
      </c>
      <c r="W506" s="4">
        <v>0</v>
      </c>
    </row>
    <row r="507" spans="1:23" ht="11.25" customHeight="1" x14ac:dyDescent="0.25">
      <c r="A507" s="4" t="s">
        <v>27</v>
      </c>
      <c r="B507" s="4" t="s">
        <v>41</v>
      </c>
      <c r="C507" s="4" t="s">
        <v>43</v>
      </c>
      <c r="D507" s="4" t="s">
        <v>47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44743</v>
      </c>
      <c r="J507" s="6">
        <v>377</v>
      </c>
      <c r="K507" s="6">
        <v>377</v>
      </c>
      <c r="L507" s="6">
        <v>0</v>
      </c>
      <c r="M507" s="6">
        <v>0</v>
      </c>
      <c r="N507" s="6">
        <v>0</v>
      </c>
      <c r="O507" s="6">
        <v>0</v>
      </c>
      <c r="P507" s="6">
        <v>3</v>
      </c>
      <c r="Q507" s="4" t="s">
        <v>26</v>
      </c>
      <c r="R507" s="4">
        <v>0</v>
      </c>
      <c r="S507" s="4" t="s">
        <v>212</v>
      </c>
      <c r="U507" s="4">
        <v>2</v>
      </c>
      <c r="V507" s="4">
        <v>0</v>
      </c>
      <c r="W507" s="4">
        <v>0</v>
      </c>
    </row>
    <row r="508" spans="1:23" ht="11.25" customHeight="1" x14ac:dyDescent="0.25">
      <c r="A508" s="4" t="s">
        <v>28</v>
      </c>
      <c r="B508" s="4" t="s">
        <v>41</v>
      </c>
      <c r="C508" s="4" t="s">
        <v>43</v>
      </c>
      <c r="D508" s="4" t="s">
        <v>47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44743</v>
      </c>
      <c r="J508" s="6">
        <v>2415</v>
      </c>
      <c r="K508" s="6">
        <v>2415</v>
      </c>
      <c r="L508" s="6">
        <v>0</v>
      </c>
      <c r="M508" s="6">
        <v>0</v>
      </c>
      <c r="N508" s="6">
        <v>0</v>
      </c>
      <c r="O508" s="6">
        <v>0</v>
      </c>
      <c r="P508" s="6">
        <v>9</v>
      </c>
      <c r="Q508" s="4" t="s">
        <v>26</v>
      </c>
      <c r="R508" s="4">
        <v>0</v>
      </c>
      <c r="S508" s="4" t="s">
        <v>212</v>
      </c>
      <c r="U508" s="4">
        <v>2</v>
      </c>
      <c r="V508" s="4">
        <v>0</v>
      </c>
      <c r="W508" s="4">
        <v>0</v>
      </c>
    </row>
    <row r="509" spans="1:23" ht="11.25" customHeight="1" x14ac:dyDescent="0.25">
      <c r="A509" s="4" t="s">
        <v>21</v>
      </c>
      <c r="B509" s="4" t="s">
        <v>41</v>
      </c>
      <c r="C509" s="4" t="s">
        <v>43</v>
      </c>
      <c r="D509" s="4" t="s">
        <v>47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44774</v>
      </c>
      <c r="J509" s="6">
        <v>23952</v>
      </c>
      <c r="K509" s="6">
        <v>23952</v>
      </c>
      <c r="L509" s="6">
        <v>0</v>
      </c>
      <c r="M509" s="6">
        <v>0</v>
      </c>
      <c r="N509" s="6">
        <v>0</v>
      </c>
      <c r="O509" s="6">
        <v>0</v>
      </c>
      <c r="P509" s="6">
        <v>236</v>
      </c>
      <c r="Q509" s="4" t="s">
        <v>26</v>
      </c>
      <c r="R509" s="4">
        <v>0</v>
      </c>
      <c r="S509" s="4" t="s">
        <v>213</v>
      </c>
      <c r="U509" s="4">
        <v>2</v>
      </c>
      <c r="V509" s="4">
        <v>0</v>
      </c>
      <c r="W509" s="4">
        <v>0</v>
      </c>
    </row>
    <row r="510" spans="1:23" ht="11.25" customHeight="1" x14ac:dyDescent="0.25">
      <c r="A510" s="4" t="s">
        <v>27</v>
      </c>
      <c r="B510" s="4" t="s">
        <v>41</v>
      </c>
      <c r="C510" s="4" t="s">
        <v>43</v>
      </c>
      <c r="D510" s="4" t="s">
        <v>47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44774</v>
      </c>
      <c r="J510" s="6">
        <v>-3579</v>
      </c>
      <c r="K510" s="6">
        <v>-3579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4" t="s">
        <v>26</v>
      </c>
      <c r="R510" s="4">
        <v>0</v>
      </c>
      <c r="S510" s="4" t="s">
        <v>213</v>
      </c>
      <c r="U510" s="4">
        <v>2</v>
      </c>
      <c r="V510" s="4">
        <v>0</v>
      </c>
      <c r="W510" s="4">
        <v>0</v>
      </c>
    </row>
    <row r="511" spans="1:23" ht="11.25" customHeight="1" x14ac:dyDescent="0.25">
      <c r="A511" s="4" t="s">
        <v>28</v>
      </c>
      <c r="B511" s="4" t="s">
        <v>41</v>
      </c>
      <c r="C511" s="4" t="s">
        <v>43</v>
      </c>
      <c r="D511" s="4" t="s">
        <v>47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44774</v>
      </c>
      <c r="J511" s="6">
        <v>2446</v>
      </c>
      <c r="K511" s="6">
        <v>2446</v>
      </c>
      <c r="L511" s="6">
        <v>0</v>
      </c>
      <c r="M511" s="6">
        <v>0</v>
      </c>
      <c r="N511" s="6">
        <v>0</v>
      </c>
      <c r="O511" s="6">
        <v>0</v>
      </c>
      <c r="P511" s="6">
        <v>9</v>
      </c>
      <c r="Q511" s="4" t="s">
        <v>26</v>
      </c>
      <c r="R511" s="4">
        <v>0</v>
      </c>
      <c r="S511" s="4" t="s">
        <v>213</v>
      </c>
      <c r="U511" s="4">
        <v>2</v>
      </c>
      <c r="V511" s="4">
        <v>0</v>
      </c>
      <c r="W511" s="4">
        <v>0</v>
      </c>
    </row>
    <row r="512" spans="1:23" ht="11.25" customHeight="1" x14ac:dyDescent="0.25">
      <c r="A512" s="4" t="s">
        <v>21</v>
      </c>
      <c r="B512" s="4" t="s">
        <v>41</v>
      </c>
      <c r="C512" s="4" t="s">
        <v>43</v>
      </c>
      <c r="D512" s="4" t="s">
        <v>47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44805</v>
      </c>
      <c r="J512" s="6">
        <v>26614</v>
      </c>
      <c r="K512" s="6">
        <v>26614</v>
      </c>
      <c r="L512" s="6">
        <v>0</v>
      </c>
      <c r="M512" s="6">
        <v>0</v>
      </c>
      <c r="N512" s="6">
        <v>0</v>
      </c>
      <c r="O512" s="6">
        <v>0</v>
      </c>
      <c r="P512" s="6">
        <v>255</v>
      </c>
      <c r="Q512" s="4" t="s">
        <v>26</v>
      </c>
      <c r="R512" s="4">
        <v>0</v>
      </c>
      <c r="S512" s="4" t="s">
        <v>214</v>
      </c>
      <c r="U512" s="4">
        <v>2</v>
      </c>
      <c r="V512" s="4">
        <v>0</v>
      </c>
      <c r="W512" s="4">
        <v>0</v>
      </c>
    </row>
    <row r="513" spans="1:23" ht="11.25" customHeight="1" x14ac:dyDescent="0.25">
      <c r="A513" s="4" t="s">
        <v>27</v>
      </c>
      <c r="B513" s="4" t="s">
        <v>41</v>
      </c>
      <c r="C513" s="4" t="s">
        <v>43</v>
      </c>
      <c r="D513" s="4" t="s">
        <v>47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44805</v>
      </c>
      <c r="J513" s="6">
        <v>2940</v>
      </c>
      <c r="K513" s="6">
        <v>2940</v>
      </c>
      <c r="L513" s="6">
        <v>0</v>
      </c>
      <c r="M513" s="6">
        <v>0</v>
      </c>
      <c r="N513" s="6">
        <v>0</v>
      </c>
      <c r="O513" s="6">
        <v>0</v>
      </c>
      <c r="P513" s="6">
        <v>27</v>
      </c>
      <c r="Q513" s="4" t="s">
        <v>26</v>
      </c>
      <c r="R513" s="4">
        <v>0</v>
      </c>
      <c r="S513" s="4" t="s">
        <v>214</v>
      </c>
      <c r="U513" s="4">
        <v>2</v>
      </c>
      <c r="V513" s="4">
        <v>0</v>
      </c>
      <c r="W513" s="4">
        <v>0</v>
      </c>
    </row>
    <row r="514" spans="1:23" ht="11.25" customHeight="1" x14ac:dyDescent="0.25">
      <c r="A514" s="4" t="s">
        <v>28</v>
      </c>
      <c r="B514" s="4" t="s">
        <v>41</v>
      </c>
      <c r="C514" s="4" t="s">
        <v>43</v>
      </c>
      <c r="D514" s="4" t="s">
        <v>47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44805</v>
      </c>
      <c r="J514" s="6">
        <v>2493</v>
      </c>
      <c r="K514" s="6">
        <v>2493</v>
      </c>
      <c r="L514" s="6">
        <v>0</v>
      </c>
      <c r="M514" s="6">
        <v>0</v>
      </c>
      <c r="N514" s="6">
        <v>0</v>
      </c>
      <c r="O514" s="6">
        <v>0</v>
      </c>
      <c r="P514" s="6">
        <v>9</v>
      </c>
      <c r="Q514" s="4" t="s">
        <v>26</v>
      </c>
      <c r="R514" s="4">
        <v>0</v>
      </c>
      <c r="S514" s="4" t="s">
        <v>214</v>
      </c>
      <c r="U514" s="4">
        <v>2</v>
      </c>
      <c r="V514" s="4">
        <v>0</v>
      </c>
      <c r="W514" s="4">
        <v>0</v>
      </c>
    </row>
    <row r="515" spans="1:23" ht="11.25" customHeight="1" x14ac:dyDescent="0.25">
      <c r="A515" s="4" t="s">
        <v>21</v>
      </c>
      <c r="B515" s="4" t="s">
        <v>41</v>
      </c>
      <c r="C515" s="4" t="s">
        <v>43</v>
      </c>
      <c r="D515" s="4" t="s">
        <v>47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44835</v>
      </c>
      <c r="J515" s="6">
        <v>26538</v>
      </c>
      <c r="K515" s="6">
        <v>26538</v>
      </c>
      <c r="L515" s="6">
        <v>0</v>
      </c>
      <c r="M515" s="6">
        <v>0</v>
      </c>
      <c r="N515" s="6">
        <v>0</v>
      </c>
      <c r="O515" s="6">
        <v>0</v>
      </c>
      <c r="P515" s="6">
        <v>257</v>
      </c>
      <c r="Q515" s="4" t="s">
        <v>26</v>
      </c>
      <c r="R515" s="4">
        <v>0</v>
      </c>
      <c r="S515" s="4" t="s">
        <v>215</v>
      </c>
      <c r="U515" s="4">
        <v>2</v>
      </c>
      <c r="V515" s="4">
        <v>0</v>
      </c>
      <c r="W515" s="4">
        <v>0</v>
      </c>
    </row>
    <row r="516" spans="1:23" ht="11.25" customHeight="1" x14ac:dyDescent="0.25">
      <c r="A516" s="4" t="s">
        <v>28</v>
      </c>
      <c r="B516" s="4" t="s">
        <v>41</v>
      </c>
      <c r="C516" s="4" t="s">
        <v>43</v>
      </c>
      <c r="D516" s="4" t="s">
        <v>47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44835</v>
      </c>
      <c r="J516" s="6">
        <v>2785</v>
      </c>
      <c r="K516" s="6">
        <v>2785</v>
      </c>
      <c r="L516" s="6">
        <v>0</v>
      </c>
      <c r="M516" s="6">
        <v>0</v>
      </c>
      <c r="N516" s="6">
        <v>0</v>
      </c>
      <c r="O516" s="6">
        <v>0</v>
      </c>
      <c r="P516" s="6">
        <v>10</v>
      </c>
      <c r="Q516" s="4" t="s">
        <v>26</v>
      </c>
      <c r="R516" s="4">
        <v>0</v>
      </c>
      <c r="S516" s="4" t="s">
        <v>215</v>
      </c>
      <c r="U516" s="4">
        <v>2</v>
      </c>
      <c r="V516" s="4">
        <v>0</v>
      </c>
      <c r="W516" s="4">
        <v>0</v>
      </c>
    </row>
    <row r="517" spans="1:23" ht="11.25" customHeight="1" x14ac:dyDescent="0.25">
      <c r="A517" s="4" t="s">
        <v>28</v>
      </c>
      <c r="B517" s="4" t="s">
        <v>41</v>
      </c>
      <c r="C517" s="4" t="s">
        <v>43</v>
      </c>
      <c r="D517" s="4" t="s">
        <v>47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44835</v>
      </c>
      <c r="J517" s="6">
        <v>470</v>
      </c>
      <c r="K517" s="6">
        <v>470</v>
      </c>
      <c r="L517" s="6">
        <v>0</v>
      </c>
      <c r="M517" s="6">
        <v>0</v>
      </c>
      <c r="N517" s="6">
        <v>0</v>
      </c>
      <c r="O517" s="6">
        <v>0</v>
      </c>
      <c r="P517" s="6">
        <v>2</v>
      </c>
      <c r="Q517" s="4" t="s">
        <v>26</v>
      </c>
      <c r="R517" s="4">
        <v>0</v>
      </c>
      <c r="S517" s="4" t="s">
        <v>215</v>
      </c>
      <c r="U517" s="4">
        <v>2</v>
      </c>
      <c r="V517" s="4">
        <v>0</v>
      </c>
      <c r="W517" s="4">
        <v>0</v>
      </c>
    </row>
    <row r="518" spans="1:23" ht="11.25" customHeight="1" x14ac:dyDescent="0.25">
      <c r="A518" s="4" t="s">
        <v>54</v>
      </c>
      <c r="B518" s="4" t="s">
        <v>41</v>
      </c>
      <c r="C518" s="4" t="s">
        <v>43</v>
      </c>
      <c r="D518" s="4" t="s">
        <v>47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44866</v>
      </c>
      <c r="J518" s="6">
        <v>26538</v>
      </c>
      <c r="K518" s="6">
        <v>26538</v>
      </c>
      <c r="L518" s="6">
        <v>0</v>
      </c>
      <c r="M518" s="6">
        <v>0</v>
      </c>
      <c r="N518" s="6">
        <v>0</v>
      </c>
      <c r="O518" s="6">
        <v>0</v>
      </c>
      <c r="P518" s="6">
        <v>257</v>
      </c>
      <c r="Q518" s="4" t="s">
        <v>26</v>
      </c>
      <c r="R518" s="4">
        <v>0</v>
      </c>
      <c r="S518" s="4" t="s">
        <v>216</v>
      </c>
      <c r="U518" s="4">
        <v>2</v>
      </c>
      <c r="V518" s="4">
        <v>0</v>
      </c>
      <c r="W518" s="4">
        <v>0</v>
      </c>
    </row>
    <row r="519" spans="1:23" ht="11.25" customHeight="1" x14ac:dyDescent="0.25">
      <c r="A519" s="4" t="s">
        <v>54</v>
      </c>
      <c r="B519" s="4" t="s">
        <v>41</v>
      </c>
      <c r="C519" s="4" t="s">
        <v>43</v>
      </c>
      <c r="D519" s="4" t="s">
        <v>47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44866</v>
      </c>
      <c r="J519" s="6">
        <v>2785</v>
      </c>
      <c r="K519" s="6">
        <v>2785</v>
      </c>
      <c r="L519" s="6">
        <v>0</v>
      </c>
      <c r="M519" s="6">
        <v>0</v>
      </c>
      <c r="N519" s="6">
        <v>0</v>
      </c>
      <c r="O519" s="6">
        <v>0</v>
      </c>
      <c r="P519" s="6">
        <v>10</v>
      </c>
      <c r="Q519" s="4" t="s">
        <v>26</v>
      </c>
      <c r="R519" s="4">
        <v>0</v>
      </c>
      <c r="S519" s="4" t="s">
        <v>216</v>
      </c>
      <c r="U519" s="4">
        <v>2</v>
      </c>
      <c r="V519" s="4">
        <v>0</v>
      </c>
      <c r="W519" s="4">
        <v>0</v>
      </c>
    </row>
    <row r="520" spans="1:23" ht="11.25" customHeight="1" x14ac:dyDescent="0.25">
      <c r="A520" s="4" t="s">
        <v>54</v>
      </c>
      <c r="B520" s="4" t="s">
        <v>41</v>
      </c>
      <c r="C520" s="4" t="s">
        <v>43</v>
      </c>
      <c r="D520" s="4" t="s">
        <v>47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44866</v>
      </c>
      <c r="J520" s="6">
        <v>470</v>
      </c>
      <c r="K520" s="6">
        <v>470</v>
      </c>
      <c r="L520" s="6">
        <v>0</v>
      </c>
      <c r="M520" s="6">
        <v>0</v>
      </c>
      <c r="N520" s="6">
        <v>0</v>
      </c>
      <c r="O520" s="6">
        <v>0</v>
      </c>
      <c r="P520" s="6">
        <v>2</v>
      </c>
      <c r="Q520" s="4" t="s">
        <v>26</v>
      </c>
      <c r="R520" s="4">
        <v>0</v>
      </c>
      <c r="S520" s="4" t="s">
        <v>216</v>
      </c>
      <c r="U520" s="4">
        <v>2</v>
      </c>
      <c r="V520" s="4">
        <v>0</v>
      </c>
      <c r="W520" s="4">
        <v>0</v>
      </c>
    </row>
    <row r="521" spans="1:23" ht="11.25" customHeight="1" x14ac:dyDescent="0.25">
      <c r="A521" s="4" t="s">
        <v>21</v>
      </c>
      <c r="B521" s="4" t="s">
        <v>41</v>
      </c>
      <c r="C521" s="4" t="s">
        <v>43</v>
      </c>
      <c r="D521" s="4" t="s">
        <v>47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44531</v>
      </c>
      <c r="J521" s="6">
        <v>0</v>
      </c>
      <c r="K521" s="6">
        <v>0</v>
      </c>
      <c r="L521" s="6">
        <v>347.78800000000001</v>
      </c>
      <c r="M521" s="6">
        <v>347.78800000000001</v>
      </c>
      <c r="N521" s="6">
        <v>347.78800000000001</v>
      </c>
      <c r="O521" s="6">
        <v>347.78800000000001</v>
      </c>
      <c r="P521" s="6">
        <v>0</v>
      </c>
      <c r="Q521" s="4" t="s">
        <v>26</v>
      </c>
      <c r="R521" s="4">
        <v>0</v>
      </c>
      <c r="S521" s="4" t="s">
        <v>217</v>
      </c>
      <c r="T521" s="4" t="s">
        <v>462</v>
      </c>
      <c r="U521" s="4">
        <v>0</v>
      </c>
      <c r="V521" s="4">
        <v>5</v>
      </c>
      <c r="W521" s="4">
        <v>75</v>
      </c>
    </row>
    <row r="522" spans="1:23" ht="11.25" customHeight="1" x14ac:dyDescent="0.25">
      <c r="A522" s="4" t="s">
        <v>27</v>
      </c>
      <c r="B522" s="4" t="s">
        <v>41</v>
      </c>
      <c r="C522" s="4" t="s">
        <v>43</v>
      </c>
      <c r="D522" s="4" t="s">
        <v>47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44531</v>
      </c>
      <c r="J522" s="6">
        <v>0</v>
      </c>
      <c r="K522" s="6">
        <v>0</v>
      </c>
      <c r="L522" s="6">
        <v>0.32800000000000001</v>
      </c>
      <c r="M522" s="6">
        <v>0.32800000000000001</v>
      </c>
      <c r="N522" s="6">
        <v>0.32800000000000001</v>
      </c>
      <c r="O522" s="6">
        <v>0.32800000000000001</v>
      </c>
      <c r="P522" s="6">
        <v>0</v>
      </c>
      <c r="Q522" s="4" t="s">
        <v>26</v>
      </c>
      <c r="R522" s="4">
        <v>0</v>
      </c>
      <c r="S522" s="4" t="s">
        <v>217</v>
      </c>
      <c r="T522" s="4" t="s">
        <v>462</v>
      </c>
      <c r="U522" s="4">
        <v>0</v>
      </c>
      <c r="V522" s="4">
        <v>5</v>
      </c>
      <c r="W522" s="4">
        <v>75</v>
      </c>
    </row>
    <row r="523" spans="1:23" ht="11.25" customHeight="1" x14ac:dyDescent="0.25">
      <c r="A523" s="4" t="s">
        <v>28</v>
      </c>
      <c r="B523" s="4" t="s">
        <v>41</v>
      </c>
      <c r="C523" s="4" t="s">
        <v>43</v>
      </c>
      <c r="D523" s="4" t="s">
        <v>47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44531</v>
      </c>
      <c r="J523" s="6">
        <v>0</v>
      </c>
      <c r="K523" s="6">
        <v>0</v>
      </c>
      <c r="L523" s="6">
        <v>8.6780000000000008</v>
      </c>
      <c r="M523" s="6">
        <v>8.6780000000000008</v>
      </c>
      <c r="N523" s="6">
        <v>8.6780000000000008</v>
      </c>
      <c r="O523" s="6">
        <v>8.6780000000000008</v>
      </c>
      <c r="P523" s="6">
        <v>0</v>
      </c>
      <c r="Q523" s="4" t="s">
        <v>26</v>
      </c>
      <c r="R523" s="4">
        <v>0</v>
      </c>
      <c r="S523" s="4" t="s">
        <v>217</v>
      </c>
      <c r="T523" s="4" t="s">
        <v>462</v>
      </c>
      <c r="U523" s="4">
        <v>0</v>
      </c>
      <c r="V523" s="4">
        <v>5</v>
      </c>
      <c r="W523" s="4">
        <v>75</v>
      </c>
    </row>
    <row r="524" spans="1:23" ht="11.25" customHeight="1" x14ac:dyDescent="0.25">
      <c r="A524" s="4" t="s">
        <v>21</v>
      </c>
      <c r="B524" s="4" t="s">
        <v>41</v>
      </c>
      <c r="C524" s="4" t="s">
        <v>43</v>
      </c>
      <c r="D524" s="4" t="s">
        <v>47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44562</v>
      </c>
      <c r="J524" s="6">
        <v>0</v>
      </c>
      <c r="K524" s="6">
        <v>0</v>
      </c>
      <c r="L524" s="6">
        <v>290.68700000000001</v>
      </c>
      <c r="M524" s="6">
        <v>290.68700000000001</v>
      </c>
      <c r="N524" s="6">
        <v>290.68700000000001</v>
      </c>
      <c r="O524" s="6">
        <v>290.68700000000001</v>
      </c>
      <c r="P524" s="6">
        <v>0</v>
      </c>
      <c r="Q524" s="4" t="s">
        <v>26</v>
      </c>
      <c r="R524" s="4">
        <v>0</v>
      </c>
      <c r="S524" s="4" t="s">
        <v>218</v>
      </c>
      <c r="T524" s="4" t="s">
        <v>463</v>
      </c>
      <c r="U524" s="4">
        <v>0</v>
      </c>
      <c r="V524" s="4">
        <v>5</v>
      </c>
      <c r="W524" s="4">
        <v>75</v>
      </c>
    </row>
    <row r="525" spans="1:23" ht="11.25" customHeight="1" x14ac:dyDescent="0.25">
      <c r="A525" s="4" t="s">
        <v>28</v>
      </c>
      <c r="B525" s="4" t="s">
        <v>41</v>
      </c>
      <c r="C525" s="4" t="s">
        <v>43</v>
      </c>
      <c r="D525" s="4" t="s">
        <v>47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44562</v>
      </c>
      <c r="J525" s="6">
        <v>0</v>
      </c>
      <c r="K525" s="6">
        <v>0</v>
      </c>
      <c r="L525" s="6">
        <v>7.7679999999999998</v>
      </c>
      <c r="M525" s="6">
        <v>7.7679999999999998</v>
      </c>
      <c r="N525" s="6">
        <v>7.7679999999999998</v>
      </c>
      <c r="O525" s="6">
        <v>7.7679999999999998</v>
      </c>
      <c r="P525" s="6">
        <v>0</v>
      </c>
      <c r="Q525" s="4" t="s">
        <v>26</v>
      </c>
      <c r="R525" s="4">
        <v>0</v>
      </c>
      <c r="S525" s="4" t="s">
        <v>218</v>
      </c>
      <c r="T525" s="4" t="s">
        <v>463</v>
      </c>
      <c r="U525" s="4">
        <v>0</v>
      </c>
      <c r="V525" s="4">
        <v>5</v>
      </c>
      <c r="W525" s="4">
        <v>75</v>
      </c>
    </row>
    <row r="526" spans="1:23" ht="11.25" customHeight="1" x14ac:dyDescent="0.25">
      <c r="A526" s="4" t="s">
        <v>21</v>
      </c>
      <c r="B526" s="4" t="s">
        <v>41</v>
      </c>
      <c r="C526" s="4" t="s">
        <v>43</v>
      </c>
      <c r="D526" s="4" t="s">
        <v>47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44593</v>
      </c>
      <c r="J526" s="6">
        <v>0</v>
      </c>
      <c r="K526" s="6">
        <v>0</v>
      </c>
      <c r="L526" s="6">
        <v>272.32</v>
      </c>
      <c r="M526" s="6">
        <v>272.32</v>
      </c>
      <c r="N526" s="6">
        <v>272.32</v>
      </c>
      <c r="O526" s="6">
        <v>272.32</v>
      </c>
      <c r="P526" s="6">
        <v>0</v>
      </c>
      <c r="Q526" s="4" t="s">
        <v>26</v>
      </c>
      <c r="R526" s="4">
        <v>0</v>
      </c>
      <c r="S526" s="4" t="s">
        <v>219</v>
      </c>
      <c r="T526" s="4" t="s">
        <v>464</v>
      </c>
      <c r="U526" s="4">
        <v>0</v>
      </c>
      <c r="V526" s="4">
        <v>5</v>
      </c>
      <c r="W526" s="4">
        <v>75</v>
      </c>
    </row>
    <row r="527" spans="1:23" ht="11.25" customHeight="1" x14ac:dyDescent="0.25">
      <c r="A527" s="4" t="s">
        <v>28</v>
      </c>
      <c r="B527" s="4" t="s">
        <v>41</v>
      </c>
      <c r="C527" s="4" t="s">
        <v>43</v>
      </c>
      <c r="D527" s="4" t="s">
        <v>47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44593</v>
      </c>
      <c r="J527" s="6">
        <v>0</v>
      </c>
      <c r="K527" s="6">
        <v>0</v>
      </c>
      <c r="L527" s="6">
        <v>7.69</v>
      </c>
      <c r="M527" s="6">
        <v>7.69</v>
      </c>
      <c r="N527" s="6">
        <v>7.69</v>
      </c>
      <c r="O527" s="6">
        <v>7.69</v>
      </c>
      <c r="P527" s="6">
        <v>0</v>
      </c>
      <c r="Q527" s="4" t="s">
        <v>26</v>
      </c>
      <c r="R527" s="4">
        <v>0</v>
      </c>
      <c r="S527" s="4" t="s">
        <v>219</v>
      </c>
      <c r="T527" s="4" t="s">
        <v>464</v>
      </c>
      <c r="U527" s="4">
        <v>0</v>
      </c>
      <c r="V527" s="4">
        <v>5</v>
      </c>
      <c r="W527" s="4">
        <v>75</v>
      </c>
    </row>
    <row r="528" spans="1:23" ht="11.25" customHeight="1" x14ac:dyDescent="0.25">
      <c r="A528" s="4" t="s">
        <v>21</v>
      </c>
      <c r="B528" s="4" t="s">
        <v>41</v>
      </c>
      <c r="C528" s="4" t="s">
        <v>43</v>
      </c>
      <c r="D528" s="4" t="s">
        <v>47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44621</v>
      </c>
      <c r="J528" s="6">
        <v>0</v>
      </c>
      <c r="K528" s="6">
        <v>0</v>
      </c>
      <c r="L528" s="6">
        <v>328.315</v>
      </c>
      <c r="M528" s="6">
        <v>328.315</v>
      </c>
      <c r="N528" s="6">
        <v>328.315</v>
      </c>
      <c r="O528" s="6">
        <v>328.315</v>
      </c>
      <c r="P528" s="6">
        <v>0</v>
      </c>
      <c r="Q528" s="4" t="s">
        <v>26</v>
      </c>
      <c r="R528" s="4">
        <v>0</v>
      </c>
      <c r="S528" s="4" t="s">
        <v>220</v>
      </c>
      <c r="T528" s="4" t="s">
        <v>465</v>
      </c>
      <c r="U528" s="4">
        <v>0</v>
      </c>
      <c r="V528" s="4">
        <v>5</v>
      </c>
      <c r="W528" s="4">
        <v>75</v>
      </c>
    </row>
    <row r="529" spans="1:23" ht="11.25" customHeight="1" x14ac:dyDescent="0.25">
      <c r="A529" s="4" t="s">
        <v>28</v>
      </c>
      <c r="B529" s="4" t="s">
        <v>41</v>
      </c>
      <c r="C529" s="4" t="s">
        <v>43</v>
      </c>
      <c r="D529" s="4" t="s">
        <v>47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44621</v>
      </c>
      <c r="J529" s="6">
        <v>0</v>
      </c>
      <c r="K529" s="6">
        <v>0</v>
      </c>
      <c r="L529" s="6">
        <v>10.706</v>
      </c>
      <c r="M529" s="6">
        <v>10.706</v>
      </c>
      <c r="N529" s="6">
        <v>10.706</v>
      </c>
      <c r="O529" s="6">
        <v>10.706</v>
      </c>
      <c r="P529" s="6">
        <v>0</v>
      </c>
      <c r="Q529" s="4" t="s">
        <v>26</v>
      </c>
      <c r="R529" s="4">
        <v>0</v>
      </c>
      <c r="S529" s="4" t="s">
        <v>220</v>
      </c>
      <c r="T529" s="4" t="s">
        <v>465</v>
      </c>
      <c r="U529" s="4">
        <v>0</v>
      </c>
      <c r="V529" s="4">
        <v>5</v>
      </c>
      <c r="W529" s="4">
        <v>75</v>
      </c>
    </row>
    <row r="530" spans="1:23" ht="11.25" customHeight="1" x14ac:dyDescent="0.25">
      <c r="A530" s="4" t="s">
        <v>21</v>
      </c>
      <c r="B530" s="4" t="s">
        <v>41</v>
      </c>
      <c r="C530" s="4" t="s">
        <v>43</v>
      </c>
      <c r="D530" s="4" t="s">
        <v>47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44652</v>
      </c>
      <c r="J530" s="6">
        <v>0</v>
      </c>
      <c r="K530" s="6">
        <v>0</v>
      </c>
      <c r="L530" s="6">
        <v>312.31900000000002</v>
      </c>
      <c r="M530" s="6">
        <v>312.31900000000002</v>
      </c>
      <c r="N530" s="6">
        <v>312.31900000000002</v>
      </c>
      <c r="O530" s="6">
        <v>312.31900000000002</v>
      </c>
      <c r="P530" s="6">
        <v>0</v>
      </c>
      <c r="Q530" s="4" t="s">
        <v>26</v>
      </c>
      <c r="R530" s="4">
        <v>0</v>
      </c>
      <c r="S530" s="4" t="s">
        <v>221</v>
      </c>
      <c r="T530" s="4" t="s">
        <v>466</v>
      </c>
      <c r="U530" s="4">
        <v>0</v>
      </c>
      <c r="V530" s="4">
        <v>5</v>
      </c>
      <c r="W530" s="4">
        <v>75</v>
      </c>
    </row>
    <row r="531" spans="1:23" ht="11.25" customHeight="1" x14ac:dyDescent="0.25">
      <c r="A531" s="4" t="s">
        <v>28</v>
      </c>
      <c r="B531" s="4" t="s">
        <v>41</v>
      </c>
      <c r="C531" s="4" t="s">
        <v>43</v>
      </c>
      <c r="D531" s="4" t="s">
        <v>47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44652</v>
      </c>
      <c r="J531" s="6">
        <v>0</v>
      </c>
      <c r="K531" s="6">
        <v>0</v>
      </c>
      <c r="L531" s="6">
        <v>9.4160000000000004</v>
      </c>
      <c r="M531" s="6">
        <v>9.4160000000000004</v>
      </c>
      <c r="N531" s="6">
        <v>9.4160000000000004</v>
      </c>
      <c r="O531" s="6">
        <v>9.4160000000000004</v>
      </c>
      <c r="P531" s="6">
        <v>0</v>
      </c>
      <c r="Q531" s="4" t="s">
        <v>26</v>
      </c>
      <c r="R531" s="4">
        <v>0</v>
      </c>
      <c r="S531" s="4" t="s">
        <v>221</v>
      </c>
      <c r="T531" s="4" t="s">
        <v>466</v>
      </c>
      <c r="U531" s="4">
        <v>0</v>
      </c>
      <c r="V531" s="4">
        <v>5</v>
      </c>
      <c r="W531" s="4">
        <v>75</v>
      </c>
    </row>
    <row r="532" spans="1:23" ht="11.25" customHeight="1" x14ac:dyDescent="0.25">
      <c r="A532" s="4" t="s">
        <v>21</v>
      </c>
      <c r="B532" s="4" t="s">
        <v>41</v>
      </c>
      <c r="C532" s="4" t="s">
        <v>43</v>
      </c>
      <c r="D532" s="4" t="s">
        <v>47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44682</v>
      </c>
      <c r="J532" s="6">
        <v>0</v>
      </c>
      <c r="K532" s="6">
        <v>0</v>
      </c>
      <c r="L532" s="6">
        <v>364.75799999999998</v>
      </c>
      <c r="M532" s="6">
        <v>364.75799999999998</v>
      </c>
      <c r="N532" s="6">
        <v>364.75799999999998</v>
      </c>
      <c r="O532" s="6">
        <v>364.75799999999998</v>
      </c>
      <c r="P532" s="6">
        <v>0</v>
      </c>
      <c r="Q532" s="4" t="s">
        <v>26</v>
      </c>
      <c r="R532" s="4">
        <v>0</v>
      </c>
      <c r="S532" s="4" t="s">
        <v>222</v>
      </c>
      <c r="T532" s="4" t="s">
        <v>467</v>
      </c>
      <c r="U532" s="4">
        <v>0</v>
      </c>
      <c r="V532" s="4">
        <v>5</v>
      </c>
      <c r="W532" s="4">
        <v>75</v>
      </c>
    </row>
    <row r="533" spans="1:23" ht="11.25" customHeight="1" x14ac:dyDescent="0.25">
      <c r="A533" s="4" t="s">
        <v>27</v>
      </c>
      <c r="B533" s="4" t="s">
        <v>41</v>
      </c>
      <c r="C533" s="4" t="s">
        <v>43</v>
      </c>
      <c r="D533" s="4" t="s">
        <v>47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44682</v>
      </c>
      <c r="J533" s="6">
        <v>0</v>
      </c>
      <c r="K533" s="6">
        <v>0</v>
      </c>
      <c r="L533" s="6">
        <v>-8.4109999999999996</v>
      </c>
      <c r="M533" s="6">
        <v>-8.4109999999999996</v>
      </c>
      <c r="N533" s="6">
        <v>-8.4109999999999996</v>
      </c>
      <c r="O533" s="6">
        <v>-8.4109999999999996</v>
      </c>
      <c r="P533" s="6">
        <v>0</v>
      </c>
      <c r="Q533" s="4" t="s">
        <v>26</v>
      </c>
      <c r="R533" s="4">
        <v>0</v>
      </c>
      <c r="S533" s="4" t="s">
        <v>222</v>
      </c>
      <c r="T533" s="4" t="s">
        <v>467</v>
      </c>
      <c r="U533" s="4">
        <v>0</v>
      </c>
      <c r="V533" s="4">
        <v>5</v>
      </c>
      <c r="W533" s="4">
        <v>75</v>
      </c>
    </row>
    <row r="534" spans="1:23" ht="11.25" customHeight="1" x14ac:dyDescent="0.25">
      <c r="A534" s="4" t="s">
        <v>28</v>
      </c>
      <c r="B534" s="4" t="s">
        <v>41</v>
      </c>
      <c r="C534" s="4" t="s">
        <v>43</v>
      </c>
      <c r="D534" s="4" t="s">
        <v>47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44682</v>
      </c>
      <c r="J534" s="6">
        <v>0</v>
      </c>
      <c r="K534" s="6">
        <v>0</v>
      </c>
      <c r="L534" s="6">
        <v>13.199</v>
      </c>
      <c r="M534" s="6">
        <v>13.199</v>
      </c>
      <c r="N534" s="6">
        <v>13.199</v>
      </c>
      <c r="O534" s="6">
        <v>13.199</v>
      </c>
      <c r="P534" s="6">
        <v>0</v>
      </c>
      <c r="Q534" s="4" t="s">
        <v>26</v>
      </c>
      <c r="R534" s="4">
        <v>0</v>
      </c>
      <c r="S534" s="4" t="s">
        <v>222</v>
      </c>
      <c r="T534" s="4" t="s">
        <v>467</v>
      </c>
      <c r="U534" s="4">
        <v>0</v>
      </c>
      <c r="V534" s="4">
        <v>5</v>
      </c>
      <c r="W534" s="4">
        <v>75</v>
      </c>
    </row>
    <row r="535" spans="1:23" ht="11.25" customHeight="1" x14ac:dyDescent="0.25">
      <c r="A535" s="4" t="s">
        <v>21</v>
      </c>
      <c r="B535" s="4" t="s">
        <v>41</v>
      </c>
      <c r="C535" s="4" t="s">
        <v>43</v>
      </c>
      <c r="D535" s="4" t="s">
        <v>47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44713</v>
      </c>
      <c r="J535" s="6">
        <v>0</v>
      </c>
      <c r="K535" s="6">
        <v>0</v>
      </c>
      <c r="L535" s="6">
        <v>371.40899999999999</v>
      </c>
      <c r="M535" s="6">
        <v>371.40899999999999</v>
      </c>
      <c r="N535" s="6">
        <v>371.40899999999999</v>
      </c>
      <c r="O535" s="6">
        <v>371.40899999999999</v>
      </c>
      <c r="P535" s="6">
        <v>0</v>
      </c>
      <c r="Q535" s="4" t="s">
        <v>26</v>
      </c>
      <c r="R535" s="4">
        <v>0</v>
      </c>
      <c r="S535" s="4" t="s">
        <v>223</v>
      </c>
      <c r="T535" s="4" t="s">
        <v>468</v>
      </c>
      <c r="U535" s="4">
        <v>0</v>
      </c>
      <c r="V535" s="4">
        <v>5</v>
      </c>
      <c r="W535" s="4">
        <v>75</v>
      </c>
    </row>
    <row r="536" spans="1:23" ht="11.25" customHeight="1" x14ac:dyDescent="0.25">
      <c r="A536" s="4" t="s">
        <v>28</v>
      </c>
      <c r="B536" s="4" t="s">
        <v>41</v>
      </c>
      <c r="C536" s="4" t="s">
        <v>43</v>
      </c>
      <c r="D536" s="4" t="s">
        <v>47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44713</v>
      </c>
      <c r="J536" s="6">
        <v>0</v>
      </c>
      <c r="K536" s="6">
        <v>0</v>
      </c>
      <c r="L536" s="6">
        <v>9.3460000000000001</v>
      </c>
      <c r="M536" s="6">
        <v>9.3460000000000001</v>
      </c>
      <c r="N536" s="6">
        <v>9.3460000000000001</v>
      </c>
      <c r="O536" s="6">
        <v>9.3460000000000001</v>
      </c>
      <c r="P536" s="6">
        <v>0</v>
      </c>
      <c r="Q536" s="4" t="s">
        <v>26</v>
      </c>
      <c r="R536" s="4">
        <v>0</v>
      </c>
      <c r="S536" s="4" t="s">
        <v>223</v>
      </c>
      <c r="T536" s="4" t="s">
        <v>468</v>
      </c>
      <c r="U536" s="4">
        <v>0</v>
      </c>
      <c r="V536" s="4">
        <v>5</v>
      </c>
      <c r="W536" s="4">
        <v>75</v>
      </c>
    </row>
    <row r="537" spans="1:23" ht="11.25" customHeight="1" x14ac:dyDescent="0.25">
      <c r="A537" s="4" t="s">
        <v>21</v>
      </c>
      <c r="B537" s="4" t="s">
        <v>41</v>
      </c>
      <c r="C537" s="4" t="s">
        <v>43</v>
      </c>
      <c r="D537" s="4" t="s">
        <v>47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44743</v>
      </c>
      <c r="J537" s="6">
        <v>0</v>
      </c>
      <c r="K537" s="6">
        <v>0</v>
      </c>
      <c r="L537" s="6">
        <v>380.59699999999998</v>
      </c>
      <c r="M537" s="6">
        <v>380.59699999999998</v>
      </c>
      <c r="N537" s="6">
        <v>380.59699999999998</v>
      </c>
      <c r="O537" s="6">
        <v>380.59699999999998</v>
      </c>
      <c r="P537" s="6">
        <v>0</v>
      </c>
      <c r="Q537" s="4" t="s">
        <v>26</v>
      </c>
      <c r="R537" s="4">
        <v>0</v>
      </c>
      <c r="S537" s="4" t="s">
        <v>224</v>
      </c>
      <c r="T537" s="4" t="s">
        <v>469</v>
      </c>
      <c r="U537" s="4">
        <v>0</v>
      </c>
      <c r="V537" s="4">
        <v>5</v>
      </c>
      <c r="W537" s="4">
        <v>75</v>
      </c>
    </row>
    <row r="538" spans="1:23" ht="11.25" customHeight="1" x14ac:dyDescent="0.25">
      <c r="A538" s="4" t="s">
        <v>27</v>
      </c>
      <c r="B538" s="4" t="s">
        <v>41</v>
      </c>
      <c r="C538" s="4" t="s">
        <v>43</v>
      </c>
      <c r="D538" s="4" t="s">
        <v>47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44743</v>
      </c>
      <c r="J538" s="6">
        <v>0</v>
      </c>
      <c r="K538" s="6">
        <v>0</v>
      </c>
      <c r="L538" s="6">
        <v>2.6179999999999999</v>
      </c>
      <c r="M538" s="6">
        <v>2.6179999999999999</v>
      </c>
      <c r="N538" s="6">
        <v>2.6179999999999999</v>
      </c>
      <c r="O538" s="6">
        <v>2.6179999999999999</v>
      </c>
      <c r="P538" s="6">
        <v>0</v>
      </c>
      <c r="Q538" s="4" t="s">
        <v>26</v>
      </c>
      <c r="R538" s="4">
        <v>0</v>
      </c>
      <c r="S538" s="4" t="s">
        <v>224</v>
      </c>
      <c r="T538" s="4" t="s">
        <v>469</v>
      </c>
      <c r="U538" s="4">
        <v>0</v>
      </c>
      <c r="V538" s="4">
        <v>5</v>
      </c>
      <c r="W538" s="4">
        <v>75</v>
      </c>
    </row>
    <row r="539" spans="1:23" ht="11.25" customHeight="1" x14ac:dyDescent="0.25">
      <c r="A539" s="4" t="s">
        <v>28</v>
      </c>
      <c r="B539" s="4" t="s">
        <v>41</v>
      </c>
      <c r="C539" s="4" t="s">
        <v>43</v>
      </c>
      <c r="D539" s="4" t="s">
        <v>47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44743</v>
      </c>
      <c r="J539" s="6">
        <v>0</v>
      </c>
      <c r="K539" s="6">
        <v>0</v>
      </c>
      <c r="L539" s="6">
        <v>10.173</v>
      </c>
      <c r="M539" s="6">
        <v>10.173</v>
      </c>
      <c r="N539" s="6">
        <v>10.173</v>
      </c>
      <c r="O539" s="6">
        <v>10.173</v>
      </c>
      <c r="P539" s="6">
        <v>0</v>
      </c>
      <c r="Q539" s="4" t="s">
        <v>26</v>
      </c>
      <c r="R539" s="4">
        <v>0</v>
      </c>
      <c r="S539" s="4" t="s">
        <v>224</v>
      </c>
      <c r="T539" s="4" t="s">
        <v>469</v>
      </c>
      <c r="U539" s="4">
        <v>0</v>
      </c>
      <c r="V539" s="4">
        <v>5</v>
      </c>
      <c r="W539" s="4">
        <v>75</v>
      </c>
    </row>
    <row r="540" spans="1:23" ht="11.25" customHeight="1" x14ac:dyDescent="0.25">
      <c r="A540" s="4" t="s">
        <v>21</v>
      </c>
      <c r="B540" s="4" t="s">
        <v>41</v>
      </c>
      <c r="C540" s="4" t="s">
        <v>43</v>
      </c>
      <c r="D540" s="4" t="s">
        <v>47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44774</v>
      </c>
      <c r="J540" s="6">
        <v>0</v>
      </c>
      <c r="K540" s="6">
        <v>0</v>
      </c>
      <c r="L540" s="6">
        <v>375.03399999999999</v>
      </c>
      <c r="M540" s="6">
        <v>375.03399999999999</v>
      </c>
      <c r="N540" s="6">
        <v>375.03399999999999</v>
      </c>
      <c r="O540" s="6">
        <v>375.03399999999999</v>
      </c>
      <c r="P540" s="6">
        <v>0</v>
      </c>
      <c r="Q540" s="4" t="s">
        <v>26</v>
      </c>
      <c r="R540" s="4">
        <v>0</v>
      </c>
      <c r="S540" s="4" t="s">
        <v>225</v>
      </c>
      <c r="T540" s="4" t="s">
        <v>470</v>
      </c>
      <c r="U540" s="4">
        <v>0</v>
      </c>
      <c r="V540" s="4">
        <v>5</v>
      </c>
      <c r="W540" s="4">
        <v>75</v>
      </c>
    </row>
    <row r="541" spans="1:23" ht="11.25" customHeight="1" x14ac:dyDescent="0.25">
      <c r="A541" s="4" t="s">
        <v>27</v>
      </c>
      <c r="B541" s="4" t="s">
        <v>41</v>
      </c>
      <c r="C541" s="4" t="s">
        <v>43</v>
      </c>
      <c r="D541" s="4" t="s">
        <v>47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44774</v>
      </c>
      <c r="J541" s="6">
        <v>0</v>
      </c>
      <c r="K541" s="6">
        <v>0</v>
      </c>
      <c r="L541" s="6">
        <v>2E-3</v>
      </c>
      <c r="M541" s="6">
        <v>2E-3</v>
      </c>
      <c r="N541" s="6">
        <v>2E-3</v>
      </c>
      <c r="O541" s="6">
        <v>2E-3</v>
      </c>
      <c r="P541" s="6">
        <v>0</v>
      </c>
      <c r="Q541" s="4" t="s">
        <v>26</v>
      </c>
      <c r="R541" s="4">
        <v>0</v>
      </c>
      <c r="S541" s="4" t="s">
        <v>225</v>
      </c>
      <c r="T541" s="4" t="s">
        <v>470</v>
      </c>
      <c r="U541" s="4">
        <v>0</v>
      </c>
      <c r="V541" s="4">
        <v>5</v>
      </c>
      <c r="W541" s="4">
        <v>75</v>
      </c>
    </row>
    <row r="542" spans="1:23" ht="11.25" customHeight="1" x14ac:dyDescent="0.25">
      <c r="A542" s="4" t="s">
        <v>28</v>
      </c>
      <c r="B542" s="4" t="s">
        <v>41</v>
      </c>
      <c r="C542" s="4" t="s">
        <v>43</v>
      </c>
      <c r="D542" s="4" t="s">
        <v>47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44774</v>
      </c>
      <c r="J542" s="6">
        <v>0</v>
      </c>
      <c r="K542" s="6">
        <v>0</v>
      </c>
      <c r="L542" s="6">
        <v>15.86</v>
      </c>
      <c r="M542" s="6">
        <v>15.86</v>
      </c>
      <c r="N542" s="6">
        <v>15.86</v>
      </c>
      <c r="O542" s="6">
        <v>15.86</v>
      </c>
      <c r="P542" s="6">
        <v>0</v>
      </c>
      <c r="Q542" s="4" t="s">
        <v>26</v>
      </c>
      <c r="R542" s="4">
        <v>0</v>
      </c>
      <c r="S542" s="4" t="s">
        <v>225</v>
      </c>
      <c r="T542" s="4" t="s">
        <v>470</v>
      </c>
      <c r="U542" s="4">
        <v>0</v>
      </c>
      <c r="V542" s="4">
        <v>5</v>
      </c>
      <c r="W542" s="4">
        <v>75</v>
      </c>
    </row>
    <row r="543" spans="1:23" ht="11.25" customHeight="1" x14ac:dyDescent="0.25">
      <c r="A543" s="4" t="s">
        <v>21</v>
      </c>
      <c r="B543" s="4" t="s">
        <v>41</v>
      </c>
      <c r="C543" s="4" t="s">
        <v>43</v>
      </c>
      <c r="D543" s="4" t="s">
        <v>47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44805</v>
      </c>
      <c r="J543" s="6">
        <v>0</v>
      </c>
      <c r="K543" s="6">
        <v>0</v>
      </c>
      <c r="L543" s="6">
        <v>388.40199999999999</v>
      </c>
      <c r="M543" s="6">
        <v>388.40199999999999</v>
      </c>
      <c r="N543" s="6">
        <v>388.40199999999999</v>
      </c>
      <c r="O543" s="6">
        <v>388.40199999999999</v>
      </c>
      <c r="P543" s="6">
        <v>0</v>
      </c>
      <c r="Q543" s="4" t="s">
        <v>26</v>
      </c>
      <c r="R543" s="4">
        <v>0</v>
      </c>
      <c r="S543" s="4" t="s">
        <v>226</v>
      </c>
      <c r="T543" s="4" t="s">
        <v>471</v>
      </c>
      <c r="U543" s="4">
        <v>0</v>
      </c>
      <c r="V543" s="4">
        <v>5</v>
      </c>
      <c r="W543" s="4">
        <v>75</v>
      </c>
    </row>
    <row r="544" spans="1:23" ht="11.25" customHeight="1" x14ac:dyDescent="0.25">
      <c r="A544" s="4" t="s">
        <v>27</v>
      </c>
      <c r="B544" s="4" t="s">
        <v>41</v>
      </c>
      <c r="C544" s="4" t="s">
        <v>43</v>
      </c>
      <c r="D544" s="4" t="s">
        <v>47</v>
      </c>
      <c r="E544" s="4" t="s">
        <v>25</v>
      </c>
      <c r="F544" s="4" t="s">
        <v>25</v>
      </c>
      <c r="G544" s="4" t="s">
        <v>25</v>
      </c>
      <c r="H544" s="4" t="s">
        <v>34</v>
      </c>
      <c r="I544" s="5">
        <v>44805</v>
      </c>
      <c r="J544" s="6">
        <v>0</v>
      </c>
      <c r="K544" s="6">
        <v>0</v>
      </c>
      <c r="L544" s="6">
        <v>30.645</v>
      </c>
      <c r="M544" s="6">
        <v>30.645</v>
      </c>
      <c r="N544" s="6">
        <v>30.645</v>
      </c>
      <c r="O544" s="6">
        <v>30.645</v>
      </c>
      <c r="P544" s="6">
        <v>0</v>
      </c>
      <c r="Q544" s="4" t="s">
        <v>26</v>
      </c>
      <c r="R544" s="4">
        <v>0</v>
      </c>
      <c r="S544" s="4" t="s">
        <v>226</v>
      </c>
      <c r="T544" s="4" t="s">
        <v>471</v>
      </c>
      <c r="U544" s="4">
        <v>0</v>
      </c>
      <c r="V544" s="4">
        <v>5</v>
      </c>
      <c r="W544" s="4">
        <v>75</v>
      </c>
    </row>
    <row r="545" spans="1:23" ht="11.25" customHeight="1" x14ac:dyDescent="0.25">
      <c r="A545" s="4" t="s">
        <v>28</v>
      </c>
      <c r="B545" s="4" t="s">
        <v>41</v>
      </c>
      <c r="C545" s="4" t="s">
        <v>43</v>
      </c>
      <c r="D545" s="4" t="s">
        <v>47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44805</v>
      </c>
      <c r="J545" s="6">
        <v>0</v>
      </c>
      <c r="K545" s="6">
        <v>0</v>
      </c>
      <c r="L545" s="6">
        <v>10.074</v>
      </c>
      <c r="M545" s="6">
        <v>10.074</v>
      </c>
      <c r="N545" s="6">
        <v>10.074</v>
      </c>
      <c r="O545" s="6">
        <v>10.074</v>
      </c>
      <c r="P545" s="6">
        <v>0</v>
      </c>
      <c r="Q545" s="4" t="s">
        <v>26</v>
      </c>
      <c r="R545" s="4">
        <v>0</v>
      </c>
      <c r="S545" s="4" t="s">
        <v>226</v>
      </c>
      <c r="T545" s="4" t="s">
        <v>471</v>
      </c>
      <c r="U545" s="4">
        <v>0</v>
      </c>
      <c r="V545" s="4">
        <v>5</v>
      </c>
      <c r="W545" s="4">
        <v>75</v>
      </c>
    </row>
    <row r="546" spans="1:23" ht="11.25" customHeight="1" x14ac:dyDescent="0.25">
      <c r="A546" s="4" t="s">
        <v>21</v>
      </c>
      <c r="B546" s="4" t="s">
        <v>41</v>
      </c>
      <c r="C546" s="4" t="s">
        <v>43</v>
      </c>
      <c r="D546" s="4" t="s">
        <v>47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44835</v>
      </c>
      <c r="J546" s="6">
        <v>0</v>
      </c>
      <c r="K546" s="6">
        <v>0</v>
      </c>
      <c r="L546" s="6">
        <v>377.23500000000001</v>
      </c>
      <c r="M546" s="6">
        <v>377.23500000000001</v>
      </c>
      <c r="N546" s="6">
        <v>377.23500000000001</v>
      </c>
      <c r="O546" s="6">
        <v>377.23500000000001</v>
      </c>
      <c r="P546" s="6">
        <v>0</v>
      </c>
      <c r="Q546" s="4" t="s">
        <v>26</v>
      </c>
      <c r="R546" s="4">
        <v>0</v>
      </c>
      <c r="S546" s="4" t="s">
        <v>227</v>
      </c>
      <c r="T546" s="4" t="s">
        <v>472</v>
      </c>
      <c r="U546" s="4">
        <v>0</v>
      </c>
      <c r="V546" s="4">
        <v>5</v>
      </c>
      <c r="W546" s="4">
        <v>75</v>
      </c>
    </row>
    <row r="547" spans="1:23" ht="11.25" customHeight="1" x14ac:dyDescent="0.25">
      <c r="A547" s="4" t="s">
        <v>28</v>
      </c>
      <c r="B547" s="4" t="s">
        <v>41</v>
      </c>
      <c r="C547" s="4" t="s">
        <v>43</v>
      </c>
      <c r="D547" s="4" t="s">
        <v>47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44835</v>
      </c>
      <c r="J547" s="6">
        <v>0</v>
      </c>
      <c r="K547" s="6">
        <v>0</v>
      </c>
      <c r="L547" s="6">
        <v>11.032999999999999</v>
      </c>
      <c r="M547" s="6">
        <v>11.032999999999999</v>
      </c>
      <c r="N547" s="6">
        <v>11.032999999999999</v>
      </c>
      <c r="O547" s="6">
        <v>11.032999999999999</v>
      </c>
      <c r="P547" s="6">
        <v>0</v>
      </c>
      <c r="Q547" s="4" t="s">
        <v>26</v>
      </c>
      <c r="R547" s="4">
        <v>0</v>
      </c>
      <c r="S547" s="4" t="s">
        <v>227</v>
      </c>
      <c r="T547" s="4" t="s">
        <v>472</v>
      </c>
      <c r="U547" s="4">
        <v>0</v>
      </c>
      <c r="V547" s="4">
        <v>5</v>
      </c>
      <c r="W547" s="4">
        <v>75</v>
      </c>
    </row>
    <row r="548" spans="1:23" ht="11.25" customHeight="1" x14ac:dyDescent="0.25">
      <c r="A548" s="4" t="s">
        <v>28</v>
      </c>
      <c r="B548" s="4" t="s">
        <v>41</v>
      </c>
      <c r="C548" s="4" t="s">
        <v>43</v>
      </c>
      <c r="D548" s="4" t="s">
        <v>47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44835</v>
      </c>
      <c r="J548" s="6">
        <v>0</v>
      </c>
      <c r="K548" s="6">
        <v>0</v>
      </c>
      <c r="L548" s="6">
        <v>7.8170000000000002</v>
      </c>
      <c r="M548" s="6">
        <v>7.8170000000000002</v>
      </c>
      <c r="N548" s="6">
        <v>7.8170000000000002</v>
      </c>
      <c r="O548" s="6">
        <v>7.8170000000000002</v>
      </c>
      <c r="P548" s="6">
        <v>0</v>
      </c>
      <c r="Q548" s="4" t="s">
        <v>26</v>
      </c>
      <c r="R548" s="4">
        <v>0</v>
      </c>
      <c r="S548" s="4" t="s">
        <v>227</v>
      </c>
      <c r="T548" s="4" t="s">
        <v>472</v>
      </c>
      <c r="U548" s="4">
        <v>0</v>
      </c>
      <c r="V548" s="4">
        <v>5</v>
      </c>
      <c r="W548" s="4">
        <v>75</v>
      </c>
    </row>
    <row r="549" spans="1:23" ht="11.25" customHeight="1" x14ac:dyDescent="0.25">
      <c r="A549" s="4" t="s">
        <v>54</v>
      </c>
      <c r="B549" s="4" t="s">
        <v>41</v>
      </c>
      <c r="C549" s="4" t="s">
        <v>43</v>
      </c>
      <c r="D549" s="4" t="s">
        <v>47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44866</v>
      </c>
      <c r="J549" s="6">
        <v>0</v>
      </c>
      <c r="K549" s="6">
        <v>0</v>
      </c>
      <c r="L549" s="6">
        <v>377.23500000000001</v>
      </c>
      <c r="M549" s="6">
        <v>377.23500000000001</v>
      </c>
      <c r="N549" s="6">
        <v>377.23500000000001</v>
      </c>
      <c r="O549" s="6">
        <v>377.23500000000001</v>
      </c>
      <c r="P549" s="6">
        <v>0</v>
      </c>
      <c r="Q549" s="4" t="s">
        <v>26</v>
      </c>
      <c r="R549" s="4">
        <v>0</v>
      </c>
      <c r="S549" s="4" t="s">
        <v>228</v>
      </c>
      <c r="T549" s="4" t="s">
        <v>473</v>
      </c>
      <c r="U549" s="4">
        <v>0</v>
      </c>
      <c r="V549" s="4">
        <v>5</v>
      </c>
      <c r="W549" s="4">
        <v>75</v>
      </c>
    </row>
    <row r="550" spans="1:23" ht="11.25" customHeight="1" x14ac:dyDescent="0.25">
      <c r="A550" s="4" t="s">
        <v>54</v>
      </c>
      <c r="B550" s="4" t="s">
        <v>41</v>
      </c>
      <c r="C550" s="4" t="s">
        <v>43</v>
      </c>
      <c r="D550" s="4" t="s">
        <v>47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44866</v>
      </c>
      <c r="J550" s="6">
        <v>0</v>
      </c>
      <c r="K550" s="6">
        <v>0</v>
      </c>
      <c r="L550" s="6">
        <v>11.032999999999999</v>
      </c>
      <c r="M550" s="6">
        <v>11.032999999999999</v>
      </c>
      <c r="N550" s="6">
        <v>11.032999999999999</v>
      </c>
      <c r="O550" s="6">
        <v>11.032999999999999</v>
      </c>
      <c r="P550" s="6">
        <v>0</v>
      </c>
      <c r="Q550" s="4" t="s">
        <v>26</v>
      </c>
      <c r="R550" s="4">
        <v>0</v>
      </c>
      <c r="S550" s="4" t="s">
        <v>228</v>
      </c>
      <c r="T550" s="4" t="s">
        <v>473</v>
      </c>
      <c r="U550" s="4">
        <v>0</v>
      </c>
      <c r="V550" s="4">
        <v>5</v>
      </c>
      <c r="W550" s="4">
        <v>75</v>
      </c>
    </row>
    <row r="551" spans="1:23" ht="11.25" customHeight="1" x14ac:dyDescent="0.25">
      <c r="A551" s="4" t="s">
        <v>54</v>
      </c>
      <c r="B551" s="4" t="s">
        <v>41</v>
      </c>
      <c r="C551" s="4" t="s">
        <v>43</v>
      </c>
      <c r="D551" s="4" t="s">
        <v>47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44866</v>
      </c>
      <c r="J551" s="6">
        <v>0</v>
      </c>
      <c r="K551" s="6">
        <v>0</v>
      </c>
      <c r="L551" s="6">
        <v>7.8170000000000002</v>
      </c>
      <c r="M551" s="6">
        <v>7.8170000000000002</v>
      </c>
      <c r="N551" s="6">
        <v>7.8170000000000002</v>
      </c>
      <c r="O551" s="6">
        <v>7.8170000000000002</v>
      </c>
      <c r="P551" s="6">
        <v>0</v>
      </c>
      <c r="Q551" s="4" t="s">
        <v>26</v>
      </c>
      <c r="R551" s="4">
        <v>0</v>
      </c>
      <c r="S551" s="4" t="s">
        <v>228</v>
      </c>
      <c r="T551" s="4" t="s">
        <v>473</v>
      </c>
      <c r="U551" s="4">
        <v>0</v>
      </c>
      <c r="V551" s="4">
        <v>5</v>
      </c>
      <c r="W551" s="4">
        <v>75</v>
      </c>
    </row>
    <row r="552" spans="1:23" ht="11.25" customHeight="1" x14ac:dyDescent="0.25">
      <c r="A552" s="4" t="s">
        <v>21</v>
      </c>
      <c r="B552" s="4" t="s">
        <v>41</v>
      </c>
      <c r="C552" s="4" t="s">
        <v>43</v>
      </c>
      <c r="D552" s="4" t="s">
        <v>51</v>
      </c>
      <c r="E552" s="4" t="s">
        <v>52</v>
      </c>
      <c r="F552" s="4" t="s">
        <v>25</v>
      </c>
      <c r="G552" s="4" t="s">
        <v>25</v>
      </c>
      <c r="H552" s="4" t="s">
        <v>35</v>
      </c>
      <c r="I552" s="5">
        <v>44531</v>
      </c>
      <c r="J552" s="6">
        <v>0</v>
      </c>
      <c r="K552" s="6">
        <v>0</v>
      </c>
      <c r="L552" s="6">
        <v>533.77</v>
      </c>
      <c r="M552" s="6">
        <v>501.74379999999996</v>
      </c>
      <c r="N552" s="6">
        <v>533.77</v>
      </c>
      <c r="O552" s="6">
        <v>501.74379999999996</v>
      </c>
      <c r="P552" s="6">
        <v>0</v>
      </c>
      <c r="Q552" s="4" t="s">
        <v>26</v>
      </c>
      <c r="R552" s="4">
        <v>0</v>
      </c>
      <c r="S552" s="4" t="s">
        <v>193</v>
      </c>
      <c r="T552" s="4" t="s">
        <v>450</v>
      </c>
      <c r="U552" s="4">
        <v>0</v>
      </c>
      <c r="V552" s="4">
        <v>7</v>
      </c>
      <c r="W552" s="4">
        <v>76</v>
      </c>
    </row>
    <row r="553" spans="1:23" ht="11.25" customHeight="1" x14ac:dyDescent="0.25">
      <c r="A553" s="4" t="s">
        <v>21</v>
      </c>
      <c r="B553" s="4" t="s">
        <v>41</v>
      </c>
      <c r="C553" s="4" t="s">
        <v>43</v>
      </c>
      <c r="D553" s="4" t="s">
        <v>51</v>
      </c>
      <c r="E553" s="4" t="s">
        <v>52</v>
      </c>
      <c r="F553" s="4" t="s">
        <v>25</v>
      </c>
      <c r="G553" s="4" t="s">
        <v>25</v>
      </c>
      <c r="H553" s="4" t="s">
        <v>35</v>
      </c>
      <c r="I553" s="5">
        <v>44562</v>
      </c>
      <c r="J553" s="6">
        <v>0</v>
      </c>
      <c r="K553" s="6">
        <v>0</v>
      </c>
      <c r="L553" s="6">
        <v>541.12599999999998</v>
      </c>
      <c r="M553" s="6">
        <v>508.65843999999993</v>
      </c>
      <c r="N553" s="6">
        <v>541.12599999999998</v>
      </c>
      <c r="O553" s="6">
        <v>508.65843999999993</v>
      </c>
      <c r="P553" s="6">
        <v>0</v>
      </c>
      <c r="Q553" s="4" t="s">
        <v>26</v>
      </c>
      <c r="R553" s="4">
        <v>0</v>
      </c>
      <c r="S553" s="4" t="s">
        <v>194</v>
      </c>
      <c r="T553" s="4" t="s">
        <v>451</v>
      </c>
      <c r="U553" s="4">
        <v>0</v>
      </c>
      <c r="V553" s="4">
        <v>7</v>
      </c>
      <c r="W553" s="4">
        <v>76</v>
      </c>
    </row>
    <row r="554" spans="1:23" ht="11.25" customHeight="1" x14ac:dyDescent="0.25">
      <c r="A554" s="4" t="s">
        <v>21</v>
      </c>
      <c r="B554" s="4" t="s">
        <v>41</v>
      </c>
      <c r="C554" s="4" t="s">
        <v>43</v>
      </c>
      <c r="D554" s="4" t="s">
        <v>51</v>
      </c>
      <c r="E554" s="4" t="s">
        <v>52</v>
      </c>
      <c r="F554" s="4" t="s">
        <v>25</v>
      </c>
      <c r="G554" s="4" t="s">
        <v>25</v>
      </c>
      <c r="H554" s="4" t="s">
        <v>35</v>
      </c>
      <c r="I554" s="5">
        <v>44593</v>
      </c>
      <c r="J554" s="6">
        <v>0</v>
      </c>
      <c r="K554" s="6">
        <v>0</v>
      </c>
      <c r="L554" s="6">
        <v>454.30099999999999</v>
      </c>
      <c r="M554" s="6">
        <v>427.04293999999999</v>
      </c>
      <c r="N554" s="6">
        <v>454.30099999999999</v>
      </c>
      <c r="O554" s="6">
        <v>427.04293999999999</v>
      </c>
      <c r="P554" s="6">
        <v>0</v>
      </c>
      <c r="Q554" s="4" t="s">
        <v>26</v>
      </c>
      <c r="R554" s="4">
        <v>0</v>
      </c>
      <c r="S554" s="4" t="s">
        <v>195</v>
      </c>
      <c r="T554" s="4" t="s">
        <v>452</v>
      </c>
      <c r="U554" s="4">
        <v>0</v>
      </c>
      <c r="V554" s="4">
        <v>7</v>
      </c>
      <c r="W554" s="4">
        <v>76</v>
      </c>
    </row>
    <row r="555" spans="1:23" ht="11.25" customHeight="1" x14ac:dyDescent="0.25">
      <c r="A555" s="4" t="s">
        <v>21</v>
      </c>
      <c r="B555" s="4" t="s">
        <v>41</v>
      </c>
      <c r="C555" s="4" t="s">
        <v>43</v>
      </c>
      <c r="D555" s="4" t="s">
        <v>51</v>
      </c>
      <c r="E555" s="4" t="s">
        <v>52</v>
      </c>
      <c r="F555" s="4" t="s">
        <v>25</v>
      </c>
      <c r="G555" s="4" t="s">
        <v>25</v>
      </c>
      <c r="H555" s="4" t="s">
        <v>35</v>
      </c>
      <c r="I555" s="5">
        <v>44621</v>
      </c>
      <c r="J555" s="6">
        <v>0</v>
      </c>
      <c r="K555" s="6">
        <v>0</v>
      </c>
      <c r="L555" s="6">
        <v>575.00099999999998</v>
      </c>
      <c r="M555" s="6">
        <v>540.5009399999999</v>
      </c>
      <c r="N555" s="6">
        <v>575.00099999999998</v>
      </c>
      <c r="O555" s="6">
        <v>540.5009399999999</v>
      </c>
      <c r="P555" s="6">
        <v>0</v>
      </c>
      <c r="Q555" s="4" t="s">
        <v>26</v>
      </c>
      <c r="R555" s="4">
        <v>0</v>
      </c>
      <c r="S555" s="4" t="s">
        <v>196</v>
      </c>
      <c r="T555" s="4" t="s">
        <v>453</v>
      </c>
      <c r="U555" s="4">
        <v>0</v>
      </c>
      <c r="V555" s="4">
        <v>7</v>
      </c>
      <c r="W555" s="4">
        <v>76</v>
      </c>
    </row>
    <row r="556" spans="1:23" ht="11.25" customHeight="1" x14ac:dyDescent="0.25">
      <c r="A556" s="4" t="s">
        <v>27</v>
      </c>
      <c r="B556" s="4" t="s">
        <v>41</v>
      </c>
      <c r="C556" s="4" t="s">
        <v>43</v>
      </c>
      <c r="D556" s="4" t="s">
        <v>51</v>
      </c>
      <c r="E556" s="4" t="s">
        <v>52</v>
      </c>
      <c r="F556" s="4" t="s">
        <v>25</v>
      </c>
      <c r="G556" s="4" t="s">
        <v>25</v>
      </c>
      <c r="H556" s="4" t="s">
        <v>35</v>
      </c>
      <c r="I556" s="5">
        <v>44621</v>
      </c>
      <c r="J556" s="6">
        <v>0</v>
      </c>
      <c r="K556" s="6">
        <v>0</v>
      </c>
      <c r="L556" s="6">
        <v>10.036</v>
      </c>
      <c r="M556" s="6">
        <v>9.4338399999999982</v>
      </c>
      <c r="N556" s="6">
        <v>10.036</v>
      </c>
      <c r="O556" s="6">
        <v>9.4338399999999982</v>
      </c>
      <c r="P556" s="6">
        <v>0</v>
      </c>
      <c r="Q556" s="4" t="s">
        <v>26</v>
      </c>
      <c r="R556" s="4">
        <v>0</v>
      </c>
      <c r="S556" s="4" t="s">
        <v>196</v>
      </c>
      <c r="T556" s="4" t="s">
        <v>453</v>
      </c>
      <c r="U556" s="4">
        <v>0</v>
      </c>
      <c r="V556" s="4">
        <v>7</v>
      </c>
      <c r="W556" s="4">
        <v>76</v>
      </c>
    </row>
    <row r="557" spans="1:23" ht="11.25" customHeight="1" x14ac:dyDescent="0.25">
      <c r="A557" s="4" t="s">
        <v>21</v>
      </c>
      <c r="B557" s="4" t="s">
        <v>41</v>
      </c>
      <c r="C557" s="4" t="s">
        <v>43</v>
      </c>
      <c r="D557" s="4" t="s">
        <v>51</v>
      </c>
      <c r="E557" s="4" t="s">
        <v>52</v>
      </c>
      <c r="F557" s="4" t="s">
        <v>25</v>
      </c>
      <c r="G557" s="4" t="s">
        <v>25</v>
      </c>
      <c r="H557" s="4" t="s">
        <v>35</v>
      </c>
      <c r="I557" s="5">
        <v>44652</v>
      </c>
      <c r="J557" s="6">
        <v>0</v>
      </c>
      <c r="K557" s="6">
        <v>0</v>
      </c>
      <c r="L557" s="6">
        <v>509.452</v>
      </c>
      <c r="M557" s="6">
        <v>478.88487999999995</v>
      </c>
      <c r="N557" s="6">
        <v>509.452</v>
      </c>
      <c r="O557" s="6">
        <v>478.88487999999995</v>
      </c>
      <c r="P557" s="6">
        <v>0</v>
      </c>
      <c r="Q557" s="4" t="s">
        <v>26</v>
      </c>
      <c r="R557" s="4">
        <v>0</v>
      </c>
      <c r="S557" s="4" t="s">
        <v>197</v>
      </c>
      <c r="T557" s="4" t="s">
        <v>454</v>
      </c>
      <c r="U557" s="4">
        <v>0</v>
      </c>
      <c r="V557" s="4">
        <v>7</v>
      </c>
      <c r="W557" s="4">
        <v>76</v>
      </c>
    </row>
    <row r="558" spans="1:23" ht="11.25" customHeight="1" x14ac:dyDescent="0.25">
      <c r="A558" s="4" t="s">
        <v>21</v>
      </c>
      <c r="B558" s="4" t="s">
        <v>41</v>
      </c>
      <c r="C558" s="4" t="s">
        <v>43</v>
      </c>
      <c r="D558" s="4" t="s">
        <v>51</v>
      </c>
      <c r="E558" s="4" t="s">
        <v>52</v>
      </c>
      <c r="F558" s="4" t="s">
        <v>25</v>
      </c>
      <c r="G558" s="4" t="s">
        <v>25</v>
      </c>
      <c r="H558" s="4" t="s">
        <v>35</v>
      </c>
      <c r="I558" s="5">
        <v>44682</v>
      </c>
      <c r="J558" s="6">
        <v>0</v>
      </c>
      <c r="K558" s="6">
        <v>0</v>
      </c>
      <c r="L558" s="6">
        <v>502.738</v>
      </c>
      <c r="M558" s="6">
        <v>472.57371999999998</v>
      </c>
      <c r="N558" s="6">
        <v>502.738</v>
      </c>
      <c r="O558" s="6">
        <v>472.57371999999998</v>
      </c>
      <c r="P558" s="6">
        <v>0</v>
      </c>
      <c r="Q558" s="4" t="s">
        <v>26</v>
      </c>
      <c r="R558" s="4">
        <v>0</v>
      </c>
      <c r="S558" s="4" t="s">
        <v>198</v>
      </c>
      <c r="T558" s="4" t="s">
        <v>455</v>
      </c>
      <c r="U558" s="4">
        <v>0</v>
      </c>
      <c r="V558" s="4">
        <v>7</v>
      </c>
      <c r="W558" s="4">
        <v>76</v>
      </c>
    </row>
    <row r="559" spans="1:23" ht="11.25" customHeight="1" x14ac:dyDescent="0.25">
      <c r="A559" s="4" t="s">
        <v>21</v>
      </c>
      <c r="B559" s="4" t="s">
        <v>41</v>
      </c>
      <c r="C559" s="4" t="s">
        <v>43</v>
      </c>
      <c r="D559" s="4" t="s">
        <v>51</v>
      </c>
      <c r="E559" s="4" t="s">
        <v>52</v>
      </c>
      <c r="F559" s="4" t="s">
        <v>25</v>
      </c>
      <c r="G559" s="4" t="s">
        <v>25</v>
      </c>
      <c r="H559" s="4" t="s">
        <v>35</v>
      </c>
      <c r="I559" s="5">
        <v>44713</v>
      </c>
      <c r="J559" s="6">
        <v>0</v>
      </c>
      <c r="K559" s="6">
        <v>0</v>
      </c>
      <c r="L559" s="6">
        <v>484.745</v>
      </c>
      <c r="M559" s="6">
        <v>455.66030000000001</v>
      </c>
      <c r="N559" s="6">
        <v>484.745</v>
      </c>
      <c r="O559" s="6">
        <v>455.66030000000001</v>
      </c>
      <c r="P559" s="6">
        <v>0</v>
      </c>
      <c r="Q559" s="4" t="s">
        <v>26</v>
      </c>
      <c r="R559" s="4">
        <v>0</v>
      </c>
      <c r="S559" s="4" t="s">
        <v>199</v>
      </c>
      <c r="T559" s="4" t="s">
        <v>456</v>
      </c>
      <c r="U559" s="4">
        <v>0</v>
      </c>
      <c r="V559" s="4">
        <v>7</v>
      </c>
      <c r="W559" s="4">
        <v>76</v>
      </c>
    </row>
    <row r="560" spans="1:23" ht="11.25" customHeight="1" x14ac:dyDescent="0.25">
      <c r="A560" s="4" t="s">
        <v>21</v>
      </c>
      <c r="B560" s="4" t="s">
        <v>41</v>
      </c>
      <c r="C560" s="4" t="s">
        <v>43</v>
      </c>
      <c r="D560" s="4" t="s">
        <v>51</v>
      </c>
      <c r="E560" s="4" t="s">
        <v>52</v>
      </c>
      <c r="F560" s="4" t="s">
        <v>25</v>
      </c>
      <c r="G560" s="4" t="s">
        <v>25</v>
      </c>
      <c r="H560" s="4" t="s">
        <v>35</v>
      </c>
      <c r="I560" s="5">
        <v>44743</v>
      </c>
      <c r="J560" s="6">
        <v>0</v>
      </c>
      <c r="K560" s="6">
        <v>0</v>
      </c>
      <c r="L560" s="6">
        <v>11.79</v>
      </c>
      <c r="M560" s="6">
        <v>11.082599999999999</v>
      </c>
      <c r="N560" s="6">
        <v>11.79</v>
      </c>
      <c r="O560" s="6">
        <v>11.082599999999999</v>
      </c>
      <c r="P560" s="6">
        <v>0</v>
      </c>
      <c r="Q560" s="4" t="s">
        <v>26</v>
      </c>
      <c r="R560" s="4">
        <v>0</v>
      </c>
      <c r="S560" s="4" t="s">
        <v>200</v>
      </c>
      <c r="T560" s="4" t="s">
        <v>457</v>
      </c>
      <c r="U560" s="4">
        <v>0</v>
      </c>
      <c r="V560" s="4">
        <v>7</v>
      </c>
      <c r="W560" s="4">
        <v>76</v>
      </c>
    </row>
    <row r="561" spans="1:23" ht="11.25" customHeight="1" x14ac:dyDescent="0.25">
      <c r="A561" s="4" t="s">
        <v>27</v>
      </c>
      <c r="B561" s="4" t="s">
        <v>41</v>
      </c>
      <c r="C561" s="4" t="s">
        <v>43</v>
      </c>
      <c r="D561" s="4" t="s">
        <v>51</v>
      </c>
      <c r="E561" s="4" t="s">
        <v>52</v>
      </c>
      <c r="F561" s="4" t="s">
        <v>25</v>
      </c>
      <c r="G561" s="4" t="s">
        <v>25</v>
      </c>
      <c r="H561" s="4" t="s">
        <v>35</v>
      </c>
      <c r="I561" s="5">
        <v>44743</v>
      </c>
      <c r="J561" s="6">
        <v>0</v>
      </c>
      <c r="K561" s="6">
        <v>0</v>
      </c>
      <c r="L561" s="6">
        <v>178.679</v>
      </c>
      <c r="M561" s="6">
        <v>167.95826</v>
      </c>
      <c r="N561" s="6">
        <v>178.679</v>
      </c>
      <c r="O561" s="6">
        <v>167.95826</v>
      </c>
      <c r="P561" s="6">
        <v>0</v>
      </c>
      <c r="Q561" s="4" t="s">
        <v>26</v>
      </c>
      <c r="R561" s="4">
        <v>0</v>
      </c>
      <c r="S561" s="4" t="s">
        <v>200</v>
      </c>
      <c r="T561" s="4" t="s">
        <v>457</v>
      </c>
      <c r="U561" s="4">
        <v>0</v>
      </c>
      <c r="V561" s="4">
        <v>7</v>
      </c>
      <c r="W561" s="4">
        <v>76</v>
      </c>
    </row>
    <row r="562" spans="1:23" ht="11.25" customHeight="1" x14ac:dyDescent="0.25">
      <c r="A562" s="4" t="s">
        <v>21</v>
      </c>
      <c r="B562" s="4" t="s">
        <v>41</v>
      </c>
      <c r="C562" s="4" t="s">
        <v>43</v>
      </c>
      <c r="D562" s="4" t="s">
        <v>51</v>
      </c>
      <c r="E562" s="4" t="s">
        <v>52</v>
      </c>
      <c r="F562" s="4" t="s">
        <v>25</v>
      </c>
      <c r="G562" s="4" t="s">
        <v>25</v>
      </c>
      <c r="H562" s="4" t="s">
        <v>35</v>
      </c>
      <c r="I562" s="5">
        <v>44774</v>
      </c>
      <c r="J562" s="6">
        <v>0</v>
      </c>
      <c r="K562" s="6">
        <v>0</v>
      </c>
      <c r="L562" s="6">
        <v>599.32600000000002</v>
      </c>
      <c r="M562" s="6">
        <v>563.36644000000001</v>
      </c>
      <c r="N562" s="6">
        <v>599.32600000000002</v>
      </c>
      <c r="O562" s="6">
        <v>563.36644000000001</v>
      </c>
      <c r="P562" s="6">
        <v>0</v>
      </c>
      <c r="Q562" s="4" t="s">
        <v>26</v>
      </c>
      <c r="R562" s="4">
        <v>0</v>
      </c>
      <c r="S562" s="4" t="s">
        <v>201</v>
      </c>
      <c r="T562" s="4" t="s">
        <v>458</v>
      </c>
      <c r="U562" s="4">
        <v>0</v>
      </c>
      <c r="V562" s="4">
        <v>7</v>
      </c>
      <c r="W562" s="4">
        <v>76</v>
      </c>
    </row>
    <row r="563" spans="1:23" ht="11.25" customHeight="1" x14ac:dyDescent="0.25">
      <c r="A563" s="4" t="s">
        <v>27</v>
      </c>
      <c r="B563" s="4" t="s">
        <v>41</v>
      </c>
      <c r="C563" s="4" t="s">
        <v>43</v>
      </c>
      <c r="D563" s="4" t="s">
        <v>51</v>
      </c>
      <c r="E563" s="4" t="s">
        <v>52</v>
      </c>
      <c r="F563" s="4" t="s">
        <v>25</v>
      </c>
      <c r="G563" s="4" t="s">
        <v>25</v>
      </c>
      <c r="H563" s="4" t="s">
        <v>35</v>
      </c>
      <c r="I563" s="5">
        <v>44774</v>
      </c>
      <c r="J563" s="6">
        <v>0</v>
      </c>
      <c r="K563" s="6">
        <v>0</v>
      </c>
      <c r="L563" s="6">
        <v>338.64400000000001</v>
      </c>
      <c r="M563" s="6">
        <v>318.32535999999999</v>
      </c>
      <c r="N563" s="6">
        <v>338.64400000000001</v>
      </c>
      <c r="O563" s="6">
        <v>318.32535999999999</v>
      </c>
      <c r="P563" s="6">
        <v>0</v>
      </c>
      <c r="Q563" s="4" t="s">
        <v>26</v>
      </c>
      <c r="R563" s="4">
        <v>0</v>
      </c>
      <c r="S563" s="4" t="s">
        <v>201</v>
      </c>
      <c r="T563" s="4" t="s">
        <v>458</v>
      </c>
      <c r="U563" s="4">
        <v>0</v>
      </c>
      <c r="V563" s="4">
        <v>7</v>
      </c>
      <c r="W563" s="4">
        <v>76</v>
      </c>
    </row>
    <row r="564" spans="1:23" ht="11.25" customHeight="1" x14ac:dyDescent="0.25">
      <c r="A564" s="4" t="s">
        <v>21</v>
      </c>
      <c r="B564" s="4" t="s">
        <v>41</v>
      </c>
      <c r="C564" s="4" t="s">
        <v>43</v>
      </c>
      <c r="D564" s="4" t="s">
        <v>51</v>
      </c>
      <c r="E564" s="4" t="s">
        <v>52</v>
      </c>
      <c r="F564" s="4" t="s">
        <v>25</v>
      </c>
      <c r="G564" s="4" t="s">
        <v>25</v>
      </c>
      <c r="H564" s="4" t="s">
        <v>35</v>
      </c>
      <c r="I564" s="5">
        <v>44805</v>
      </c>
      <c r="J564" s="6">
        <v>0</v>
      </c>
      <c r="K564" s="6">
        <v>0</v>
      </c>
      <c r="L564" s="6">
        <v>547.43100000000004</v>
      </c>
      <c r="M564" s="6">
        <v>514.58514000000002</v>
      </c>
      <c r="N564" s="6">
        <v>547.43100000000004</v>
      </c>
      <c r="O564" s="6">
        <v>514.58514000000002</v>
      </c>
      <c r="P564" s="6">
        <v>0</v>
      </c>
      <c r="Q564" s="4" t="s">
        <v>26</v>
      </c>
      <c r="R564" s="4">
        <v>0</v>
      </c>
      <c r="S564" s="4" t="s">
        <v>202</v>
      </c>
      <c r="T564" s="4" t="s">
        <v>459</v>
      </c>
      <c r="U564" s="4">
        <v>0</v>
      </c>
      <c r="V564" s="4">
        <v>7</v>
      </c>
      <c r="W564" s="4">
        <v>76</v>
      </c>
    </row>
    <row r="565" spans="1:23" ht="11.25" customHeight="1" x14ac:dyDescent="0.25">
      <c r="A565" s="4" t="s">
        <v>21</v>
      </c>
      <c r="B565" s="4" t="s">
        <v>41</v>
      </c>
      <c r="C565" s="4" t="s">
        <v>43</v>
      </c>
      <c r="D565" s="4" t="s">
        <v>51</v>
      </c>
      <c r="E565" s="4" t="s">
        <v>52</v>
      </c>
      <c r="F565" s="4" t="s">
        <v>25</v>
      </c>
      <c r="G565" s="4" t="s">
        <v>25</v>
      </c>
      <c r="H565" s="4" t="s">
        <v>35</v>
      </c>
      <c r="I565" s="5">
        <v>44835</v>
      </c>
      <c r="J565" s="6">
        <v>0</v>
      </c>
      <c r="K565" s="6">
        <v>0</v>
      </c>
      <c r="L565" s="6">
        <v>622.745</v>
      </c>
      <c r="M565" s="6">
        <v>585.38029999999992</v>
      </c>
      <c r="N565" s="6">
        <v>622.745</v>
      </c>
      <c r="O565" s="6">
        <v>585.38029999999992</v>
      </c>
      <c r="P565" s="6">
        <v>0</v>
      </c>
      <c r="Q565" s="4" t="s">
        <v>26</v>
      </c>
      <c r="R565" s="4">
        <v>0</v>
      </c>
      <c r="S565" s="4" t="s">
        <v>203</v>
      </c>
      <c r="T565" s="4" t="s">
        <v>460</v>
      </c>
      <c r="U565" s="4">
        <v>0</v>
      </c>
      <c r="V565" s="4">
        <v>7</v>
      </c>
      <c r="W565" s="4">
        <v>76</v>
      </c>
    </row>
    <row r="566" spans="1:23" ht="11.25" customHeight="1" x14ac:dyDescent="0.25">
      <c r="A566" s="4" t="s">
        <v>54</v>
      </c>
      <c r="B566" s="4" t="s">
        <v>41</v>
      </c>
      <c r="C566" s="4" t="s">
        <v>43</v>
      </c>
      <c r="D566" s="4" t="s">
        <v>51</v>
      </c>
      <c r="E566" s="4" t="s">
        <v>52</v>
      </c>
      <c r="F566" s="4" t="s">
        <v>25</v>
      </c>
      <c r="G566" s="4" t="s">
        <v>25</v>
      </c>
      <c r="H566" s="4" t="s">
        <v>35</v>
      </c>
      <c r="I566" s="5">
        <v>44866</v>
      </c>
      <c r="J566" s="6">
        <v>0</v>
      </c>
      <c r="K566" s="6">
        <v>0</v>
      </c>
      <c r="L566" s="6">
        <v>622.745</v>
      </c>
      <c r="M566" s="6">
        <v>585.38029999999992</v>
      </c>
      <c r="N566" s="6">
        <v>622.745</v>
      </c>
      <c r="O566" s="6">
        <v>585.38029999999992</v>
      </c>
      <c r="P566" s="6">
        <v>0</v>
      </c>
      <c r="Q566" s="4" t="s">
        <v>26</v>
      </c>
      <c r="R566" s="4">
        <v>0</v>
      </c>
      <c r="S566" s="4" t="s">
        <v>204</v>
      </c>
      <c r="T566" s="4" t="s">
        <v>461</v>
      </c>
      <c r="U566" s="4">
        <v>0</v>
      </c>
      <c r="V566" s="4">
        <v>7</v>
      </c>
      <c r="W566" s="4">
        <v>76</v>
      </c>
    </row>
    <row r="567" spans="1:23" ht="11.25" customHeight="1" x14ac:dyDescent="0.25">
      <c r="A567" s="4" t="s">
        <v>21</v>
      </c>
      <c r="B567" s="4" t="s">
        <v>41</v>
      </c>
      <c r="C567" s="4" t="s">
        <v>43</v>
      </c>
      <c r="D567" s="4" t="s">
        <v>51</v>
      </c>
      <c r="E567" s="4" t="s">
        <v>52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1554</v>
      </c>
      <c r="K567" s="6">
        <v>1460.76</v>
      </c>
      <c r="L567" s="6">
        <v>0</v>
      </c>
      <c r="M567" s="6">
        <v>0</v>
      </c>
      <c r="N567" s="6">
        <v>0</v>
      </c>
      <c r="O567" s="6">
        <v>0</v>
      </c>
      <c r="P567" s="6">
        <v>11</v>
      </c>
      <c r="Q567" s="4" t="s">
        <v>26</v>
      </c>
      <c r="R567" s="4">
        <v>0</v>
      </c>
      <c r="S567" s="4" t="s">
        <v>205</v>
      </c>
      <c r="U567" s="4">
        <v>2</v>
      </c>
      <c r="V567" s="4">
        <v>0</v>
      </c>
      <c r="W567" s="4">
        <v>0</v>
      </c>
    </row>
    <row r="568" spans="1:23" ht="11.25" customHeight="1" x14ac:dyDescent="0.25">
      <c r="A568" s="4" t="s">
        <v>21</v>
      </c>
      <c r="B568" s="4" t="s">
        <v>41</v>
      </c>
      <c r="C568" s="4" t="s">
        <v>43</v>
      </c>
      <c r="D568" s="4" t="s">
        <v>51</v>
      </c>
      <c r="E568" s="4" t="s">
        <v>52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1542</v>
      </c>
      <c r="K568" s="6">
        <v>1449.48</v>
      </c>
      <c r="L568" s="6">
        <v>0</v>
      </c>
      <c r="M568" s="6">
        <v>0</v>
      </c>
      <c r="N568" s="6">
        <v>0</v>
      </c>
      <c r="O568" s="6">
        <v>0</v>
      </c>
      <c r="P568" s="6">
        <v>11</v>
      </c>
      <c r="Q568" s="4" t="s">
        <v>26</v>
      </c>
      <c r="R568" s="4">
        <v>0</v>
      </c>
      <c r="S568" s="4" t="s">
        <v>206</v>
      </c>
      <c r="U568" s="4">
        <v>2</v>
      </c>
      <c r="V568" s="4">
        <v>0</v>
      </c>
      <c r="W568" s="4">
        <v>0</v>
      </c>
    </row>
    <row r="569" spans="1:23" ht="11.25" customHeight="1" x14ac:dyDescent="0.25">
      <c r="A569" s="4" t="s">
        <v>21</v>
      </c>
      <c r="B569" s="4" t="s">
        <v>41</v>
      </c>
      <c r="C569" s="4" t="s">
        <v>43</v>
      </c>
      <c r="D569" s="4" t="s">
        <v>51</v>
      </c>
      <c r="E569" s="4" t="s">
        <v>52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1507</v>
      </c>
      <c r="K569" s="6">
        <v>1416.58</v>
      </c>
      <c r="L569" s="6">
        <v>0</v>
      </c>
      <c r="M569" s="6">
        <v>0</v>
      </c>
      <c r="N569" s="6">
        <v>0</v>
      </c>
      <c r="O569" s="6">
        <v>0</v>
      </c>
      <c r="P569" s="6">
        <v>12</v>
      </c>
      <c r="Q569" s="4" t="s">
        <v>26</v>
      </c>
      <c r="R569" s="4">
        <v>0</v>
      </c>
      <c r="S569" s="4" t="s">
        <v>207</v>
      </c>
      <c r="U569" s="4">
        <v>2</v>
      </c>
      <c r="V569" s="4">
        <v>0</v>
      </c>
      <c r="W569" s="4">
        <v>0</v>
      </c>
    </row>
    <row r="570" spans="1:23" ht="11.25" customHeight="1" x14ac:dyDescent="0.25">
      <c r="A570" s="4" t="s">
        <v>21</v>
      </c>
      <c r="B570" s="4" t="s">
        <v>41</v>
      </c>
      <c r="C570" s="4" t="s">
        <v>43</v>
      </c>
      <c r="D570" s="4" t="s">
        <v>51</v>
      </c>
      <c r="E570" s="4" t="s">
        <v>52</v>
      </c>
      <c r="F570" s="4" t="s">
        <v>25</v>
      </c>
      <c r="G570" s="4" t="s">
        <v>25</v>
      </c>
      <c r="H570" s="4" t="s">
        <v>25</v>
      </c>
      <c r="I570" s="5">
        <v>44621</v>
      </c>
      <c r="J570" s="6">
        <v>1544</v>
      </c>
      <c r="K570" s="6">
        <v>1451.36</v>
      </c>
      <c r="L570" s="6">
        <v>0</v>
      </c>
      <c r="M570" s="6">
        <v>0</v>
      </c>
      <c r="N570" s="6">
        <v>0</v>
      </c>
      <c r="O570" s="6">
        <v>0</v>
      </c>
      <c r="P570" s="6">
        <v>12</v>
      </c>
      <c r="Q570" s="4" t="s">
        <v>26</v>
      </c>
      <c r="R570" s="4">
        <v>0</v>
      </c>
      <c r="S570" s="4" t="s">
        <v>208</v>
      </c>
      <c r="U570" s="4">
        <v>2</v>
      </c>
      <c r="V570" s="4">
        <v>0</v>
      </c>
      <c r="W570" s="4">
        <v>0</v>
      </c>
    </row>
    <row r="571" spans="1:23" ht="11.25" customHeight="1" x14ac:dyDescent="0.25">
      <c r="A571" s="4" t="s">
        <v>21</v>
      </c>
      <c r="B571" s="4" t="s">
        <v>41</v>
      </c>
      <c r="C571" s="4" t="s">
        <v>43</v>
      </c>
      <c r="D571" s="4" t="s">
        <v>51</v>
      </c>
      <c r="E571" s="4" t="s">
        <v>52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1543</v>
      </c>
      <c r="K571" s="6">
        <v>1450.4199999999998</v>
      </c>
      <c r="L571" s="6">
        <v>0</v>
      </c>
      <c r="M571" s="6">
        <v>0</v>
      </c>
      <c r="N571" s="6">
        <v>0</v>
      </c>
      <c r="O571" s="6">
        <v>0</v>
      </c>
      <c r="P571" s="6">
        <v>12</v>
      </c>
      <c r="Q571" s="4" t="s">
        <v>26</v>
      </c>
      <c r="R571" s="4">
        <v>0</v>
      </c>
      <c r="S571" s="4" t="s">
        <v>209</v>
      </c>
      <c r="U571" s="4">
        <v>2</v>
      </c>
      <c r="V571" s="4">
        <v>0</v>
      </c>
      <c r="W571" s="4">
        <v>0</v>
      </c>
    </row>
    <row r="572" spans="1:23" ht="11.25" customHeight="1" x14ac:dyDescent="0.25">
      <c r="A572" s="4" t="s">
        <v>21</v>
      </c>
      <c r="B572" s="4" t="s">
        <v>41</v>
      </c>
      <c r="C572" s="4" t="s">
        <v>43</v>
      </c>
      <c r="D572" s="4" t="s">
        <v>51</v>
      </c>
      <c r="E572" s="4" t="s">
        <v>52</v>
      </c>
      <c r="F572" s="4" t="s">
        <v>25</v>
      </c>
      <c r="G572" s="4" t="s">
        <v>25</v>
      </c>
      <c r="H572" s="4" t="s">
        <v>25</v>
      </c>
      <c r="I572" s="5">
        <v>44682</v>
      </c>
      <c r="J572" s="6">
        <v>1543</v>
      </c>
      <c r="K572" s="6">
        <v>1450.4199999999998</v>
      </c>
      <c r="L572" s="6">
        <v>0</v>
      </c>
      <c r="M572" s="6">
        <v>0</v>
      </c>
      <c r="N572" s="6">
        <v>0</v>
      </c>
      <c r="O572" s="6">
        <v>0</v>
      </c>
      <c r="P572" s="6">
        <v>12</v>
      </c>
      <c r="Q572" s="4" t="s">
        <v>26</v>
      </c>
      <c r="R572" s="4">
        <v>0</v>
      </c>
      <c r="S572" s="4" t="s">
        <v>210</v>
      </c>
      <c r="U572" s="4">
        <v>2</v>
      </c>
      <c r="V572" s="4">
        <v>0</v>
      </c>
      <c r="W572" s="4">
        <v>0</v>
      </c>
    </row>
    <row r="573" spans="1:23" ht="11.25" customHeight="1" x14ac:dyDescent="0.25">
      <c r="A573" s="4" t="s">
        <v>21</v>
      </c>
      <c r="B573" s="4" t="s">
        <v>41</v>
      </c>
      <c r="C573" s="4" t="s">
        <v>43</v>
      </c>
      <c r="D573" s="4" t="s">
        <v>51</v>
      </c>
      <c r="E573" s="4" t="s">
        <v>52</v>
      </c>
      <c r="F573" s="4" t="s">
        <v>25</v>
      </c>
      <c r="G573" s="4" t="s">
        <v>25</v>
      </c>
      <c r="H573" s="4" t="s">
        <v>25</v>
      </c>
      <c r="I573" s="5">
        <v>44713</v>
      </c>
      <c r="J573" s="6">
        <v>1625</v>
      </c>
      <c r="K573" s="6">
        <v>1527.5</v>
      </c>
      <c r="L573" s="6">
        <v>0</v>
      </c>
      <c r="M573" s="6">
        <v>0</v>
      </c>
      <c r="N573" s="6">
        <v>0</v>
      </c>
      <c r="O573" s="6">
        <v>0</v>
      </c>
      <c r="P573" s="6">
        <v>12</v>
      </c>
      <c r="Q573" s="4" t="s">
        <v>26</v>
      </c>
      <c r="R573" s="4">
        <v>0</v>
      </c>
      <c r="S573" s="4" t="s">
        <v>211</v>
      </c>
      <c r="U573" s="4">
        <v>2</v>
      </c>
      <c r="V573" s="4">
        <v>0</v>
      </c>
      <c r="W573" s="4">
        <v>0</v>
      </c>
    </row>
    <row r="574" spans="1:23" ht="11.25" customHeight="1" x14ac:dyDescent="0.25">
      <c r="A574" s="4" t="s">
        <v>21</v>
      </c>
      <c r="B574" s="4" t="s">
        <v>41</v>
      </c>
      <c r="C574" s="4" t="s">
        <v>43</v>
      </c>
      <c r="D574" s="4" t="s">
        <v>51</v>
      </c>
      <c r="E574" s="4" t="s">
        <v>52</v>
      </c>
      <c r="F574" s="4" t="s">
        <v>25</v>
      </c>
      <c r="G574" s="4" t="s">
        <v>25</v>
      </c>
      <c r="H574" s="4" t="s">
        <v>25</v>
      </c>
      <c r="I574" s="5">
        <v>44743</v>
      </c>
      <c r="J574" s="6">
        <v>111</v>
      </c>
      <c r="K574" s="6">
        <v>104.33999999999999</v>
      </c>
      <c r="L574" s="6">
        <v>0</v>
      </c>
      <c r="M574" s="6">
        <v>0</v>
      </c>
      <c r="N574" s="6">
        <v>0</v>
      </c>
      <c r="O574" s="6">
        <v>0</v>
      </c>
      <c r="P574" s="6">
        <v>1</v>
      </c>
      <c r="Q574" s="4" t="s">
        <v>26</v>
      </c>
      <c r="R574" s="4">
        <v>0</v>
      </c>
      <c r="S574" s="4" t="s">
        <v>212</v>
      </c>
      <c r="U574" s="4">
        <v>2</v>
      </c>
      <c r="V574" s="4">
        <v>0</v>
      </c>
      <c r="W574" s="4">
        <v>0</v>
      </c>
    </row>
    <row r="575" spans="1:23" ht="11.25" customHeight="1" x14ac:dyDescent="0.25">
      <c r="A575" s="4" t="s">
        <v>27</v>
      </c>
      <c r="B575" s="4" t="s">
        <v>41</v>
      </c>
      <c r="C575" s="4" t="s">
        <v>43</v>
      </c>
      <c r="D575" s="4" t="s">
        <v>51</v>
      </c>
      <c r="E575" s="4" t="s">
        <v>52</v>
      </c>
      <c r="F575" s="4" t="s">
        <v>25</v>
      </c>
      <c r="G575" s="4" t="s">
        <v>25</v>
      </c>
      <c r="H575" s="4" t="s">
        <v>25</v>
      </c>
      <c r="I575" s="5">
        <v>44743</v>
      </c>
      <c r="J575" s="6">
        <v>1506</v>
      </c>
      <c r="K575" s="6">
        <v>1415.6399999999999</v>
      </c>
      <c r="L575" s="6">
        <v>0</v>
      </c>
      <c r="M575" s="6">
        <v>0</v>
      </c>
      <c r="N575" s="6">
        <v>0</v>
      </c>
      <c r="O575" s="6">
        <v>0</v>
      </c>
      <c r="P575" s="6">
        <v>11</v>
      </c>
      <c r="Q575" s="4" t="s">
        <v>26</v>
      </c>
      <c r="R575" s="4">
        <v>0</v>
      </c>
      <c r="S575" s="4" t="s">
        <v>212</v>
      </c>
      <c r="U575" s="4">
        <v>2</v>
      </c>
      <c r="V575" s="4">
        <v>0</v>
      </c>
      <c r="W575" s="4">
        <v>0</v>
      </c>
    </row>
    <row r="576" spans="1:23" ht="11.25" customHeight="1" x14ac:dyDescent="0.25">
      <c r="A576" s="4" t="s">
        <v>21</v>
      </c>
      <c r="B576" s="4" t="s">
        <v>41</v>
      </c>
      <c r="C576" s="4" t="s">
        <v>43</v>
      </c>
      <c r="D576" s="4" t="s">
        <v>51</v>
      </c>
      <c r="E576" s="4" t="s">
        <v>52</v>
      </c>
      <c r="F576" s="4" t="s">
        <v>25</v>
      </c>
      <c r="G576" s="4" t="s">
        <v>25</v>
      </c>
      <c r="H576" s="4" t="s">
        <v>25</v>
      </c>
      <c r="I576" s="5">
        <v>44774</v>
      </c>
      <c r="J576" s="6">
        <v>1577</v>
      </c>
      <c r="K576" s="6">
        <v>1482.3799999999999</v>
      </c>
      <c r="L576" s="6">
        <v>0</v>
      </c>
      <c r="M576" s="6">
        <v>0</v>
      </c>
      <c r="N576" s="6">
        <v>0</v>
      </c>
      <c r="O576" s="6">
        <v>0</v>
      </c>
      <c r="P576" s="6">
        <v>15</v>
      </c>
      <c r="Q576" s="4" t="s">
        <v>26</v>
      </c>
      <c r="R576" s="4">
        <v>0</v>
      </c>
      <c r="S576" s="4" t="s">
        <v>213</v>
      </c>
      <c r="U576" s="4">
        <v>2</v>
      </c>
      <c r="V576" s="4">
        <v>0</v>
      </c>
      <c r="W576" s="4">
        <v>0</v>
      </c>
    </row>
    <row r="577" spans="1:23" ht="11.25" customHeight="1" x14ac:dyDescent="0.25">
      <c r="A577" s="4" t="s">
        <v>27</v>
      </c>
      <c r="B577" s="4" t="s">
        <v>41</v>
      </c>
      <c r="C577" s="4" t="s">
        <v>43</v>
      </c>
      <c r="D577" s="4" t="s">
        <v>51</v>
      </c>
      <c r="E577" s="4" t="s">
        <v>52</v>
      </c>
      <c r="F577" s="4" t="s">
        <v>25</v>
      </c>
      <c r="G577" s="4" t="s">
        <v>25</v>
      </c>
      <c r="H577" s="4" t="s">
        <v>25</v>
      </c>
      <c r="I577" s="5">
        <v>44774</v>
      </c>
      <c r="J577" s="6">
        <v>201</v>
      </c>
      <c r="K577" s="6">
        <v>188.94</v>
      </c>
      <c r="L577" s="6">
        <v>0</v>
      </c>
      <c r="M577" s="6">
        <v>0</v>
      </c>
      <c r="N577" s="6">
        <v>0</v>
      </c>
      <c r="O577" s="6">
        <v>0</v>
      </c>
      <c r="P577" s="6">
        <v>13</v>
      </c>
      <c r="Q577" s="4" t="s">
        <v>26</v>
      </c>
      <c r="R577" s="4">
        <v>0</v>
      </c>
      <c r="S577" s="4" t="s">
        <v>213</v>
      </c>
      <c r="U577" s="4">
        <v>2</v>
      </c>
      <c r="V577" s="4">
        <v>0</v>
      </c>
      <c r="W577" s="4">
        <v>0</v>
      </c>
    </row>
    <row r="578" spans="1:23" ht="11.25" customHeight="1" x14ac:dyDescent="0.25">
      <c r="A578" s="4" t="s">
        <v>21</v>
      </c>
      <c r="B578" s="4" t="s">
        <v>41</v>
      </c>
      <c r="C578" s="4" t="s">
        <v>43</v>
      </c>
      <c r="D578" s="4" t="s">
        <v>51</v>
      </c>
      <c r="E578" s="4" t="s">
        <v>52</v>
      </c>
      <c r="F578" s="4" t="s">
        <v>25</v>
      </c>
      <c r="G578" s="4" t="s">
        <v>25</v>
      </c>
      <c r="H578" s="4" t="s">
        <v>25</v>
      </c>
      <c r="I578" s="5">
        <v>44805</v>
      </c>
      <c r="J578" s="6">
        <v>1634</v>
      </c>
      <c r="K578" s="6">
        <v>1535.9599999999998</v>
      </c>
      <c r="L578" s="6">
        <v>0</v>
      </c>
      <c r="M578" s="6">
        <v>0</v>
      </c>
      <c r="N578" s="6">
        <v>0</v>
      </c>
      <c r="O578" s="6">
        <v>0</v>
      </c>
      <c r="P578" s="6">
        <v>15</v>
      </c>
      <c r="Q578" s="4" t="s">
        <v>26</v>
      </c>
      <c r="R578" s="4">
        <v>0</v>
      </c>
      <c r="S578" s="4" t="s">
        <v>214</v>
      </c>
      <c r="U578" s="4">
        <v>2</v>
      </c>
      <c r="V578" s="4">
        <v>0</v>
      </c>
      <c r="W578" s="4">
        <v>0</v>
      </c>
    </row>
    <row r="579" spans="1:23" ht="11.25" customHeight="1" x14ac:dyDescent="0.25">
      <c r="A579" s="4" t="s">
        <v>21</v>
      </c>
      <c r="B579" s="4" t="s">
        <v>41</v>
      </c>
      <c r="C579" s="4" t="s">
        <v>43</v>
      </c>
      <c r="D579" s="4" t="s">
        <v>51</v>
      </c>
      <c r="E579" s="4" t="s">
        <v>52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1676</v>
      </c>
      <c r="K579" s="6">
        <v>1575.4399999999998</v>
      </c>
      <c r="L579" s="6">
        <v>0</v>
      </c>
      <c r="M579" s="6">
        <v>0</v>
      </c>
      <c r="N579" s="6">
        <v>0</v>
      </c>
      <c r="O579" s="6">
        <v>0</v>
      </c>
      <c r="P579" s="6">
        <v>16</v>
      </c>
      <c r="Q579" s="4" t="s">
        <v>26</v>
      </c>
      <c r="R579" s="4">
        <v>0</v>
      </c>
      <c r="S579" s="4" t="s">
        <v>215</v>
      </c>
      <c r="U579" s="4">
        <v>2</v>
      </c>
      <c r="V579" s="4">
        <v>0</v>
      </c>
      <c r="W579" s="4">
        <v>0</v>
      </c>
    </row>
    <row r="580" spans="1:23" ht="11.25" customHeight="1" x14ac:dyDescent="0.25">
      <c r="A580" s="4" t="s">
        <v>54</v>
      </c>
      <c r="B580" s="4" t="s">
        <v>41</v>
      </c>
      <c r="C580" s="4" t="s">
        <v>43</v>
      </c>
      <c r="D580" s="4" t="s">
        <v>51</v>
      </c>
      <c r="E580" s="4" t="s">
        <v>52</v>
      </c>
      <c r="F580" s="4" t="s">
        <v>25</v>
      </c>
      <c r="G580" s="4" t="s">
        <v>25</v>
      </c>
      <c r="H580" s="4" t="s">
        <v>25</v>
      </c>
      <c r="I580" s="5">
        <v>44866</v>
      </c>
      <c r="J580" s="6">
        <v>1676</v>
      </c>
      <c r="K580" s="6">
        <v>1575.4399999999998</v>
      </c>
      <c r="L580" s="6">
        <v>0</v>
      </c>
      <c r="M580" s="6">
        <v>0</v>
      </c>
      <c r="N580" s="6">
        <v>0</v>
      </c>
      <c r="O580" s="6">
        <v>0</v>
      </c>
      <c r="P580" s="6">
        <v>16</v>
      </c>
      <c r="Q580" s="4" t="s">
        <v>26</v>
      </c>
      <c r="R580" s="4">
        <v>0</v>
      </c>
      <c r="S580" s="4" t="s">
        <v>216</v>
      </c>
      <c r="U580" s="4">
        <v>2</v>
      </c>
      <c r="V580" s="4">
        <v>0</v>
      </c>
      <c r="W580" s="4">
        <v>0</v>
      </c>
    </row>
    <row r="581" spans="1:23" ht="11.25" customHeight="1" x14ac:dyDescent="0.25">
      <c r="A581" s="4" t="s">
        <v>21</v>
      </c>
      <c r="B581" s="4" t="s">
        <v>41</v>
      </c>
      <c r="C581" s="4" t="s">
        <v>43</v>
      </c>
      <c r="D581" s="4" t="s">
        <v>51</v>
      </c>
      <c r="E581" s="4" t="s">
        <v>52</v>
      </c>
      <c r="F581" s="4" t="s">
        <v>25</v>
      </c>
      <c r="G581" s="4" t="s">
        <v>25</v>
      </c>
      <c r="H581" s="4" t="s">
        <v>34</v>
      </c>
      <c r="I581" s="5">
        <v>44531</v>
      </c>
      <c r="J581" s="6">
        <v>0</v>
      </c>
      <c r="K581" s="6">
        <v>0</v>
      </c>
      <c r="L581" s="6">
        <v>54.091999999999999</v>
      </c>
      <c r="M581" s="6">
        <v>50.846479999999993</v>
      </c>
      <c r="N581" s="6">
        <v>54.091999999999999</v>
      </c>
      <c r="O581" s="6">
        <v>50.846479999999993</v>
      </c>
      <c r="P581" s="6">
        <v>0</v>
      </c>
      <c r="Q581" s="4" t="s">
        <v>26</v>
      </c>
      <c r="R581" s="4">
        <v>0</v>
      </c>
      <c r="S581" s="4" t="s">
        <v>217</v>
      </c>
      <c r="T581" s="4" t="s">
        <v>462</v>
      </c>
      <c r="U581" s="4">
        <v>0</v>
      </c>
      <c r="V581" s="4">
        <v>5</v>
      </c>
      <c r="W581" s="4">
        <v>75</v>
      </c>
    </row>
    <row r="582" spans="1:23" ht="11.25" customHeight="1" x14ac:dyDescent="0.25">
      <c r="A582" s="4" t="s">
        <v>21</v>
      </c>
      <c r="B582" s="4" t="s">
        <v>41</v>
      </c>
      <c r="C582" s="4" t="s">
        <v>43</v>
      </c>
      <c r="D582" s="4" t="s">
        <v>51</v>
      </c>
      <c r="E582" s="4" t="s">
        <v>52</v>
      </c>
      <c r="F582" s="4" t="s">
        <v>25</v>
      </c>
      <c r="G582" s="4" t="s">
        <v>25</v>
      </c>
      <c r="H582" s="4" t="s">
        <v>34</v>
      </c>
      <c r="I582" s="5">
        <v>44562</v>
      </c>
      <c r="J582" s="6">
        <v>0</v>
      </c>
      <c r="K582" s="6">
        <v>0</v>
      </c>
      <c r="L582" s="6">
        <v>48.482999999999997</v>
      </c>
      <c r="M582" s="6">
        <v>45.574019999999997</v>
      </c>
      <c r="N582" s="6">
        <v>48.482999999999997</v>
      </c>
      <c r="O582" s="6">
        <v>45.574019999999997</v>
      </c>
      <c r="P582" s="6">
        <v>0</v>
      </c>
      <c r="Q582" s="4" t="s">
        <v>26</v>
      </c>
      <c r="R582" s="4">
        <v>0</v>
      </c>
      <c r="S582" s="4" t="s">
        <v>218</v>
      </c>
      <c r="T582" s="4" t="s">
        <v>463</v>
      </c>
      <c r="U582" s="4">
        <v>0</v>
      </c>
      <c r="V582" s="4">
        <v>5</v>
      </c>
      <c r="W582" s="4">
        <v>75</v>
      </c>
    </row>
    <row r="583" spans="1:23" ht="11.25" customHeight="1" x14ac:dyDescent="0.25">
      <c r="A583" s="4" t="s">
        <v>21</v>
      </c>
      <c r="B583" s="4" t="s">
        <v>41</v>
      </c>
      <c r="C583" s="4" t="s">
        <v>43</v>
      </c>
      <c r="D583" s="4" t="s">
        <v>51</v>
      </c>
      <c r="E583" s="4" t="s">
        <v>52</v>
      </c>
      <c r="F583" s="4" t="s">
        <v>25</v>
      </c>
      <c r="G583" s="4" t="s">
        <v>25</v>
      </c>
      <c r="H583" s="4" t="s">
        <v>34</v>
      </c>
      <c r="I583" s="5">
        <v>44593</v>
      </c>
      <c r="J583" s="6">
        <v>0</v>
      </c>
      <c r="K583" s="6">
        <v>0</v>
      </c>
      <c r="L583" s="6">
        <v>38.82</v>
      </c>
      <c r="M583" s="6">
        <v>36.4908</v>
      </c>
      <c r="N583" s="6">
        <v>38.82</v>
      </c>
      <c r="O583" s="6">
        <v>36.4908</v>
      </c>
      <c r="P583" s="6">
        <v>0</v>
      </c>
      <c r="Q583" s="4" t="s">
        <v>26</v>
      </c>
      <c r="R583" s="4">
        <v>0</v>
      </c>
      <c r="S583" s="4" t="s">
        <v>219</v>
      </c>
      <c r="T583" s="4" t="s">
        <v>464</v>
      </c>
      <c r="U583" s="4">
        <v>0</v>
      </c>
      <c r="V583" s="4">
        <v>5</v>
      </c>
      <c r="W583" s="4">
        <v>75</v>
      </c>
    </row>
    <row r="584" spans="1:23" ht="11.25" customHeight="1" x14ac:dyDescent="0.25">
      <c r="A584" s="4" t="s">
        <v>21</v>
      </c>
      <c r="B584" s="4" t="s">
        <v>41</v>
      </c>
      <c r="C584" s="4" t="s">
        <v>43</v>
      </c>
      <c r="D584" s="4" t="s">
        <v>51</v>
      </c>
      <c r="E584" s="4" t="s">
        <v>52</v>
      </c>
      <c r="F584" s="4" t="s">
        <v>25</v>
      </c>
      <c r="G584" s="4" t="s">
        <v>25</v>
      </c>
      <c r="H584" s="4" t="s">
        <v>34</v>
      </c>
      <c r="I584" s="5">
        <v>44621</v>
      </c>
      <c r="J584" s="6">
        <v>0</v>
      </c>
      <c r="K584" s="6">
        <v>0</v>
      </c>
      <c r="L584" s="6">
        <v>57.051000000000002</v>
      </c>
      <c r="M584" s="6">
        <v>53.627939999999995</v>
      </c>
      <c r="N584" s="6">
        <v>57.051000000000002</v>
      </c>
      <c r="O584" s="6">
        <v>53.627939999999995</v>
      </c>
      <c r="P584" s="6">
        <v>0</v>
      </c>
      <c r="Q584" s="4" t="s">
        <v>26</v>
      </c>
      <c r="R584" s="4">
        <v>0</v>
      </c>
      <c r="S584" s="4" t="s">
        <v>220</v>
      </c>
      <c r="T584" s="4" t="s">
        <v>465</v>
      </c>
      <c r="U584" s="4">
        <v>0</v>
      </c>
      <c r="V584" s="4">
        <v>5</v>
      </c>
      <c r="W584" s="4">
        <v>75</v>
      </c>
    </row>
    <row r="585" spans="1:23" ht="11.25" customHeight="1" x14ac:dyDescent="0.25">
      <c r="A585" s="4" t="s">
        <v>27</v>
      </c>
      <c r="B585" s="4" t="s">
        <v>41</v>
      </c>
      <c r="C585" s="4" t="s">
        <v>43</v>
      </c>
      <c r="D585" s="4" t="s">
        <v>51</v>
      </c>
      <c r="E585" s="4" t="s">
        <v>52</v>
      </c>
      <c r="F585" s="4" t="s">
        <v>25</v>
      </c>
      <c r="G585" s="4" t="s">
        <v>25</v>
      </c>
      <c r="H585" s="4" t="s">
        <v>34</v>
      </c>
      <c r="I585" s="5">
        <v>44621</v>
      </c>
      <c r="J585" s="6">
        <v>0</v>
      </c>
      <c r="K585" s="6">
        <v>0</v>
      </c>
      <c r="L585" s="6">
        <v>-5.1660000000000004</v>
      </c>
      <c r="M585" s="6">
        <v>-4.8560400000000001</v>
      </c>
      <c r="N585" s="6">
        <v>-5.1660000000000004</v>
      </c>
      <c r="O585" s="6">
        <v>-4.8560400000000001</v>
      </c>
      <c r="P585" s="6">
        <v>0</v>
      </c>
      <c r="Q585" s="4" t="s">
        <v>26</v>
      </c>
      <c r="R585" s="4">
        <v>0</v>
      </c>
      <c r="S585" s="4" t="s">
        <v>220</v>
      </c>
      <c r="T585" s="4" t="s">
        <v>465</v>
      </c>
      <c r="U585" s="4">
        <v>0</v>
      </c>
      <c r="V585" s="4">
        <v>5</v>
      </c>
      <c r="W585" s="4">
        <v>75</v>
      </c>
    </row>
    <row r="586" spans="1:23" ht="11.25" customHeight="1" x14ac:dyDescent="0.25">
      <c r="A586" s="4" t="s">
        <v>21</v>
      </c>
      <c r="B586" s="4" t="s">
        <v>41</v>
      </c>
      <c r="C586" s="4" t="s">
        <v>43</v>
      </c>
      <c r="D586" s="4" t="s">
        <v>51</v>
      </c>
      <c r="E586" s="4" t="s">
        <v>52</v>
      </c>
      <c r="F586" s="4" t="s">
        <v>25</v>
      </c>
      <c r="G586" s="4" t="s">
        <v>25</v>
      </c>
      <c r="H586" s="4" t="s">
        <v>34</v>
      </c>
      <c r="I586" s="5">
        <v>44652</v>
      </c>
      <c r="J586" s="6">
        <v>0</v>
      </c>
      <c r="K586" s="6">
        <v>0</v>
      </c>
      <c r="L586" s="6">
        <v>43.582999999999998</v>
      </c>
      <c r="M586" s="6">
        <v>40.968019999999996</v>
      </c>
      <c r="N586" s="6">
        <v>43.582999999999998</v>
      </c>
      <c r="O586" s="6">
        <v>40.968019999999996</v>
      </c>
      <c r="P586" s="6">
        <v>0</v>
      </c>
      <c r="Q586" s="4" t="s">
        <v>26</v>
      </c>
      <c r="R586" s="4">
        <v>0</v>
      </c>
      <c r="S586" s="4" t="s">
        <v>221</v>
      </c>
      <c r="T586" s="4" t="s">
        <v>466</v>
      </c>
      <c r="U586" s="4">
        <v>0</v>
      </c>
      <c r="V586" s="4">
        <v>5</v>
      </c>
      <c r="W586" s="4">
        <v>75</v>
      </c>
    </row>
    <row r="587" spans="1:23" ht="11.25" customHeight="1" x14ac:dyDescent="0.25">
      <c r="A587" s="4" t="s">
        <v>21</v>
      </c>
      <c r="B587" s="4" t="s">
        <v>41</v>
      </c>
      <c r="C587" s="4" t="s">
        <v>43</v>
      </c>
      <c r="D587" s="4" t="s">
        <v>51</v>
      </c>
      <c r="E587" s="4" t="s">
        <v>52</v>
      </c>
      <c r="F587" s="4" t="s">
        <v>25</v>
      </c>
      <c r="G587" s="4" t="s">
        <v>25</v>
      </c>
      <c r="H587" s="4" t="s">
        <v>34</v>
      </c>
      <c r="I587" s="5">
        <v>44682</v>
      </c>
      <c r="J587" s="6">
        <v>0</v>
      </c>
      <c r="K587" s="6">
        <v>0</v>
      </c>
      <c r="L587" s="6">
        <v>45.466000000000001</v>
      </c>
      <c r="M587" s="6">
        <v>42.738039999999998</v>
      </c>
      <c r="N587" s="6">
        <v>45.466000000000001</v>
      </c>
      <c r="O587" s="6">
        <v>42.738039999999998</v>
      </c>
      <c r="P587" s="6">
        <v>0</v>
      </c>
      <c r="Q587" s="4" t="s">
        <v>26</v>
      </c>
      <c r="R587" s="4">
        <v>0</v>
      </c>
      <c r="S587" s="4" t="s">
        <v>222</v>
      </c>
      <c r="T587" s="4" t="s">
        <v>467</v>
      </c>
      <c r="U587" s="4">
        <v>0</v>
      </c>
      <c r="V587" s="4">
        <v>5</v>
      </c>
      <c r="W587" s="4">
        <v>75</v>
      </c>
    </row>
    <row r="588" spans="1:23" ht="11.25" customHeight="1" x14ac:dyDescent="0.25">
      <c r="A588" s="4" t="s">
        <v>21</v>
      </c>
      <c r="B588" s="4" t="s">
        <v>41</v>
      </c>
      <c r="C588" s="4" t="s">
        <v>43</v>
      </c>
      <c r="D588" s="4" t="s">
        <v>51</v>
      </c>
      <c r="E588" s="4" t="s">
        <v>52</v>
      </c>
      <c r="F588" s="4" t="s">
        <v>25</v>
      </c>
      <c r="G588" s="4" t="s">
        <v>25</v>
      </c>
      <c r="H588" s="4" t="s">
        <v>34</v>
      </c>
      <c r="I588" s="5">
        <v>44713</v>
      </c>
      <c r="J588" s="6">
        <v>0</v>
      </c>
      <c r="K588" s="6">
        <v>0</v>
      </c>
      <c r="L588" s="6">
        <v>44.741</v>
      </c>
      <c r="M588" s="6">
        <v>42.056539999999998</v>
      </c>
      <c r="N588" s="6">
        <v>44.741</v>
      </c>
      <c r="O588" s="6">
        <v>42.056539999999998</v>
      </c>
      <c r="P588" s="6">
        <v>0</v>
      </c>
      <c r="Q588" s="4" t="s">
        <v>26</v>
      </c>
      <c r="R588" s="4">
        <v>0</v>
      </c>
      <c r="S588" s="4" t="s">
        <v>223</v>
      </c>
      <c r="T588" s="4" t="s">
        <v>468</v>
      </c>
      <c r="U588" s="4">
        <v>0</v>
      </c>
      <c r="V588" s="4">
        <v>5</v>
      </c>
      <c r="W588" s="4">
        <v>75</v>
      </c>
    </row>
    <row r="589" spans="1:23" ht="11.25" customHeight="1" x14ac:dyDescent="0.25">
      <c r="A589" s="4" t="s">
        <v>21</v>
      </c>
      <c r="B589" s="4" t="s">
        <v>41</v>
      </c>
      <c r="C589" s="4" t="s">
        <v>43</v>
      </c>
      <c r="D589" s="4" t="s">
        <v>51</v>
      </c>
      <c r="E589" s="4" t="s">
        <v>52</v>
      </c>
      <c r="F589" s="4" t="s">
        <v>25</v>
      </c>
      <c r="G589" s="4" t="s">
        <v>25</v>
      </c>
      <c r="H589" s="4" t="s">
        <v>34</v>
      </c>
      <c r="I589" s="5">
        <v>44743</v>
      </c>
      <c r="J589" s="6">
        <v>0</v>
      </c>
      <c r="K589" s="6">
        <v>0</v>
      </c>
      <c r="L589" s="6">
        <v>1.903</v>
      </c>
      <c r="M589" s="6">
        <v>1.7888199999999999</v>
      </c>
      <c r="N589" s="6">
        <v>1.903</v>
      </c>
      <c r="O589" s="6">
        <v>1.7888199999999999</v>
      </c>
      <c r="P589" s="6">
        <v>0</v>
      </c>
      <c r="Q589" s="4" t="s">
        <v>26</v>
      </c>
      <c r="R589" s="4">
        <v>0</v>
      </c>
      <c r="S589" s="4" t="s">
        <v>224</v>
      </c>
      <c r="T589" s="4" t="s">
        <v>469</v>
      </c>
      <c r="U589" s="4">
        <v>0</v>
      </c>
      <c r="V589" s="4">
        <v>5</v>
      </c>
      <c r="W589" s="4">
        <v>75</v>
      </c>
    </row>
    <row r="590" spans="1:23" ht="11.25" customHeight="1" x14ac:dyDescent="0.25">
      <c r="A590" s="4" t="s">
        <v>27</v>
      </c>
      <c r="B590" s="4" t="s">
        <v>41</v>
      </c>
      <c r="C590" s="4" t="s">
        <v>43</v>
      </c>
      <c r="D590" s="4" t="s">
        <v>51</v>
      </c>
      <c r="E590" s="4" t="s">
        <v>52</v>
      </c>
      <c r="F590" s="4" t="s">
        <v>25</v>
      </c>
      <c r="G590" s="4" t="s">
        <v>25</v>
      </c>
      <c r="H590" s="4" t="s">
        <v>34</v>
      </c>
      <c r="I590" s="5">
        <v>44743</v>
      </c>
      <c r="J590" s="6">
        <v>0</v>
      </c>
      <c r="K590" s="6">
        <v>0</v>
      </c>
      <c r="L590" s="6">
        <v>14.6</v>
      </c>
      <c r="M590" s="6">
        <v>13.723999999999998</v>
      </c>
      <c r="N590" s="6">
        <v>14.6</v>
      </c>
      <c r="O590" s="6">
        <v>13.723999999999998</v>
      </c>
      <c r="P590" s="6">
        <v>0</v>
      </c>
      <c r="Q590" s="4" t="s">
        <v>26</v>
      </c>
      <c r="R590" s="4">
        <v>0</v>
      </c>
      <c r="S590" s="4" t="s">
        <v>224</v>
      </c>
      <c r="T590" s="4" t="s">
        <v>469</v>
      </c>
      <c r="U590" s="4">
        <v>0</v>
      </c>
      <c r="V590" s="4">
        <v>5</v>
      </c>
      <c r="W590" s="4">
        <v>75</v>
      </c>
    </row>
    <row r="591" spans="1:23" ht="11.25" customHeight="1" x14ac:dyDescent="0.25">
      <c r="A591" s="4" t="s">
        <v>21</v>
      </c>
      <c r="B591" s="4" t="s">
        <v>41</v>
      </c>
      <c r="C591" s="4" t="s">
        <v>43</v>
      </c>
      <c r="D591" s="4" t="s">
        <v>51</v>
      </c>
      <c r="E591" s="4" t="s">
        <v>52</v>
      </c>
      <c r="F591" s="4" t="s">
        <v>25</v>
      </c>
      <c r="G591" s="4" t="s">
        <v>25</v>
      </c>
      <c r="H591" s="4" t="s">
        <v>34</v>
      </c>
      <c r="I591" s="5">
        <v>44774</v>
      </c>
      <c r="J591" s="6">
        <v>0</v>
      </c>
      <c r="K591" s="6">
        <v>0</v>
      </c>
      <c r="L591" s="6">
        <v>56.722999999999999</v>
      </c>
      <c r="M591" s="6">
        <v>53.319619999999993</v>
      </c>
      <c r="N591" s="6">
        <v>56.722999999999999</v>
      </c>
      <c r="O591" s="6">
        <v>53.319619999999993</v>
      </c>
      <c r="P591" s="6">
        <v>0</v>
      </c>
      <c r="Q591" s="4" t="s">
        <v>26</v>
      </c>
      <c r="R591" s="4">
        <v>0</v>
      </c>
      <c r="S591" s="4" t="s">
        <v>225</v>
      </c>
      <c r="T591" s="4" t="s">
        <v>470</v>
      </c>
      <c r="U591" s="4">
        <v>0</v>
      </c>
      <c r="V591" s="4">
        <v>5</v>
      </c>
      <c r="W591" s="4">
        <v>75</v>
      </c>
    </row>
    <row r="592" spans="1:23" ht="11.25" customHeight="1" x14ac:dyDescent="0.25">
      <c r="A592" s="4" t="s">
        <v>27</v>
      </c>
      <c r="B592" s="4" t="s">
        <v>41</v>
      </c>
      <c r="C592" s="4" t="s">
        <v>43</v>
      </c>
      <c r="D592" s="4" t="s">
        <v>51</v>
      </c>
      <c r="E592" s="4" t="s">
        <v>52</v>
      </c>
      <c r="F592" s="4" t="s">
        <v>25</v>
      </c>
      <c r="G592" s="4" t="s">
        <v>25</v>
      </c>
      <c r="H592" s="4" t="s">
        <v>34</v>
      </c>
      <c r="I592" s="5">
        <v>44774</v>
      </c>
      <c r="J592" s="6">
        <v>0</v>
      </c>
      <c r="K592" s="6">
        <v>0</v>
      </c>
      <c r="L592" s="6">
        <v>30.300999999999998</v>
      </c>
      <c r="M592" s="6">
        <v>28.482939999999996</v>
      </c>
      <c r="N592" s="6">
        <v>30.300999999999998</v>
      </c>
      <c r="O592" s="6">
        <v>28.482939999999996</v>
      </c>
      <c r="P592" s="6">
        <v>0</v>
      </c>
      <c r="Q592" s="4" t="s">
        <v>26</v>
      </c>
      <c r="R592" s="4">
        <v>0</v>
      </c>
      <c r="S592" s="4" t="s">
        <v>225</v>
      </c>
      <c r="T592" s="4" t="s">
        <v>470</v>
      </c>
      <c r="U592" s="4">
        <v>0</v>
      </c>
      <c r="V592" s="4">
        <v>5</v>
      </c>
      <c r="W592" s="4">
        <v>75</v>
      </c>
    </row>
    <row r="593" spans="1:23" ht="11.25" customHeight="1" x14ac:dyDescent="0.25">
      <c r="A593" s="4" t="s">
        <v>21</v>
      </c>
      <c r="B593" s="4" t="s">
        <v>41</v>
      </c>
      <c r="C593" s="4" t="s">
        <v>43</v>
      </c>
      <c r="D593" s="4" t="s">
        <v>51</v>
      </c>
      <c r="E593" s="4" t="s">
        <v>52</v>
      </c>
      <c r="F593" s="4" t="s">
        <v>25</v>
      </c>
      <c r="G593" s="4" t="s">
        <v>25</v>
      </c>
      <c r="H593" s="4" t="s">
        <v>34</v>
      </c>
      <c r="I593" s="5">
        <v>44805</v>
      </c>
      <c r="J593" s="6">
        <v>0</v>
      </c>
      <c r="K593" s="6">
        <v>0</v>
      </c>
      <c r="L593" s="6">
        <v>49.582999999999998</v>
      </c>
      <c r="M593" s="6">
        <v>46.608019999999996</v>
      </c>
      <c r="N593" s="6">
        <v>49.582999999999998</v>
      </c>
      <c r="O593" s="6">
        <v>46.608019999999996</v>
      </c>
      <c r="P593" s="6">
        <v>0</v>
      </c>
      <c r="Q593" s="4" t="s">
        <v>26</v>
      </c>
      <c r="R593" s="4">
        <v>0</v>
      </c>
      <c r="S593" s="4" t="s">
        <v>226</v>
      </c>
      <c r="T593" s="4" t="s">
        <v>471</v>
      </c>
      <c r="U593" s="4">
        <v>0</v>
      </c>
      <c r="V593" s="4">
        <v>5</v>
      </c>
      <c r="W593" s="4">
        <v>75</v>
      </c>
    </row>
    <row r="594" spans="1:23" ht="11.25" customHeight="1" x14ac:dyDescent="0.25">
      <c r="A594" s="4" t="s">
        <v>21</v>
      </c>
      <c r="B594" s="4" t="s">
        <v>41</v>
      </c>
      <c r="C594" s="4" t="s">
        <v>43</v>
      </c>
      <c r="D594" s="4" t="s">
        <v>51</v>
      </c>
      <c r="E594" s="4" t="s">
        <v>52</v>
      </c>
      <c r="F594" s="4" t="s">
        <v>25</v>
      </c>
      <c r="G594" s="4" t="s">
        <v>25</v>
      </c>
      <c r="H594" s="4" t="s">
        <v>34</v>
      </c>
      <c r="I594" s="5">
        <v>44835</v>
      </c>
      <c r="J594" s="6">
        <v>0</v>
      </c>
      <c r="K594" s="6">
        <v>0</v>
      </c>
      <c r="L594" s="6">
        <v>51.789000000000001</v>
      </c>
      <c r="M594" s="6">
        <v>48.681660000000001</v>
      </c>
      <c r="N594" s="6">
        <v>51.789000000000001</v>
      </c>
      <c r="O594" s="6">
        <v>48.681660000000001</v>
      </c>
      <c r="P594" s="6">
        <v>0</v>
      </c>
      <c r="Q594" s="4" t="s">
        <v>26</v>
      </c>
      <c r="R594" s="4">
        <v>0</v>
      </c>
      <c r="S594" s="4" t="s">
        <v>227</v>
      </c>
      <c r="T594" s="4" t="s">
        <v>472</v>
      </c>
      <c r="U594" s="4">
        <v>0</v>
      </c>
      <c r="V594" s="4">
        <v>5</v>
      </c>
      <c r="W594" s="4">
        <v>75</v>
      </c>
    </row>
    <row r="595" spans="1:23" ht="11.25" customHeight="1" x14ac:dyDescent="0.25">
      <c r="A595" s="4" t="s">
        <v>54</v>
      </c>
      <c r="B595" s="4" t="s">
        <v>41</v>
      </c>
      <c r="C595" s="4" t="s">
        <v>43</v>
      </c>
      <c r="D595" s="4" t="s">
        <v>51</v>
      </c>
      <c r="E595" s="4" t="s">
        <v>52</v>
      </c>
      <c r="F595" s="4" t="s">
        <v>25</v>
      </c>
      <c r="G595" s="4" t="s">
        <v>25</v>
      </c>
      <c r="H595" s="4" t="s">
        <v>34</v>
      </c>
      <c r="I595" s="5">
        <v>44866</v>
      </c>
      <c r="J595" s="6">
        <v>0</v>
      </c>
      <c r="K595" s="6">
        <v>0</v>
      </c>
      <c r="L595" s="6">
        <v>51.789000000000001</v>
      </c>
      <c r="M595" s="6">
        <v>48.681660000000001</v>
      </c>
      <c r="N595" s="6">
        <v>51.789000000000001</v>
      </c>
      <c r="O595" s="6">
        <v>48.681660000000001</v>
      </c>
      <c r="P595" s="6">
        <v>0</v>
      </c>
      <c r="Q595" s="4" t="s">
        <v>26</v>
      </c>
      <c r="R595" s="4">
        <v>0</v>
      </c>
      <c r="S595" s="4" t="s">
        <v>228</v>
      </c>
      <c r="T595" s="4" t="s">
        <v>473</v>
      </c>
      <c r="U595" s="4">
        <v>0</v>
      </c>
      <c r="V595" s="4">
        <v>5</v>
      </c>
      <c r="W595" s="4">
        <v>75</v>
      </c>
    </row>
    <row r="596" spans="1:23" ht="11.25" customHeight="1" x14ac:dyDescent="0.25">
      <c r="A596" s="4" t="s">
        <v>21</v>
      </c>
      <c r="B596" s="4" t="s">
        <v>22</v>
      </c>
      <c r="C596" s="4" t="s">
        <v>33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35</v>
      </c>
      <c r="I596" s="5">
        <v>44531</v>
      </c>
      <c r="J596" s="6">
        <v>0</v>
      </c>
      <c r="K596" s="6">
        <v>0</v>
      </c>
      <c r="L596" s="6">
        <v>19.745999999999999</v>
      </c>
      <c r="M596" s="6">
        <v>19.745999999999999</v>
      </c>
      <c r="N596" s="6">
        <v>19.745999999999999</v>
      </c>
      <c r="O596" s="6">
        <v>19.745999999999999</v>
      </c>
      <c r="P596" s="6">
        <v>0</v>
      </c>
      <c r="Q596" s="4" t="s">
        <v>26</v>
      </c>
      <c r="R596" s="4">
        <v>0</v>
      </c>
      <c r="S596" s="4" t="s">
        <v>229</v>
      </c>
      <c r="T596" s="4" t="s">
        <v>475</v>
      </c>
      <c r="U596" s="4">
        <v>0</v>
      </c>
      <c r="V596" s="4">
        <v>24</v>
      </c>
      <c r="W596" s="4">
        <v>79</v>
      </c>
    </row>
    <row r="597" spans="1:23" ht="11.25" customHeight="1" x14ac:dyDescent="0.25">
      <c r="A597" s="4" t="s">
        <v>21</v>
      </c>
      <c r="B597" s="4" t="s">
        <v>22</v>
      </c>
      <c r="C597" s="4" t="s">
        <v>33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35</v>
      </c>
      <c r="I597" s="5">
        <v>44562</v>
      </c>
      <c r="J597" s="6">
        <v>0</v>
      </c>
      <c r="K597" s="6">
        <v>0</v>
      </c>
      <c r="L597" s="6">
        <v>14.962999999999999</v>
      </c>
      <c r="M597" s="6">
        <v>14.962999999999999</v>
      </c>
      <c r="N597" s="6">
        <v>14.962999999999999</v>
      </c>
      <c r="O597" s="6">
        <v>14.962999999999999</v>
      </c>
      <c r="P597" s="6">
        <v>0</v>
      </c>
      <c r="Q597" s="4" t="s">
        <v>26</v>
      </c>
      <c r="R597" s="4">
        <v>0</v>
      </c>
      <c r="S597" s="4" t="s">
        <v>230</v>
      </c>
      <c r="T597" s="4" t="s">
        <v>476</v>
      </c>
      <c r="U597" s="4">
        <v>0</v>
      </c>
      <c r="V597" s="4">
        <v>24</v>
      </c>
      <c r="W597" s="4">
        <v>79</v>
      </c>
    </row>
    <row r="598" spans="1:23" ht="11.25" customHeight="1" x14ac:dyDescent="0.25">
      <c r="A598" s="4" t="s">
        <v>27</v>
      </c>
      <c r="B598" s="4" t="s">
        <v>22</v>
      </c>
      <c r="C598" s="4" t="s">
        <v>33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35</v>
      </c>
      <c r="I598" s="5">
        <v>44562</v>
      </c>
      <c r="J598" s="6">
        <v>0</v>
      </c>
      <c r="K598" s="6">
        <v>0</v>
      </c>
      <c r="L598" s="6">
        <v>0.3</v>
      </c>
      <c r="M598" s="6">
        <v>0.3</v>
      </c>
      <c r="N598" s="6">
        <v>0.3</v>
      </c>
      <c r="O598" s="6">
        <v>0.3</v>
      </c>
      <c r="P598" s="6">
        <v>0</v>
      </c>
      <c r="Q598" s="4" t="s">
        <v>26</v>
      </c>
      <c r="R598" s="4">
        <v>0</v>
      </c>
      <c r="S598" s="4" t="s">
        <v>230</v>
      </c>
      <c r="T598" s="4" t="s">
        <v>476</v>
      </c>
      <c r="U598" s="4">
        <v>0</v>
      </c>
      <c r="V598" s="4">
        <v>24</v>
      </c>
      <c r="W598" s="4">
        <v>79</v>
      </c>
    </row>
    <row r="599" spans="1:23" ht="11.25" customHeight="1" x14ac:dyDescent="0.25">
      <c r="A599" s="4" t="s">
        <v>21</v>
      </c>
      <c r="B599" s="4" t="s">
        <v>22</v>
      </c>
      <c r="C599" s="4" t="s">
        <v>33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35</v>
      </c>
      <c r="I599" s="5">
        <v>44593</v>
      </c>
      <c r="J599" s="6">
        <v>0</v>
      </c>
      <c r="K599" s="6">
        <v>0</v>
      </c>
      <c r="L599" s="6">
        <v>14.493</v>
      </c>
      <c r="M599" s="6">
        <v>14.493</v>
      </c>
      <c r="N599" s="6">
        <v>14.493</v>
      </c>
      <c r="O599" s="6">
        <v>14.493</v>
      </c>
      <c r="P599" s="6">
        <v>0</v>
      </c>
      <c r="Q599" s="4" t="s">
        <v>26</v>
      </c>
      <c r="R599" s="4">
        <v>0</v>
      </c>
      <c r="S599" s="4" t="s">
        <v>231</v>
      </c>
      <c r="T599" s="4" t="s">
        <v>477</v>
      </c>
      <c r="U599" s="4">
        <v>0</v>
      </c>
      <c r="V599" s="4">
        <v>24</v>
      </c>
      <c r="W599" s="4">
        <v>79</v>
      </c>
    </row>
    <row r="600" spans="1:23" ht="11.25" customHeight="1" x14ac:dyDescent="0.25">
      <c r="A600" s="4" t="s">
        <v>21</v>
      </c>
      <c r="B600" s="4" t="s">
        <v>22</v>
      </c>
      <c r="C600" s="4" t="s">
        <v>33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35</v>
      </c>
      <c r="I600" s="5">
        <v>44621</v>
      </c>
      <c r="J600" s="6">
        <v>0</v>
      </c>
      <c r="K600" s="6">
        <v>0</v>
      </c>
      <c r="L600" s="6">
        <v>13.952</v>
      </c>
      <c r="M600" s="6">
        <v>13.952</v>
      </c>
      <c r="N600" s="6">
        <v>13.952</v>
      </c>
      <c r="O600" s="6">
        <v>13.952</v>
      </c>
      <c r="P600" s="6">
        <v>0</v>
      </c>
      <c r="Q600" s="4" t="s">
        <v>26</v>
      </c>
      <c r="R600" s="4">
        <v>0</v>
      </c>
      <c r="S600" s="4" t="s">
        <v>232</v>
      </c>
      <c r="T600" s="4" t="s">
        <v>478</v>
      </c>
      <c r="U600" s="4">
        <v>0</v>
      </c>
      <c r="V600" s="4">
        <v>24</v>
      </c>
      <c r="W600" s="4">
        <v>79</v>
      </c>
    </row>
    <row r="601" spans="1:23" ht="11.25" customHeight="1" x14ac:dyDescent="0.25">
      <c r="A601" s="4" t="s">
        <v>21</v>
      </c>
      <c r="B601" s="4" t="s">
        <v>22</v>
      </c>
      <c r="C601" s="4" t="s">
        <v>33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35</v>
      </c>
      <c r="I601" s="5">
        <v>44652</v>
      </c>
      <c r="J601" s="6">
        <v>0</v>
      </c>
      <c r="K601" s="6">
        <v>0</v>
      </c>
      <c r="L601" s="6">
        <v>14.739000000000001</v>
      </c>
      <c r="M601" s="6">
        <v>14.739000000000001</v>
      </c>
      <c r="N601" s="6">
        <v>14.739000000000001</v>
      </c>
      <c r="O601" s="6">
        <v>14.739000000000001</v>
      </c>
      <c r="P601" s="6">
        <v>0</v>
      </c>
      <c r="Q601" s="4" t="s">
        <v>26</v>
      </c>
      <c r="R601" s="4">
        <v>0</v>
      </c>
      <c r="S601" s="4" t="s">
        <v>233</v>
      </c>
      <c r="T601" s="4" t="s">
        <v>479</v>
      </c>
      <c r="U601" s="4">
        <v>0</v>
      </c>
      <c r="V601" s="4">
        <v>24</v>
      </c>
      <c r="W601" s="4">
        <v>79</v>
      </c>
    </row>
    <row r="602" spans="1:23" ht="11.25" customHeight="1" x14ac:dyDescent="0.25">
      <c r="A602" s="4" t="s">
        <v>21</v>
      </c>
      <c r="B602" s="4" t="s">
        <v>22</v>
      </c>
      <c r="C602" s="4" t="s">
        <v>33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35</v>
      </c>
      <c r="I602" s="5">
        <v>44682</v>
      </c>
      <c r="J602" s="6">
        <v>0</v>
      </c>
      <c r="K602" s="6">
        <v>0</v>
      </c>
      <c r="L602" s="6">
        <v>13.596</v>
      </c>
      <c r="M602" s="6">
        <v>13.596</v>
      </c>
      <c r="N602" s="6">
        <v>13.596</v>
      </c>
      <c r="O602" s="6">
        <v>13.596</v>
      </c>
      <c r="P602" s="6">
        <v>0</v>
      </c>
      <c r="Q602" s="4" t="s">
        <v>26</v>
      </c>
      <c r="R602" s="4">
        <v>0</v>
      </c>
      <c r="S602" s="4" t="s">
        <v>234</v>
      </c>
      <c r="T602" s="4" t="s">
        <v>480</v>
      </c>
      <c r="U602" s="4">
        <v>0</v>
      </c>
      <c r="V602" s="4">
        <v>24</v>
      </c>
      <c r="W602" s="4">
        <v>79</v>
      </c>
    </row>
    <row r="603" spans="1:23" ht="11.25" customHeight="1" x14ac:dyDescent="0.25">
      <c r="A603" s="4" t="s">
        <v>21</v>
      </c>
      <c r="B603" s="4" t="s">
        <v>22</v>
      </c>
      <c r="C603" s="4" t="s">
        <v>33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35</v>
      </c>
      <c r="I603" s="5">
        <v>44713</v>
      </c>
      <c r="J603" s="6">
        <v>0</v>
      </c>
      <c r="K603" s="6">
        <v>0</v>
      </c>
      <c r="L603" s="6">
        <v>19.535</v>
      </c>
      <c r="M603" s="6">
        <v>19.535</v>
      </c>
      <c r="N603" s="6">
        <v>19.535</v>
      </c>
      <c r="O603" s="6">
        <v>19.535</v>
      </c>
      <c r="P603" s="6">
        <v>0</v>
      </c>
      <c r="Q603" s="4" t="s">
        <v>26</v>
      </c>
      <c r="R603" s="4">
        <v>0</v>
      </c>
      <c r="S603" s="4" t="s">
        <v>235</v>
      </c>
      <c r="T603" s="4" t="s">
        <v>481</v>
      </c>
      <c r="U603" s="4">
        <v>0</v>
      </c>
      <c r="V603" s="4">
        <v>24</v>
      </c>
      <c r="W603" s="4">
        <v>79</v>
      </c>
    </row>
    <row r="604" spans="1:23" ht="11.25" customHeight="1" x14ac:dyDescent="0.25">
      <c r="A604" s="4" t="s">
        <v>21</v>
      </c>
      <c r="B604" s="4" t="s">
        <v>22</v>
      </c>
      <c r="C604" s="4" t="s">
        <v>33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35</v>
      </c>
      <c r="I604" s="5">
        <v>44743</v>
      </c>
      <c r="J604" s="6">
        <v>0</v>
      </c>
      <c r="K604" s="6">
        <v>0</v>
      </c>
      <c r="L604" s="6">
        <v>28.166</v>
      </c>
      <c r="M604" s="6">
        <v>28.166</v>
      </c>
      <c r="N604" s="6">
        <v>28.166</v>
      </c>
      <c r="O604" s="6">
        <v>28.166</v>
      </c>
      <c r="P604" s="6">
        <v>0</v>
      </c>
      <c r="Q604" s="4" t="s">
        <v>26</v>
      </c>
      <c r="R604" s="4">
        <v>0</v>
      </c>
      <c r="S604" s="4" t="s">
        <v>236</v>
      </c>
      <c r="T604" s="4" t="s">
        <v>482</v>
      </c>
      <c r="U604" s="4">
        <v>0</v>
      </c>
      <c r="V604" s="4">
        <v>24</v>
      </c>
      <c r="W604" s="4">
        <v>79</v>
      </c>
    </row>
    <row r="605" spans="1:23" ht="11.25" customHeight="1" x14ac:dyDescent="0.25">
      <c r="A605" s="4" t="s">
        <v>27</v>
      </c>
      <c r="B605" s="4" t="s">
        <v>22</v>
      </c>
      <c r="C605" s="4" t="s">
        <v>33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35</v>
      </c>
      <c r="I605" s="5">
        <v>44743</v>
      </c>
      <c r="J605" s="6">
        <v>0</v>
      </c>
      <c r="K605" s="6">
        <v>0</v>
      </c>
      <c r="L605" s="6">
        <v>-1.6970000000000001</v>
      </c>
      <c r="M605" s="6">
        <v>-1.6970000000000001</v>
      </c>
      <c r="N605" s="6">
        <v>-1.6970000000000001</v>
      </c>
      <c r="O605" s="6">
        <v>-1.6970000000000001</v>
      </c>
      <c r="P605" s="6">
        <v>0</v>
      </c>
      <c r="Q605" s="4" t="s">
        <v>26</v>
      </c>
      <c r="R605" s="4">
        <v>0</v>
      </c>
      <c r="S605" s="4" t="s">
        <v>236</v>
      </c>
      <c r="T605" s="4" t="s">
        <v>482</v>
      </c>
      <c r="U605" s="4">
        <v>0</v>
      </c>
      <c r="V605" s="4">
        <v>24</v>
      </c>
      <c r="W605" s="4">
        <v>79</v>
      </c>
    </row>
    <row r="606" spans="1:23" ht="11.25" customHeight="1" x14ac:dyDescent="0.25">
      <c r="A606" s="4" t="s">
        <v>21</v>
      </c>
      <c r="B606" s="4" t="s">
        <v>22</v>
      </c>
      <c r="C606" s="4" t="s">
        <v>33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35</v>
      </c>
      <c r="I606" s="5">
        <v>44774</v>
      </c>
      <c r="J606" s="6">
        <v>0</v>
      </c>
      <c r="K606" s="6">
        <v>0</v>
      </c>
      <c r="L606" s="6">
        <v>15.554</v>
      </c>
      <c r="M606" s="6">
        <v>15.554</v>
      </c>
      <c r="N606" s="6">
        <v>15.554</v>
      </c>
      <c r="O606" s="6">
        <v>15.554</v>
      </c>
      <c r="P606" s="6">
        <v>0</v>
      </c>
      <c r="Q606" s="4" t="s">
        <v>26</v>
      </c>
      <c r="R606" s="4">
        <v>0</v>
      </c>
      <c r="S606" s="4" t="s">
        <v>237</v>
      </c>
      <c r="T606" s="4" t="s">
        <v>483</v>
      </c>
      <c r="U606" s="4">
        <v>0</v>
      </c>
      <c r="V606" s="4">
        <v>24</v>
      </c>
      <c r="W606" s="4">
        <v>79</v>
      </c>
    </row>
    <row r="607" spans="1:23" ht="11.25" customHeight="1" x14ac:dyDescent="0.25">
      <c r="A607" s="4" t="s">
        <v>27</v>
      </c>
      <c r="B607" s="4" t="s">
        <v>22</v>
      </c>
      <c r="C607" s="4" t="s">
        <v>33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35</v>
      </c>
      <c r="I607" s="5">
        <v>44774</v>
      </c>
      <c r="J607" s="6">
        <v>0</v>
      </c>
      <c r="K607" s="6">
        <v>0</v>
      </c>
      <c r="L607" s="6">
        <v>-15.247</v>
      </c>
      <c r="M607" s="6">
        <v>-15.247</v>
      </c>
      <c r="N607" s="6">
        <v>-15.247</v>
      </c>
      <c r="O607" s="6">
        <v>-15.247</v>
      </c>
      <c r="P607" s="6">
        <v>0</v>
      </c>
      <c r="Q607" s="4" t="s">
        <v>26</v>
      </c>
      <c r="R607" s="4">
        <v>0</v>
      </c>
      <c r="S607" s="4" t="s">
        <v>237</v>
      </c>
      <c r="T607" s="4" t="s">
        <v>483</v>
      </c>
      <c r="U607" s="4">
        <v>0</v>
      </c>
      <c r="V607" s="4">
        <v>24</v>
      </c>
      <c r="W607" s="4">
        <v>79</v>
      </c>
    </row>
    <row r="608" spans="1:23" ht="11.25" customHeight="1" x14ac:dyDescent="0.25">
      <c r="A608" s="4" t="s">
        <v>21</v>
      </c>
      <c r="B608" s="4" t="s">
        <v>22</v>
      </c>
      <c r="C608" s="4" t="s">
        <v>33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35</v>
      </c>
      <c r="I608" s="5">
        <v>44805</v>
      </c>
      <c r="J608" s="6">
        <v>0</v>
      </c>
      <c r="K608" s="6">
        <v>0</v>
      </c>
      <c r="L608" s="6">
        <v>19.670000000000002</v>
      </c>
      <c r="M608" s="6">
        <v>19.670000000000002</v>
      </c>
      <c r="N608" s="6">
        <v>19.670000000000002</v>
      </c>
      <c r="O608" s="6">
        <v>19.670000000000002</v>
      </c>
      <c r="P608" s="6">
        <v>0</v>
      </c>
      <c r="Q608" s="4" t="s">
        <v>26</v>
      </c>
      <c r="R608" s="4">
        <v>0</v>
      </c>
      <c r="S608" s="4" t="s">
        <v>238</v>
      </c>
      <c r="T608" s="4" t="s">
        <v>484</v>
      </c>
      <c r="U608" s="4">
        <v>0</v>
      </c>
      <c r="V608" s="4">
        <v>24</v>
      </c>
      <c r="W608" s="4">
        <v>79</v>
      </c>
    </row>
    <row r="609" spans="1:23" ht="11.25" customHeight="1" x14ac:dyDescent="0.25">
      <c r="A609" s="4" t="s">
        <v>21</v>
      </c>
      <c r="B609" s="4" t="s">
        <v>22</v>
      </c>
      <c r="C609" s="4" t="s">
        <v>33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35</v>
      </c>
      <c r="I609" s="5">
        <v>44835</v>
      </c>
      <c r="J609" s="6">
        <v>0</v>
      </c>
      <c r="K609" s="6">
        <v>0</v>
      </c>
      <c r="L609" s="6">
        <v>19.352</v>
      </c>
      <c r="M609" s="6">
        <v>19.352</v>
      </c>
      <c r="N609" s="6">
        <v>19.352</v>
      </c>
      <c r="O609" s="6">
        <v>19.352</v>
      </c>
      <c r="P609" s="6">
        <v>0</v>
      </c>
      <c r="Q609" s="4" t="s">
        <v>26</v>
      </c>
      <c r="R609" s="4">
        <v>0</v>
      </c>
      <c r="S609" s="4" t="s">
        <v>239</v>
      </c>
      <c r="T609" s="4" t="s">
        <v>485</v>
      </c>
      <c r="U609" s="4">
        <v>0</v>
      </c>
      <c r="V609" s="4">
        <v>24</v>
      </c>
      <c r="W609" s="4">
        <v>79</v>
      </c>
    </row>
    <row r="610" spans="1:23" ht="11.25" customHeight="1" x14ac:dyDescent="0.25">
      <c r="A610" s="4" t="s">
        <v>54</v>
      </c>
      <c r="B610" s="4" t="s">
        <v>22</v>
      </c>
      <c r="C610" s="4" t="s">
        <v>33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35</v>
      </c>
      <c r="I610" s="5">
        <v>44866</v>
      </c>
      <c r="J610" s="6">
        <v>0</v>
      </c>
      <c r="K610" s="6">
        <v>0</v>
      </c>
      <c r="L610" s="6">
        <v>19.352</v>
      </c>
      <c r="M610" s="6">
        <v>19.352</v>
      </c>
      <c r="N610" s="6">
        <v>19.352</v>
      </c>
      <c r="O610" s="6">
        <v>19.352</v>
      </c>
      <c r="P610" s="6">
        <v>0</v>
      </c>
      <c r="Q610" s="4" t="s">
        <v>26</v>
      </c>
      <c r="R610" s="4">
        <v>0</v>
      </c>
      <c r="S610" s="4" t="s">
        <v>240</v>
      </c>
      <c r="T610" s="4" t="s">
        <v>486</v>
      </c>
      <c r="U610" s="4">
        <v>0</v>
      </c>
      <c r="V610" s="4">
        <v>24</v>
      </c>
      <c r="W610" s="4">
        <v>79</v>
      </c>
    </row>
    <row r="611" spans="1:23" ht="11.25" customHeight="1" x14ac:dyDescent="0.25">
      <c r="A611" s="4" t="s">
        <v>21</v>
      </c>
      <c r="B611" s="4" t="s">
        <v>22</v>
      </c>
      <c r="C611" s="4" t="s">
        <v>33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36</v>
      </c>
      <c r="I611" s="5">
        <v>44531</v>
      </c>
      <c r="J611" s="6">
        <v>0</v>
      </c>
      <c r="K611" s="6">
        <v>0</v>
      </c>
      <c r="L611" s="6">
        <v>1.462</v>
      </c>
      <c r="M611" s="6">
        <v>1.462</v>
      </c>
      <c r="N611" s="6">
        <v>1.462</v>
      </c>
      <c r="O611" s="6">
        <v>1.462</v>
      </c>
      <c r="P611" s="6">
        <v>0</v>
      </c>
      <c r="Q611" s="4" t="s">
        <v>26</v>
      </c>
      <c r="R611" s="4">
        <v>0</v>
      </c>
      <c r="S611" s="4" t="s">
        <v>241</v>
      </c>
      <c r="T611" s="4" t="s">
        <v>487</v>
      </c>
      <c r="U611" s="4">
        <v>0</v>
      </c>
      <c r="V611" s="4">
        <v>21</v>
      </c>
      <c r="W611" s="4">
        <v>78</v>
      </c>
    </row>
    <row r="612" spans="1:23" ht="11.25" customHeight="1" x14ac:dyDescent="0.25">
      <c r="A612" s="4" t="s">
        <v>21</v>
      </c>
      <c r="B612" s="4" t="s">
        <v>22</v>
      </c>
      <c r="C612" s="4" t="s">
        <v>33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36</v>
      </c>
      <c r="I612" s="5">
        <v>44562</v>
      </c>
      <c r="J612" s="6">
        <v>0</v>
      </c>
      <c r="K612" s="6">
        <v>0</v>
      </c>
      <c r="L612" s="6">
        <v>1.05</v>
      </c>
      <c r="M612" s="6">
        <v>1.05</v>
      </c>
      <c r="N612" s="6">
        <v>1.05</v>
      </c>
      <c r="O612" s="6">
        <v>1.05</v>
      </c>
      <c r="P612" s="6">
        <v>0</v>
      </c>
      <c r="Q612" s="4" t="s">
        <v>26</v>
      </c>
      <c r="R612" s="4">
        <v>0</v>
      </c>
      <c r="S612" s="4" t="s">
        <v>242</v>
      </c>
      <c r="T612" s="4" t="s">
        <v>488</v>
      </c>
      <c r="U612" s="4">
        <v>0</v>
      </c>
      <c r="V612" s="4">
        <v>21</v>
      </c>
      <c r="W612" s="4">
        <v>78</v>
      </c>
    </row>
    <row r="613" spans="1:23" ht="11.25" customHeight="1" x14ac:dyDescent="0.25">
      <c r="A613" s="4" t="s">
        <v>27</v>
      </c>
      <c r="B613" s="4" t="s">
        <v>22</v>
      </c>
      <c r="C613" s="4" t="s">
        <v>33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36</v>
      </c>
      <c r="I613" s="5">
        <v>44562</v>
      </c>
      <c r="J613" s="6">
        <v>0</v>
      </c>
      <c r="K613" s="6">
        <v>0</v>
      </c>
      <c r="L613" s="6">
        <v>3.3000000000000002E-2</v>
      </c>
      <c r="M613" s="6">
        <v>3.3000000000000002E-2</v>
      </c>
      <c r="N613" s="6">
        <v>3.3000000000000002E-2</v>
      </c>
      <c r="O613" s="6">
        <v>3.3000000000000002E-2</v>
      </c>
      <c r="P613" s="6">
        <v>0</v>
      </c>
      <c r="Q613" s="4" t="s">
        <v>26</v>
      </c>
      <c r="R613" s="4">
        <v>0</v>
      </c>
      <c r="S613" s="4" t="s">
        <v>242</v>
      </c>
      <c r="T613" s="4" t="s">
        <v>488</v>
      </c>
      <c r="U613" s="4">
        <v>0</v>
      </c>
      <c r="V613" s="4">
        <v>21</v>
      </c>
      <c r="W613" s="4">
        <v>78</v>
      </c>
    </row>
    <row r="614" spans="1:23" ht="11.25" customHeight="1" x14ac:dyDescent="0.25">
      <c r="A614" s="4" t="s">
        <v>21</v>
      </c>
      <c r="B614" s="4" t="s">
        <v>22</v>
      </c>
      <c r="C614" s="4" t="s">
        <v>33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36</v>
      </c>
      <c r="I614" s="5">
        <v>44593</v>
      </c>
      <c r="J614" s="6">
        <v>0</v>
      </c>
      <c r="K614" s="6">
        <v>0</v>
      </c>
      <c r="L614" s="6">
        <v>0.94299999999999995</v>
      </c>
      <c r="M614" s="6">
        <v>0.94299999999999995</v>
      </c>
      <c r="N614" s="6">
        <v>0.94299999999999995</v>
      </c>
      <c r="O614" s="6">
        <v>0.94299999999999995</v>
      </c>
      <c r="P614" s="6">
        <v>0</v>
      </c>
      <c r="Q614" s="4" t="s">
        <v>26</v>
      </c>
      <c r="R614" s="4">
        <v>0</v>
      </c>
      <c r="S614" s="4" t="s">
        <v>243</v>
      </c>
      <c r="T614" s="4" t="s">
        <v>489</v>
      </c>
      <c r="U614" s="4">
        <v>0</v>
      </c>
      <c r="V614" s="4">
        <v>21</v>
      </c>
      <c r="W614" s="4">
        <v>78</v>
      </c>
    </row>
    <row r="615" spans="1:23" ht="11.25" customHeight="1" x14ac:dyDescent="0.25">
      <c r="A615" s="4" t="s">
        <v>21</v>
      </c>
      <c r="B615" s="4" t="s">
        <v>22</v>
      </c>
      <c r="C615" s="4" t="s">
        <v>33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36</v>
      </c>
      <c r="I615" s="5">
        <v>44621</v>
      </c>
      <c r="J615" s="6">
        <v>0</v>
      </c>
      <c r="K615" s="6">
        <v>0</v>
      </c>
      <c r="L615" s="6">
        <v>0.83699999999999997</v>
      </c>
      <c r="M615" s="6">
        <v>0.83699999999999997</v>
      </c>
      <c r="N615" s="6">
        <v>0.83699999999999997</v>
      </c>
      <c r="O615" s="6">
        <v>0.83699999999999997</v>
      </c>
      <c r="P615" s="6">
        <v>0</v>
      </c>
      <c r="Q615" s="4" t="s">
        <v>26</v>
      </c>
      <c r="R615" s="4">
        <v>0</v>
      </c>
      <c r="S615" s="4" t="s">
        <v>244</v>
      </c>
      <c r="T615" s="4" t="s">
        <v>490</v>
      </c>
      <c r="U615" s="4">
        <v>0</v>
      </c>
      <c r="V615" s="4">
        <v>21</v>
      </c>
      <c r="W615" s="4">
        <v>78</v>
      </c>
    </row>
    <row r="616" spans="1:23" ht="11.25" customHeight="1" x14ac:dyDescent="0.25">
      <c r="A616" s="4" t="s">
        <v>21</v>
      </c>
      <c r="B616" s="4" t="s">
        <v>22</v>
      </c>
      <c r="C616" s="4" t="s">
        <v>33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36</v>
      </c>
      <c r="I616" s="5">
        <v>44652</v>
      </c>
      <c r="J616" s="6">
        <v>0</v>
      </c>
      <c r="K616" s="6">
        <v>0</v>
      </c>
      <c r="L616" s="6">
        <v>1.002</v>
      </c>
      <c r="M616" s="6">
        <v>1.002</v>
      </c>
      <c r="N616" s="6">
        <v>1.002</v>
      </c>
      <c r="O616" s="6">
        <v>1.002</v>
      </c>
      <c r="P616" s="6">
        <v>0</v>
      </c>
      <c r="Q616" s="4" t="s">
        <v>26</v>
      </c>
      <c r="R616" s="4">
        <v>0</v>
      </c>
      <c r="S616" s="4" t="s">
        <v>245</v>
      </c>
      <c r="T616" s="4" t="s">
        <v>491</v>
      </c>
      <c r="U616" s="4">
        <v>0</v>
      </c>
      <c r="V616" s="4">
        <v>21</v>
      </c>
      <c r="W616" s="4">
        <v>78</v>
      </c>
    </row>
    <row r="617" spans="1:23" ht="11.25" customHeight="1" x14ac:dyDescent="0.25">
      <c r="A617" s="4" t="s">
        <v>21</v>
      </c>
      <c r="B617" s="4" t="s">
        <v>22</v>
      </c>
      <c r="C617" s="4" t="s">
        <v>33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36</v>
      </c>
      <c r="I617" s="5">
        <v>44682</v>
      </c>
      <c r="J617" s="6">
        <v>0</v>
      </c>
      <c r="K617" s="6">
        <v>0</v>
      </c>
      <c r="L617" s="6">
        <v>0.89700000000000002</v>
      </c>
      <c r="M617" s="6">
        <v>0.89700000000000002</v>
      </c>
      <c r="N617" s="6">
        <v>0.89700000000000002</v>
      </c>
      <c r="O617" s="6">
        <v>0.89700000000000002</v>
      </c>
      <c r="P617" s="6">
        <v>0</v>
      </c>
      <c r="Q617" s="4" t="s">
        <v>26</v>
      </c>
      <c r="R617" s="4">
        <v>0</v>
      </c>
      <c r="S617" s="4" t="s">
        <v>246</v>
      </c>
      <c r="T617" s="4" t="s">
        <v>492</v>
      </c>
      <c r="U617" s="4">
        <v>0</v>
      </c>
      <c r="V617" s="4">
        <v>21</v>
      </c>
      <c r="W617" s="4">
        <v>78</v>
      </c>
    </row>
    <row r="618" spans="1:23" ht="11.25" customHeight="1" x14ac:dyDescent="0.25">
      <c r="A618" s="4" t="s">
        <v>21</v>
      </c>
      <c r="B618" s="4" t="s">
        <v>22</v>
      </c>
      <c r="C618" s="4" t="s">
        <v>33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36</v>
      </c>
      <c r="I618" s="5">
        <v>44713</v>
      </c>
      <c r="J618" s="6">
        <v>0</v>
      </c>
      <c r="K618" s="6">
        <v>0</v>
      </c>
      <c r="L618" s="6">
        <v>1.3120000000000001</v>
      </c>
      <c r="M618" s="6">
        <v>1.3120000000000001</v>
      </c>
      <c r="N618" s="6">
        <v>1.3120000000000001</v>
      </c>
      <c r="O618" s="6">
        <v>1.3120000000000001</v>
      </c>
      <c r="P618" s="6">
        <v>0</v>
      </c>
      <c r="Q618" s="4" t="s">
        <v>26</v>
      </c>
      <c r="R618" s="4">
        <v>0</v>
      </c>
      <c r="S618" s="4" t="s">
        <v>247</v>
      </c>
      <c r="T618" s="4" t="s">
        <v>493</v>
      </c>
      <c r="U618" s="4">
        <v>0</v>
      </c>
      <c r="V618" s="4">
        <v>21</v>
      </c>
      <c r="W618" s="4">
        <v>78</v>
      </c>
    </row>
    <row r="619" spans="1:23" ht="11.25" customHeight="1" x14ac:dyDescent="0.25">
      <c r="A619" s="4" t="s">
        <v>21</v>
      </c>
      <c r="B619" s="4" t="s">
        <v>22</v>
      </c>
      <c r="C619" s="4" t="s">
        <v>33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36</v>
      </c>
      <c r="I619" s="5">
        <v>44743</v>
      </c>
      <c r="J619" s="6">
        <v>0</v>
      </c>
      <c r="K619" s="6">
        <v>0</v>
      </c>
      <c r="L619" s="6">
        <v>1.679</v>
      </c>
      <c r="M619" s="6">
        <v>1.679</v>
      </c>
      <c r="N619" s="6">
        <v>1.679</v>
      </c>
      <c r="O619" s="6">
        <v>1.679</v>
      </c>
      <c r="P619" s="6">
        <v>0</v>
      </c>
      <c r="Q619" s="4" t="s">
        <v>26</v>
      </c>
      <c r="R619" s="4">
        <v>0</v>
      </c>
      <c r="S619" s="4" t="s">
        <v>248</v>
      </c>
      <c r="T619" s="4" t="s">
        <v>494</v>
      </c>
      <c r="U619" s="4">
        <v>0</v>
      </c>
      <c r="V619" s="4">
        <v>21</v>
      </c>
      <c r="W619" s="4">
        <v>78</v>
      </c>
    </row>
    <row r="620" spans="1:23" ht="11.25" customHeight="1" x14ac:dyDescent="0.25">
      <c r="A620" s="4" t="s">
        <v>21</v>
      </c>
      <c r="B620" s="4" t="s">
        <v>22</v>
      </c>
      <c r="C620" s="4" t="s">
        <v>33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36</v>
      </c>
      <c r="I620" s="5">
        <v>44774</v>
      </c>
      <c r="J620" s="6">
        <v>0</v>
      </c>
      <c r="K620" s="6">
        <v>0</v>
      </c>
      <c r="L620" s="6">
        <v>1.06</v>
      </c>
      <c r="M620" s="6">
        <v>1.06</v>
      </c>
      <c r="N620" s="6">
        <v>1.06</v>
      </c>
      <c r="O620" s="6">
        <v>1.06</v>
      </c>
      <c r="P620" s="6">
        <v>0</v>
      </c>
      <c r="Q620" s="4" t="s">
        <v>26</v>
      </c>
      <c r="R620" s="4">
        <v>0</v>
      </c>
      <c r="S620" s="4" t="s">
        <v>249</v>
      </c>
      <c r="T620" s="4" t="s">
        <v>495</v>
      </c>
      <c r="U620" s="4">
        <v>0</v>
      </c>
      <c r="V620" s="4">
        <v>21</v>
      </c>
      <c r="W620" s="4">
        <v>78</v>
      </c>
    </row>
    <row r="621" spans="1:23" ht="11.25" customHeight="1" x14ac:dyDescent="0.25">
      <c r="A621" s="4" t="s">
        <v>27</v>
      </c>
      <c r="B621" s="4" t="s">
        <v>22</v>
      </c>
      <c r="C621" s="4" t="s">
        <v>33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36</v>
      </c>
      <c r="I621" s="5">
        <v>44774</v>
      </c>
      <c r="J621" s="6">
        <v>0</v>
      </c>
      <c r="K621" s="6">
        <v>0</v>
      </c>
      <c r="L621" s="6">
        <v>-0.70699999999999996</v>
      </c>
      <c r="M621" s="6">
        <v>-0.70699999999999996</v>
      </c>
      <c r="N621" s="6">
        <v>-0.70699999999999996</v>
      </c>
      <c r="O621" s="6">
        <v>-0.70699999999999996</v>
      </c>
      <c r="P621" s="6">
        <v>0</v>
      </c>
      <c r="Q621" s="4" t="s">
        <v>26</v>
      </c>
      <c r="R621" s="4">
        <v>0</v>
      </c>
      <c r="S621" s="4" t="s">
        <v>249</v>
      </c>
      <c r="T621" s="4" t="s">
        <v>495</v>
      </c>
      <c r="U621" s="4">
        <v>0</v>
      </c>
      <c r="V621" s="4">
        <v>21</v>
      </c>
      <c r="W621" s="4">
        <v>78</v>
      </c>
    </row>
    <row r="622" spans="1:23" ht="11.25" customHeight="1" x14ac:dyDescent="0.25">
      <c r="A622" s="4" t="s">
        <v>21</v>
      </c>
      <c r="B622" s="4" t="s">
        <v>22</v>
      </c>
      <c r="C622" s="4" t="s">
        <v>33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36</v>
      </c>
      <c r="I622" s="5">
        <v>44805</v>
      </c>
      <c r="J622" s="6">
        <v>0</v>
      </c>
      <c r="K622" s="6">
        <v>0</v>
      </c>
      <c r="L622" s="6">
        <v>1.2629999999999999</v>
      </c>
      <c r="M622" s="6">
        <v>1.2629999999999999</v>
      </c>
      <c r="N622" s="6">
        <v>1.2629999999999999</v>
      </c>
      <c r="O622" s="6">
        <v>1.2629999999999999</v>
      </c>
      <c r="P622" s="6">
        <v>0</v>
      </c>
      <c r="Q622" s="4" t="s">
        <v>26</v>
      </c>
      <c r="R622" s="4">
        <v>0</v>
      </c>
      <c r="S622" s="4" t="s">
        <v>250</v>
      </c>
      <c r="T622" s="4" t="s">
        <v>496</v>
      </c>
      <c r="U622" s="4">
        <v>0</v>
      </c>
      <c r="V622" s="4">
        <v>21</v>
      </c>
      <c r="W622" s="4">
        <v>78</v>
      </c>
    </row>
    <row r="623" spans="1:23" ht="11.25" customHeight="1" x14ac:dyDescent="0.25">
      <c r="A623" s="4" t="s">
        <v>21</v>
      </c>
      <c r="B623" s="4" t="s">
        <v>22</v>
      </c>
      <c r="C623" s="4" t="s">
        <v>33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36</v>
      </c>
      <c r="I623" s="5">
        <v>44835</v>
      </c>
      <c r="J623" s="6">
        <v>0</v>
      </c>
      <c r="K623" s="6">
        <v>0</v>
      </c>
      <c r="L623" s="6">
        <v>1.2230000000000001</v>
      </c>
      <c r="M623" s="6">
        <v>1.2230000000000001</v>
      </c>
      <c r="N623" s="6">
        <v>1.2230000000000001</v>
      </c>
      <c r="O623" s="6">
        <v>1.2230000000000001</v>
      </c>
      <c r="P623" s="6">
        <v>0</v>
      </c>
      <c r="Q623" s="4" t="s">
        <v>26</v>
      </c>
      <c r="R623" s="4">
        <v>0</v>
      </c>
      <c r="S623" s="4" t="s">
        <v>251</v>
      </c>
      <c r="T623" s="4" t="s">
        <v>497</v>
      </c>
      <c r="U623" s="4">
        <v>0</v>
      </c>
      <c r="V623" s="4">
        <v>21</v>
      </c>
      <c r="W623" s="4">
        <v>78</v>
      </c>
    </row>
    <row r="624" spans="1:23" ht="11.25" customHeight="1" x14ac:dyDescent="0.25">
      <c r="A624" s="4" t="s">
        <v>54</v>
      </c>
      <c r="B624" s="4" t="s">
        <v>22</v>
      </c>
      <c r="C624" s="4" t="s">
        <v>33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36</v>
      </c>
      <c r="I624" s="5">
        <v>44866</v>
      </c>
      <c r="J624" s="6">
        <v>0</v>
      </c>
      <c r="K624" s="6">
        <v>0</v>
      </c>
      <c r="L624" s="6">
        <v>1.2230000000000001</v>
      </c>
      <c r="M624" s="6">
        <v>1.2230000000000001</v>
      </c>
      <c r="N624" s="6">
        <v>1.2230000000000001</v>
      </c>
      <c r="O624" s="6">
        <v>1.2230000000000001</v>
      </c>
      <c r="P624" s="6">
        <v>0</v>
      </c>
      <c r="Q624" s="4" t="s">
        <v>26</v>
      </c>
      <c r="R624" s="4">
        <v>0</v>
      </c>
      <c r="S624" s="4" t="s">
        <v>252</v>
      </c>
      <c r="T624" s="4" t="s">
        <v>498</v>
      </c>
      <c r="U624" s="4">
        <v>0</v>
      </c>
      <c r="V624" s="4">
        <v>21</v>
      </c>
      <c r="W624" s="4">
        <v>78</v>
      </c>
    </row>
    <row r="625" spans="1:23" ht="11.25" customHeight="1" x14ac:dyDescent="0.25">
      <c r="A625" s="4" t="s">
        <v>21</v>
      </c>
      <c r="B625" s="4" t="s">
        <v>22</v>
      </c>
      <c r="C625" s="4" t="s">
        <v>33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34</v>
      </c>
      <c r="I625" s="5">
        <v>44531</v>
      </c>
      <c r="J625" s="6">
        <v>0</v>
      </c>
      <c r="K625" s="6">
        <v>0</v>
      </c>
      <c r="L625" s="6">
        <v>1.653</v>
      </c>
      <c r="M625" s="6">
        <v>1.653</v>
      </c>
      <c r="N625" s="6">
        <v>1.653</v>
      </c>
      <c r="O625" s="6">
        <v>1.653</v>
      </c>
      <c r="P625" s="6">
        <v>0</v>
      </c>
      <c r="Q625" s="4" t="s">
        <v>26</v>
      </c>
      <c r="R625" s="4">
        <v>0</v>
      </c>
      <c r="S625" s="4" t="s">
        <v>253</v>
      </c>
      <c r="T625" s="4" t="s">
        <v>499</v>
      </c>
      <c r="U625" s="4">
        <v>0</v>
      </c>
      <c r="V625" s="4">
        <v>20</v>
      </c>
      <c r="W625" s="4">
        <v>77</v>
      </c>
    </row>
    <row r="626" spans="1:23" ht="11.25" customHeight="1" x14ac:dyDescent="0.25">
      <c r="A626" s="4" t="s">
        <v>21</v>
      </c>
      <c r="B626" s="4" t="s">
        <v>22</v>
      </c>
      <c r="C626" s="4" t="s">
        <v>33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34</v>
      </c>
      <c r="I626" s="5">
        <v>44562</v>
      </c>
      <c r="J626" s="6">
        <v>0</v>
      </c>
      <c r="K626" s="6">
        <v>0</v>
      </c>
      <c r="L626" s="6">
        <v>1.2430000000000001</v>
      </c>
      <c r="M626" s="6">
        <v>1.2430000000000001</v>
      </c>
      <c r="N626" s="6">
        <v>1.2430000000000001</v>
      </c>
      <c r="O626" s="6">
        <v>1.2430000000000001</v>
      </c>
      <c r="P626" s="6">
        <v>0</v>
      </c>
      <c r="Q626" s="4" t="s">
        <v>26</v>
      </c>
      <c r="R626" s="4">
        <v>0</v>
      </c>
      <c r="S626" s="4" t="s">
        <v>254</v>
      </c>
      <c r="T626" s="4" t="s">
        <v>500</v>
      </c>
      <c r="U626" s="4">
        <v>0</v>
      </c>
      <c r="V626" s="4">
        <v>20</v>
      </c>
      <c r="W626" s="4">
        <v>77</v>
      </c>
    </row>
    <row r="627" spans="1:23" ht="11.25" customHeight="1" x14ac:dyDescent="0.25">
      <c r="A627" s="4" t="s">
        <v>27</v>
      </c>
      <c r="B627" s="4" t="s">
        <v>22</v>
      </c>
      <c r="C627" s="4" t="s">
        <v>33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34</v>
      </c>
      <c r="I627" s="5">
        <v>44562</v>
      </c>
      <c r="J627" s="6">
        <v>0</v>
      </c>
      <c r="K627" s="6">
        <v>0</v>
      </c>
      <c r="L627" s="6">
        <v>0.03</v>
      </c>
      <c r="M627" s="6">
        <v>0.03</v>
      </c>
      <c r="N627" s="6">
        <v>0.03</v>
      </c>
      <c r="O627" s="6">
        <v>0.03</v>
      </c>
      <c r="P627" s="6">
        <v>0</v>
      </c>
      <c r="Q627" s="4" t="s">
        <v>26</v>
      </c>
      <c r="R627" s="4">
        <v>0</v>
      </c>
      <c r="S627" s="4" t="s">
        <v>254</v>
      </c>
      <c r="T627" s="4" t="s">
        <v>500</v>
      </c>
      <c r="U627" s="4">
        <v>0</v>
      </c>
      <c r="V627" s="4">
        <v>20</v>
      </c>
      <c r="W627" s="4">
        <v>77</v>
      </c>
    </row>
    <row r="628" spans="1:23" ht="11.25" customHeight="1" x14ac:dyDescent="0.25">
      <c r="A628" s="4" t="s">
        <v>21</v>
      </c>
      <c r="B628" s="4" t="s">
        <v>22</v>
      </c>
      <c r="C628" s="4" t="s">
        <v>33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34</v>
      </c>
      <c r="I628" s="5">
        <v>44593</v>
      </c>
      <c r="J628" s="6">
        <v>0</v>
      </c>
      <c r="K628" s="6">
        <v>0</v>
      </c>
      <c r="L628" s="6">
        <v>0.83399999999999996</v>
      </c>
      <c r="M628" s="6">
        <v>0.83399999999999996</v>
      </c>
      <c r="N628" s="6">
        <v>0.83399999999999996</v>
      </c>
      <c r="O628" s="6">
        <v>0.83399999999999996</v>
      </c>
      <c r="P628" s="6">
        <v>0</v>
      </c>
      <c r="Q628" s="4" t="s">
        <v>26</v>
      </c>
      <c r="R628" s="4">
        <v>0</v>
      </c>
      <c r="S628" s="4" t="s">
        <v>255</v>
      </c>
      <c r="T628" s="4" t="s">
        <v>501</v>
      </c>
      <c r="U628" s="4">
        <v>0</v>
      </c>
      <c r="V628" s="4">
        <v>20</v>
      </c>
      <c r="W628" s="4">
        <v>77</v>
      </c>
    </row>
    <row r="629" spans="1:23" ht="11.25" customHeight="1" x14ac:dyDescent="0.25">
      <c r="A629" s="4" t="s">
        <v>21</v>
      </c>
      <c r="B629" s="4" t="s">
        <v>22</v>
      </c>
      <c r="C629" s="4" t="s">
        <v>33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34</v>
      </c>
      <c r="I629" s="5">
        <v>44621</v>
      </c>
      <c r="J629" s="6">
        <v>0</v>
      </c>
      <c r="K629" s="6">
        <v>0</v>
      </c>
      <c r="L629" s="6">
        <v>0.80400000000000005</v>
      </c>
      <c r="M629" s="6">
        <v>0.80400000000000005</v>
      </c>
      <c r="N629" s="6">
        <v>0.80400000000000005</v>
      </c>
      <c r="O629" s="6">
        <v>0.80400000000000005</v>
      </c>
      <c r="P629" s="6">
        <v>0</v>
      </c>
      <c r="Q629" s="4" t="s">
        <v>26</v>
      </c>
      <c r="R629" s="4">
        <v>0</v>
      </c>
      <c r="S629" s="4" t="s">
        <v>256</v>
      </c>
      <c r="T629" s="4" t="s">
        <v>502</v>
      </c>
      <c r="U629" s="4">
        <v>0</v>
      </c>
      <c r="V629" s="4">
        <v>20</v>
      </c>
      <c r="W629" s="4">
        <v>77</v>
      </c>
    </row>
    <row r="630" spans="1:23" ht="11.25" customHeight="1" x14ac:dyDescent="0.25">
      <c r="A630" s="4" t="s">
        <v>21</v>
      </c>
      <c r="B630" s="4" t="s">
        <v>22</v>
      </c>
      <c r="C630" s="4" t="s">
        <v>33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34</v>
      </c>
      <c r="I630" s="5">
        <v>44652</v>
      </c>
      <c r="J630" s="6">
        <v>0</v>
      </c>
      <c r="K630" s="6">
        <v>0</v>
      </c>
      <c r="L630" s="6">
        <v>1.206</v>
      </c>
      <c r="M630" s="6">
        <v>1.206</v>
      </c>
      <c r="N630" s="6">
        <v>1.206</v>
      </c>
      <c r="O630" s="6">
        <v>1.206</v>
      </c>
      <c r="P630" s="6">
        <v>0</v>
      </c>
      <c r="Q630" s="4" t="s">
        <v>26</v>
      </c>
      <c r="R630" s="4">
        <v>0</v>
      </c>
      <c r="S630" s="4" t="s">
        <v>257</v>
      </c>
      <c r="T630" s="4" t="s">
        <v>503</v>
      </c>
      <c r="U630" s="4">
        <v>0</v>
      </c>
      <c r="V630" s="4">
        <v>20</v>
      </c>
      <c r="W630" s="4">
        <v>77</v>
      </c>
    </row>
    <row r="631" spans="1:23" ht="11.25" customHeight="1" x14ac:dyDescent="0.25">
      <c r="A631" s="4" t="s">
        <v>21</v>
      </c>
      <c r="B631" s="4" t="s">
        <v>22</v>
      </c>
      <c r="C631" s="4" t="s">
        <v>33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34</v>
      </c>
      <c r="I631" s="5">
        <v>44682</v>
      </c>
      <c r="J631" s="6">
        <v>0</v>
      </c>
      <c r="K631" s="6">
        <v>0</v>
      </c>
      <c r="L631" s="6">
        <v>1.2410000000000001</v>
      </c>
      <c r="M631" s="6">
        <v>1.2410000000000001</v>
      </c>
      <c r="N631" s="6">
        <v>1.2410000000000001</v>
      </c>
      <c r="O631" s="6">
        <v>1.2410000000000001</v>
      </c>
      <c r="P631" s="6">
        <v>0</v>
      </c>
      <c r="Q631" s="4" t="s">
        <v>26</v>
      </c>
      <c r="R631" s="4">
        <v>0</v>
      </c>
      <c r="S631" s="4" t="s">
        <v>258</v>
      </c>
      <c r="T631" s="4" t="s">
        <v>504</v>
      </c>
      <c r="U631" s="4">
        <v>0</v>
      </c>
      <c r="V631" s="4">
        <v>20</v>
      </c>
      <c r="W631" s="4">
        <v>77</v>
      </c>
    </row>
    <row r="632" spans="1:23" ht="11.25" customHeight="1" x14ac:dyDescent="0.25">
      <c r="A632" s="4" t="s">
        <v>21</v>
      </c>
      <c r="B632" s="4" t="s">
        <v>22</v>
      </c>
      <c r="C632" s="4" t="s">
        <v>33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34</v>
      </c>
      <c r="I632" s="5">
        <v>44713</v>
      </c>
      <c r="J632" s="6">
        <v>0</v>
      </c>
      <c r="K632" s="6">
        <v>0</v>
      </c>
      <c r="L632" s="6">
        <v>1.4039999999999999</v>
      </c>
      <c r="M632" s="6">
        <v>1.4039999999999999</v>
      </c>
      <c r="N632" s="6">
        <v>1.4039999999999999</v>
      </c>
      <c r="O632" s="6">
        <v>1.4039999999999999</v>
      </c>
      <c r="P632" s="6">
        <v>0</v>
      </c>
      <c r="Q632" s="4" t="s">
        <v>26</v>
      </c>
      <c r="R632" s="4">
        <v>0</v>
      </c>
      <c r="S632" s="4" t="s">
        <v>259</v>
      </c>
      <c r="T632" s="4" t="s">
        <v>505</v>
      </c>
      <c r="U632" s="4">
        <v>0</v>
      </c>
      <c r="V632" s="4">
        <v>20</v>
      </c>
      <c r="W632" s="4">
        <v>77</v>
      </c>
    </row>
    <row r="633" spans="1:23" ht="11.25" customHeight="1" x14ac:dyDescent="0.25">
      <c r="A633" s="4" t="s">
        <v>21</v>
      </c>
      <c r="B633" s="4" t="s">
        <v>22</v>
      </c>
      <c r="C633" s="4" t="s">
        <v>33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34</v>
      </c>
      <c r="I633" s="5">
        <v>44743</v>
      </c>
      <c r="J633" s="6">
        <v>0</v>
      </c>
      <c r="K633" s="6">
        <v>0</v>
      </c>
      <c r="L633" s="6">
        <v>2.1219999999999999</v>
      </c>
      <c r="M633" s="6">
        <v>2.1219999999999999</v>
      </c>
      <c r="N633" s="6">
        <v>2.1219999999999999</v>
      </c>
      <c r="O633" s="6">
        <v>2.1219999999999999</v>
      </c>
      <c r="P633" s="6">
        <v>0</v>
      </c>
      <c r="Q633" s="4" t="s">
        <v>26</v>
      </c>
      <c r="R633" s="4">
        <v>0</v>
      </c>
      <c r="S633" s="4" t="s">
        <v>260</v>
      </c>
      <c r="T633" s="4" t="s">
        <v>506</v>
      </c>
      <c r="U633" s="4">
        <v>0</v>
      </c>
      <c r="V633" s="4">
        <v>20</v>
      </c>
      <c r="W633" s="4">
        <v>77</v>
      </c>
    </row>
    <row r="634" spans="1:23" ht="11.25" customHeight="1" x14ac:dyDescent="0.25">
      <c r="A634" s="4" t="s">
        <v>21</v>
      </c>
      <c r="B634" s="4" t="s">
        <v>22</v>
      </c>
      <c r="C634" s="4" t="s">
        <v>33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34</v>
      </c>
      <c r="I634" s="5">
        <v>44774</v>
      </c>
      <c r="J634" s="6">
        <v>0</v>
      </c>
      <c r="K634" s="6">
        <v>0</v>
      </c>
      <c r="L634" s="6">
        <v>1.2450000000000001</v>
      </c>
      <c r="M634" s="6">
        <v>1.2450000000000001</v>
      </c>
      <c r="N634" s="6">
        <v>1.2450000000000001</v>
      </c>
      <c r="O634" s="6">
        <v>1.2450000000000001</v>
      </c>
      <c r="P634" s="6">
        <v>0</v>
      </c>
      <c r="Q634" s="4" t="s">
        <v>26</v>
      </c>
      <c r="R634" s="4">
        <v>0</v>
      </c>
      <c r="S634" s="4" t="s">
        <v>261</v>
      </c>
      <c r="T634" s="4" t="s">
        <v>507</v>
      </c>
      <c r="U634" s="4">
        <v>0</v>
      </c>
      <c r="V634" s="4">
        <v>20</v>
      </c>
      <c r="W634" s="4">
        <v>77</v>
      </c>
    </row>
    <row r="635" spans="1:23" ht="11.25" customHeight="1" x14ac:dyDescent="0.25">
      <c r="A635" s="4" t="s">
        <v>27</v>
      </c>
      <c r="B635" s="4" t="s">
        <v>22</v>
      </c>
      <c r="C635" s="4" t="s">
        <v>33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34</v>
      </c>
      <c r="I635" s="5">
        <v>44774</v>
      </c>
      <c r="J635" s="6">
        <v>0</v>
      </c>
      <c r="K635" s="6">
        <v>0</v>
      </c>
      <c r="L635" s="6">
        <v>-0.93300000000000005</v>
      </c>
      <c r="M635" s="6">
        <v>-0.93300000000000005</v>
      </c>
      <c r="N635" s="6">
        <v>-0.93300000000000005</v>
      </c>
      <c r="O635" s="6">
        <v>-0.93300000000000005</v>
      </c>
      <c r="P635" s="6">
        <v>0</v>
      </c>
      <c r="Q635" s="4" t="s">
        <v>26</v>
      </c>
      <c r="R635" s="4">
        <v>0</v>
      </c>
      <c r="S635" s="4" t="s">
        <v>261</v>
      </c>
      <c r="T635" s="4" t="s">
        <v>507</v>
      </c>
      <c r="U635" s="4">
        <v>0</v>
      </c>
      <c r="V635" s="4">
        <v>20</v>
      </c>
      <c r="W635" s="4">
        <v>77</v>
      </c>
    </row>
    <row r="636" spans="1:23" ht="11.25" customHeight="1" x14ac:dyDescent="0.25">
      <c r="A636" s="4" t="s">
        <v>28</v>
      </c>
      <c r="B636" s="4" t="s">
        <v>22</v>
      </c>
      <c r="C636" s="4" t="s">
        <v>33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34</v>
      </c>
      <c r="I636" s="5">
        <v>44774</v>
      </c>
      <c r="J636" s="6">
        <v>0</v>
      </c>
      <c r="K636" s="6">
        <v>0</v>
      </c>
      <c r="L636" s="6">
        <v>6.3E-2</v>
      </c>
      <c r="M636" s="6">
        <v>6.3E-2</v>
      </c>
      <c r="N636" s="6">
        <v>6.3E-2</v>
      </c>
      <c r="O636" s="6">
        <v>6.3E-2</v>
      </c>
      <c r="P636" s="6">
        <v>0</v>
      </c>
      <c r="Q636" s="4" t="s">
        <v>26</v>
      </c>
      <c r="R636" s="4">
        <v>0</v>
      </c>
      <c r="S636" s="4" t="s">
        <v>261</v>
      </c>
      <c r="T636" s="4" t="s">
        <v>507</v>
      </c>
      <c r="U636" s="4">
        <v>0</v>
      </c>
      <c r="V636" s="4">
        <v>20</v>
      </c>
      <c r="W636" s="4">
        <v>77</v>
      </c>
    </row>
    <row r="637" spans="1:23" ht="11.25" customHeight="1" x14ac:dyDescent="0.25">
      <c r="A637" s="4" t="s">
        <v>21</v>
      </c>
      <c r="B637" s="4" t="s">
        <v>22</v>
      </c>
      <c r="C637" s="4" t="s">
        <v>33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34</v>
      </c>
      <c r="I637" s="5">
        <v>44805</v>
      </c>
      <c r="J637" s="6">
        <v>0</v>
      </c>
      <c r="K637" s="6">
        <v>0</v>
      </c>
      <c r="L637" s="6">
        <v>1.411</v>
      </c>
      <c r="M637" s="6">
        <v>1.411</v>
      </c>
      <c r="N637" s="6">
        <v>1.411</v>
      </c>
      <c r="O637" s="6">
        <v>1.411</v>
      </c>
      <c r="P637" s="6">
        <v>0</v>
      </c>
      <c r="Q637" s="4" t="s">
        <v>26</v>
      </c>
      <c r="R637" s="4">
        <v>0</v>
      </c>
      <c r="S637" s="4" t="s">
        <v>262</v>
      </c>
      <c r="T637" s="4" t="s">
        <v>508</v>
      </c>
      <c r="U637" s="4">
        <v>0</v>
      </c>
      <c r="V637" s="4">
        <v>20</v>
      </c>
      <c r="W637" s="4">
        <v>77</v>
      </c>
    </row>
    <row r="638" spans="1:23" ht="11.25" customHeight="1" x14ac:dyDescent="0.25">
      <c r="A638" s="4" t="s">
        <v>21</v>
      </c>
      <c r="B638" s="4" t="s">
        <v>22</v>
      </c>
      <c r="C638" s="4" t="s">
        <v>33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34</v>
      </c>
      <c r="I638" s="5">
        <v>44835</v>
      </c>
      <c r="J638" s="6">
        <v>0</v>
      </c>
      <c r="K638" s="6">
        <v>0</v>
      </c>
      <c r="L638" s="6">
        <v>1.337</v>
      </c>
      <c r="M638" s="6">
        <v>1.337</v>
      </c>
      <c r="N638" s="6">
        <v>1.337</v>
      </c>
      <c r="O638" s="6">
        <v>1.337</v>
      </c>
      <c r="P638" s="6">
        <v>0</v>
      </c>
      <c r="Q638" s="4" t="s">
        <v>26</v>
      </c>
      <c r="R638" s="4">
        <v>0</v>
      </c>
      <c r="S638" s="4" t="s">
        <v>263</v>
      </c>
      <c r="T638" s="4" t="s">
        <v>509</v>
      </c>
      <c r="U638" s="4">
        <v>0</v>
      </c>
      <c r="V638" s="4">
        <v>20</v>
      </c>
      <c r="W638" s="4">
        <v>77</v>
      </c>
    </row>
    <row r="639" spans="1:23" ht="11.25" customHeight="1" x14ac:dyDescent="0.25">
      <c r="A639" s="4" t="s">
        <v>54</v>
      </c>
      <c r="B639" s="4" t="s">
        <v>22</v>
      </c>
      <c r="C639" s="4" t="s">
        <v>33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34</v>
      </c>
      <c r="I639" s="5">
        <v>44866</v>
      </c>
      <c r="J639" s="6">
        <v>0</v>
      </c>
      <c r="K639" s="6">
        <v>0</v>
      </c>
      <c r="L639" s="6">
        <v>1.337</v>
      </c>
      <c r="M639" s="6">
        <v>1.337</v>
      </c>
      <c r="N639" s="6">
        <v>1.337</v>
      </c>
      <c r="O639" s="6">
        <v>1.337</v>
      </c>
      <c r="P639" s="6">
        <v>0</v>
      </c>
      <c r="Q639" s="4" t="s">
        <v>26</v>
      </c>
      <c r="R639" s="4">
        <v>0</v>
      </c>
      <c r="S639" s="4" t="s">
        <v>264</v>
      </c>
      <c r="T639" s="4" t="s">
        <v>510</v>
      </c>
      <c r="U639" s="4">
        <v>0</v>
      </c>
      <c r="V639" s="4">
        <v>20</v>
      </c>
      <c r="W639" s="4">
        <v>77</v>
      </c>
    </row>
    <row r="640" spans="1:23" ht="11.25" customHeight="1" x14ac:dyDescent="0.25">
      <c r="A640" s="4" t="s">
        <v>21</v>
      </c>
      <c r="B640" s="4" t="s">
        <v>22</v>
      </c>
      <c r="C640" s="4" t="s">
        <v>23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40253.358</v>
      </c>
      <c r="M640" s="6">
        <v>40253.358</v>
      </c>
      <c r="N640" s="6">
        <v>40253.358</v>
      </c>
      <c r="O640" s="6">
        <v>40253.358</v>
      </c>
      <c r="P640" s="6">
        <v>147531</v>
      </c>
      <c r="Q640" s="4" t="s">
        <v>26</v>
      </c>
      <c r="R640" s="4">
        <v>0</v>
      </c>
      <c r="S640" s="4" t="s">
        <v>265</v>
      </c>
      <c r="T640" s="4" t="s">
        <v>511</v>
      </c>
      <c r="U640" s="4">
        <v>0</v>
      </c>
      <c r="V640" s="4">
        <v>25</v>
      </c>
      <c r="W640" s="4">
        <v>80</v>
      </c>
    </row>
    <row r="641" spans="1:23" ht="11.25" customHeight="1" x14ac:dyDescent="0.25">
      <c r="A641" s="4" t="s">
        <v>27</v>
      </c>
      <c r="B641" s="4" t="s">
        <v>22</v>
      </c>
      <c r="C641" s="4" t="s">
        <v>23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-1538.8630000000001</v>
      </c>
      <c r="M641" s="6">
        <v>-1538.8630000000001</v>
      </c>
      <c r="N641" s="6">
        <v>-1538.8630000000001</v>
      </c>
      <c r="O641" s="6">
        <v>-1538.8630000000001</v>
      </c>
      <c r="P641" s="6">
        <v>-946</v>
      </c>
      <c r="Q641" s="4" t="s">
        <v>26</v>
      </c>
      <c r="R641" s="4">
        <v>0</v>
      </c>
      <c r="S641" s="4" t="s">
        <v>265</v>
      </c>
      <c r="T641" s="4" t="s">
        <v>511</v>
      </c>
      <c r="U641" s="4">
        <v>0</v>
      </c>
      <c r="V641" s="4">
        <v>25</v>
      </c>
      <c r="W641" s="4">
        <v>80</v>
      </c>
    </row>
    <row r="642" spans="1:23" ht="11.25" customHeight="1" x14ac:dyDescent="0.25">
      <c r="A642" s="4" t="s">
        <v>28</v>
      </c>
      <c r="B642" s="4" t="s">
        <v>22</v>
      </c>
      <c r="C642" s="4" t="s">
        <v>23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25</v>
      </c>
      <c r="I642" s="5">
        <v>44531</v>
      </c>
      <c r="J642" s="6">
        <v>0</v>
      </c>
      <c r="K642" s="6">
        <v>0</v>
      </c>
      <c r="L642" s="6">
        <v>195.648</v>
      </c>
      <c r="M642" s="6">
        <v>195.648</v>
      </c>
      <c r="N642" s="6">
        <v>195.648</v>
      </c>
      <c r="O642" s="6">
        <v>195.648</v>
      </c>
      <c r="P642" s="6">
        <v>735</v>
      </c>
      <c r="Q642" s="4" t="s">
        <v>26</v>
      </c>
      <c r="R642" s="4">
        <v>0</v>
      </c>
      <c r="S642" s="4" t="s">
        <v>265</v>
      </c>
      <c r="T642" s="4" t="s">
        <v>511</v>
      </c>
      <c r="U642" s="4">
        <v>0</v>
      </c>
      <c r="V642" s="4">
        <v>25</v>
      </c>
      <c r="W642" s="4">
        <v>80</v>
      </c>
    </row>
    <row r="643" spans="1:23" ht="11.25" customHeight="1" x14ac:dyDescent="0.25">
      <c r="A643" s="4" t="s">
        <v>28</v>
      </c>
      <c r="B643" s="4" t="s">
        <v>22</v>
      </c>
      <c r="C643" s="4" t="s">
        <v>23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25</v>
      </c>
      <c r="I643" s="5">
        <v>44531</v>
      </c>
      <c r="J643" s="6">
        <v>0</v>
      </c>
      <c r="K643" s="6">
        <v>0</v>
      </c>
      <c r="L643" s="6">
        <v>2.4060000000000001</v>
      </c>
      <c r="M643" s="6">
        <v>2.4060000000000001</v>
      </c>
      <c r="N643" s="6">
        <v>2.4060000000000001</v>
      </c>
      <c r="O643" s="6">
        <v>2.4060000000000001</v>
      </c>
      <c r="P643" s="6">
        <v>12</v>
      </c>
      <c r="Q643" s="4" t="s">
        <v>26</v>
      </c>
      <c r="R643" s="4">
        <v>0</v>
      </c>
      <c r="S643" s="4" t="s">
        <v>265</v>
      </c>
      <c r="T643" s="4" t="s">
        <v>511</v>
      </c>
      <c r="U643" s="4">
        <v>0</v>
      </c>
      <c r="V643" s="4">
        <v>25</v>
      </c>
      <c r="W643" s="4">
        <v>80</v>
      </c>
    </row>
    <row r="644" spans="1:23" ht="11.25" customHeight="1" x14ac:dyDescent="0.25">
      <c r="A644" s="4" t="s">
        <v>21</v>
      </c>
      <c r="B644" s="4" t="s">
        <v>22</v>
      </c>
      <c r="C644" s="4" t="s">
        <v>23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25</v>
      </c>
      <c r="I644" s="5">
        <v>44562</v>
      </c>
      <c r="J644" s="6">
        <v>0</v>
      </c>
      <c r="K644" s="6">
        <v>0</v>
      </c>
      <c r="L644" s="6">
        <v>35955.514999999999</v>
      </c>
      <c r="M644" s="6">
        <v>35955.514999999999</v>
      </c>
      <c r="N644" s="6">
        <v>35955.514999999999</v>
      </c>
      <c r="O644" s="6">
        <v>35955.514999999999</v>
      </c>
      <c r="P644" s="6">
        <v>145405</v>
      </c>
      <c r="Q644" s="4" t="s">
        <v>26</v>
      </c>
      <c r="R644" s="4">
        <v>0</v>
      </c>
      <c r="S644" s="4" t="s">
        <v>266</v>
      </c>
      <c r="T644" s="4" t="s">
        <v>512</v>
      </c>
      <c r="U644" s="4">
        <v>0</v>
      </c>
      <c r="V644" s="4">
        <v>25</v>
      </c>
      <c r="W644" s="4">
        <v>80</v>
      </c>
    </row>
    <row r="645" spans="1:23" ht="11.25" customHeight="1" x14ac:dyDescent="0.25">
      <c r="A645" s="4" t="s">
        <v>27</v>
      </c>
      <c r="B645" s="4" t="s">
        <v>22</v>
      </c>
      <c r="C645" s="4" t="s">
        <v>23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25</v>
      </c>
      <c r="I645" s="5">
        <v>44562</v>
      </c>
      <c r="J645" s="6">
        <v>0</v>
      </c>
      <c r="K645" s="6">
        <v>0</v>
      </c>
      <c r="L645" s="6">
        <v>-1895.162</v>
      </c>
      <c r="M645" s="6">
        <v>-1895.162</v>
      </c>
      <c r="N645" s="6">
        <v>-1895.162</v>
      </c>
      <c r="O645" s="6">
        <v>-1895.162</v>
      </c>
      <c r="P645" s="6">
        <v>-1168</v>
      </c>
      <c r="Q645" s="4" t="s">
        <v>26</v>
      </c>
      <c r="R645" s="4">
        <v>0</v>
      </c>
      <c r="S645" s="4" t="s">
        <v>266</v>
      </c>
      <c r="T645" s="4" t="s">
        <v>512</v>
      </c>
      <c r="U645" s="4">
        <v>0</v>
      </c>
      <c r="V645" s="4">
        <v>25</v>
      </c>
      <c r="W645" s="4">
        <v>80</v>
      </c>
    </row>
    <row r="646" spans="1:23" ht="11.25" customHeight="1" x14ac:dyDescent="0.25">
      <c r="A646" s="4" t="s">
        <v>28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44562</v>
      </c>
      <c r="J646" s="6">
        <v>0</v>
      </c>
      <c r="K646" s="6">
        <v>0</v>
      </c>
      <c r="L646" s="6">
        <v>183.24199999999999</v>
      </c>
      <c r="M646" s="6">
        <v>183.24199999999999</v>
      </c>
      <c r="N646" s="6">
        <v>183.24199999999999</v>
      </c>
      <c r="O646" s="6">
        <v>183.24199999999999</v>
      </c>
      <c r="P646" s="6">
        <v>761</v>
      </c>
      <c r="Q646" s="4" t="s">
        <v>26</v>
      </c>
      <c r="R646" s="4">
        <v>0</v>
      </c>
      <c r="S646" s="4" t="s">
        <v>266</v>
      </c>
      <c r="T646" s="4" t="s">
        <v>512</v>
      </c>
      <c r="U646" s="4">
        <v>0</v>
      </c>
      <c r="V646" s="4">
        <v>25</v>
      </c>
      <c r="W646" s="4">
        <v>80</v>
      </c>
    </row>
    <row r="647" spans="1:23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44562</v>
      </c>
      <c r="J647" s="6">
        <v>0</v>
      </c>
      <c r="K647" s="6">
        <v>0</v>
      </c>
      <c r="L647" s="6">
        <v>-0.81799999999999995</v>
      </c>
      <c r="M647" s="6">
        <v>-0.81799999999999995</v>
      </c>
      <c r="N647" s="6">
        <v>-0.81799999999999995</v>
      </c>
      <c r="O647" s="6">
        <v>-0.81799999999999995</v>
      </c>
      <c r="P647" s="6">
        <v>6</v>
      </c>
      <c r="Q647" s="4" t="s">
        <v>26</v>
      </c>
      <c r="R647" s="4">
        <v>0</v>
      </c>
      <c r="S647" s="4" t="s">
        <v>266</v>
      </c>
      <c r="T647" s="4" t="s">
        <v>512</v>
      </c>
      <c r="U647" s="4">
        <v>0</v>
      </c>
      <c r="V647" s="4">
        <v>25</v>
      </c>
      <c r="W647" s="4">
        <v>80</v>
      </c>
    </row>
    <row r="648" spans="1:23" ht="11.25" customHeight="1" x14ac:dyDescent="0.25">
      <c r="A648" s="4" t="s">
        <v>21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44593</v>
      </c>
      <c r="J648" s="6">
        <v>0</v>
      </c>
      <c r="K648" s="6">
        <v>0</v>
      </c>
      <c r="L648" s="6">
        <v>31305.56</v>
      </c>
      <c r="M648" s="6">
        <v>31305.56</v>
      </c>
      <c r="N648" s="6">
        <v>31305.56</v>
      </c>
      <c r="O648" s="6">
        <v>31305.56</v>
      </c>
      <c r="P648" s="6">
        <v>133310</v>
      </c>
      <c r="Q648" s="4" t="s">
        <v>26</v>
      </c>
      <c r="R648" s="4">
        <v>0</v>
      </c>
      <c r="S648" s="4" t="s">
        <v>267</v>
      </c>
      <c r="T648" s="4" t="s">
        <v>513</v>
      </c>
      <c r="U648" s="4">
        <v>0</v>
      </c>
      <c r="V648" s="4">
        <v>25</v>
      </c>
      <c r="W648" s="4">
        <v>80</v>
      </c>
    </row>
    <row r="649" spans="1:23" ht="11.25" customHeight="1" x14ac:dyDescent="0.25">
      <c r="A649" s="4" t="s">
        <v>27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44593</v>
      </c>
      <c r="J649" s="6">
        <v>0</v>
      </c>
      <c r="K649" s="6">
        <v>0</v>
      </c>
      <c r="L649" s="6">
        <v>-2167.8159999999998</v>
      </c>
      <c r="M649" s="6">
        <v>-2167.8159999999998</v>
      </c>
      <c r="N649" s="6">
        <v>-2167.8159999999998</v>
      </c>
      <c r="O649" s="6">
        <v>-2167.8159999999998</v>
      </c>
      <c r="P649" s="6">
        <v>-1997</v>
      </c>
      <c r="Q649" s="4" t="s">
        <v>26</v>
      </c>
      <c r="R649" s="4">
        <v>0</v>
      </c>
      <c r="S649" s="4" t="s">
        <v>267</v>
      </c>
      <c r="T649" s="4" t="s">
        <v>513</v>
      </c>
      <c r="U649" s="4">
        <v>0</v>
      </c>
      <c r="V649" s="4">
        <v>25</v>
      </c>
      <c r="W649" s="4">
        <v>80</v>
      </c>
    </row>
    <row r="650" spans="1:23" ht="11.25" customHeight="1" x14ac:dyDescent="0.25">
      <c r="A650" s="4" t="s">
        <v>28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44593</v>
      </c>
      <c r="J650" s="6">
        <v>0</v>
      </c>
      <c r="K650" s="6">
        <v>0</v>
      </c>
      <c r="L650" s="6">
        <v>381.43400000000003</v>
      </c>
      <c r="M650" s="6">
        <v>381.43400000000003</v>
      </c>
      <c r="N650" s="6">
        <v>381.43400000000003</v>
      </c>
      <c r="O650" s="6">
        <v>381.43400000000003</v>
      </c>
      <c r="P650" s="6">
        <v>806</v>
      </c>
      <c r="Q650" s="4" t="s">
        <v>26</v>
      </c>
      <c r="R650" s="4">
        <v>0</v>
      </c>
      <c r="S650" s="4" t="s">
        <v>267</v>
      </c>
      <c r="T650" s="4" t="s">
        <v>513</v>
      </c>
      <c r="U650" s="4">
        <v>0</v>
      </c>
      <c r="V650" s="4">
        <v>25</v>
      </c>
      <c r="W650" s="4">
        <v>80</v>
      </c>
    </row>
    <row r="651" spans="1:2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44593</v>
      </c>
      <c r="J651" s="6">
        <v>0</v>
      </c>
      <c r="K651" s="6">
        <v>0</v>
      </c>
      <c r="L651" s="6">
        <v>-12.226000000000001</v>
      </c>
      <c r="M651" s="6">
        <v>-12.226000000000001</v>
      </c>
      <c r="N651" s="6">
        <v>-12.226000000000001</v>
      </c>
      <c r="O651" s="6">
        <v>-12.226000000000001</v>
      </c>
      <c r="P651" s="6">
        <v>-2</v>
      </c>
      <c r="Q651" s="4" t="s">
        <v>26</v>
      </c>
      <c r="R651" s="4">
        <v>0</v>
      </c>
      <c r="S651" s="4" t="s">
        <v>267</v>
      </c>
      <c r="T651" s="4" t="s">
        <v>513</v>
      </c>
      <c r="U651" s="4">
        <v>0</v>
      </c>
      <c r="V651" s="4">
        <v>25</v>
      </c>
      <c r="W651" s="4">
        <v>80</v>
      </c>
    </row>
    <row r="652" spans="1:23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44621</v>
      </c>
      <c r="J652" s="6">
        <v>0</v>
      </c>
      <c r="K652" s="6">
        <v>0</v>
      </c>
      <c r="L652" s="6">
        <v>34532.336000000003</v>
      </c>
      <c r="M652" s="6">
        <v>34532.336000000003</v>
      </c>
      <c r="N652" s="6">
        <v>34532.336000000003</v>
      </c>
      <c r="O652" s="6">
        <v>34532.336000000003</v>
      </c>
      <c r="P652" s="6">
        <v>134087</v>
      </c>
      <c r="Q652" s="4" t="s">
        <v>26</v>
      </c>
      <c r="R652" s="4">
        <v>0</v>
      </c>
      <c r="S652" s="4" t="s">
        <v>268</v>
      </c>
      <c r="T652" s="4" t="s">
        <v>514</v>
      </c>
      <c r="U652" s="4">
        <v>0</v>
      </c>
      <c r="V652" s="4">
        <v>25</v>
      </c>
      <c r="W652" s="4">
        <v>80</v>
      </c>
    </row>
    <row r="653" spans="1:23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44621</v>
      </c>
      <c r="J653" s="6">
        <v>0</v>
      </c>
      <c r="K653" s="6">
        <v>0</v>
      </c>
      <c r="L653" s="6">
        <v>-1400.6690000000001</v>
      </c>
      <c r="M653" s="6">
        <v>-1400.6690000000001</v>
      </c>
      <c r="N653" s="6">
        <v>-1400.6690000000001</v>
      </c>
      <c r="O653" s="6">
        <v>-1400.6690000000001</v>
      </c>
      <c r="P653" s="6">
        <v>-1364</v>
      </c>
      <c r="Q653" s="4" t="s">
        <v>26</v>
      </c>
      <c r="R653" s="4">
        <v>0</v>
      </c>
      <c r="S653" s="4" t="s">
        <v>268</v>
      </c>
      <c r="T653" s="4" t="s">
        <v>514</v>
      </c>
      <c r="U653" s="4">
        <v>0</v>
      </c>
      <c r="V653" s="4">
        <v>25</v>
      </c>
      <c r="W653" s="4">
        <v>80</v>
      </c>
    </row>
    <row r="654" spans="1:23" ht="11.25" customHeight="1" x14ac:dyDescent="0.25">
      <c r="A654" s="4" t="s">
        <v>28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44621</v>
      </c>
      <c r="J654" s="6">
        <v>0</v>
      </c>
      <c r="K654" s="6">
        <v>0</v>
      </c>
      <c r="L654" s="6">
        <v>219.94499999999999</v>
      </c>
      <c r="M654" s="6">
        <v>219.94499999999999</v>
      </c>
      <c r="N654" s="6">
        <v>219.94499999999999</v>
      </c>
      <c r="O654" s="6">
        <v>219.94499999999999</v>
      </c>
      <c r="P654" s="6">
        <v>909</v>
      </c>
      <c r="Q654" s="4" t="s">
        <v>26</v>
      </c>
      <c r="R654" s="4">
        <v>0</v>
      </c>
      <c r="S654" s="4" t="s">
        <v>268</v>
      </c>
      <c r="T654" s="4" t="s">
        <v>514</v>
      </c>
      <c r="U654" s="4">
        <v>0</v>
      </c>
      <c r="V654" s="4">
        <v>25</v>
      </c>
      <c r="W654" s="4">
        <v>80</v>
      </c>
    </row>
    <row r="655" spans="1:23" ht="11.25" customHeight="1" x14ac:dyDescent="0.25">
      <c r="A655" s="4" t="s">
        <v>28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44621</v>
      </c>
      <c r="J655" s="6">
        <v>0</v>
      </c>
      <c r="K655" s="6">
        <v>0</v>
      </c>
      <c r="L655" s="6">
        <v>-0.50900000000000001</v>
      </c>
      <c r="M655" s="6">
        <v>-0.50900000000000001</v>
      </c>
      <c r="N655" s="6">
        <v>-0.50900000000000001</v>
      </c>
      <c r="O655" s="6">
        <v>-0.50900000000000001</v>
      </c>
      <c r="P655" s="6">
        <v>6</v>
      </c>
      <c r="Q655" s="4" t="s">
        <v>26</v>
      </c>
      <c r="R655" s="4">
        <v>0</v>
      </c>
      <c r="S655" s="4" t="s">
        <v>268</v>
      </c>
      <c r="T655" s="4" t="s">
        <v>514</v>
      </c>
      <c r="U655" s="4">
        <v>0</v>
      </c>
      <c r="V655" s="4">
        <v>25</v>
      </c>
      <c r="W655" s="4">
        <v>80</v>
      </c>
    </row>
    <row r="656" spans="1:23" ht="11.25" customHeight="1" x14ac:dyDescent="0.25">
      <c r="A656" s="4" t="s">
        <v>21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44652</v>
      </c>
      <c r="J656" s="6">
        <v>0</v>
      </c>
      <c r="K656" s="6">
        <v>0</v>
      </c>
      <c r="L656" s="6">
        <v>32921.425000000003</v>
      </c>
      <c r="M656" s="6">
        <v>32921.425000000003</v>
      </c>
      <c r="N656" s="6">
        <v>32921.425000000003</v>
      </c>
      <c r="O656" s="6">
        <v>32921.425000000003</v>
      </c>
      <c r="P656" s="6">
        <v>131750</v>
      </c>
      <c r="Q656" s="4" t="s">
        <v>26</v>
      </c>
      <c r="R656" s="4">
        <v>0</v>
      </c>
      <c r="S656" s="4" t="s">
        <v>269</v>
      </c>
      <c r="T656" s="4" t="s">
        <v>515</v>
      </c>
      <c r="U656" s="4">
        <v>0</v>
      </c>
      <c r="V656" s="4">
        <v>25</v>
      </c>
      <c r="W656" s="4">
        <v>80</v>
      </c>
    </row>
    <row r="657" spans="1:23" ht="11.25" customHeight="1" x14ac:dyDescent="0.25">
      <c r="A657" s="4" t="s">
        <v>27</v>
      </c>
      <c r="B657" s="4" t="s">
        <v>22</v>
      </c>
      <c r="C657" s="4" t="s">
        <v>23</v>
      </c>
      <c r="D657" s="4" t="s">
        <v>24</v>
      </c>
      <c r="E657" s="4" t="s">
        <v>24</v>
      </c>
      <c r="F657" s="4" t="s">
        <v>25</v>
      </c>
      <c r="G657" s="4" t="s">
        <v>25</v>
      </c>
      <c r="H657" s="4" t="s">
        <v>25</v>
      </c>
      <c r="I657" s="5">
        <v>44652</v>
      </c>
      <c r="J657" s="6">
        <v>0</v>
      </c>
      <c r="K657" s="6">
        <v>0</v>
      </c>
      <c r="L657" s="6">
        <v>-1668.5840000000001</v>
      </c>
      <c r="M657" s="6">
        <v>-1668.5840000000001</v>
      </c>
      <c r="N657" s="6">
        <v>-1668.5840000000001</v>
      </c>
      <c r="O657" s="6">
        <v>-1668.5840000000001</v>
      </c>
      <c r="P657" s="6">
        <v>-2748</v>
      </c>
      <c r="Q657" s="4" t="s">
        <v>26</v>
      </c>
      <c r="R657" s="4">
        <v>0</v>
      </c>
      <c r="S657" s="4" t="s">
        <v>269</v>
      </c>
      <c r="T657" s="4" t="s">
        <v>515</v>
      </c>
      <c r="U657" s="4">
        <v>0</v>
      </c>
      <c r="V657" s="4">
        <v>25</v>
      </c>
      <c r="W657" s="4">
        <v>80</v>
      </c>
    </row>
    <row r="658" spans="1:2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24</v>
      </c>
      <c r="F658" s="4" t="s">
        <v>25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281.88</v>
      </c>
      <c r="M658" s="6">
        <v>281.88</v>
      </c>
      <c r="N658" s="6">
        <v>281.88</v>
      </c>
      <c r="O658" s="6">
        <v>281.88</v>
      </c>
      <c r="P658" s="6">
        <v>1002</v>
      </c>
      <c r="Q658" s="4" t="s">
        <v>26</v>
      </c>
      <c r="R658" s="4">
        <v>0</v>
      </c>
      <c r="S658" s="4" t="s">
        <v>269</v>
      </c>
      <c r="T658" s="4" t="s">
        <v>515</v>
      </c>
      <c r="U658" s="4">
        <v>0</v>
      </c>
      <c r="V658" s="4">
        <v>25</v>
      </c>
      <c r="W658" s="4">
        <v>80</v>
      </c>
    </row>
    <row r="659" spans="1:23" ht="11.25" customHeight="1" x14ac:dyDescent="0.25">
      <c r="A659" s="4" t="s">
        <v>28</v>
      </c>
      <c r="B659" s="4" t="s">
        <v>22</v>
      </c>
      <c r="C659" s="4" t="s">
        <v>23</v>
      </c>
      <c r="D659" s="4" t="s">
        <v>24</v>
      </c>
      <c r="E659" s="4" t="s">
        <v>24</v>
      </c>
      <c r="F659" s="4" t="s">
        <v>25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-36.261000000000003</v>
      </c>
      <c r="M659" s="6">
        <v>-36.261000000000003</v>
      </c>
      <c r="N659" s="6">
        <v>-36.261000000000003</v>
      </c>
      <c r="O659" s="6">
        <v>-36.261000000000003</v>
      </c>
      <c r="P659" s="6">
        <v>1</v>
      </c>
      <c r="Q659" s="4" t="s">
        <v>26</v>
      </c>
      <c r="R659" s="4">
        <v>0</v>
      </c>
      <c r="S659" s="4" t="s">
        <v>269</v>
      </c>
      <c r="T659" s="4" t="s">
        <v>515</v>
      </c>
      <c r="U659" s="4">
        <v>0</v>
      </c>
      <c r="V659" s="4">
        <v>25</v>
      </c>
      <c r="W659" s="4">
        <v>80</v>
      </c>
    </row>
    <row r="660" spans="1:23" ht="11.25" customHeight="1" x14ac:dyDescent="0.25">
      <c r="A660" s="4" t="s">
        <v>21</v>
      </c>
      <c r="B660" s="4" t="s">
        <v>22</v>
      </c>
      <c r="C660" s="4" t="s">
        <v>23</v>
      </c>
      <c r="D660" s="4" t="s">
        <v>24</v>
      </c>
      <c r="E660" s="4" t="s">
        <v>24</v>
      </c>
      <c r="F660" s="4" t="s">
        <v>25</v>
      </c>
      <c r="G660" s="4" t="s">
        <v>25</v>
      </c>
      <c r="H660" s="4" t="s">
        <v>25</v>
      </c>
      <c r="I660" s="5">
        <v>44682</v>
      </c>
      <c r="J660" s="6">
        <v>0</v>
      </c>
      <c r="K660" s="6">
        <v>0</v>
      </c>
      <c r="L660" s="6">
        <v>38413.559000000001</v>
      </c>
      <c r="M660" s="6">
        <v>38413.559000000001</v>
      </c>
      <c r="N660" s="6">
        <v>38413.559000000001</v>
      </c>
      <c r="O660" s="6">
        <v>38413.559000000001</v>
      </c>
      <c r="P660" s="6">
        <v>132969</v>
      </c>
      <c r="Q660" s="4" t="s">
        <v>26</v>
      </c>
      <c r="R660" s="4">
        <v>0</v>
      </c>
      <c r="S660" s="4" t="s">
        <v>270</v>
      </c>
      <c r="T660" s="4" t="s">
        <v>516</v>
      </c>
      <c r="U660" s="4">
        <v>0</v>
      </c>
      <c r="V660" s="4">
        <v>25</v>
      </c>
      <c r="W660" s="4">
        <v>80</v>
      </c>
    </row>
    <row r="661" spans="1:23" ht="11.25" customHeight="1" x14ac:dyDescent="0.25">
      <c r="A661" s="4" t="s">
        <v>27</v>
      </c>
      <c r="B661" s="4" t="s">
        <v>22</v>
      </c>
      <c r="C661" s="4" t="s">
        <v>23</v>
      </c>
      <c r="D661" s="4" t="s">
        <v>24</v>
      </c>
      <c r="E661" s="4" t="s">
        <v>24</v>
      </c>
      <c r="F661" s="4" t="s">
        <v>25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-1538.1020000000001</v>
      </c>
      <c r="M661" s="6">
        <v>-1538.1020000000001</v>
      </c>
      <c r="N661" s="6">
        <v>-1538.1020000000001</v>
      </c>
      <c r="O661" s="6">
        <v>-1538.1020000000001</v>
      </c>
      <c r="P661" s="6">
        <v>-1824</v>
      </c>
      <c r="Q661" s="4" t="s">
        <v>26</v>
      </c>
      <c r="R661" s="4">
        <v>0</v>
      </c>
      <c r="S661" s="4" t="s">
        <v>270</v>
      </c>
      <c r="T661" s="4" t="s">
        <v>516</v>
      </c>
      <c r="U661" s="4">
        <v>0</v>
      </c>
      <c r="V661" s="4">
        <v>25</v>
      </c>
      <c r="W661" s="4">
        <v>80</v>
      </c>
    </row>
    <row r="662" spans="1:23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300.37400000000002</v>
      </c>
      <c r="M662" s="6">
        <v>300.37400000000002</v>
      </c>
      <c r="N662" s="6">
        <v>300.37400000000002</v>
      </c>
      <c r="O662" s="6">
        <v>300.37400000000002</v>
      </c>
      <c r="P662" s="6">
        <v>1069</v>
      </c>
      <c r="Q662" s="4" t="s">
        <v>26</v>
      </c>
      <c r="R662" s="4">
        <v>0</v>
      </c>
      <c r="S662" s="4" t="s">
        <v>270</v>
      </c>
      <c r="T662" s="4" t="s">
        <v>516</v>
      </c>
      <c r="U662" s="4">
        <v>0</v>
      </c>
      <c r="V662" s="4">
        <v>25</v>
      </c>
      <c r="W662" s="4">
        <v>80</v>
      </c>
    </row>
    <row r="663" spans="1:2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1.581</v>
      </c>
      <c r="M663" s="6">
        <v>1.581</v>
      </c>
      <c r="N663" s="6">
        <v>1.581</v>
      </c>
      <c r="O663" s="6">
        <v>1.581</v>
      </c>
      <c r="P663" s="6">
        <v>2</v>
      </c>
      <c r="Q663" s="4" t="s">
        <v>26</v>
      </c>
      <c r="R663" s="4">
        <v>0</v>
      </c>
      <c r="S663" s="4" t="s">
        <v>270</v>
      </c>
      <c r="T663" s="4" t="s">
        <v>516</v>
      </c>
      <c r="U663" s="4">
        <v>0</v>
      </c>
      <c r="V663" s="4">
        <v>25</v>
      </c>
      <c r="W663" s="4">
        <v>80</v>
      </c>
    </row>
    <row r="664" spans="1:2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39215.862000000001</v>
      </c>
      <c r="M664" s="6">
        <v>39215.862000000001</v>
      </c>
      <c r="N664" s="6">
        <v>39215.862000000001</v>
      </c>
      <c r="O664" s="6">
        <v>39215.862000000001</v>
      </c>
      <c r="P664" s="6">
        <v>132754</v>
      </c>
      <c r="Q664" s="4" t="s">
        <v>26</v>
      </c>
      <c r="R664" s="4">
        <v>0</v>
      </c>
      <c r="S664" s="4" t="s">
        <v>271</v>
      </c>
      <c r="T664" s="4" t="s">
        <v>517</v>
      </c>
      <c r="U664" s="4">
        <v>0</v>
      </c>
      <c r="V664" s="4">
        <v>25</v>
      </c>
      <c r="W664" s="4">
        <v>80</v>
      </c>
    </row>
    <row r="665" spans="1:2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-1197.4269999999999</v>
      </c>
      <c r="M665" s="6">
        <v>-1197.4269999999999</v>
      </c>
      <c r="N665" s="6">
        <v>-1197.4269999999999</v>
      </c>
      <c r="O665" s="6">
        <v>-1197.4269999999999</v>
      </c>
      <c r="P665" s="6">
        <v>-1117</v>
      </c>
      <c r="Q665" s="4" t="s">
        <v>26</v>
      </c>
      <c r="R665" s="4">
        <v>0</v>
      </c>
      <c r="S665" s="4" t="s">
        <v>271</v>
      </c>
      <c r="T665" s="4" t="s">
        <v>517</v>
      </c>
      <c r="U665" s="4">
        <v>0</v>
      </c>
      <c r="V665" s="4">
        <v>25</v>
      </c>
      <c r="W665" s="4">
        <v>80</v>
      </c>
    </row>
    <row r="666" spans="1:2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325.07900000000001</v>
      </c>
      <c r="M666" s="6">
        <v>325.07900000000001</v>
      </c>
      <c r="N666" s="6">
        <v>325.07900000000001</v>
      </c>
      <c r="O666" s="6">
        <v>325.07900000000001</v>
      </c>
      <c r="P666" s="6">
        <v>1124</v>
      </c>
      <c r="Q666" s="4" t="s">
        <v>26</v>
      </c>
      <c r="R666" s="4">
        <v>0</v>
      </c>
      <c r="S666" s="4" t="s">
        <v>271</v>
      </c>
      <c r="T666" s="4" t="s">
        <v>517</v>
      </c>
      <c r="U666" s="4">
        <v>0</v>
      </c>
      <c r="V666" s="4">
        <v>25</v>
      </c>
      <c r="W666" s="4">
        <v>80</v>
      </c>
    </row>
    <row r="667" spans="1:2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25</v>
      </c>
      <c r="I667" s="5">
        <v>44713</v>
      </c>
      <c r="J667" s="6">
        <v>0</v>
      </c>
      <c r="K667" s="6">
        <v>0</v>
      </c>
      <c r="L667" s="6">
        <v>-15.222</v>
      </c>
      <c r="M667" s="6">
        <v>-15.222</v>
      </c>
      <c r="N667" s="6">
        <v>-15.222</v>
      </c>
      <c r="O667" s="6">
        <v>-15.222</v>
      </c>
      <c r="P667" s="6">
        <v>-1</v>
      </c>
      <c r="Q667" s="4" t="s">
        <v>26</v>
      </c>
      <c r="R667" s="4">
        <v>0</v>
      </c>
      <c r="S667" s="4" t="s">
        <v>271</v>
      </c>
      <c r="T667" s="4" t="s">
        <v>517</v>
      </c>
      <c r="U667" s="4">
        <v>0</v>
      </c>
      <c r="V667" s="4">
        <v>25</v>
      </c>
      <c r="W667" s="4">
        <v>80</v>
      </c>
    </row>
    <row r="668" spans="1:2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38252.379999999997</v>
      </c>
      <c r="M668" s="6">
        <v>38252.379999999997</v>
      </c>
      <c r="N668" s="6">
        <v>38252.379999999997</v>
      </c>
      <c r="O668" s="6">
        <v>38252.379999999997</v>
      </c>
      <c r="P668" s="6">
        <v>131992</v>
      </c>
      <c r="Q668" s="4" t="s">
        <v>26</v>
      </c>
      <c r="R668" s="4">
        <v>0</v>
      </c>
      <c r="S668" s="4" t="s">
        <v>272</v>
      </c>
      <c r="T668" s="4" t="s">
        <v>518</v>
      </c>
      <c r="U668" s="4">
        <v>0</v>
      </c>
      <c r="V668" s="4">
        <v>25</v>
      </c>
      <c r="W668" s="4">
        <v>80</v>
      </c>
    </row>
    <row r="669" spans="1:2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-1416.673</v>
      </c>
      <c r="M669" s="6">
        <v>-1416.673</v>
      </c>
      <c r="N669" s="6">
        <v>-1416.673</v>
      </c>
      <c r="O669" s="6">
        <v>-1416.673</v>
      </c>
      <c r="P669" s="6">
        <v>-2029</v>
      </c>
      <c r="Q669" s="4" t="s">
        <v>26</v>
      </c>
      <c r="R669" s="4">
        <v>0</v>
      </c>
      <c r="S669" s="4" t="s">
        <v>272</v>
      </c>
      <c r="T669" s="4" t="s">
        <v>518</v>
      </c>
      <c r="U669" s="4">
        <v>0</v>
      </c>
      <c r="V669" s="4">
        <v>25</v>
      </c>
      <c r="W669" s="4">
        <v>80</v>
      </c>
    </row>
    <row r="670" spans="1:2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25</v>
      </c>
      <c r="I670" s="5">
        <v>44743</v>
      </c>
      <c r="J670" s="6">
        <v>0</v>
      </c>
      <c r="K670" s="6">
        <v>0</v>
      </c>
      <c r="L670" s="6">
        <v>269.61900000000003</v>
      </c>
      <c r="M670" s="6">
        <v>269.61900000000003</v>
      </c>
      <c r="N670" s="6">
        <v>269.61900000000003</v>
      </c>
      <c r="O670" s="6">
        <v>269.61900000000003</v>
      </c>
      <c r="P670" s="6">
        <v>1181</v>
      </c>
      <c r="Q670" s="4" t="s">
        <v>26</v>
      </c>
      <c r="R670" s="4">
        <v>0</v>
      </c>
      <c r="S670" s="4" t="s">
        <v>272</v>
      </c>
      <c r="T670" s="4" t="s">
        <v>518</v>
      </c>
      <c r="U670" s="4">
        <v>0</v>
      </c>
      <c r="V670" s="4">
        <v>25</v>
      </c>
      <c r="W670" s="4">
        <v>80</v>
      </c>
    </row>
    <row r="671" spans="1:23" ht="11.25" customHeight="1" x14ac:dyDescent="0.25">
      <c r="A671" s="4" t="s">
        <v>28</v>
      </c>
      <c r="B671" s="4" t="s">
        <v>22</v>
      </c>
      <c r="C671" s="4" t="s">
        <v>23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25</v>
      </c>
      <c r="I671" s="5">
        <v>44743</v>
      </c>
      <c r="J671" s="6">
        <v>0</v>
      </c>
      <c r="K671" s="6">
        <v>0</v>
      </c>
      <c r="L671" s="6">
        <v>-27.824999999999999</v>
      </c>
      <c r="M671" s="6">
        <v>-27.824999999999999</v>
      </c>
      <c r="N671" s="6">
        <v>-27.824999999999999</v>
      </c>
      <c r="O671" s="6">
        <v>-27.824999999999999</v>
      </c>
      <c r="P671" s="6">
        <v>0</v>
      </c>
      <c r="Q671" s="4" t="s">
        <v>26</v>
      </c>
      <c r="R671" s="4">
        <v>0</v>
      </c>
      <c r="S671" s="4" t="s">
        <v>272</v>
      </c>
      <c r="T671" s="4" t="s">
        <v>518</v>
      </c>
      <c r="U671" s="4">
        <v>0</v>
      </c>
      <c r="V671" s="4">
        <v>25</v>
      </c>
      <c r="W671" s="4">
        <v>80</v>
      </c>
    </row>
    <row r="672" spans="1:23" ht="11.25" customHeight="1" x14ac:dyDescent="0.25">
      <c r="A672" s="4" t="s">
        <v>21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44774</v>
      </c>
      <c r="J672" s="6">
        <v>0</v>
      </c>
      <c r="K672" s="6">
        <v>0</v>
      </c>
      <c r="L672" s="6">
        <v>41364.845999999998</v>
      </c>
      <c r="M672" s="6">
        <v>41364.845999999998</v>
      </c>
      <c r="N672" s="6">
        <v>41364.845999999998</v>
      </c>
      <c r="O672" s="6">
        <v>41364.845999999998</v>
      </c>
      <c r="P672" s="6">
        <v>135809</v>
      </c>
      <c r="Q672" s="4" t="s">
        <v>26</v>
      </c>
      <c r="R672" s="4">
        <v>0</v>
      </c>
      <c r="S672" s="4" t="s">
        <v>273</v>
      </c>
      <c r="T672" s="4" t="s">
        <v>519</v>
      </c>
      <c r="U672" s="4">
        <v>0</v>
      </c>
      <c r="V672" s="4">
        <v>25</v>
      </c>
      <c r="W672" s="4">
        <v>80</v>
      </c>
    </row>
    <row r="673" spans="1:23" ht="11.25" customHeight="1" x14ac:dyDescent="0.25">
      <c r="A673" s="4" t="s">
        <v>27</v>
      </c>
      <c r="B673" s="4" t="s">
        <v>22</v>
      </c>
      <c r="C673" s="4" t="s">
        <v>23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25</v>
      </c>
      <c r="I673" s="5">
        <v>44774</v>
      </c>
      <c r="J673" s="6">
        <v>0</v>
      </c>
      <c r="K673" s="6">
        <v>0</v>
      </c>
      <c r="L673" s="6">
        <v>-1194.778</v>
      </c>
      <c r="M673" s="6">
        <v>-1194.778</v>
      </c>
      <c r="N673" s="6">
        <v>-1194.778</v>
      </c>
      <c r="O673" s="6">
        <v>-1194.778</v>
      </c>
      <c r="P673" s="6">
        <v>-848</v>
      </c>
      <c r="Q673" s="4" t="s">
        <v>26</v>
      </c>
      <c r="R673" s="4">
        <v>0</v>
      </c>
      <c r="S673" s="4" t="s">
        <v>273</v>
      </c>
      <c r="T673" s="4" t="s">
        <v>519</v>
      </c>
      <c r="U673" s="4">
        <v>0</v>
      </c>
      <c r="V673" s="4">
        <v>25</v>
      </c>
      <c r="W673" s="4">
        <v>80</v>
      </c>
    </row>
    <row r="674" spans="1:23" ht="11.25" customHeight="1" x14ac:dyDescent="0.25">
      <c r="A674" s="4" t="s">
        <v>28</v>
      </c>
      <c r="B674" s="4" t="s">
        <v>22</v>
      </c>
      <c r="C674" s="4" t="s">
        <v>23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25</v>
      </c>
      <c r="I674" s="5">
        <v>44774</v>
      </c>
      <c r="J674" s="6">
        <v>0</v>
      </c>
      <c r="K674" s="6">
        <v>0</v>
      </c>
      <c r="L674" s="6">
        <v>297.82600000000002</v>
      </c>
      <c r="M674" s="6">
        <v>297.82600000000002</v>
      </c>
      <c r="N674" s="6">
        <v>297.82600000000002</v>
      </c>
      <c r="O674" s="6">
        <v>297.82600000000002</v>
      </c>
      <c r="P674" s="6">
        <v>1260</v>
      </c>
      <c r="Q674" s="4" t="s">
        <v>26</v>
      </c>
      <c r="R674" s="4">
        <v>0</v>
      </c>
      <c r="S674" s="4" t="s">
        <v>273</v>
      </c>
      <c r="T674" s="4" t="s">
        <v>519</v>
      </c>
      <c r="U674" s="4">
        <v>0</v>
      </c>
      <c r="V674" s="4">
        <v>25</v>
      </c>
      <c r="W674" s="4">
        <v>80</v>
      </c>
    </row>
    <row r="675" spans="1:23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25</v>
      </c>
      <c r="I675" s="5">
        <v>44774</v>
      </c>
      <c r="J675" s="6">
        <v>0</v>
      </c>
      <c r="K675" s="6">
        <v>0</v>
      </c>
      <c r="L675" s="6">
        <v>-4.6849999999999996</v>
      </c>
      <c r="M675" s="6">
        <v>-4.6849999999999996</v>
      </c>
      <c r="N675" s="6">
        <v>-4.6849999999999996</v>
      </c>
      <c r="O675" s="6">
        <v>-4.6849999999999996</v>
      </c>
      <c r="P675" s="6">
        <v>1</v>
      </c>
      <c r="Q675" s="4" t="s">
        <v>26</v>
      </c>
      <c r="R675" s="4">
        <v>0</v>
      </c>
      <c r="S675" s="4" t="s">
        <v>273</v>
      </c>
      <c r="T675" s="4" t="s">
        <v>519</v>
      </c>
      <c r="U675" s="4">
        <v>0</v>
      </c>
      <c r="V675" s="4">
        <v>25</v>
      </c>
      <c r="W675" s="4">
        <v>80</v>
      </c>
    </row>
    <row r="676" spans="1:23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25</v>
      </c>
      <c r="I676" s="5">
        <v>44805</v>
      </c>
      <c r="J676" s="6">
        <v>0</v>
      </c>
      <c r="K676" s="6">
        <v>0</v>
      </c>
      <c r="L676" s="6">
        <v>44053.01</v>
      </c>
      <c r="M676" s="6">
        <v>44053.01</v>
      </c>
      <c r="N676" s="6">
        <v>44053.01</v>
      </c>
      <c r="O676" s="6">
        <v>44053.01</v>
      </c>
      <c r="P676" s="6">
        <v>127605</v>
      </c>
      <c r="Q676" s="4" t="s">
        <v>26</v>
      </c>
      <c r="R676" s="4">
        <v>0</v>
      </c>
      <c r="S676" s="4" t="s">
        <v>274</v>
      </c>
      <c r="T676" s="4" t="s">
        <v>520</v>
      </c>
      <c r="U676" s="4">
        <v>0</v>
      </c>
      <c r="V676" s="4">
        <v>25</v>
      </c>
      <c r="W676" s="4">
        <v>80</v>
      </c>
    </row>
    <row r="677" spans="1:23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25</v>
      </c>
      <c r="I677" s="5">
        <v>44805</v>
      </c>
      <c r="J677" s="6">
        <v>0</v>
      </c>
      <c r="K677" s="6">
        <v>0</v>
      </c>
      <c r="L677" s="6">
        <v>-1479.7159999999999</v>
      </c>
      <c r="M677" s="6">
        <v>-1479.7159999999999</v>
      </c>
      <c r="N677" s="6">
        <v>-1479.7159999999999</v>
      </c>
      <c r="O677" s="6">
        <v>-1479.7159999999999</v>
      </c>
      <c r="P677" s="6">
        <v>-7113</v>
      </c>
      <c r="Q677" s="4" t="s">
        <v>26</v>
      </c>
      <c r="R677" s="4">
        <v>0</v>
      </c>
      <c r="S677" s="4" t="s">
        <v>274</v>
      </c>
      <c r="T677" s="4" t="s">
        <v>520</v>
      </c>
      <c r="U677" s="4">
        <v>0</v>
      </c>
      <c r="V677" s="4">
        <v>25</v>
      </c>
      <c r="W677" s="4">
        <v>80</v>
      </c>
    </row>
    <row r="678" spans="1:2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25</v>
      </c>
      <c r="I678" s="5">
        <v>44805</v>
      </c>
      <c r="J678" s="6">
        <v>0</v>
      </c>
      <c r="K678" s="6">
        <v>0</v>
      </c>
      <c r="L678" s="6">
        <v>321.10300000000001</v>
      </c>
      <c r="M678" s="6">
        <v>321.10300000000001</v>
      </c>
      <c r="N678" s="6">
        <v>321.10300000000001</v>
      </c>
      <c r="O678" s="6">
        <v>321.10300000000001</v>
      </c>
      <c r="P678" s="6">
        <v>1343</v>
      </c>
      <c r="Q678" s="4" t="s">
        <v>26</v>
      </c>
      <c r="R678" s="4">
        <v>0</v>
      </c>
      <c r="S678" s="4" t="s">
        <v>274</v>
      </c>
      <c r="T678" s="4" t="s">
        <v>520</v>
      </c>
      <c r="U678" s="4">
        <v>0</v>
      </c>
      <c r="V678" s="4">
        <v>25</v>
      </c>
      <c r="W678" s="4">
        <v>80</v>
      </c>
    </row>
    <row r="679" spans="1:23" ht="11.25" customHeight="1" x14ac:dyDescent="0.25">
      <c r="A679" s="4" t="s">
        <v>28</v>
      </c>
      <c r="B679" s="4" t="s">
        <v>22</v>
      </c>
      <c r="C679" s="4" t="s">
        <v>23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25</v>
      </c>
      <c r="I679" s="5">
        <v>44805</v>
      </c>
      <c r="J679" s="6">
        <v>0</v>
      </c>
      <c r="K679" s="6">
        <v>0</v>
      </c>
      <c r="L679" s="6">
        <v>-4.6760000000000002</v>
      </c>
      <c r="M679" s="6">
        <v>-4.6760000000000002</v>
      </c>
      <c r="N679" s="6">
        <v>-4.6760000000000002</v>
      </c>
      <c r="O679" s="6">
        <v>-4.6760000000000002</v>
      </c>
      <c r="P679" s="6">
        <v>-2</v>
      </c>
      <c r="Q679" s="4" t="s">
        <v>26</v>
      </c>
      <c r="R679" s="4">
        <v>0</v>
      </c>
      <c r="S679" s="4" t="s">
        <v>274</v>
      </c>
      <c r="T679" s="4" t="s">
        <v>520</v>
      </c>
      <c r="U679" s="4">
        <v>0</v>
      </c>
      <c r="V679" s="4">
        <v>25</v>
      </c>
      <c r="W679" s="4">
        <v>80</v>
      </c>
    </row>
    <row r="680" spans="1:23" ht="11.25" customHeight="1" x14ac:dyDescent="0.25">
      <c r="A680" s="4" t="s">
        <v>21</v>
      </c>
      <c r="B680" s="4" t="s">
        <v>22</v>
      </c>
      <c r="C680" s="4" t="s">
        <v>23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25</v>
      </c>
      <c r="I680" s="5">
        <v>44835</v>
      </c>
      <c r="J680" s="6">
        <v>0</v>
      </c>
      <c r="K680" s="6">
        <v>0</v>
      </c>
      <c r="L680" s="6">
        <v>46735.762000000002</v>
      </c>
      <c r="M680" s="6">
        <v>46735.762000000002</v>
      </c>
      <c r="N680" s="6">
        <v>46735.762000000002</v>
      </c>
      <c r="O680" s="6">
        <v>46735.762000000002</v>
      </c>
      <c r="P680" s="6">
        <v>123012</v>
      </c>
      <c r="Q680" s="4" t="s">
        <v>26</v>
      </c>
      <c r="R680" s="4">
        <v>0</v>
      </c>
      <c r="S680" s="4" t="s">
        <v>275</v>
      </c>
      <c r="T680" s="4" t="s">
        <v>521</v>
      </c>
      <c r="U680" s="4">
        <v>0</v>
      </c>
      <c r="V680" s="4">
        <v>25</v>
      </c>
      <c r="W680" s="4">
        <v>80</v>
      </c>
    </row>
    <row r="681" spans="1:23" ht="11.25" customHeight="1" x14ac:dyDescent="0.25">
      <c r="A681" s="4" t="s">
        <v>27</v>
      </c>
      <c r="B681" s="4" t="s">
        <v>22</v>
      </c>
      <c r="C681" s="4" t="s">
        <v>23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25</v>
      </c>
      <c r="I681" s="5">
        <v>44835</v>
      </c>
      <c r="J681" s="6">
        <v>0</v>
      </c>
      <c r="K681" s="6">
        <v>0</v>
      </c>
      <c r="L681" s="6">
        <v>-2946.1880000000001</v>
      </c>
      <c r="M681" s="6">
        <v>-2946.1880000000001</v>
      </c>
      <c r="N681" s="6">
        <v>-2946.1880000000001</v>
      </c>
      <c r="O681" s="6">
        <v>-2946.1880000000001</v>
      </c>
      <c r="P681" s="6">
        <v>-2442</v>
      </c>
      <c r="Q681" s="4" t="s">
        <v>26</v>
      </c>
      <c r="R681" s="4">
        <v>0</v>
      </c>
      <c r="S681" s="4" t="s">
        <v>275</v>
      </c>
      <c r="T681" s="4" t="s">
        <v>521</v>
      </c>
      <c r="U681" s="4">
        <v>0</v>
      </c>
      <c r="V681" s="4">
        <v>25</v>
      </c>
      <c r="W681" s="4">
        <v>80</v>
      </c>
    </row>
    <row r="682" spans="1:23" ht="11.25" customHeight="1" x14ac:dyDescent="0.25">
      <c r="A682" s="4" t="s">
        <v>28</v>
      </c>
      <c r="B682" s="4" t="s">
        <v>22</v>
      </c>
      <c r="C682" s="4" t="s">
        <v>23</v>
      </c>
      <c r="D682" s="4" t="s">
        <v>24</v>
      </c>
      <c r="E682" s="4" t="s">
        <v>24</v>
      </c>
      <c r="F682" s="4" t="s">
        <v>25</v>
      </c>
      <c r="G682" s="4" t="s">
        <v>25</v>
      </c>
      <c r="H682" s="4" t="s">
        <v>25</v>
      </c>
      <c r="I682" s="5">
        <v>44835</v>
      </c>
      <c r="J682" s="6">
        <v>0</v>
      </c>
      <c r="K682" s="6">
        <v>0</v>
      </c>
      <c r="L682" s="6">
        <v>348.84100000000001</v>
      </c>
      <c r="M682" s="6">
        <v>348.84100000000001</v>
      </c>
      <c r="N682" s="6">
        <v>348.84100000000001</v>
      </c>
      <c r="O682" s="6">
        <v>348.84100000000001</v>
      </c>
      <c r="P682" s="6">
        <v>1435</v>
      </c>
      <c r="Q682" s="4" t="s">
        <v>26</v>
      </c>
      <c r="R682" s="4">
        <v>0</v>
      </c>
      <c r="S682" s="4" t="s">
        <v>275</v>
      </c>
      <c r="T682" s="4" t="s">
        <v>521</v>
      </c>
      <c r="U682" s="4">
        <v>0</v>
      </c>
      <c r="V682" s="4">
        <v>25</v>
      </c>
      <c r="W682" s="4">
        <v>80</v>
      </c>
    </row>
    <row r="683" spans="1:23" ht="11.25" customHeight="1" x14ac:dyDescent="0.25">
      <c r="A683" s="4" t="s">
        <v>28</v>
      </c>
      <c r="B683" s="4" t="s">
        <v>22</v>
      </c>
      <c r="C683" s="4" t="s">
        <v>23</v>
      </c>
      <c r="D683" s="4" t="s">
        <v>24</v>
      </c>
      <c r="E683" s="4" t="s">
        <v>24</v>
      </c>
      <c r="F683" s="4" t="s">
        <v>25</v>
      </c>
      <c r="G683" s="4" t="s">
        <v>25</v>
      </c>
      <c r="H683" s="4" t="s">
        <v>25</v>
      </c>
      <c r="I683" s="5">
        <v>44835</v>
      </c>
      <c r="J683" s="6">
        <v>0</v>
      </c>
      <c r="K683" s="6">
        <v>0</v>
      </c>
      <c r="L683" s="6">
        <v>-0.57499999999999996</v>
      </c>
      <c r="M683" s="6">
        <v>-0.57499999999999996</v>
      </c>
      <c r="N683" s="6">
        <v>-0.57499999999999996</v>
      </c>
      <c r="O683" s="6">
        <v>-0.57499999999999996</v>
      </c>
      <c r="P683" s="6">
        <v>0</v>
      </c>
      <c r="Q683" s="4" t="s">
        <v>26</v>
      </c>
      <c r="R683" s="4">
        <v>0</v>
      </c>
      <c r="S683" s="4" t="s">
        <v>275</v>
      </c>
      <c r="T683" s="4" t="s">
        <v>521</v>
      </c>
      <c r="U683" s="4">
        <v>0</v>
      </c>
      <c r="V683" s="4">
        <v>25</v>
      </c>
      <c r="W683" s="4">
        <v>80</v>
      </c>
    </row>
    <row r="684" spans="1:23" ht="11.25" customHeight="1" x14ac:dyDescent="0.25">
      <c r="A684" s="4" t="s">
        <v>54</v>
      </c>
      <c r="B684" s="4" t="s">
        <v>22</v>
      </c>
      <c r="C684" s="4" t="s">
        <v>23</v>
      </c>
      <c r="D684" s="4" t="s">
        <v>24</v>
      </c>
      <c r="E684" s="4" t="s">
        <v>24</v>
      </c>
      <c r="F684" s="4" t="s">
        <v>25</v>
      </c>
      <c r="G684" s="4" t="s">
        <v>25</v>
      </c>
      <c r="H684" s="4" t="s">
        <v>25</v>
      </c>
      <c r="I684" s="5">
        <v>44866</v>
      </c>
      <c r="J684" s="6">
        <v>0</v>
      </c>
      <c r="K684" s="6">
        <v>0</v>
      </c>
      <c r="L684" s="6">
        <v>46735.762000000002</v>
      </c>
      <c r="M684" s="6">
        <v>46735.762000000002</v>
      </c>
      <c r="N684" s="6">
        <v>46735.762000000002</v>
      </c>
      <c r="O684" s="6">
        <v>46735.762000000002</v>
      </c>
      <c r="P684" s="6">
        <v>123012</v>
      </c>
      <c r="Q684" s="4" t="s">
        <v>26</v>
      </c>
      <c r="R684" s="4">
        <v>0</v>
      </c>
      <c r="S684" s="4" t="s">
        <v>276</v>
      </c>
      <c r="T684" s="4" t="s">
        <v>522</v>
      </c>
      <c r="U684" s="4">
        <v>0</v>
      </c>
      <c r="V684" s="4">
        <v>25</v>
      </c>
      <c r="W684" s="4">
        <v>80</v>
      </c>
    </row>
    <row r="685" spans="1:23" ht="11.25" customHeight="1" x14ac:dyDescent="0.25">
      <c r="A685" s="4" t="s">
        <v>54</v>
      </c>
      <c r="B685" s="4" t="s">
        <v>22</v>
      </c>
      <c r="C685" s="4" t="s">
        <v>23</v>
      </c>
      <c r="D685" s="4" t="s">
        <v>24</v>
      </c>
      <c r="E685" s="4" t="s">
        <v>24</v>
      </c>
      <c r="F685" s="4" t="s">
        <v>25</v>
      </c>
      <c r="G685" s="4" t="s">
        <v>25</v>
      </c>
      <c r="H685" s="4" t="s">
        <v>25</v>
      </c>
      <c r="I685" s="5">
        <v>44866</v>
      </c>
      <c r="J685" s="6">
        <v>0</v>
      </c>
      <c r="K685" s="6">
        <v>0</v>
      </c>
      <c r="L685" s="6">
        <v>-2946.1880000000001</v>
      </c>
      <c r="M685" s="6">
        <v>-2946.1880000000001</v>
      </c>
      <c r="N685" s="6">
        <v>-2946.1880000000001</v>
      </c>
      <c r="O685" s="6">
        <v>-2946.1880000000001</v>
      </c>
      <c r="P685" s="6">
        <v>-2442</v>
      </c>
      <c r="Q685" s="4" t="s">
        <v>26</v>
      </c>
      <c r="R685" s="4">
        <v>0</v>
      </c>
      <c r="S685" s="4" t="s">
        <v>276</v>
      </c>
      <c r="T685" s="4" t="s">
        <v>522</v>
      </c>
      <c r="U685" s="4">
        <v>0</v>
      </c>
      <c r="V685" s="4">
        <v>25</v>
      </c>
      <c r="W685" s="4">
        <v>80</v>
      </c>
    </row>
    <row r="686" spans="1:23" ht="11.25" customHeight="1" x14ac:dyDescent="0.25">
      <c r="A686" s="4" t="s">
        <v>54</v>
      </c>
      <c r="B686" s="4" t="s">
        <v>22</v>
      </c>
      <c r="C686" s="4" t="s">
        <v>23</v>
      </c>
      <c r="D686" s="4" t="s">
        <v>24</v>
      </c>
      <c r="E686" s="4" t="s">
        <v>24</v>
      </c>
      <c r="F686" s="4" t="s">
        <v>25</v>
      </c>
      <c r="G686" s="4" t="s">
        <v>25</v>
      </c>
      <c r="H686" s="4" t="s">
        <v>25</v>
      </c>
      <c r="I686" s="5">
        <v>44866</v>
      </c>
      <c r="J686" s="6">
        <v>0</v>
      </c>
      <c r="K686" s="6">
        <v>0</v>
      </c>
      <c r="L686" s="6">
        <v>348.84100000000001</v>
      </c>
      <c r="M686" s="6">
        <v>348.84100000000001</v>
      </c>
      <c r="N686" s="6">
        <v>348.84100000000001</v>
      </c>
      <c r="O686" s="6">
        <v>348.84100000000001</v>
      </c>
      <c r="P686" s="6">
        <v>1435</v>
      </c>
      <c r="Q686" s="4" t="s">
        <v>26</v>
      </c>
      <c r="R686" s="4">
        <v>0</v>
      </c>
      <c r="S686" s="4" t="s">
        <v>276</v>
      </c>
      <c r="T686" s="4" t="s">
        <v>522</v>
      </c>
      <c r="U686" s="4">
        <v>0</v>
      </c>
      <c r="V686" s="4">
        <v>25</v>
      </c>
      <c r="W686" s="4">
        <v>80</v>
      </c>
    </row>
    <row r="687" spans="1:23" ht="11.25" customHeight="1" x14ac:dyDescent="0.25">
      <c r="A687" s="4" t="s">
        <v>54</v>
      </c>
      <c r="B687" s="4" t="s">
        <v>22</v>
      </c>
      <c r="C687" s="4" t="s">
        <v>23</v>
      </c>
      <c r="D687" s="4" t="s">
        <v>24</v>
      </c>
      <c r="E687" s="4" t="s">
        <v>24</v>
      </c>
      <c r="F687" s="4" t="s">
        <v>25</v>
      </c>
      <c r="G687" s="4" t="s">
        <v>25</v>
      </c>
      <c r="H687" s="4" t="s">
        <v>25</v>
      </c>
      <c r="I687" s="5">
        <v>44866</v>
      </c>
      <c r="J687" s="6">
        <v>0</v>
      </c>
      <c r="K687" s="6">
        <v>0</v>
      </c>
      <c r="L687" s="6">
        <v>-0.57499999999999996</v>
      </c>
      <c r="M687" s="6">
        <v>-0.57499999999999996</v>
      </c>
      <c r="N687" s="6">
        <v>-0.57499999999999996</v>
      </c>
      <c r="O687" s="6">
        <v>-0.57499999999999996</v>
      </c>
      <c r="P687" s="6">
        <v>0</v>
      </c>
      <c r="Q687" s="4" t="s">
        <v>26</v>
      </c>
      <c r="R687" s="4">
        <v>0</v>
      </c>
      <c r="S687" s="4" t="s">
        <v>276</v>
      </c>
      <c r="T687" s="4" t="s">
        <v>522</v>
      </c>
      <c r="U687" s="4">
        <v>0</v>
      </c>
      <c r="V687" s="4">
        <v>25</v>
      </c>
      <c r="W687" s="4">
        <v>80</v>
      </c>
    </row>
    <row r="688" spans="1:2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883.92</v>
      </c>
      <c r="M688" s="6">
        <v>883.92</v>
      </c>
      <c r="N688" s="6">
        <v>883.92</v>
      </c>
      <c r="O688" s="6">
        <v>883.92</v>
      </c>
      <c r="P688" s="6">
        <v>7608</v>
      </c>
      <c r="Q688" s="4" t="s">
        <v>26</v>
      </c>
      <c r="R688" s="4">
        <v>0</v>
      </c>
      <c r="S688" s="4" t="s">
        <v>277</v>
      </c>
      <c r="T688" s="4" t="s">
        <v>523</v>
      </c>
      <c r="U688" s="4">
        <v>0</v>
      </c>
      <c r="V688" s="4">
        <v>28</v>
      </c>
      <c r="W688" s="4">
        <v>81</v>
      </c>
    </row>
    <row r="689" spans="1:23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44531</v>
      </c>
      <c r="J689" s="6">
        <v>0</v>
      </c>
      <c r="K689" s="6">
        <v>0</v>
      </c>
      <c r="L689" s="6">
        <v>-1.26</v>
      </c>
      <c r="M689" s="6">
        <v>-1.26</v>
      </c>
      <c r="N689" s="6">
        <v>-1.26</v>
      </c>
      <c r="O689" s="6">
        <v>-1.26</v>
      </c>
      <c r="P689" s="6">
        <v>10</v>
      </c>
      <c r="Q689" s="4" t="s">
        <v>26</v>
      </c>
      <c r="R689" s="4">
        <v>0</v>
      </c>
      <c r="S689" s="4" t="s">
        <v>277</v>
      </c>
      <c r="T689" s="4" t="s">
        <v>523</v>
      </c>
      <c r="U689" s="4">
        <v>0</v>
      </c>
      <c r="V689" s="4">
        <v>28</v>
      </c>
      <c r="W689" s="4">
        <v>81</v>
      </c>
    </row>
    <row r="690" spans="1:23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1005.244</v>
      </c>
      <c r="M690" s="6">
        <v>1005.244</v>
      </c>
      <c r="N690" s="6">
        <v>1005.244</v>
      </c>
      <c r="O690" s="6">
        <v>1005.244</v>
      </c>
      <c r="P690" s="6">
        <v>8298</v>
      </c>
      <c r="Q690" s="4" t="s">
        <v>26</v>
      </c>
      <c r="R690" s="4">
        <v>0</v>
      </c>
      <c r="S690" s="4" t="s">
        <v>278</v>
      </c>
      <c r="T690" s="4" t="s">
        <v>524</v>
      </c>
      <c r="U690" s="4">
        <v>0</v>
      </c>
      <c r="V690" s="4">
        <v>28</v>
      </c>
      <c r="W690" s="4">
        <v>81</v>
      </c>
    </row>
    <row r="691" spans="1:23" ht="11.25" customHeight="1" x14ac:dyDescent="0.25">
      <c r="A691" s="4" t="s">
        <v>27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-2.88</v>
      </c>
      <c r="M691" s="6">
        <v>-2.88</v>
      </c>
      <c r="N691" s="6">
        <v>-2.88</v>
      </c>
      <c r="O691" s="6">
        <v>-2.88</v>
      </c>
      <c r="P691" s="6">
        <v>41</v>
      </c>
      <c r="Q691" s="4" t="s">
        <v>26</v>
      </c>
      <c r="R691" s="4">
        <v>0</v>
      </c>
      <c r="S691" s="4" t="s">
        <v>278</v>
      </c>
      <c r="T691" s="4" t="s">
        <v>524</v>
      </c>
      <c r="U691" s="4">
        <v>0</v>
      </c>
      <c r="V691" s="4">
        <v>28</v>
      </c>
      <c r="W691" s="4">
        <v>81</v>
      </c>
    </row>
    <row r="692" spans="1:2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986.51300000000003</v>
      </c>
      <c r="M692" s="6">
        <v>986.51300000000003</v>
      </c>
      <c r="N692" s="6">
        <v>986.51300000000003</v>
      </c>
      <c r="O692" s="6">
        <v>986.51300000000003</v>
      </c>
      <c r="P692" s="6">
        <v>7055</v>
      </c>
      <c r="Q692" s="4" t="s">
        <v>26</v>
      </c>
      <c r="R692" s="4">
        <v>0</v>
      </c>
      <c r="S692" s="4" t="s">
        <v>279</v>
      </c>
      <c r="T692" s="4" t="s">
        <v>525</v>
      </c>
      <c r="U692" s="4">
        <v>0</v>
      </c>
      <c r="V692" s="4">
        <v>28</v>
      </c>
      <c r="W692" s="4">
        <v>81</v>
      </c>
    </row>
    <row r="693" spans="1:23" ht="11.25" customHeight="1" x14ac:dyDescent="0.25">
      <c r="A693" s="4" t="s">
        <v>27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-5.37</v>
      </c>
      <c r="M693" s="6">
        <v>-5.37</v>
      </c>
      <c r="N693" s="6">
        <v>-5.37</v>
      </c>
      <c r="O693" s="6">
        <v>-5.37</v>
      </c>
      <c r="P693" s="6">
        <v>-95</v>
      </c>
      <c r="Q693" s="4" t="s">
        <v>26</v>
      </c>
      <c r="R693" s="4">
        <v>0</v>
      </c>
      <c r="S693" s="4" t="s">
        <v>279</v>
      </c>
      <c r="T693" s="4" t="s">
        <v>525</v>
      </c>
      <c r="U693" s="4">
        <v>0</v>
      </c>
      <c r="V693" s="4">
        <v>28</v>
      </c>
      <c r="W693" s="4">
        <v>81</v>
      </c>
    </row>
    <row r="694" spans="1:23" ht="11.25" customHeight="1" x14ac:dyDescent="0.25">
      <c r="A694" s="4" t="s">
        <v>21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977.62699999999995</v>
      </c>
      <c r="M694" s="6">
        <v>977.62699999999995</v>
      </c>
      <c r="N694" s="6">
        <v>977.62699999999995</v>
      </c>
      <c r="O694" s="6">
        <v>977.62699999999995</v>
      </c>
      <c r="P694" s="6">
        <v>6688</v>
      </c>
      <c r="Q694" s="4" t="s">
        <v>26</v>
      </c>
      <c r="R694" s="4">
        <v>0</v>
      </c>
      <c r="S694" s="4" t="s">
        <v>280</v>
      </c>
      <c r="T694" s="4" t="s">
        <v>526</v>
      </c>
      <c r="U694" s="4">
        <v>0</v>
      </c>
      <c r="V694" s="4">
        <v>28</v>
      </c>
      <c r="W694" s="4">
        <v>81</v>
      </c>
    </row>
    <row r="695" spans="1:23" ht="11.25" customHeight="1" x14ac:dyDescent="0.25">
      <c r="A695" s="4" t="s">
        <v>27</v>
      </c>
      <c r="B695" s="4" t="s">
        <v>22</v>
      </c>
      <c r="C695" s="4" t="s">
        <v>23</v>
      </c>
      <c r="D695" s="4" t="s">
        <v>24</v>
      </c>
      <c r="E695" s="4" t="s">
        <v>29</v>
      </c>
      <c r="F695" s="4" t="s">
        <v>25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-7.5</v>
      </c>
      <c r="M695" s="6">
        <v>-7.5</v>
      </c>
      <c r="N695" s="6">
        <v>-7.5</v>
      </c>
      <c r="O695" s="6">
        <v>-7.5</v>
      </c>
      <c r="P695" s="6">
        <v>-11</v>
      </c>
      <c r="Q695" s="4" t="s">
        <v>26</v>
      </c>
      <c r="R695" s="4">
        <v>0</v>
      </c>
      <c r="S695" s="4" t="s">
        <v>280</v>
      </c>
      <c r="T695" s="4" t="s">
        <v>526</v>
      </c>
      <c r="U695" s="4">
        <v>0</v>
      </c>
      <c r="V695" s="4">
        <v>28</v>
      </c>
      <c r="W695" s="4">
        <v>81</v>
      </c>
    </row>
    <row r="696" spans="1:23" ht="11.25" customHeight="1" x14ac:dyDescent="0.25">
      <c r="A696" s="4" t="s">
        <v>21</v>
      </c>
      <c r="B696" s="4" t="s">
        <v>22</v>
      </c>
      <c r="C696" s="4" t="s">
        <v>23</v>
      </c>
      <c r="D696" s="4" t="s">
        <v>24</v>
      </c>
      <c r="E696" s="4" t="s">
        <v>29</v>
      </c>
      <c r="F696" s="4" t="s">
        <v>25</v>
      </c>
      <c r="G696" s="4" t="s">
        <v>25</v>
      </c>
      <c r="H696" s="4" t="s">
        <v>25</v>
      </c>
      <c r="I696" s="5">
        <v>44652</v>
      </c>
      <c r="J696" s="6">
        <v>0</v>
      </c>
      <c r="K696" s="6">
        <v>0</v>
      </c>
      <c r="L696" s="6">
        <v>1040.925</v>
      </c>
      <c r="M696" s="6">
        <v>1040.925</v>
      </c>
      <c r="N696" s="6">
        <v>1040.925</v>
      </c>
      <c r="O696" s="6">
        <v>1040.925</v>
      </c>
      <c r="P696" s="6">
        <v>6942</v>
      </c>
      <c r="Q696" s="4" t="s">
        <v>26</v>
      </c>
      <c r="R696" s="4">
        <v>0</v>
      </c>
      <c r="S696" s="4" t="s">
        <v>281</v>
      </c>
      <c r="T696" s="4" t="s">
        <v>527</v>
      </c>
      <c r="U696" s="4">
        <v>0</v>
      </c>
      <c r="V696" s="4">
        <v>28</v>
      </c>
      <c r="W696" s="4">
        <v>81</v>
      </c>
    </row>
    <row r="697" spans="1:23" ht="11.25" customHeight="1" x14ac:dyDescent="0.25">
      <c r="A697" s="4" t="s">
        <v>27</v>
      </c>
      <c r="B697" s="4" t="s">
        <v>22</v>
      </c>
      <c r="C697" s="4" t="s">
        <v>23</v>
      </c>
      <c r="D697" s="4" t="s">
        <v>24</v>
      </c>
      <c r="E697" s="4" t="s">
        <v>29</v>
      </c>
      <c r="F697" s="4" t="s">
        <v>25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-12.09</v>
      </c>
      <c r="M697" s="6">
        <v>-12.09</v>
      </c>
      <c r="N697" s="6">
        <v>-12.09</v>
      </c>
      <c r="O697" s="6">
        <v>-12.09</v>
      </c>
      <c r="P697" s="6">
        <v>-197</v>
      </c>
      <c r="Q697" s="4" t="s">
        <v>26</v>
      </c>
      <c r="R697" s="4">
        <v>0</v>
      </c>
      <c r="S697" s="4" t="s">
        <v>281</v>
      </c>
      <c r="T697" s="4" t="s">
        <v>527</v>
      </c>
      <c r="U697" s="4">
        <v>0</v>
      </c>
      <c r="V697" s="4">
        <v>28</v>
      </c>
      <c r="W697" s="4">
        <v>81</v>
      </c>
    </row>
    <row r="698" spans="1:23" ht="11.25" customHeight="1" x14ac:dyDescent="0.25">
      <c r="A698" s="4" t="s">
        <v>21</v>
      </c>
      <c r="B698" s="4" t="s">
        <v>22</v>
      </c>
      <c r="C698" s="4" t="s">
        <v>23</v>
      </c>
      <c r="D698" s="4" t="s">
        <v>24</v>
      </c>
      <c r="E698" s="4" t="s">
        <v>29</v>
      </c>
      <c r="F698" s="4" t="s">
        <v>25</v>
      </c>
      <c r="G698" s="4" t="s">
        <v>25</v>
      </c>
      <c r="H698" s="4" t="s">
        <v>25</v>
      </c>
      <c r="I698" s="5">
        <v>44682</v>
      </c>
      <c r="J698" s="6">
        <v>0</v>
      </c>
      <c r="K698" s="6">
        <v>0</v>
      </c>
      <c r="L698" s="6">
        <v>1032.271</v>
      </c>
      <c r="M698" s="6">
        <v>1032.271</v>
      </c>
      <c r="N698" s="6">
        <v>1032.271</v>
      </c>
      <c r="O698" s="6">
        <v>1032.271</v>
      </c>
      <c r="P698" s="6">
        <v>6826</v>
      </c>
      <c r="Q698" s="4" t="s">
        <v>26</v>
      </c>
      <c r="R698" s="4">
        <v>0</v>
      </c>
      <c r="S698" s="4" t="s">
        <v>282</v>
      </c>
      <c r="T698" s="4" t="s">
        <v>528</v>
      </c>
      <c r="U698" s="4">
        <v>0</v>
      </c>
      <c r="V698" s="4">
        <v>28</v>
      </c>
      <c r="W698" s="4">
        <v>81</v>
      </c>
    </row>
    <row r="699" spans="1:23" ht="11.25" customHeight="1" x14ac:dyDescent="0.25">
      <c r="A699" s="4" t="s">
        <v>27</v>
      </c>
      <c r="B699" s="4" t="s">
        <v>22</v>
      </c>
      <c r="C699" s="4" t="s">
        <v>23</v>
      </c>
      <c r="D699" s="4" t="s">
        <v>24</v>
      </c>
      <c r="E699" s="4" t="s">
        <v>29</v>
      </c>
      <c r="F699" s="4" t="s">
        <v>25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-2.34</v>
      </c>
      <c r="M699" s="6">
        <v>-2.34</v>
      </c>
      <c r="N699" s="6">
        <v>-2.34</v>
      </c>
      <c r="O699" s="6">
        <v>-2.34</v>
      </c>
      <c r="P699" s="6">
        <v>27</v>
      </c>
      <c r="Q699" s="4" t="s">
        <v>26</v>
      </c>
      <c r="R699" s="4">
        <v>0</v>
      </c>
      <c r="S699" s="4" t="s">
        <v>282</v>
      </c>
      <c r="T699" s="4" t="s">
        <v>528</v>
      </c>
      <c r="U699" s="4">
        <v>0</v>
      </c>
      <c r="V699" s="4">
        <v>28</v>
      </c>
      <c r="W699" s="4">
        <v>81</v>
      </c>
    </row>
    <row r="700" spans="1:23" ht="11.25" customHeight="1" x14ac:dyDescent="0.25">
      <c r="A700" s="4" t="s">
        <v>21</v>
      </c>
      <c r="B700" s="4" t="s">
        <v>22</v>
      </c>
      <c r="C700" s="4" t="s">
        <v>23</v>
      </c>
      <c r="D700" s="4" t="s">
        <v>24</v>
      </c>
      <c r="E700" s="4" t="s">
        <v>29</v>
      </c>
      <c r="F700" s="4" t="s">
        <v>25</v>
      </c>
      <c r="G700" s="4" t="s">
        <v>25</v>
      </c>
      <c r="H700" s="4" t="s">
        <v>25</v>
      </c>
      <c r="I700" s="5">
        <v>44713</v>
      </c>
      <c r="J700" s="6">
        <v>0</v>
      </c>
      <c r="K700" s="6">
        <v>0</v>
      </c>
      <c r="L700" s="6">
        <v>1067.4469999999999</v>
      </c>
      <c r="M700" s="6">
        <v>1067.4469999999999</v>
      </c>
      <c r="N700" s="6">
        <v>1067.4469999999999</v>
      </c>
      <c r="O700" s="6">
        <v>1067.4469999999999</v>
      </c>
      <c r="P700" s="6">
        <v>6811</v>
      </c>
      <c r="Q700" s="4" t="s">
        <v>26</v>
      </c>
      <c r="R700" s="4">
        <v>0</v>
      </c>
      <c r="S700" s="4" t="s">
        <v>283</v>
      </c>
      <c r="T700" s="4" t="s">
        <v>529</v>
      </c>
      <c r="U700" s="4">
        <v>0</v>
      </c>
      <c r="V700" s="4">
        <v>28</v>
      </c>
      <c r="W700" s="4">
        <v>81</v>
      </c>
    </row>
    <row r="701" spans="1:23" ht="11.25" customHeight="1" x14ac:dyDescent="0.25">
      <c r="A701" s="4" t="s">
        <v>27</v>
      </c>
      <c r="B701" s="4" t="s">
        <v>22</v>
      </c>
      <c r="C701" s="4" t="s">
        <v>23</v>
      </c>
      <c r="D701" s="4" t="s">
        <v>24</v>
      </c>
      <c r="E701" s="4" t="s">
        <v>29</v>
      </c>
      <c r="F701" s="4" t="s">
        <v>25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-1.98</v>
      </c>
      <c r="M701" s="6">
        <v>-1.98</v>
      </c>
      <c r="N701" s="6">
        <v>-1.98</v>
      </c>
      <c r="O701" s="6">
        <v>-1.98</v>
      </c>
      <c r="P701" s="6">
        <v>79</v>
      </c>
      <c r="Q701" s="4" t="s">
        <v>26</v>
      </c>
      <c r="R701" s="4">
        <v>0</v>
      </c>
      <c r="S701" s="4" t="s">
        <v>283</v>
      </c>
      <c r="T701" s="4" t="s">
        <v>529</v>
      </c>
      <c r="U701" s="4">
        <v>0</v>
      </c>
      <c r="V701" s="4">
        <v>28</v>
      </c>
      <c r="W701" s="4">
        <v>81</v>
      </c>
    </row>
    <row r="702" spans="1:23" ht="11.25" customHeight="1" x14ac:dyDescent="0.25">
      <c r="A702" s="4" t="s">
        <v>21</v>
      </c>
      <c r="B702" s="4" t="s">
        <v>22</v>
      </c>
      <c r="C702" s="4" t="s">
        <v>23</v>
      </c>
      <c r="D702" s="4" t="s">
        <v>24</v>
      </c>
      <c r="E702" s="4" t="s">
        <v>29</v>
      </c>
      <c r="F702" s="4" t="s">
        <v>25</v>
      </c>
      <c r="G702" s="4" t="s">
        <v>25</v>
      </c>
      <c r="H702" s="4" t="s">
        <v>25</v>
      </c>
      <c r="I702" s="5">
        <v>44743</v>
      </c>
      <c r="J702" s="6">
        <v>0</v>
      </c>
      <c r="K702" s="6">
        <v>0</v>
      </c>
      <c r="L702" s="6">
        <v>1099.7139999999999</v>
      </c>
      <c r="M702" s="6">
        <v>1099.7139999999999</v>
      </c>
      <c r="N702" s="6">
        <v>1099.7139999999999</v>
      </c>
      <c r="O702" s="6">
        <v>1099.7139999999999</v>
      </c>
      <c r="P702" s="6">
        <v>6636</v>
      </c>
      <c r="Q702" s="4" t="s">
        <v>26</v>
      </c>
      <c r="R702" s="4">
        <v>0</v>
      </c>
      <c r="S702" s="4" t="s">
        <v>284</v>
      </c>
      <c r="T702" s="4" t="s">
        <v>530</v>
      </c>
      <c r="U702" s="4">
        <v>0</v>
      </c>
      <c r="V702" s="4">
        <v>28</v>
      </c>
      <c r="W702" s="4">
        <v>81</v>
      </c>
    </row>
    <row r="703" spans="1:23" ht="11.25" customHeight="1" x14ac:dyDescent="0.25">
      <c r="A703" s="4" t="s">
        <v>27</v>
      </c>
      <c r="B703" s="4" t="s">
        <v>22</v>
      </c>
      <c r="C703" s="4" t="s">
        <v>23</v>
      </c>
      <c r="D703" s="4" t="s">
        <v>24</v>
      </c>
      <c r="E703" s="4" t="s">
        <v>29</v>
      </c>
      <c r="F703" s="4" t="s">
        <v>25</v>
      </c>
      <c r="G703" s="4" t="s">
        <v>25</v>
      </c>
      <c r="H703" s="4" t="s">
        <v>25</v>
      </c>
      <c r="I703" s="5">
        <v>44743</v>
      </c>
      <c r="J703" s="6">
        <v>0</v>
      </c>
      <c r="K703" s="6">
        <v>0</v>
      </c>
      <c r="L703" s="6">
        <v>-4.26</v>
      </c>
      <c r="M703" s="6">
        <v>-4.26</v>
      </c>
      <c r="N703" s="6">
        <v>-4.26</v>
      </c>
      <c r="O703" s="6">
        <v>-4.26</v>
      </c>
      <c r="P703" s="6">
        <v>-64</v>
      </c>
      <c r="Q703" s="4" t="s">
        <v>26</v>
      </c>
      <c r="R703" s="4">
        <v>0</v>
      </c>
      <c r="S703" s="4" t="s">
        <v>284</v>
      </c>
      <c r="T703" s="4" t="s">
        <v>530</v>
      </c>
      <c r="U703" s="4">
        <v>0</v>
      </c>
      <c r="V703" s="4">
        <v>28</v>
      </c>
      <c r="W703" s="4">
        <v>81</v>
      </c>
    </row>
    <row r="704" spans="1:23" ht="11.25" customHeight="1" x14ac:dyDescent="0.25">
      <c r="A704" s="4" t="s">
        <v>21</v>
      </c>
      <c r="B704" s="4" t="s">
        <v>22</v>
      </c>
      <c r="C704" s="4" t="s">
        <v>23</v>
      </c>
      <c r="D704" s="4" t="s">
        <v>24</v>
      </c>
      <c r="E704" s="4" t="s">
        <v>29</v>
      </c>
      <c r="F704" s="4" t="s">
        <v>25</v>
      </c>
      <c r="G704" s="4" t="s">
        <v>25</v>
      </c>
      <c r="H704" s="4" t="s">
        <v>25</v>
      </c>
      <c r="I704" s="5">
        <v>44774</v>
      </c>
      <c r="J704" s="6">
        <v>0</v>
      </c>
      <c r="K704" s="6">
        <v>0</v>
      </c>
      <c r="L704" s="6">
        <v>1137.1130000000001</v>
      </c>
      <c r="M704" s="6">
        <v>1137.1130000000001</v>
      </c>
      <c r="N704" s="6">
        <v>1137.1130000000001</v>
      </c>
      <c r="O704" s="6">
        <v>1137.1130000000001</v>
      </c>
      <c r="P704" s="6">
        <v>6528</v>
      </c>
      <c r="Q704" s="4" t="s">
        <v>26</v>
      </c>
      <c r="R704" s="4">
        <v>0</v>
      </c>
      <c r="S704" s="4" t="s">
        <v>285</v>
      </c>
      <c r="T704" s="4" t="s">
        <v>531</v>
      </c>
      <c r="U704" s="4">
        <v>0</v>
      </c>
      <c r="V704" s="4">
        <v>28</v>
      </c>
      <c r="W704" s="4">
        <v>81</v>
      </c>
    </row>
    <row r="705" spans="1:23" ht="11.25" customHeight="1" x14ac:dyDescent="0.25">
      <c r="A705" s="4" t="s">
        <v>27</v>
      </c>
      <c r="B705" s="4" t="s">
        <v>22</v>
      </c>
      <c r="C705" s="4" t="s">
        <v>23</v>
      </c>
      <c r="D705" s="4" t="s">
        <v>24</v>
      </c>
      <c r="E705" s="4" t="s">
        <v>29</v>
      </c>
      <c r="F705" s="4" t="s">
        <v>25</v>
      </c>
      <c r="G705" s="4" t="s">
        <v>25</v>
      </c>
      <c r="H705" s="4" t="s">
        <v>25</v>
      </c>
      <c r="I705" s="5">
        <v>44774</v>
      </c>
      <c r="J705" s="6">
        <v>0</v>
      </c>
      <c r="K705" s="6">
        <v>0</v>
      </c>
      <c r="L705" s="6">
        <v>-6.84</v>
      </c>
      <c r="M705" s="6">
        <v>-6.84</v>
      </c>
      <c r="N705" s="6">
        <v>-6.84</v>
      </c>
      <c r="O705" s="6">
        <v>-6.84</v>
      </c>
      <c r="P705" s="6">
        <v>-59</v>
      </c>
      <c r="Q705" s="4" t="s">
        <v>26</v>
      </c>
      <c r="R705" s="4">
        <v>0</v>
      </c>
      <c r="S705" s="4" t="s">
        <v>285</v>
      </c>
      <c r="T705" s="4" t="s">
        <v>531</v>
      </c>
      <c r="U705" s="4">
        <v>0</v>
      </c>
      <c r="V705" s="4">
        <v>28</v>
      </c>
      <c r="W705" s="4">
        <v>81</v>
      </c>
    </row>
    <row r="706" spans="1:23" ht="11.25" customHeight="1" x14ac:dyDescent="0.25">
      <c r="A706" s="4" t="s">
        <v>21</v>
      </c>
      <c r="B706" s="4" t="s">
        <v>22</v>
      </c>
      <c r="C706" s="4" t="s">
        <v>23</v>
      </c>
      <c r="D706" s="4" t="s">
        <v>24</v>
      </c>
      <c r="E706" s="4" t="s">
        <v>29</v>
      </c>
      <c r="F706" s="4" t="s">
        <v>25</v>
      </c>
      <c r="G706" s="4" t="s">
        <v>25</v>
      </c>
      <c r="H706" s="4" t="s">
        <v>25</v>
      </c>
      <c r="I706" s="5">
        <v>44805</v>
      </c>
      <c r="J706" s="6">
        <v>0</v>
      </c>
      <c r="K706" s="6">
        <v>0</v>
      </c>
      <c r="L706" s="6">
        <v>1680.2909999999999</v>
      </c>
      <c r="M706" s="6">
        <v>1680.2909999999999</v>
      </c>
      <c r="N706" s="6">
        <v>1680.2909999999999</v>
      </c>
      <c r="O706" s="6">
        <v>1680.2909999999999</v>
      </c>
      <c r="P706" s="6">
        <v>6635</v>
      </c>
      <c r="Q706" s="4" t="s">
        <v>26</v>
      </c>
      <c r="R706" s="4">
        <v>0</v>
      </c>
      <c r="S706" s="4" t="s">
        <v>286</v>
      </c>
      <c r="T706" s="4" t="s">
        <v>532</v>
      </c>
      <c r="U706" s="4">
        <v>0</v>
      </c>
      <c r="V706" s="4">
        <v>28</v>
      </c>
      <c r="W706" s="4">
        <v>81</v>
      </c>
    </row>
    <row r="707" spans="1:23" ht="11.25" customHeight="1" x14ac:dyDescent="0.25">
      <c r="A707" s="4" t="s">
        <v>27</v>
      </c>
      <c r="B707" s="4" t="s">
        <v>22</v>
      </c>
      <c r="C707" s="4" t="s">
        <v>23</v>
      </c>
      <c r="D707" s="4" t="s">
        <v>24</v>
      </c>
      <c r="E707" s="4" t="s">
        <v>29</v>
      </c>
      <c r="F707" s="4" t="s">
        <v>25</v>
      </c>
      <c r="G707" s="4" t="s">
        <v>25</v>
      </c>
      <c r="H707" s="4" t="s">
        <v>25</v>
      </c>
      <c r="I707" s="5">
        <v>44805</v>
      </c>
      <c r="J707" s="6">
        <v>0</v>
      </c>
      <c r="K707" s="6">
        <v>0</v>
      </c>
      <c r="L707" s="6">
        <v>-11.98</v>
      </c>
      <c r="M707" s="6">
        <v>-11.98</v>
      </c>
      <c r="N707" s="6">
        <v>-11.98</v>
      </c>
      <c r="O707" s="6">
        <v>-11.98</v>
      </c>
      <c r="P707" s="6">
        <v>-228</v>
      </c>
      <c r="Q707" s="4" t="s">
        <v>26</v>
      </c>
      <c r="R707" s="4">
        <v>0</v>
      </c>
      <c r="S707" s="4" t="s">
        <v>286</v>
      </c>
      <c r="T707" s="4" t="s">
        <v>532</v>
      </c>
      <c r="U707" s="4">
        <v>0</v>
      </c>
      <c r="V707" s="4">
        <v>28</v>
      </c>
      <c r="W707" s="4">
        <v>81</v>
      </c>
    </row>
    <row r="708" spans="1:23" ht="11.25" customHeight="1" x14ac:dyDescent="0.25">
      <c r="A708" s="4" t="s">
        <v>21</v>
      </c>
      <c r="B708" s="4" t="s">
        <v>22</v>
      </c>
      <c r="C708" s="4" t="s">
        <v>23</v>
      </c>
      <c r="D708" s="4" t="s">
        <v>24</v>
      </c>
      <c r="E708" s="4" t="s">
        <v>29</v>
      </c>
      <c r="F708" s="4" t="s">
        <v>25</v>
      </c>
      <c r="G708" s="4" t="s">
        <v>25</v>
      </c>
      <c r="H708" s="4" t="s">
        <v>25</v>
      </c>
      <c r="I708" s="5">
        <v>44835</v>
      </c>
      <c r="J708" s="6">
        <v>0</v>
      </c>
      <c r="K708" s="6">
        <v>0</v>
      </c>
      <c r="L708" s="6">
        <v>2223.8090000000002</v>
      </c>
      <c r="M708" s="6">
        <v>2223.8090000000002</v>
      </c>
      <c r="N708" s="6">
        <v>2223.8090000000002</v>
      </c>
      <c r="O708" s="6">
        <v>2223.8090000000002</v>
      </c>
      <c r="P708" s="6">
        <v>6831</v>
      </c>
      <c r="Q708" s="4" t="s">
        <v>26</v>
      </c>
      <c r="R708" s="4">
        <v>0</v>
      </c>
      <c r="S708" s="4" t="s">
        <v>287</v>
      </c>
      <c r="T708" s="4" t="s">
        <v>533</v>
      </c>
      <c r="U708" s="4">
        <v>0</v>
      </c>
      <c r="V708" s="4">
        <v>28</v>
      </c>
      <c r="W708" s="4">
        <v>81</v>
      </c>
    </row>
    <row r="709" spans="1:23" ht="11.25" customHeight="1" x14ac:dyDescent="0.25">
      <c r="A709" s="4" t="s">
        <v>27</v>
      </c>
      <c r="B709" s="4" t="s">
        <v>22</v>
      </c>
      <c r="C709" s="4" t="s">
        <v>23</v>
      </c>
      <c r="D709" s="4" t="s">
        <v>24</v>
      </c>
      <c r="E709" s="4" t="s">
        <v>29</v>
      </c>
      <c r="F709" s="4" t="s">
        <v>25</v>
      </c>
      <c r="G709" s="4" t="s">
        <v>25</v>
      </c>
      <c r="H709" s="4" t="s">
        <v>25</v>
      </c>
      <c r="I709" s="5">
        <v>44835</v>
      </c>
      <c r="J709" s="6">
        <v>0</v>
      </c>
      <c r="K709" s="6">
        <v>0</v>
      </c>
      <c r="L709" s="6">
        <v>-11.718</v>
      </c>
      <c r="M709" s="6">
        <v>-11.718</v>
      </c>
      <c r="N709" s="6">
        <v>-11.718</v>
      </c>
      <c r="O709" s="6">
        <v>-11.718</v>
      </c>
      <c r="P709" s="6">
        <v>-21</v>
      </c>
      <c r="Q709" s="4" t="s">
        <v>26</v>
      </c>
      <c r="R709" s="4">
        <v>0</v>
      </c>
      <c r="S709" s="4" t="s">
        <v>287</v>
      </c>
      <c r="T709" s="4" t="s">
        <v>533</v>
      </c>
      <c r="U709" s="4">
        <v>0</v>
      </c>
      <c r="V709" s="4">
        <v>28</v>
      </c>
      <c r="W709" s="4">
        <v>81</v>
      </c>
    </row>
    <row r="710" spans="1:23" ht="11.25" customHeight="1" x14ac:dyDescent="0.25">
      <c r="A710" s="4" t="s">
        <v>54</v>
      </c>
      <c r="B710" s="4" t="s">
        <v>22</v>
      </c>
      <c r="C710" s="4" t="s">
        <v>23</v>
      </c>
      <c r="D710" s="4" t="s">
        <v>24</v>
      </c>
      <c r="E710" s="4" t="s">
        <v>29</v>
      </c>
      <c r="F710" s="4" t="s">
        <v>25</v>
      </c>
      <c r="G710" s="4" t="s">
        <v>25</v>
      </c>
      <c r="H710" s="4" t="s">
        <v>25</v>
      </c>
      <c r="I710" s="5">
        <v>44866</v>
      </c>
      <c r="J710" s="6">
        <v>0</v>
      </c>
      <c r="K710" s="6">
        <v>0</v>
      </c>
      <c r="L710" s="6">
        <v>2223.8090000000002</v>
      </c>
      <c r="M710" s="6">
        <v>2223.8090000000002</v>
      </c>
      <c r="N710" s="6">
        <v>2223.8090000000002</v>
      </c>
      <c r="O710" s="6">
        <v>2223.8090000000002</v>
      </c>
      <c r="P710" s="6">
        <v>6831</v>
      </c>
      <c r="Q710" s="4" t="s">
        <v>26</v>
      </c>
      <c r="R710" s="4">
        <v>0</v>
      </c>
      <c r="S710" s="4" t="s">
        <v>288</v>
      </c>
      <c r="T710" s="4" t="s">
        <v>534</v>
      </c>
      <c r="U710" s="4">
        <v>0</v>
      </c>
      <c r="V710" s="4">
        <v>28</v>
      </c>
      <c r="W710" s="4">
        <v>81</v>
      </c>
    </row>
    <row r="711" spans="1:23" ht="11.25" customHeight="1" x14ac:dyDescent="0.25">
      <c r="A711" s="4" t="s">
        <v>54</v>
      </c>
      <c r="B711" s="4" t="s">
        <v>22</v>
      </c>
      <c r="C711" s="4" t="s">
        <v>23</v>
      </c>
      <c r="D711" s="4" t="s">
        <v>24</v>
      </c>
      <c r="E711" s="4" t="s">
        <v>29</v>
      </c>
      <c r="F711" s="4" t="s">
        <v>25</v>
      </c>
      <c r="G711" s="4" t="s">
        <v>25</v>
      </c>
      <c r="H711" s="4" t="s">
        <v>25</v>
      </c>
      <c r="I711" s="5">
        <v>44866</v>
      </c>
      <c r="J711" s="6">
        <v>0</v>
      </c>
      <c r="K711" s="6">
        <v>0</v>
      </c>
      <c r="L711" s="6">
        <v>-11.718</v>
      </c>
      <c r="M711" s="6">
        <v>-11.718</v>
      </c>
      <c r="N711" s="6">
        <v>-11.718</v>
      </c>
      <c r="O711" s="6">
        <v>-11.718</v>
      </c>
      <c r="P711" s="6">
        <v>-21</v>
      </c>
      <c r="Q711" s="4" t="s">
        <v>26</v>
      </c>
      <c r="R711" s="4">
        <v>0</v>
      </c>
      <c r="S711" s="4" t="s">
        <v>288</v>
      </c>
      <c r="T711" s="4" t="s">
        <v>534</v>
      </c>
      <c r="U711" s="4">
        <v>0</v>
      </c>
      <c r="V711" s="4">
        <v>28</v>
      </c>
      <c r="W711" s="4">
        <v>81</v>
      </c>
    </row>
    <row r="712" spans="1:23" ht="11.25" customHeight="1" x14ac:dyDescent="0.25">
      <c r="A712" s="4" t="s">
        <v>21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44531</v>
      </c>
      <c r="J712" s="6">
        <v>0</v>
      </c>
      <c r="K712" s="6">
        <v>0</v>
      </c>
      <c r="L712" s="6">
        <v>1317.2180000000001</v>
      </c>
      <c r="M712" s="6">
        <v>1317.2180000000001</v>
      </c>
      <c r="N712" s="6">
        <v>1317.2180000000001</v>
      </c>
      <c r="O712" s="6">
        <v>1317.2180000000001</v>
      </c>
      <c r="P712" s="6">
        <v>5849</v>
      </c>
      <c r="Q712" s="4" t="s">
        <v>26</v>
      </c>
      <c r="R712" s="4">
        <v>0</v>
      </c>
      <c r="S712" s="4" t="s">
        <v>289</v>
      </c>
      <c r="T712" s="4" t="s">
        <v>535</v>
      </c>
      <c r="U712" s="4">
        <v>0</v>
      </c>
      <c r="V712" s="4">
        <v>29</v>
      </c>
      <c r="W712" s="4">
        <v>82</v>
      </c>
    </row>
    <row r="713" spans="1:23" ht="11.25" customHeight="1" x14ac:dyDescent="0.25">
      <c r="A713" s="4" t="s">
        <v>27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44531</v>
      </c>
      <c r="J713" s="6">
        <v>0</v>
      </c>
      <c r="K713" s="6">
        <v>0</v>
      </c>
      <c r="L713" s="6">
        <v>-4.6029999999999998</v>
      </c>
      <c r="M713" s="6">
        <v>-4.6029999999999998</v>
      </c>
      <c r="N713" s="6">
        <v>-4.6029999999999998</v>
      </c>
      <c r="O713" s="6">
        <v>-4.6029999999999998</v>
      </c>
      <c r="P713" s="6">
        <v>16</v>
      </c>
      <c r="Q713" s="4" t="s">
        <v>26</v>
      </c>
      <c r="R713" s="4">
        <v>0</v>
      </c>
      <c r="S713" s="4" t="s">
        <v>289</v>
      </c>
      <c r="T713" s="4" t="s">
        <v>535</v>
      </c>
      <c r="U713" s="4">
        <v>0</v>
      </c>
      <c r="V713" s="4">
        <v>29</v>
      </c>
      <c r="W713" s="4">
        <v>82</v>
      </c>
    </row>
    <row r="714" spans="1:2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1504.6690000000001</v>
      </c>
      <c r="M714" s="6">
        <v>1504.6690000000001</v>
      </c>
      <c r="N714" s="6">
        <v>1504.6690000000001</v>
      </c>
      <c r="O714" s="6">
        <v>1504.6690000000001</v>
      </c>
      <c r="P714" s="6">
        <v>7343</v>
      </c>
      <c r="Q714" s="4" t="s">
        <v>26</v>
      </c>
      <c r="R714" s="4">
        <v>0</v>
      </c>
      <c r="S714" s="4" t="s">
        <v>290</v>
      </c>
      <c r="T714" s="4" t="s">
        <v>536</v>
      </c>
      <c r="U714" s="4">
        <v>0</v>
      </c>
      <c r="V714" s="4">
        <v>29</v>
      </c>
      <c r="W714" s="4">
        <v>82</v>
      </c>
    </row>
    <row r="715" spans="1:2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44562</v>
      </c>
      <c r="J715" s="6">
        <v>0</v>
      </c>
      <c r="K715" s="6">
        <v>0</v>
      </c>
      <c r="L715" s="6">
        <v>-9.2029999999999994</v>
      </c>
      <c r="M715" s="6">
        <v>-9.2029999999999994</v>
      </c>
      <c r="N715" s="6">
        <v>-9.2029999999999994</v>
      </c>
      <c r="O715" s="6">
        <v>-9.2029999999999994</v>
      </c>
      <c r="P715" s="6">
        <v>-9</v>
      </c>
      <c r="Q715" s="4" t="s">
        <v>26</v>
      </c>
      <c r="R715" s="4">
        <v>0</v>
      </c>
      <c r="S715" s="4" t="s">
        <v>290</v>
      </c>
      <c r="T715" s="4" t="s">
        <v>536</v>
      </c>
      <c r="U715" s="4">
        <v>0</v>
      </c>
      <c r="V715" s="4">
        <v>29</v>
      </c>
      <c r="W715" s="4">
        <v>82</v>
      </c>
    </row>
    <row r="716" spans="1:23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30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1523.7850000000001</v>
      </c>
      <c r="M716" s="6">
        <v>1523.7850000000001</v>
      </c>
      <c r="N716" s="6">
        <v>1523.7850000000001</v>
      </c>
      <c r="O716" s="6">
        <v>1523.7850000000001</v>
      </c>
      <c r="P716" s="6">
        <v>8117</v>
      </c>
      <c r="Q716" s="4" t="s">
        <v>26</v>
      </c>
      <c r="R716" s="4">
        <v>0</v>
      </c>
      <c r="S716" s="4" t="s">
        <v>291</v>
      </c>
      <c r="T716" s="4" t="s">
        <v>537</v>
      </c>
      <c r="U716" s="4">
        <v>0</v>
      </c>
      <c r="V716" s="4">
        <v>29</v>
      </c>
      <c r="W716" s="4">
        <v>82</v>
      </c>
    </row>
    <row r="717" spans="1:23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30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-7.7850000000000001</v>
      </c>
      <c r="M717" s="6">
        <v>-7.7850000000000001</v>
      </c>
      <c r="N717" s="6">
        <v>-7.7850000000000001</v>
      </c>
      <c r="O717" s="6">
        <v>-7.7850000000000001</v>
      </c>
      <c r="P717" s="6">
        <v>14</v>
      </c>
      <c r="Q717" s="4" t="s">
        <v>26</v>
      </c>
      <c r="R717" s="4">
        <v>0</v>
      </c>
      <c r="S717" s="4" t="s">
        <v>291</v>
      </c>
      <c r="T717" s="4" t="s">
        <v>537</v>
      </c>
      <c r="U717" s="4">
        <v>0</v>
      </c>
      <c r="V717" s="4">
        <v>29</v>
      </c>
      <c r="W717" s="4">
        <v>82</v>
      </c>
    </row>
    <row r="718" spans="1:23" ht="11.25" customHeight="1" x14ac:dyDescent="0.25">
      <c r="A718" s="4" t="s">
        <v>21</v>
      </c>
      <c r="B718" s="4" t="s">
        <v>22</v>
      </c>
      <c r="C718" s="4" t="s">
        <v>23</v>
      </c>
      <c r="D718" s="4" t="s">
        <v>24</v>
      </c>
      <c r="E718" s="4" t="s">
        <v>30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1548.165</v>
      </c>
      <c r="M718" s="6">
        <v>1548.165</v>
      </c>
      <c r="N718" s="6">
        <v>1548.165</v>
      </c>
      <c r="O718" s="6">
        <v>1548.165</v>
      </c>
      <c r="P718" s="6">
        <v>7631</v>
      </c>
      <c r="Q718" s="4" t="s">
        <v>26</v>
      </c>
      <c r="R718" s="4">
        <v>0</v>
      </c>
      <c r="S718" s="4" t="s">
        <v>292</v>
      </c>
      <c r="T718" s="4" t="s">
        <v>538</v>
      </c>
      <c r="U718" s="4">
        <v>0</v>
      </c>
      <c r="V718" s="4">
        <v>29</v>
      </c>
      <c r="W718" s="4">
        <v>82</v>
      </c>
    </row>
    <row r="719" spans="1:23" ht="11.25" customHeight="1" x14ac:dyDescent="0.25">
      <c r="A719" s="4" t="s">
        <v>27</v>
      </c>
      <c r="B719" s="4" t="s">
        <v>22</v>
      </c>
      <c r="C719" s="4" t="s">
        <v>23</v>
      </c>
      <c r="D719" s="4" t="s">
        <v>24</v>
      </c>
      <c r="E719" s="4" t="s">
        <v>30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-14.787000000000001</v>
      </c>
      <c r="M719" s="6">
        <v>-14.787000000000001</v>
      </c>
      <c r="N719" s="6">
        <v>-14.787000000000001</v>
      </c>
      <c r="O719" s="6">
        <v>-14.787000000000001</v>
      </c>
      <c r="P719" s="6">
        <v>-63</v>
      </c>
      <c r="Q719" s="4" t="s">
        <v>26</v>
      </c>
      <c r="R719" s="4">
        <v>0</v>
      </c>
      <c r="S719" s="4" t="s">
        <v>292</v>
      </c>
      <c r="T719" s="4" t="s">
        <v>538</v>
      </c>
      <c r="U719" s="4">
        <v>0</v>
      </c>
      <c r="V719" s="4">
        <v>29</v>
      </c>
      <c r="W719" s="4">
        <v>82</v>
      </c>
    </row>
    <row r="720" spans="1:2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30</v>
      </c>
      <c r="F720" s="4" t="s">
        <v>25</v>
      </c>
      <c r="G720" s="4" t="s">
        <v>25</v>
      </c>
      <c r="H720" s="4" t="s">
        <v>25</v>
      </c>
      <c r="I720" s="5">
        <v>44652</v>
      </c>
      <c r="J720" s="6">
        <v>0</v>
      </c>
      <c r="K720" s="6">
        <v>0</v>
      </c>
      <c r="L720" s="6">
        <v>1651.316</v>
      </c>
      <c r="M720" s="6">
        <v>1651.316</v>
      </c>
      <c r="N720" s="6">
        <v>1651.316</v>
      </c>
      <c r="O720" s="6">
        <v>1651.316</v>
      </c>
      <c r="P720" s="6">
        <v>8321</v>
      </c>
      <c r="Q720" s="4" t="s">
        <v>26</v>
      </c>
      <c r="R720" s="4">
        <v>0</v>
      </c>
      <c r="S720" s="4" t="s">
        <v>293</v>
      </c>
      <c r="T720" s="4" t="s">
        <v>539</v>
      </c>
      <c r="U720" s="4">
        <v>0</v>
      </c>
      <c r="V720" s="4">
        <v>29</v>
      </c>
      <c r="W720" s="4">
        <v>82</v>
      </c>
    </row>
    <row r="721" spans="1:2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30</v>
      </c>
      <c r="F721" s="4" t="s">
        <v>25</v>
      </c>
      <c r="G721" s="4" t="s">
        <v>25</v>
      </c>
      <c r="H721" s="4" t="s">
        <v>25</v>
      </c>
      <c r="I721" s="5">
        <v>44652</v>
      </c>
      <c r="J721" s="6">
        <v>0</v>
      </c>
      <c r="K721" s="6">
        <v>0</v>
      </c>
      <c r="L721" s="6">
        <v>-14.840999999999999</v>
      </c>
      <c r="M721" s="6">
        <v>-14.840999999999999</v>
      </c>
      <c r="N721" s="6">
        <v>-14.840999999999999</v>
      </c>
      <c r="O721" s="6">
        <v>-14.840999999999999</v>
      </c>
      <c r="P721" s="6">
        <v>-9</v>
      </c>
      <c r="Q721" s="4" t="s">
        <v>26</v>
      </c>
      <c r="R721" s="4">
        <v>0</v>
      </c>
      <c r="S721" s="4" t="s">
        <v>293</v>
      </c>
      <c r="T721" s="4" t="s">
        <v>539</v>
      </c>
      <c r="U721" s="4">
        <v>0</v>
      </c>
      <c r="V721" s="4">
        <v>29</v>
      </c>
      <c r="W721" s="4">
        <v>82</v>
      </c>
    </row>
    <row r="722" spans="1:23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30</v>
      </c>
      <c r="F722" s="4" t="s">
        <v>25</v>
      </c>
      <c r="G722" s="4" t="s">
        <v>25</v>
      </c>
      <c r="H722" s="4" t="s">
        <v>25</v>
      </c>
      <c r="I722" s="5">
        <v>44682</v>
      </c>
      <c r="J722" s="6">
        <v>0</v>
      </c>
      <c r="K722" s="6">
        <v>0</v>
      </c>
      <c r="L722" s="6">
        <v>1662.25</v>
      </c>
      <c r="M722" s="6">
        <v>1662.25</v>
      </c>
      <c r="N722" s="6">
        <v>1662.25</v>
      </c>
      <c r="O722" s="6">
        <v>1662.25</v>
      </c>
      <c r="P722" s="6">
        <v>7645</v>
      </c>
      <c r="Q722" s="4" t="s">
        <v>26</v>
      </c>
      <c r="R722" s="4">
        <v>0</v>
      </c>
      <c r="S722" s="4" t="s">
        <v>294</v>
      </c>
      <c r="T722" s="4" t="s">
        <v>540</v>
      </c>
      <c r="U722" s="4">
        <v>0</v>
      </c>
      <c r="V722" s="4">
        <v>29</v>
      </c>
      <c r="W722" s="4">
        <v>82</v>
      </c>
    </row>
    <row r="723" spans="1:23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30</v>
      </c>
      <c r="F723" s="4" t="s">
        <v>25</v>
      </c>
      <c r="G723" s="4" t="s">
        <v>25</v>
      </c>
      <c r="H723" s="4" t="s">
        <v>25</v>
      </c>
      <c r="I723" s="5">
        <v>44682</v>
      </c>
      <c r="J723" s="6">
        <v>0</v>
      </c>
      <c r="K723" s="6">
        <v>0</v>
      </c>
      <c r="L723" s="6">
        <v>-8.1579999999999995</v>
      </c>
      <c r="M723" s="6">
        <v>-8.1579999999999995</v>
      </c>
      <c r="N723" s="6">
        <v>-8.1579999999999995</v>
      </c>
      <c r="O723" s="6">
        <v>-8.1579999999999995</v>
      </c>
      <c r="P723" s="6">
        <v>9</v>
      </c>
      <c r="Q723" s="4" t="s">
        <v>26</v>
      </c>
      <c r="R723" s="4">
        <v>0</v>
      </c>
      <c r="S723" s="4" t="s">
        <v>294</v>
      </c>
      <c r="T723" s="4" t="s">
        <v>540</v>
      </c>
      <c r="U723" s="4">
        <v>0</v>
      </c>
      <c r="V723" s="4">
        <v>29</v>
      </c>
      <c r="W723" s="4">
        <v>82</v>
      </c>
    </row>
    <row r="724" spans="1:23" ht="11.25" customHeight="1" x14ac:dyDescent="0.25">
      <c r="A724" s="4" t="s">
        <v>21</v>
      </c>
      <c r="B724" s="4" t="s">
        <v>22</v>
      </c>
      <c r="C724" s="4" t="s">
        <v>23</v>
      </c>
      <c r="D724" s="4" t="s">
        <v>24</v>
      </c>
      <c r="E724" s="4" t="s">
        <v>30</v>
      </c>
      <c r="F724" s="4" t="s">
        <v>25</v>
      </c>
      <c r="G724" s="4" t="s">
        <v>25</v>
      </c>
      <c r="H724" s="4" t="s">
        <v>25</v>
      </c>
      <c r="I724" s="5">
        <v>44713</v>
      </c>
      <c r="J724" s="6">
        <v>0</v>
      </c>
      <c r="K724" s="6">
        <v>0</v>
      </c>
      <c r="L724" s="6">
        <v>1752.2</v>
      </c>
      <c r="M724" s="6">
        <v>1752.2</v>
      </c>
      <c r="N724" s="6">
        <v>1752.2</v>
      </c>
      <c r="O724" s="6">
        <v>1752.2</v>
      </c>
      <c r="P724" s="6">
        <v>7669</v>
      </c>
      <c r="Q724" s="4" t="s">
        <v>26</v>
      </c>
      <c r="R724" s="4">
        <v>0</v>
      </c>
      <c r="S724" s="4" t="s">
        <v>295</v>
      </c>
      <c r="T724" s="4" t="s">
        <v>541</v>
      </c>
      <c r="U724" s="4">
        <v>0</v>
      </c>
      <c r="V724" s="4">
        <v>29</v>
      </c>
      <c r="W724" s="4">
        <v>82</v>
      </c>
    </row>
    <row r="725" spans="1:23" ht="11.25" customHeight="1" x14ac:dyDescent="0.25">
      <c r="A725" s="4" t="s">
        <v>27</v>
      </c>
      <c r="B725" s="4" t="s">
        <v>22</v>
      </c>
      <c r="C725" s="4" t="s">
        <v>23</v>
      </c>
      <c r="D725" s="4" t="s">
        <v>24</v>
      </c>
      <c r="E725" s="4" t="s">
        <v>30</v>
      </c>
      <c r="F725" s="4" t="s">
        <v>25</v>
      </c>
      <c r="G725" s="4" t="s">
        <v>25</v>
      </c>
      <c r="H725" s="4" t="s">
        <v>25</v>
      </c>
      <c r="I725" s="5">
        <v>44713</v>
      </c>
      <c r="J725" s="6">
        <v>0</v>
      </c>
      <c r="K725" s="6">
        <v>0</v>
      </c>
      <c r="L725" s="6">
        <v>-8.2530000000000001</v>
      </c>
      <c r="M725" s="6">
        <v>-8.2530000000000001</v>
      </c>
      <c r="N725" s="6">
        <v>-8.2530000000000001</v>
      </c>
      <c r="O725" s="6">
        <v>-8.2530000000000001</v>
      </c>
      <c r="P725" s="6">
        <v>-51</v>
      </c>
      <c r="Q725" s="4" t="s">
        <v>26</v>
      </c>
      <c r="R725" s="4">
        <v>0</v>
      </c>
      <c r="S725" s="4" t="s">
        <v>295</v>
      </c>
      <c r="T725" s="4" t="s">
        <v>541</v>
      </c>
      <c r="U725" s="4">
        <v>0</v>
      </c>
      <c r="V725" s="4">
        <v>29</v>
      </c>
      <c r="W725" s="4">
        <v>82</v>
      </c>
    </row>
    <row r="726" spans="1:2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30</v>
      </c>
      <c r="F726" s="4" t="s">
        <v>25</v>
      </c>
      <c r="G726" s="4" t="s">
        <v>25</v>
      </c>
      <c r="H726" s="4" t="s">
        <v>25</v>
      </c>
      <c r="I726" s="5">
        <v>44743</v>
      </c>
      <c r="J726" s="6">
        <v>0</v>
      </c>
      <c r="K726" s="6">
        <v>0</v>
      </c>
      <c r="L726" s="6">
        <v>1832.152</v>
      </c>
      <c r="M726" s="6">
        <v>1832.152</v>
      </c>
      <c r="N726" s="6">
        <v>1832.152</v>
      </c>
      <c r="O726" s="6">
        <v>1832.152</v>
      </c>
      <c r="P726" s="6">
        <v>7922</v>
      </c>
      <c r="Q726" s="4" t="s">
        <v>26</v>
      </c>
      <c r="R726" s="4">
        <v>0</v>
      </c>
      <c r="S726" s="4" t="s">
        <v>296</v>
      </c>
      <c r="T726" s="4" t="s">
        <v>542</v>
      </c>
      <c r="U726" s="4">
        <v>0</v>
      </c>
      <c r="V726" s="4">
        <v>29</v>
      </c>
      <c r="W726" s="4">
        <v>82</v>
      </c>
    </row>
    <row r="727" spans="1:23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30</v>
      </c>
      <c r="F727" s="4" t="s">
        <v>25</v>
      </c>
      <c r="G727" s="4" t="s">
        <v>25</v>
      </c>
      <c r="H727" s="4" t="s">
        <v>25</v>
      </c>
      <c r="I727" s="5">
        <v>44743</v>
      </c>
      <c r="J727" s="6">
        <v>0</v>
      </c>
      <c r="K727" s="6">
        <v>0</v>
      </c>
      <c r="L727" s="6">
        <v>-5.266</v>
      </c>
      <c r="M727" s="6">
        <v>-5.266</v>
      </c>
      <c r="N727" s="6">
        <v>-5.266</v>
      </c>
      <c r="O727" s="6">
        <v>-5.266</v>
      </c>
      <c r="P727" s="6">
        <v>-3</v>
      </c>
      <c r="Q727" s="4" t="s">
        <v>26</v>
      </c>
      <c r="R727" s="4">
        <v>0</v>
      </c>
      <c r="S727" s="4" t="s">
        <v>296</v>
      </c>
      <c r="T727" s="4" t="s">
        <v>542</v>
      </c>
      <c r="U727" s="4">
        <v>0</v>
      </c>
      <c r="V727" s="4">
        <v>29</v>
      </c>
      <c r="W727" s="4">
        <v>82</v>
      </c>
    </row>
    <row r="728" spans="1:2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30</v>
      </c>
      <c r="F728" s="4" t="s">
        <v>25</v>
      </c>
      <c r="G728" s="4" t="s">
        <v>25</v>
      </c>
      <c r="H728" s="4" t="s">
        <v>25</v>
      </c>
      <c r="I728" s="5">
        <v>44774</v>
      </c>
      <c r="J728" s="6">
        <v>0</v>
      </c>
      <c r="K728" s="6">
        <v>0</v>
      </c>
      <c r="L728" s="6">
        <v>1927.788</v>
      </c>
      <c r="M728" s="6">
        <v>1927.788</v>
      </c>
      <c r="N728" s="6">
        <v>1927.788</v>
      </c>
      <c r="O728" s="6">
        <v>1927.788</v>
      </c>
      <c r="P728" s="6">
        <v>7662</v>
      </c>
      <c r="Q728" s="4" t="s">
        <v>26</v>
      </c>
      <c r="R728" s="4">
        <v>0</v>
      </c>
      <c r="S728" s="4" t="s">
        <v>297</v>
      </c>
      <c r="T728" s="4" t="s">
        <v>543</v>
      </c>
      <c r="U728" s="4">
        <v>0</v>
      </c>
      <c r="V728" s="4">
        <v>29</v>
      </c>
      <c r="W728" s="4">
        <v>82</v>
      </c>
    </row>
    <row r="729" spans="1:2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30</v>
      </c>
      <c r="F729" s="4" t="s">
        <v>25</v>
      </c>
      <c r="G729" s="4" t="s">
        <v>25</v>
      </c>
      <c r="H729" s="4" t="s">
        <v>25</v>
      </c>
      <c r="I729" s="5">
        <v>44774</v>
      </c>
      <c r="J729" s="6">
        <v>0</v>
      </c>
      <c r="K729" s="6">
        <v>0</v>
      </c>
      <c r="L729" s="6">
        <v>-12.115</v>
      </c>
      <c r="M729" s="6">
        <v>-12.115</v>
      </c>
      <c r="N729" s="6">
        <v>-12.115</v>
      </c>
      <c r="O729" s="6">
        <v>-12.115</v>
      </c>
      <c r="P729" s="6">
        <v>17</v>
      </c>
      <c r="Q729" s="4" t="s">
        <v>26</v>
      </c>
      <c r="R729" s="4">
        <v>0</v>
      </c>
      <c r="S729" s="4" t="s">
        <v>297</v>
      </c>
      <c r="T729" s="4" t="s">
        <v>543</v>
      </c>
      <c r="U729" s="4">
        <v>0</v>
      </c>
      <c r="V729" s="4">
        <v>29</v>
      </c>
      <c r="W729" s="4">
        <v>82</v>
      </c>
    </row>
    <row r="730" spans="1:2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30</v>
      </c>
      <c r="F730" s="4" t="s">
        <v>25</v>
      </c>
      <c r="G730" s="4" t="s">
        <v>25</v>
      </c>
      <c r="H730" s="4" t="s">
        <v>25</v>
      </c>
      <c r="I730" s="5">
        <v>44805</v>
      </c>
      <c r="J730" s="6">
        <v>0</v>
      </c>
      <c r="K730" s="6">
        <v>0</v>
      </c>
      <c r="L730" s="6">
        <v>2150.6619999999998</v>
      </c>
      <c r="M730" s="6">
        <v>2150.6619999999998</v>
      </c>
      <c r="N730" s="6">
        <v>2150.6619999999998</v>
      </c>
      <c r="O730" s="6">
        <v>2150.6619999999998</v>
      </c>
      <c r="P730" s="6">
        <v>7870</v>
      </c>
      <c r="Q730" s="4" t="s">
        <v>26</v>
      </c>
      <c r="R730" s="4">
        <v>0</v>
      </c>
      <c r="S730" s="4" t="s">
        <v>298</v>
      </c>
      <c r="T730" s="4" t="s">
        <v>544</v>
      </c>
      <c r="U730" s="4">
        <v>0</v>
      </c>
      <c r="V730" s="4">
        <v>29</v>
      </c>
      <c r="W730" s="4">
        <v>82</v>
      </c>
    </row>
    <row r="731" spans="1:23" ht="11.25" customHeight="1" x14ac:dyDescent="0.25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30</v>
      </c>
      <c r="F731" s="4" t="s">
        <v>25</v>
      </c>
      <c r="G731" s="4" t="s">
        <v>25</v>
      </c>
      <c r="H731" s="4" t="s">
        <v>25</v>
      </c>
      <c r="I731" s="5">
        <v>44805</v>
      </c>
      <c r="J731" s="6">
        <v>0</v>
      </c>
      <c r="K731" s="6">
        <v>0</v>
      </c>
      <c r="L731" s="6">
        <v>-6.8410000000000002</v>
      </c>
      <c r="M731" s="6">
        <v>-6.8410000000000002</v>
      </c>
      <c r="N731" s="6">
        <v>-6.8410000000000002</v>
      </c>
      <c r="O731" s="6">
        <v>-6.8410000000000002</v>
      </c>
      <c r="P731" s="6">
        <v>-117</v>
      </c>
      <c r="Q731" s="4" t="s">
        <v>26</v>
      </c>
      <c r="R731" s="4">
        <v>0</v>
      </c>
      <c r="S731" s="4" t="s">
        <v>298</v>
      </c>
      <c r="T731" s="4" t="s">
        <v>544</v>
      </c>
      <c r="U731" s="4">
        <v>0</v>
      </c>
      <c r="V731" s="4">
        <v>29</v>
      </c>
      <c r="W731" s="4">
        <v>82</v>
      </c>
    </row>
    <row r="732" spans="1:2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30</v>
      </c>
      <c r="F732" s="4" t="s">
        <v>25</v>
      </c>
      <c r="G732" s="4" t="s">
        <v>25</v>
      </c>
      <c r="H732" s="4" t="s">
        <v>25</v>
      </c>
      <c r="I732" s="5">
        <v>44835</v>
      </c>
      <c r="J732" s="6">
        <v>0</v>
      </c>
      <c r="K732" s="6">
        <v>0</v>
      </c>
      <c r="L732" s="6">
        <v>2597.5</v>
      </c>
      <c r="M732" s="6">
        <v>2597.5</v>
      </c>
      <c r="N732" s="6">
        <v>2597.5</v>
      </c>
      <c r="O732" s="6">
        <v>2597.5</v>
      </c>
      <c r="P732" s="6">
        <v>8914</v>
      </c>
      <c r="Q732" s="4" t="s">
        <v>26</v>
      </c>
      <c r="R732" s="4">
        <v>0</v>
      </c>
      <c r="S732" s="4" t="s">
        <v>299</v>
      </c>
      <c r="T732" s="4" t="s">
        <v>545</v>
      </c>
      <c r="U732" s="4">
        <v>0</v>
      </c>
      <c r="V732" s="4">
        <v>29</v>
      </c>
      <c r="W732" s="4">
        <v>82</v>
      </c>
    </row>
    <row r="733" spans="1:2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30</v>
      </c>
      <c r="F733" s="4" t="s">
        <v>25</v>
      </c>
      <c r="G733" s="4" t="s">
        <v>25</v>
      </c>
      <c r="H733" s="4" t="s">
        <v>25</v>
      </c>
      <c r="I733" s="5">
        <v>44835</v>
      </c>
      <c r="J733" s="6">
        <v>0</v>
      </c>
      <c r="K733" s="6">
        <v>0</v>
      </c>
      <c r="L733" s="6">
        <v>-3.2989999999999999</v>
      </c>
      <c r="M733" s="6">
        <v>-3.2989999999999999</v>
      </c>
      <c r="N733" s="6">
        <v>-3.2989999999999999</v>
      </c>
      <c r="O733" s="6">
        <v>-3.2989999999999999</v>
      </c>
      <c r="P733" s="6">
        <v>8</v>
      </c>
      <c r="Q733" s="4" t="s">
        <v>26</v>
      </c>
      <c r="R733" s="4">
        <v>0</v>
      </c>
      <c r="S733" s="4" t="s">
        <v>299</v>
      </c>
      <c r="T733" s="4" t="s">
        <v>545</v>
      </c>
      <c r="U733" s="4">
        <v>0</v>
      </c>
      <c r="V733" s="4">
        <v>29</v>
      </c>
      <c r="W733" s="4">
        <v>82</v>
      </c>
    </row>
    <row r="734" spans="1:23" ht="11.25" customHeight="1" x14ac:dyDescent="0.25">
      <c r="A734" s="4" t="s">
        <v>54</v>
      </c>
      <c r="B734" s="4" t="s">
        <v>22</v>
      </c>
      <c r="C734" s="4" t="s">
        <v>23</v>
      </c>
      <c r="D734" s="4" t="s">
        <v>24</v>
      </c>
      <c r="E734" s="4" t="s">
        <v>30</v>
      </c>
      <c r="F734" s="4" t="s">
        <v>25</v>
      </c>
      <c r="G734" s="4" t="s">
        <v>25</v>
      </c>
      <c r="H734" s="4" t="s">
        <v>25</v>
      </c>
      <c r="I734" s="5">
        <v>44866</v>
      </c>
      <c r="J734" s="6">
        <v>0</v>
      </c>
      <c r="K734" s="6">
        <v>0</v>
      </c>
      <c r="L734" s="6">
        <v>2597.5</v>
      </c>
      <c r="M734" s="6">
        <v>2597.5</v>
      </c>
      <c r="N734" s="6">
        <v>2597.5</v>
      </c>
      <c r="O734" s="6">
        <v>2597.5</v>
      </c>
      <c r="P734" s="6">
        <v>8914</v>
      </c>
      <c r="Q734" s="4" t="s">
        <v>26</v>
      </c>
      <c r="R734" s="4">
        <v>0</v>
      </c>
      <c r="S734" s="4" t="s">
        <v>300</v>
      </c>
      <c r="T734" s="4" t="s">
        <v>546</v>
      </c>
      <c r="U734" s="4">
        <v>0</v>
      </c>
      <c r="V734" s="4">
        <v>29</v>
      </c>
      <c r="W734" s="4">
        <v>82</v>
      </c>
    </row>
    <row r="735" spans="1:23" ht="11.25" customHeight="1" x14ac:dyDescent="0.25">
      <c r="A735" s="4" t="s">
        <v>54</v>
      </c>
      <c r="B735" s="4" t="s">
        <v>22</v>
      </c>
      <c r="C735" s="4" t="s">
        <v>23</v>
      </c>
      <c r="D735" s="4" t="s">
        <v>24</v>
      </c>
      <c r="E735" s="4" t="s">
        <v>30</v>
      </c>
      <c r="F735" s="4" t="s">
        <v>25</v>
      </c>
      <c r="G735" s="4" t="s">
        <v>25</v>
      </c>
      <c r="H735" s="4" t="s">
        <v>25</v>
      </c>
      <c r="I735" s="5">
        <v>44866</v>
      </c>
      <c r="J735" s="6">
        <v>0</v>
      </c>
      <c r="K735" s="6">
        <v>0</v>
      </c>
      <c r="L735" s="6">
        <v>-3.2989999999999999</v>
      </c>
      <c r="M735" s="6">
        <v>-3.2989999999999999</v>
      </c>
      <c r="N735" s="6">
        <v>-3.2989999999999999</v>
      </c>
      <c r="O735" s="6">
        <v>-3.2989999999999999</v>
      </c>
      <c r="P735" s="6">
        <v>8</v>
      </c>
      <c r="Q735" s="4" t="s">
        <v>26</v>
      </c>
      <c r="R735" s="4">
        <v>0</v>
      </c>
      <c r="S735" s="4" t="s">
        <v>300</v>
      </c>
      <c r="T735" s="4" t="s">
        <v>546</v>
      </c>
      <c r="U735" s="4">
        <v>0</v>
      </c>
      <c r="V735" s="4">
        <v>29</v>
      </c>
      <c r="W735" s="4">
        <v>82</v>
      </c>
    </row>
    <row r="736" spans="1:23" ht="11.25" customHeight="1" x14ac:dyDescent="0.25">
      <c r="A736" s="4" t="s">
        <v>21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44531</v>
      </c>
      <c r="J736" s="6">
        <v>0</v>
      </c>
      <c r="K736" s="6">
        <v>0</v>
      </c>
      <c r="L736" s="6">
        <v>1446.778</v>
      </c>
      <c r="M736" s="6">
        <v>1446.778</v>
      </c>
      <c r="N736" s="6">
        <v>1446.778</v>
      </c>
      <c r="O736" s="6">
        <v>1446.778</v>
      </c>
      <c r="P736" s="6">
        <v>7434</v>
      </c>
      <c r="Q736" s="4" t="s">
        <v>26</v>
      </c>
      <c r="R736" s="4">
        <v>0</v>
      </c>
      <c r="S736" s="4" t="s">
        <v>301</v>
      </c>
      <c r="T736" s="4" t="s">
        <v>547</v>
      </c>
      <c r="U736" s="4">
        <v>0</v>
      </c>
      <c r="V736" s="4">
        <v>32</v>
      </c>
      <c r="W736" s="4">
        <v>83</v>
      </c>
    </row>
    <row r="737" spans="1:23" ht="11.25" customHeight="1" x14ac:dyDescent="0.25">
      <c r="A737" s="4" t="s">
        <v>27</v>
      </c>
      <c r="B737" s="4" t="s">
        <v>22</v>
      </c>
      <c r="C737" s="4" t="s">
        <v>23</v>
      </c>
      <c r="D737" s="4" t="s">
        <v>24</v>
      </c>
      <c r="E737" s="4" t="s">
        <v>31</v>
      </c>
      <c r="F737" s="4" t="s">
        <v>25</v>
      </c>
      <c r="G737" s="4" t="s">
        <v>25</v>
      </c>
      <c r="H737" s="4" t="s">
        <v>25</v>
      </c>
      <c r="I737" s="5">
        <v>44531</v>
      </c>
      <c r="J737" s="6">
        <v>0</v>
      </c>
      <c r="K737" s="6">
        <v>0</v>
      </c>
      <c r="L737" s="6">
        <v>-7.7969999999999997</v>
      </c>
      <c r="M737" s="6">
        <v>-7.7969999999999997</v>
      </c>
      <c r="N737" s="6">
        <v>-7.7969999999999997</v>
      </c>
      <c r="O737" s="6">
        <v>-7.7969999999999997</v>
      </c>
      <c r="P737" s="6">
        <v>-9</v>
      </c>
      <c r="Q737" s="4" t="s">
        <v>26</v>
      </c>
      <c r="R737" s="4">
        <v>0</v>
      </c>
      <c r="S737" s="4" t="s">
        <v>301</v>
      </c>
      <c r="T737" s="4" t="s">
        <v>547</v>
      </c>
      <c r="U737" s="4">
        <v>0</v>
      </c>
      <c r="V737" s="4">
        <v>32</v>
      </c>
      <c r="W737" s="4">
        <v>83</v>
      </c>
    </row>
    <row r="738" spans="1:23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31</v>
      </c>
      <c r="F738" s="4" t="s">
        <v>25</v>
      </c>
      <c r="G738" s="4" t="s">
        <v>25</v>
      </c>
      <c r="H738" s="4" t="s">
        <v>25</v>
      </c>
      <c r="I738" s="5">
        <v>44562</v>
      </c>
      <c r="J738" s="6">
        <v>0</v>
      </c>
      <c r="K738" s="6">
        <v>0</v>
      </c>
      <c r="L738" s="6">
        <v>1583.713</v>
      </c>
      <c r="M738" s="6">
        <v>1583.713</v>
      </c>
      <c r="N738" s="6">
        <v>1583.713</v>
      </c>
      <c r="O738" s="6">
        <v>1583.713</v>
      </c>
      <c r="P738" s="6">
        <v>8831</v>
      </c>
      <c r="Q738" s="4" t="s">
        <v>26</v>
      </c>
      <c r="R738" s="4">
        <v>0</v>
      </c>
      <c r="S738" s="4" t="s">
        <v>302</v>
      </c>
      <c r="T738" s="4" t="s">
        <v>548</v>
      </c>
      <c r="U738" s="4">
        <v>0</v>
      </c>
      <c r="V738" s="4">
        <v>32</v>
      </c>
      <c r="W738" s="4">
        <v>83</v>
      </c>
    </row>
    <row r="739" spans="1:23" ht="11.25" customHeight="1" x14ac:dyDescent="0.25">
      <c r="A739" s="4" t="s">
        <v>27</v>
      </c>
      <c r="B739" s="4" t="s">
        <v>22</v>
      </c>
      <c r="C739" s="4" t="s">
        <v>23</v>
      </c>
      <c r="D739" s="4" t="s">
        <v>24</v>
      </c>
      <c r="E739" s="4" t="s">
        <v>31</v>
      </c>
      <c r="F739" s="4" t="s">
        <v>25</v>
      </c>
      <c r="G739" s="4" t="s">
        <v>25</v>
      </c>
      <c r="H739" s="4" t="s">
        <v>25</v>
      </c>
      <c r="I739" s="5">
        <v>44562</v>
      </c>
      <c r="J739" s="6">
        <v>0</v>
      </c>
      <c r="K739" s="6">
        <v>0</v>
      </c>
      <c r="L739" s="6">
        <v>-14.875999999999999</v>
      </c>
      <c r="M739" s="6">
        <v>-14.875999999999999</v>
      </c>
      <c r="N739" s="6">
        <v>-14.875999999999999</v>
      </c>
      <c r="O739" s="6">
        <v>-14.875999999999999</v>
      </c>
      <c r="P739" s="6">
        <v>-28</v>
      </c>
      <c r="Q739" s="4" t="s">
        <v>26</v>
      </c>
      <c r="R739" s="4">
        <v>0</v>
      </c>
      <c r="S739" s="4" t="s">
        <v>302</v>
      </c>
      <c r="T739" s="4" t="s">
        <v>548</v>
      </c>
      <c r="U739" s="4">
        <v>0</v>
      </c>
      <c r="V739" s="4">
        <v>32</v>
      </c>
      <c r="W739" s="4">
        <v>83</v>
      </c>
    </row>
    <row r="740" spans="1:23" ht="11.25" customHeight="1" x14ac:dyDescent="0.25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31</v>
      </c>
      <c r="F740" s="4" t="s">
        <v>25</v>
      </c>
      <c r="G740" s="4" t="s">
        <v>25</v>
      </c>
      <c r="H740" s="4" t="s">
        <v>25</v>
      </c>
      <c r="I740" s="5">
        <v>44593</v>
      </c>
      <c r="J740" s="6">
        <v>0</v>
      </c>
      <c r="K740" s="6">
        <v>0</v>
      </c>
      <c r="L740" s="6">
        <v>1502.5309999999999</v>
      </c>
      <c r="M740" s="6">
        <v>1502.5309999999999</v>
      </c>
      <c r="N740" s="6">
        <v>1502.5309999999999</v>
      </c>
      <c r="O740" s="6">
        <v>1502.5309999999999</v>
      </c>
      <c r="P740" s="6">
        <v>9634</v>
      </c>
      <c r="Q740" s="4" t="s">
        <v>26</v>
      </c>
      <c r="R740" s="4">
        <v>0</v>
      </c>
      <c r="S740" s="4" t="s">
        <v>303</v>
      </c>
      <c r="T740" s="4" t="s">
        <v>549</v>
      </c>
      <c r="U740" s="4">
        <v>0</v>
      </c>
      <c r="V740" s="4">
        <v>32</v>
      </c>
      <c r="W740" s="4">
        <v>83</v>
      </c>
    </row>
    <row r="741" spans="1:23" ht="11.25" customHeight="1" x14ac:dyDescent="0.25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31</v>
      </c>
      <c r="F741" s="4" t="s">
        <v>25</v>
      </c>
      <c r="G741" s="4" t="s">
        <v>25</v>
      </c>
      <c r="H741" s="4" t="s">
        <v>25</v>
      </c>
      <c r="I741" s="5">
        <v>44593</v>
      </c>
      <c r="J741" s="6">
        <v>0</v>
      </c>
      <c r="K741" s="6">
        <v>0</v>
      </c>
      <c r="L741" s="6">
        <v>-10.614000000000001</v>
      </c>
      <c r="M741" s="6">
        <v>-10.614000000000001</v>
      </c>
      <c r="N741" s="6">
        <v>-10.614000000000001</v>
      </c>
      <c r="O741" s="6">
        <v>-10.614000000000001</v>
      </c>
      <c r="P741" s="6">
        <v>-19</v>
      </c>
      <c r="Q741" s="4" t="s">
        <v>26</v>
      </c>
      <c r="R741" s="4">
        <v>0</v>
      </c>
      <c r="S741" s="4" t="s">
        <v>303</v>
      </c>
      <c r="T741" s="4" t="s">
        <v>549</v>
      </c>
      <c r="U741" s="4">
        <v>0</v>
      </c>
      <c r="V741" s="4">
        <v>32</v>
      </c>
      <c r="W741" s="4">
        <v>83</v>
      </c>
    </row>
    <row r="742" spans="1:23" ht="11.25" customHeight="1" x14ac:dyDescent="0.25">
      <c r="A742" s="4" t="s">
        <v>21</v>
      </c>
      <c r="B742" s="4" t="s">
        <v>22</v>
      </c>
      <c r="C742" s="4" t="s">
        <v>23</v>
      </c>
      <c r="D742" s="4" t="s">
        <v>24</v>
      </c>
      <c r="E742" s="4" t="s">
        <v>31</v>
      </c>
      <c r="F742" s="4" t="s">
        <v>25</v>
      </c>
      <c r="G742" s="4" t="s">
        <v>25</v>
      </c>
      <c r="H742" s="4" t="s">
        <v>25</v>
      </c>
      <c r="I742" s="5">
        <v>44621</v>
      </c>
      <c r="J742" s="6">
        <v>0</v>
      </c>
      <c r="K742" s="6">
        <v>0</v>
      </c>
      <c r="L742" s="6">
        <v>1598.336</v>
      </c>
      <c r="M742" s="6">
        <v>1598.336</v>
      </c>
      <c r="N742" s="6">
        <v>1598.336</v>
      </c>
      <c r="O742" s="6">
        <v>1598.336</v>
      </c>
      <c r="P742" s="6">
        <v>9376</v>
      </c>
      <c r="Q742" s="4" t="s">
        <v>26</v>
      </c>
      <c r="R742" s="4">
        <v>0</v>
      </c>
      <c r="S742" s="4" t="s">
        <v>304</v>
      </c>
      <c r="T742" s="4" t="s">
        <v>550</v>
      </c>
      <c r="U742" s="4">
        <v>0</v>
      </c>
      <c r="V742" s="4">
        <v>32</v>
      </c>
      <c r="W742" s="4">
        <v>83</v>
      </c>
    </row>
    <row r="743" spans="1:23" ht="11.25" customHeight="1" x14ac:dyDescent="0.25">
      <c r="A743" s="4" t="s">
        <v>27</v>
      </c>
      <c r="B743" s="4" t="s">
        <v>22</v>
      </c>
      <c r="C743" s="4" t="s">
        <v>23</v>
      </c>
      <c r="D743" s="4" t="s">
        <v>24</v>
      </c>
      <c r="E743" s="4" t="s">
        <v>31</v>
      </c>
      <c r="F743" s="4" t="s">
        <v>25</v>
      </c>
      <c r="G743" s="4" t="s">
        <v>25</v>
      </c>
      <c r="H743" s="4" t="s">
        <v>25</v>
      </c>
      <c r="I743" s="5">
        <v>44621</v>
      </c>
      <c r="J743" s="6">
        <v>0</v>
      </c>
      <c r="K743" s="6">
        <v>0</v>
      </c>
      <c r="L743" s="6">
        <v>-18.271999999999998</v>
      </c>
      <c r="M743" s="6">
        <v>-18.271999999999998</v>
      </c>
      <c r="N743" s="6">
        <v>-18.271999999999998</v>
      </c>
      <c r="O743" s="6">
        <v>-18.271999999999998</v>
      </c>
      <c r="P743" s="6">
        <v>-46</v>
      </c>
      <c r="Q743" s="4" t="s">
        <v>26</v>
      </c>
      <c r="R743" s="4">
        <v>0</v>
      </c>
      <c r="S743" s="4" t="s">
        <v>304</v>
      </c>
      <c r="T743" s="4" t="s">
        <v>550</v>
      </c>
      <c r="U743" s="4">
        <v>0</v>
      </c>
      <c r="V743" s="4">
        <v>32</v>
      </c>
      <c r="W743" s="4">
        <v>83</v>
      </c>
    </row>
    <row r="744" spans="1:23" ht="11.25" customHeight="1" x14ac:dyDescent="0.25">
      <c r="A744" s="4" t="s">
        <v>21</v>
      </c>
      <c r="B744" s="4" t="s">
        <v>22</v>
      </c>
      <c r="C744" s="4" t="s">
        <v>23</v>
      </c>
      <c r="D744" s="4" t="s">
        <v>24</v>
      </c>
      <c r="E744" s="4" t="s">
        <v>31</v>
      </c>
      <c r="F744" s="4" t="s">
        <v>25</v>
      </c>
      <c r="G744" s="4" t="s">
        <v>25</v>
      </c>
      <c r="H744" s="4" t="s">
        <v>25</v>
      </c>
      <c r="I744" s="5">
        <v>44652</v>
      </c>
      <c r="J744" s="6">
        <v>0</v>
      </c>
      <c r="K744" s="6">
        <v>0</v>
      </c>
      <c r="L744" s="6">
        <v>1669.4960000000001</v>
      </c>
      <c r="M744" s="6">
        <v>1669.4960000000001</v>
      </c>
      <c r="N744" s="6">
        <v>1669.4960000000001</v>
      </c>
      <c r="O744" s="6">
        <v>1669.4960000000001</v>
      </c>
      <c r="P744" s="6">
        <v>10349</v>
      </c>
      <c r="Q744" s="4" t="s">
        <v>26</v>
      </c>
      <c r="R744" s="4">
        <v>0</v>
      </c>
      <c r="S744" s="4" t="s">
        <v>305</v>
      </c>
      <c r="T744" s="4" t="s">
        <v>551</v>
      </c>
      <c r="U744" s="4">
        <v>0</v>
      </c>
      <c r="V744" s="4">
        <v>32</v>
      </c>
      <c r="W744" s="4">
        <v>83</v>
      </c>
    </row>
    <row r="745" spans="1:23" ht="11.25" customHeight="1" x14ac:dyDescent="0.25">
      <c r="A745" s="4" t="s">
        <v>27</v>
      </c>
      <c r="B745" s="4" t="s">
        <v>22</v>
      </c>
      <c r="C745" s="4" t="s">
        <v>23</v>
      </c>
      <c r="D745" s="4" t="s">
        <v>24</v>
      </c>
      <c r="E745" s="4" t="s">
        <v>31</v>
      </c>
      <c r="F745" s="4" t="s">
        <v>25</v>
      </c>
      <c r="G745" s="4" t="s">
        <v>25</v>
      </c>
      <c r="H745" s="4" t="s">
        <v>25</v>
      </c>
      <c r="I745" s="5">
        <v>44652</v>
      </c>
      <c r="J745" s="6">
        <v>0</v>
      </c>
      <c r="K745" s="6">
        <v>0</v>
      </c>
      <c r="L745" s="6">
        <v>-22.542000000000002</v>
      </c>
      <c r="M745" s="6">
        <v>-22.542000000000002</v>
      </c>
      <c r="N745" s="6">
        <v>-22.542000000000002</v>
      </c>
      <c r="O745" s="6">
        <v>-22.542000000000002</v>
      </c>
      <c r="P745" s="6">
        <v>-23</v>
      </c>
      <c r="Q745" s="4" t="s">
        <v>26</v>
      </c>
      <c r="R745" s="4">
        <v>0</v>
      </c>
      <c r="S745" s="4" t="s">
        <v>305</v>
      </c>
      <c r="T745" s="4" t="s">
        <v>551</v>
      </c>
      <c r="U745" s="4">
        <v>0</v>
      </c>
      <c r="V745" s="4">
        <v>32</v>
      </c>
      <c r="W745" s="4">
        <v>83</v>
      </c>
    </row>
    <row r="746" spans="1:23" ht="11.25" customHeight="1" x14ac:dyDescent="0.25">
      <c r="A746" s="4" t="s">
        <v>21</v>
      </c>
      <c r="B746" s="4" t="s">
        <v>22</v>
      </c>
      <c r="C746" s="4" t="s">
        <v>23</v>
      </c>
      <c r="D746" s="4" t="s">
        <v>24</v>
      </c>
      <c r="E746" s="4" t="s">
        <v>31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1776.654</v>
      </c>
      <c r="M746" s="6">
        <v>1776.654</v>
      </c>
      <c r="N746" s="6">
        <v>1776.654</v>
      </c>
      <c r="O746" s="6">
        <v>1776.654</v>
      </c>
      <c r="P746" s="6">
        <v>9812</v>
      </c>
      <c r="Q746" s="4" t="s">
        <v>26</v>
      </c>
      <c r="R746" s="4">
        <v>0</v>
      </c>
      <c r="S746" s="4" t="s">
        <v>306</v>
      </c>
      <c r="T746" s="4" t="s">
        <v>552</v>
      </c>
      <c r="U746" s="4">
        <v>0</v>
      </c>
      <c r="V746" s="4">
        <v>32</v>
      </c>
      <c r="W746" s="4">
        <v>83</v>
      </c>
    </row>
    <row r="747" spans="1:23" ht="11.25" customHeight="1" x14ac:dyDescent="0.25">
      <c r="A747" s="4" t="s">
        <v>27</v>
      </c>
      <c r="B747" s="4" t="s">
        <v>22</v>
      </c>
      <c r="C747" s="4" t="s">
        <v>23</v>
      </c>
      <c r="D747" s="4" t="s">
        <v>24</v>
      </c>
      <c r="E747" s="4" t="s">
        <v>31</v>
      </c>
      <c r="F747" s="4" t="s">
        <v>25</v>
      </c>
      <c r="G747" s="4" t="s">
        <v>25</v>
      </c>
      <c r="H747" s="4" t="s">
        <v>25</v>
      </c>
      <c r="I747" s="5">
        <v>44682</v>
      </c>
      <c r="J747" s="6">
        <v>0</v>
      </c>
      <c r="K747" s="6">
        <v>0</v>
      </c>
      <c r="L747" s="6">
        <v>-13.287000000000001</v>
      </c>
      <c r="M747" s="6">
        <v>-13.287000000000001</v>
      </c>
      <c r="N747" s="6">
        <v>-13.287000000000001</v>
      </c>
      <c r="O747" s="6">
        <v>-13.287000000000001</v>
      </c>
      <c r="P747" s="6">
        <v>-16</v>
      </c>
      <c r="Q747" s="4" t="s">
        <v>26</v>
      </c>
      <c r="R747" s="4">
        <v>0</v>
      </c>
      <c r="S747" s="4" t="s">
        <v>306</v>
      </c>
      <c r="T747" s="4" t="s">
        <v>552</v>
      </c>
      <c r="U747" s="4">
        <v>0</v>
      </c>
      <c r="V747" s="4">
        <v>32</v>
      </c>
      <c r="W747" s="4">
        <v>83</v>
      </c>
    </row>
    <row r="748" spans="1:23" ht="11.25" customHeight="1" x14ac:dyDescent="0.25">
      <c r="A748" s="4" t="s">
        <v>21</v>
      </c>
      <c r="B748" s="4" t="s">
        <v>22</v>
      </c>
      <c r="C748" s="4" t="s">
        <v>23</v>
      </c>
      <c r="D748" s="4" t="s">
        <v>24</v>
      </c>
      <c r="E748" s="4" t="s">
        <v>31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1894.8389999999999</v>
      </c>
      <c r="M748" s="6">
        <v>1894.8389999999999</v>
      </c>
      <c r="N748" s="6">
        <v>1894.8389999999999</v>
      </c>
      <c r="O748" s="6">
        <v>1894.8389999999999</v>
      </c>
      <c r="P748" s="6">
        <v>10274</v>
      </c>
      <c r="Q748" s="4" t="s">
        <v>26</v>
      </c>
      <c r="R748" s="4">
        <v>0</v>
      </c>
      <c r="S748" s="4" t="s">
        <v>307</v>
      </c>
      <c r="T748" s="4" t="s">
        <v>553</v>
      </c>
      <c r="U748" s="4">
        <v>0</v>
      </c>
      <c r="V748" s="4">
        <v>32</v>
      </c>
      <c r="W748" s="4">
        <v>83</v>
      </c>
    </row>
    <row r="749" spans="1:23" ht="11.25" customHeight="1" x14ac:dyDescent="0.25">
      <c r="A749" s="4" t="s">
        <v>27</v>
      </c>
      <c r="B749" s="4" t="s">
        <v>22</v>
      </c>
      <c r="C749" s="4" t="s">
        <v>23</v>
      </c>
      <c r="D749" s="4" t="s">
        <v>24</v>
      </c>
      <c r="E749" s="4" t="s">
        <v>31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-7.3659999999999997</v>
      </c>
      <c r="M749" s="6">
        <v>-7.3659999999999997</v>
      </c>
      <c r="N749" s="6">
        <v>-7.3659999999999997</v>
      </c>
      <c r="O749" s="6">
        <v>-7.3659999999999997</v>
      </c>
      <c r="P749" s="6">
        <v>-59</v>
      </c>
      <c r="Q749" s="4" t="s">
        <v>26</v>
      </c>
      <c r="R749" s="4">
        <v>0</v>
      </c>
      <c r="S749" s="4" t="s">
        <v>307</v>
      </c>
      <c r="T749" s="4" t="s">
        <v>553</v>
      </c>
      <c r="U749" s="4">
        <v>0</v>
      </c>
      <c r="V749" s="4">
        <v>32</v>
      </c>
      <c r="W749" s="4">
        <v>83</v>
      </c>
    </row>
    <row r="750" spans="1:2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31</v>
      </c>
      <c r="F750" s="4" t="s">
        <v>25</v>
      </c>
      <c r="G750" s="4" t="s">
        <v>25</v>
      </c>
      <c r="H750" s="4" t="s">
        <v>25</v>
      </c>
      <c r="I750" s="5">
        <v>44743</v>
      </c>
      <c r="J750" s="6">
        <v>0</v>
      </c>
      <c r="K750" s="6">
        <v>0</v>
      </c>
      <c r="L750" s="6">
        <v>1965.155</v>
      </c>
      <c r="M750" s="6">
        <v>1965.155</v>
      </c>
      <c r="N750" s="6">
        <v>1965.155</v>
      </c>
      <c r="O750" s="6">
        <v>1965.155</v>
      </c>
      <c r="P750" s="6">
        <v>10991</v>
      </c>
      <c r="Q750" s="4" t="s">
        <v>26</v>
      </c>
      <c r="R750" s="4">
        <v>0</v>
      </c>
      <c r="S750" s="4" t="s">
        <v>308</v>
      </c>
      <c r="T750" s="4" t="s">
        <v>554</v>
      </c>
      <c r="U750" s="4">
        <v>0</v>
      </c>
      <c r="V750" s="4">
        <v>32</v>
      </c>
      <c r="W750" s="4">
        <v>83</v>
      </c>
    </row>
    <row r="751" spans="1:2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31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-6.7290000000000001</v>
      </c>
      <c r="M751" s="6">
        <v>-6.7290000000000001</v>
      </c>
      <c r="N751" s="6">
        <v>-6.7290000000000001</v>
      </c>
      <c r="O751" s="6">
        <v>-6.7290000000000001</v>
      </c>
      <c r="P751" s="6">
        <v>-41</v>
      </c>
      <c r="Q751" s="4" t="s">
        <v>26</v>
      </c>
      <c r="R751" s="4">
        <v>0</v>
      </c>
      <c r="S751" s="4" t="s">
        <v>308</v>
      </c>
      <c r="T751" s="4" t="s">
        <v>554</v>
      </c>
      <c r="U751" s="4">
        <v>0</v>
      </c>
      <c r="V751" s="4">
        <v>32</v>
      </c>
      <c r="W751" s="4">
        <v>83</v>
      </c>
    </row>
    <row r="752" spans="1:23" ht="11.25" customHeight="1" x14ac:dyDescent="0.25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31</v>
      </c>
      <c r="F752" s="4" t="s">
        <v>25</v>
      </c>
      <c r="G752" s="4" t="s">
        <v>25</v>
      </c>
      <c r="H752" s="4" t="s">
        <v>25</v>
      </c>
      <c r="I752" s="5">
        <v>44774</v>
      </c>
      <c r="J752" s="6">
        <v>0</v>
      </c>
      <c r="K752" s="6">
        <v>0</v>
      </c>
      <c r="L752" s="6">
        <v>2148.2510000000002</v>
      </c>
      <c r="M752" s="6">
        <v>2148.2510000000002</v>
      </c>
      <c r="N752" s="6">
        <v>2148.2510000000002</v>
      </c>
      <c r="O752" s="6">
        <v>2148.2510000000002</v>
      </c>
      <c r="P752" s="6">
        <v>10981</v>
      </c>
      <c r="Q752" s="4" t="s">
        <v>26</v>
      </c>
      <c r="R752" s="4">
        <v>0</v>
      </c>
      <c r="S752" s="4" t="s">
        <v>309</v>
      </c>
      <c r="T752" s="4" t="s">
        <v>555</v>
      </c>
      <c r="U752" s="4">
        <v>0</v>
      </c>
      <c r="V752" s="4">
        <v>32</v>
      </c>
      <c r="W752" s="4">
        <v>83</v>
      </c>
    </row>
    <row r="753" spans="1:23" ht="11.25" customHeight="1" x14ac:dyDescent="0.25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31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-17.472999999999999</v>
      </c>
      <c r="M753" s="6">
        <v>-17.472999999999999</v>
      </c>
      <c r="N753" s="6">
        <v>-17.472999999999999</v>
      </c>
      <c r="O753" s="6">
        <v>-17.472999999999999</v>
      </c>
      <c r="P753" s="6">
        <v>-79</v>
      </c>
      <c r="Q753" s="4" t="s">
        <v>26</v>
      </c>
      <c r="R753" s="4">
        <v>0</v>
      </c>
      <c r="S753" s="4" t="s">
        <v>309</v>
      </c>
      <c r="T753" s="4" t="s">
        <v>555</v>
      </c>
      <c r="U753" s="4">
        <v>0</v>
      </c>
      <c r="V753" s="4">
        <v>32</v>
      </c>
      <c r="W753" s="4">
        <v>83</v>
      </c>
    </row>
    <row r="754" spans="1:23" ht="11.25" customHeight="1" x14ac:dyDescent="0.25">
      <c r="A754" s="4" t="s">
        <v>21</v>
      </c>
      <c r="B754" s="4" t="s">
        <v>22</v>
      </c>
      <c r="C754" s="4" t="s">
        <v>23</v>
      </c>
      <c r="D754" s="4" t="s">
        <v>24</v>
      </c>
      <c r="E754" s="4" t="s">
        <v>31</v>
      </c>
      <c r="F754" s="4" t="s">
        <v>25</v>
      </c>
      <c r="G754" s="4" t="s">
        <v>25</v>
      </c>
      <c r="H754" s="4" t="s">
        <v>25</v>
      </c>
      <c r="I754" s="5">
        <v>44805</v>
      </c>
      <c r="J754" s="6">
        <v>0</v>
      </c>
      <c r="K754" s="6">
        <v>0</v>
      </c>
      <c r="L754" s="6">
        <v>2478.875</v>
      </c>
      <c r="M754" s="6">
        <v>2478.875</v>
      </c>
      <c r="N754" s="6">
        <v>2478.875</v>
      </c>
      <c r="O754" s="6">
        <v>2478.875</v>
      </c>
      <c r="P754" s="6">
        <v>11784</v>
      </c>
      <c r="Q754" s="4" t="s">
        <v>26</v>
      </c>
      <c r="R754" s="4">
        <v>0</v>
      </c>
      <c r="S754" s="4" t="s">
        <v>310</v>
      </c>
      <c r="T754" s="4" t="s">
        <v>556</v>
      </c>
      <c r="U754" s="4">
        <v>0</v>
      </c>
      <c r="V754" s="4">
        <v>32</v>
      </c>
      <c r="W754" s="4">
        <v>83</v>
      </c>
    </row>
    <row r="755" spans="1:23" ht="11.25" customHeight="1" x14ac:dyDescent="0.25">
      <c r="A755" s="4" t="s">
        <v>27</v>
      </c>
      <c r="B755" s="4" t="s">
        <v>22</v>
      </c>
      <c r="C755" s="4" t="s">
        <v>23</v>
      </c>
      <c r="D755" s="4" t="s">
        <v>24</v>
      </c>
      <c r="E755" s="4" t="s">
        <v>31</v>
      </c>
      <c r="F755" s="4" t="s">
        <v>25</v>
      </c>
      <c r="G755" s="4" t="s">
        <v>25</v>
      </c>
      <c r="H755" s="4" t="s">
        <v>25</v>
      </c>
      <c r="I755" s="5">
        <v>44805</v>
      </c>
      <c r="J755" s="6">
        <v>0</v>
      </c>
      <c r="K755" s="6">
        <v>0</v>
      </c>
      <c r="L755" s="6">
        <v>-6.4969999999999999</v>
      </c>
      <c r="M755" s="6">
        <v>-6.4969999999999999</v>
      </c>
      <c r="N755" s="6">
        <v>-6.4969999999999999</v>
      </c>
      <c r="O755" s="6">
        <v>-6.4969999999999999</v>
      </c>
      <c r="P755" s="6">
        <v>-8</v>
      </c>
      <c r="Q755" s="4" t="s">
        <v>26</v>
      </c>
      <c r="R755" s="4">
        <v>0</v>
      </c>
      <c r="S755" s="4" t="s">
        <v>310</v>
      </c>
      <c r="T755" s="4" t="s">
        <v>556</v>
      </c>
      <c r="U755" s="4">
        <v>0</v>
      </c>
      <c r="V755" s="4">
        <v>32</v>
      </c>
      <c r="W755" s="4">
        <v>83</v>
      </c>
    </row>
    <row r="756" spans="1:2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31</v>
      </c>
      <c r="F756" s="4" t="s">
        <v>25</v>
      </c>
      <c r="G756" s="4" t="s">
        <v>25</v>
      </c>
      <c r="H756" s="4" t="s">
        <v>25</v>
      </c>
      <c r="I756" s="5">
        <v>44835</v>
      </c>
      <c r="J756" s="6">
        <v>0</v>
      </c>
      <c r="K756" s="6">
        <v>0</v>
      </c>
      <c r="L756" s="6">
        <v>3078.2750000000001</v>
      </c>
      <c r="M756" s="6">
        <v>3078.2750000000001</v>
      </c>
      <c r="N756" s="6">
        <v>3078.2750000000001</v>
      </c>
      <c r="O756" s="6">
        <v>3078.2750000000001</v>
      </c>
      <c r="P756" s="6">
        <v>13481</v>
      </c>
      <c r="Q756" s="4" t="s">
        <v>26</v>
      </c>
      <c r="R756" s="4">
        <v>0</v>
      </c>
      <c r="S756" s="4" t="s">
        <v>311</v>
      </c>
      <c r="T756" s="4" t="s">
        <v>557</v>
      </c>
      <c r="U756" s="4">
        <v>0</v>
      </c>
      <c r="V756" s="4">
        <v>32</v>
      </c>
      <c r="W756" s="4">
        <v>83</v>
      </c>
    </row>
    <row r="757" spans="1:2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31</v>
      </c>
      <c r="F757" s="4" t="s">
        <v>25</v>
      </c>
      <c r="G757" s="4" t="s">
        <v>25</v>
      </c>
      <c r="H757" s="4" t="s">
        <v>25</v>
      </c>
      <c r="I757" s="5">
        <v>44835</v>
      </c>
      <c r="J757" s="6">
        <v>0</v>
      </c>
      <c r="K757" s="6">
        <v>0</v>
      </c>
      <c r="L757" s="6">
        <v>-6.1369999999999996</v>
      </c>
      <c r="M757" s="6">
        <v>-6.1369999999999996</v>
      </c>
      <c r="N757" s="6">
        <v>-6.1369999999999996</v>
      </c>
      <c r="O757" s="6">
        <v>-6.1369999999999996</v>
      </c>
      <c r="P757" s="6">
        <v>4</v>
      </c>
      <c r="Q757" s="4" t="s">
        <v>26</v>
      </c>
      <c r="R757" s="4">
        <v>0</v>
      </c>
      <c r="S757" s="4" t="s">
        <v>311</v>
      </c>
      <c r="T757" s="4" t="s">
        <v>557</v>
      </c>
      <c r="U757" s="4">
        <v>0</v>
      </c>
      <c r="V757" s="4">
        <v>32</v>
      </c>
      <c r="W757" s="4">
        <v>83</v>
      </c>
    </row>
    <row r="758" spans="1:23" ht="11.25" customHeight="1" x14ac:dyDescent="0.25">
      <c r="A758" s="4" t="s">
        <v>54</v>
      </c>
      <c r="B758" s="4" t="s">
        <v>22</v>
      </c>
      <c r="C758" s="4" t="s">
        <v>23</v>
      </c>
      <c r="D758" s="4" t="s">
        <v>24</v>
      </c>
      <c r="E758" s="4" t="s">
        <v>31</v>
      </c>
      <c r="F758" s="4" t="s">
        <v>25</v>
      </c>
      <c r="G758" s="4" t="s">
        <v>25</v>
      </c>
      <c r="H758" s="4" t="s">
        <v>25</v>
      </c>
      <c r="I758" s="5">
        <v>44866</v>
      </c>
      <c r="J758" s="6">
        <v>0</v>
      </c>
      <c r="K758" s="6">
        <v>0</v>
      </c>
      <c r="L758" s="6">
        <v>3078.2750000000001</v>
      </c>
      <c r="M758" s="6">
        <v>3078.2750000000001</v>
      </c>
      <c r="N758" s="6">
        <v>3078.2750000000001</v>
      </c>
      <c r="O758" s="6">
        <v>3078.2750000000001</v>
      </c>
      <c r="P758" s="6">
        <v>13481</v>
      </c>
      <c r="Q758" s="4" t="s">
        <v>26</v>
      </c>
      <c r="R758" s="4">
        <v>0</v>
      </c>
      <c r="S758" s="4" t="s">
        <v>312</v>
      </c>
      <c r="T758" s="4" t="s">
        <v>558</v>
      </c>
      <c r="U758" s="4">
        <v>0</v>
      </c>
      <c r="V758" s="4">
        <v>32</v>
      </c>
      <c r="W758" s="4">
        <v>83</v>
      </c>
    </row>
    <row r="759" spans="1:23" ht="11.25" customHeight="1" x14ac:dyDescent="0.25">
      <c r="A759" s="4" t="s">
        <v>54</v>
      </c>
      <c r="B759" s="4" t="s">
        <v>22</v>
      </c>
      <c r="C759" s="4" t="s">
        <v>23</v>
      </c>
      <c r="D759" s="4" t="s">
        <v>24</v>
      </c>
      <c r="E759" s="4" t="s">
        <v>31</v>
      </c>
      <c r="F759" s="4" t="s">
        <v>25</v>
      </c>
      <c r="G759" s="4" t="s">
        <v>25</v>
      </c>
      <c r="H759" s="4" t="s">
        <v>25</v>
      </c>
      <c r="I759" s="5">
        <v>44866</v>
      </c>
      <c r="J759" s="6">
        <v>0</v>
      </c>
      <c r="K759" s="6">
        <v>0</v>
      </c>
      <c r="L759" s="6">
        <v>-6.1369999999999996</v>
      </c>
      <c r="M759" s="6">
        <v>-6.1369999999999996</v>
      </c>
      <c r="N759" s="6">
        <v>-6.1369999999999996</v>
      </c>
      <c r="O759" s="6">
        <v>-6.1369999999999996</v>
      </c>
      <c r="P759" s="6">
        <v>4</v>
      </c>
      <c r="Q759" s="4" t="s">
        <v>26</v>
      </c>
      <c r="R759" s="4">
        <v>0</v>
      </c>
      <c r="S759" s="4" t="s">
        <v>312</v>
      </c>
      <c r="T759" s="4" t="s">
        <v>558</v>
      </c>
      <c r="U759" s="4">
        <v>0</v>
      </c>
      <c r="V759" s="4">
        <v>32</v>
      </c>
      <c r="W759" s="4">
        <v>83</v>
      </c>
    </row>
    <row r="760" spans="1:2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32</v>
      </c>
      <c r="F760" s="4" t="s">
        <v>25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1796.682</v>
      </c>
      <c r="M760" s="6">
        <v>1796.682</v>
      </c>
      <c r="N760" s="6">
        <v>1796.682</v>
      </c>
      <c r="O760" s="6">
        <v>1796.682</v>
      </c>
      <c r="P760" s="6">
        <v>8573</v>
      </c>
      <c r="Q760" s="4" t="s">
        <v>26</v>
      </c>
      <c r="R760" s="4">
        <v>0</v>
      </c>
      <c r="S760" s="4" t="s">
        <v>313</v>
      </c>
      <c r="T760" s="4" t="s">
        <v>559</v>
      </c>
      <c r="U760" s="4">
        <v>0</v>
      </c>
      <c r="V760" s="4">
        <v>33</v>
      </c>
      <c r="W760" s="4">
        <v>84</v>
      </c>
    </row>
    <row r="761" spans="1:2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32</v>
      </c>
      <c r="F761" s="4" t="s">
        <v>25</v>
      </c>
      <c r="G761" s="4" t="s">
        <v>25</v>
      </c>
      <c r="H761" s="4" t="s">
        <v>25</v>
      </c>
      <c r="I761" s="5">
        <v>44531</v>
      </c>
      <c r="J761" s="6">
        <v>0</v>
      </c>
      <c r="K761" s="6">
        <v>0</v>
      </c>
      <c r="L761" s="6">
        <v>-12.752000000000001</v>
      </c>
      <c r="M761" s="6">
        <v>-12.752000000000001</v>
      </c>
      <c r="N761" s="6">
        <v>-12.752000000000001</v>
      </c>
      <c r="O761" s="6">
        <v>-12.752000000000001</v>
      </c>
      <c r="P761" s="6">
        <v>-62</v>
      </c>
      <c r="Q761" s="4" t="s">
        <v>26</v>
      </c>
      <c r="R761" s="4">
        <v>0</v>
      </c>
      <c r="S761" s="4" t="s">
        <v>313</v>
      </c>
      <c r="T761" s="4" t="s">
        <v>559</v>
      </c>
      <c r="U761" s="4">
        <v>0</v>
      </c>
      <c r="V761" s="4">
        <v>33</v>
      </c>
      <c r="W761" s="4">
        <v>84</v>
      </c>
    </row>
    <row r="762" spans="1:23" ht="11.25" customHeight="1" x14ac:dyDescent="0.25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32</v>
      </c>
      <c r="F762" s="4" t="s">
        <v>25</v>
      </c>
      <c r="G762" s="4" t="s">
        <v>25</v>
      </c>
      <c r="H762" s="4" t="s">
        <v>25</v>
      </c>
      <c r="I762" s="5">
        <v>44562</v>
      </c>
      <c r="J762" s="6">
        <v>0</v>
      </c>
      <c r="K762" s="6">
        <v>0</v>
      </c>
      <c r="L762" s="6">
        <v>1846.6020000000001</v>
      </c>
      <c r="M762" s="6">
        <v>1846.6020000000001</v>
      </c>
      <c r="N762" s="6">
        <v>1846.6020000000001</v>
      </c>
      <c r="O762" s="6">
        <v>1846.6020000000001</v>
      </c>
      <c r="P762" s="6">
        <v>9123</v>
      </c>
      <c r="Q762" s="4" t="s">
        <v>26</v>
      </c>
      <c r="R762" s="4">
        <v>0</v>
      </c>
      <c r="S762" s="4" t="s">
        <v>314</v>
      </c>
      <c r="T762" s="4" t="s">
        <v>560</v>
      </c>
      <c r="U762" s="4">
        <v>0</v>
      </c>
      <c r="V762" s="4">
        <v>33</v>
      </c>
      <c r="W762" s="4">
        <v>84</v>
      </c>
    </row>
    <row r="763" spans="1:23" ht="11.25" customHeight="1" x14ac:dyDescent="0.25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32</v>
      </c>
      <c r="F763" s="4" t="s">
        <v>25</v>
      </c>
      <c r="G763" s="4" t="s">
        <v>25</v>
      </c>
      <c r="H763" s="4" t="s">
        <v>25</v>
      </c>
      <c r="I763" s="5">
        <v>44562</v>
      </c>
      <c r="J763" s="6">
        <v>0</v>
      </c>
      <c r="K763" s="6">
        <v>0</v>
      </c>
      <c r="L763" s="6">
        <v>-55.451000000000001</v>
      </c>
      <c r="M763" s="6">
        <v>-55.451000000000001</v>
      </c>
      <c r="N763" s="6">
        <v>-55.451000000000001</v>
      </c>
      <c r="O763" s="6">
        <v>-55.451000000000001</v>
      </c>
      <c r="P763" s="6">
        <v>-99</v>
      </c>
      <c r="Q763" s="4" t="s">
        <v>26</v>
      </c>
      <c r="R763" s="4">
        <v>0</v>
      </c>
      <c r="S763" s="4" t="s">
        <v>314</v>
      </c>
      <c r="T763" s="4" t="s">
        <v>560</v>
      </c>
      <c r="U763" s="4">
        <v>0</v>
      </c>
      <c r="V763" s="4">
        <v>33</v>
      </c>
      <c r="W763" s="4">
        <v>84</v>
      </c>
    </row>
    <row r="764" spans="1:23" ht="11.25" customHeight="1" x14ac:dyDescent="0.25">
      <c r="A764" s="4" t="s">
        <v>21</v>
      </c>
      <c r="B764" s="4" t="s">
        <v>22</v>
      </c>
      <c r="C764" s="4" t="s">
        <v>23</v>
      </c>
      <c r="D764" s="4" t="s">
        <v>24</v>
      </c>
      <c r="E764" s="4" t="s">
        <v>32</v>
      </c>
      <c r="F764" s="4" t="s">
        <v>25</v>
      </c>
      <c r="G764" s="4" t="s">
        <v>25</v>
      </c>
      <c r="H764" s="4" t="s">
        <v>25</v>
      </c>
      <c r="I764" s="5">
        <v>44593</v>
      </c>
      <c r="J764" s="6">
        <v>0</v>
      </c>
      <c r="K764" s="6">
        <v>0</v>
      </c>
      <c r="L764" s="6">
        <v>1427.7460000000001</v>
      </c>
      <c r="M764" s="6">
        <v>1427.7460000000001</v>
      </c>
      <c r="N764" s="6">
        <v>1427.7460000000001</v>
      </c>
      <c r="O764" s="6">
        <v>1427.7460000000001</v>
      </c>
      <c r="P764" s="6">
        <v>8158</v>
      </c>
      <c r="Q764" s="4" t="s">
        <v>26</v>
      </c>
      <c r="R764" s="4">
        <v>0</v>
      </c>
      <c r="S764" s="4" t="s">
        <v>315</v>
      </c>
      <c r="T764" s="4" t="s">
        <v>561</v>
      </c>
      <c r="U764" s="4">
        <v>0</v>
      </c>
      <c r="V764" s="4">
        <v>33</v>
      </c>
      <c r="W764" s="4">
        <v>84</v>
      </c>
    </row>
    <row r="765" spans="1:23" ht="11.25" customHeight="1" x14ac:dyDescent="0.25">
      <c r="A765" s="4" t="s">
        <v>27</v>
      </c>
      <c r="B765" s="4" t="s">
        <v>22</v>
      </c>
      <c r="C765" s="4" t="s">
        <v>23</v>
      </c>
      <c r="D765" s="4" t="s">
        <v>24</v>
      </c>
      <c r="E765" s="4" t="s">
        <v>32</v>
      </c>
      <c r="F765" s="4" t="s">
        <v>25</v>
      </c>
      <c r="G765" s="4" t="s">
        <v>25</v>
      </c>
      <c r="H765" s="4" t="s">
        <v>25</v>
      </c>
      <c r="I765" s="5">
        <v>44593</v>
      </c>
      <c r="J765" s="6">
        <v>0</v>
      </c>
      <c r="K765" s="6">
        <v>0</v>
      </c>
      <c r="L765" s="6">
        <v>-59.71</v>
      </c>
      <c r="M765" s="6">
        <v>-59.71</v>
      </c>
      <c r="N765" s="6">
        <v>-59.71</v>
      </c>
      <c r="O765" s="6">
        <v>-59.71</v>
      </c>
      <c r="P765" s="6">
        <v>-81</v>
      </c>
      <c r="Q765" s="4" t="s">
        <v>26</v>
      </c>
      <c r="R765" s="4">
        <v>0</v>
      </c>
      <c r="S765" s="4" t="s">
        <v>315</v>
      </c>
      <c r="T765" s="4" t="s">
        <v>561</v>
      </c>
      <c r="U765" s="4">
        <v>0</v>
      </c>
      <c r="V765" s="4">
        <v>33</v>
      </c>
      <c r="W765" s="4">
        <v>84</v>
      </c>
    </row>
    <row r="766" spans="1:23" ht="11.25" customHeight="1" x14ac:dyDescent="0.25">
      <c r="A766" s="4" t="s">
        <v>21</v>
      </c>
      <c r="B766" s="4" t="s">
        <v>22</v>
      </c>
      <c r="C766" s="4" t="s">
        <v>23</v>
      </c>
      <c r="D766" s="4" t="s">
        <v>24</v>
      </c>
      <c r="E766" s="4" t="s">
        <v>32</v>
      </c>
      <c r="F766" s="4" t="s">
        <v>25</v>
      </c>
      <c r="G766" s="4" t="s">
        <v>25</v>
      </c>
      <c r="H766" s="4" t="s">
        <v>25</v>
      </c>
      <c r="I766" s="5">
        <v>44621</v>
      </c>
      <c r="J766" s="6">
        <v>0</v>
      </c>
      <c r="K766" s="6">
        <v>0</v>
      </c>
      <c r="L766" s="6">
        <v>1669.0609999999999</v>
      </c>
      <c r="M766" s="6">
        <v>1669.0609999999999</v>
      </c>
      <c r="N766" s="6">
        <v>1669.0609999999999</v>
      </c>
      <c r="O766" s="6">
        <v>1669.0609999999999</v>
      </c>
      <c r="P766" s="6">
        <v>8976</v>
      </c>
      <c r="Q766" s="4" t="s">
        <v>26</v>
      </c>
      <c r="R766" s="4">
        <v>0</v>
      </c>
      <c r="S766" s="4" t="s">
        <v>316</v>
      </c>
      <c r="T766" s="4" t="s">
        <v>562</v>
      </c>
      <c r="U766" s="4">
        <v>0</v>
      </c>
      <c r="V766" s="4">
        <v>33</v>
      </c>
      <c r="W766" s="4">
        <v>84</v>
      </c>
    </row>
    <row r="767" spans="1:23" ht="11.25" customHeight="1" x14ac:dyDescent="0.25">
      <c r="A767" s="4" t="s">
        <v>27</v>
      </c>
      <c r="B767" s="4" t="s">
        <v>22</v>
      </c>
      <c r="C767" s="4" t="s">
        <v>23</v>
      </c>
      <c r="D767" s="4" t="s">
        <v>24</v>
      </c>
      <c r="E767" s="4" t="s">
        <v>32</v>
      </c>
      <c r="F767" s="4" t="s">
        <v>25</v>
      </c>
      <c r="G767" s="4" t="s">
        <v>25</v>
      </c>
      <c r="H767" s="4" t="s">
        <v>25</v>
      </c>
      <c r="I767" s="5">
        <v>44621</v>
      </c>
      <c r="J767" s="6">
        <v>0</v>
      </c>
      <c r="K767" s="6">
        <v>0</v>
      </c>
      <c r="L767" s="6">
        <v>-164.14400000000001</v>
      </c>
      <c r="M767" s="6">
        <v>-164.14400000000001</v>
      </c>
      <c r="N767" s="6">
        <v>-164.14400000000001</v>
      </c>
      <c r="O767" s="6">
        <v>-164.14400000000001</v>
      </c>
      <c r="P767" s="6">
        <v>-127</v>
      </c>
      <c r="Q767" s="4" t="s">
        <v>26</v>
      </c>
      <c r="R767" s="4">
        <v>0</v>
      </c>
      <c r="S767" s="4" t="s">
        <v>316</v>
      </c>
      <c r="T767" s="4" t="s">
        <v>562</v>
      </c>
      <c r="U767" s="4">
        <v>0</v>
      </c>
      <c r="V767" s="4">
        <v>33</v>
      </c>
      <c r="W767" s="4">
        <v>84</v>
      </c>
    </row>
    <row r="768" spans="1:2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32</v>
      </c>
      <c r="F768" s="4" t="s">
        <v>25</v>
      </c>
      <c r="G768" s="4" t="s">
        <v>25</v>
      </c>
      <c r="H768" s="4" t="s">
        <v>25</v>
      </c>
      <c r="I768" s="5">
        <v>44652</v>
      </c>
      <c r="J768" s="6">
        <v>0</v>
      </c>
      <c r="K768" s="6">
        <v>0</v>
      </c>
      <c r="L768" s="6">
        <v>1654.9190000000001</v>
      </c>
      <c r="M768" s="6">
        <v>1654.9190000000001</v>
      </c>
      <c r="N768" s="6">
        <v>1654.9190000000001</v>
      </c>
      <c r="O768" s="6">
        <v>1654.9190000000001</v>
      </c>
      <c r="P768" s="6">
        <v>9165</v>
      </c>
      <c r="Q768" s="4" t="s">
        <v>26</v>
      </c>
      <c r="R768" s="4">
        <v>0</v>
      </c>
      <c r="S768" s="4" t="s">
        <v>317</v>
      </c>
      <c r="T768" s="4" t="s">
        <v>563</v>
      </c>
      <c r="U768" s="4">
        <v>0</v>
      </c>
      <c r="V768" s="4">
        <v>33</v>
      </c>
      <c r="W768" s="4">
        <v>84</v>
      </c>
    </row>
    <row r="769" spans="1:23" ht="11.25" customHeight="1" x14ac:dyDescent="0.25">
      <c r="A769" s="4" t="s">
        <v>27</v>
      </c>
      <c r="B769" s="4" t="s">
        <v>22</v>
      </c>
      <c r="C769" s="4" t="s">
        <v>23</v>
      </c>
      <c r="D769" s="4" t="s">
        <v>24</v>
      </c>
      <c r="E769" s="4" t="s">
        <v>32</v>
      </c>
      <c r="F769" s="4" t="s">
        <v>25</v>
      </c>
      <c r="G769" s="4" t="s">
        <v>25</v>
      </c>
      <c r="H769" s="4" t="s">
        <v>25</v>
      </c>
      <c r="I769" s="5">
        <v>44652</v>
      </c>
      <c r="J769" s="6">
        <v>0</v>
      </c>
      <c r="K769" s="6">
        <v>0</v>
      </c>
      <c r="L769" s="6">
        <v>-69.838999999999999</v>
      </c>
      <c r="M769" s="6">
        <v>-69.838999999999999</v>
      </c>
      <c r="N769" s="6">
        <v>-69.838999999999999</v>
      </c>
      <c r="O769" s="6">
        <v>-69.838999999999999</v>
      </c>
      <c r="P769" s="6">
        <v>-174</v>
      </c>
      <c r="Q769" s="4" t="s">
        <v>26</v>
      </c>
      <c r="R769" s="4">
        <v>0</v>
      </c>
      <c r="S769" s="4" t="s">
        <v>317</v>
      </c>
      <c r="T769" s="4" t="s">
        <v>563</v>
      </c>
      <c r="U769" s="4">
        <v>0</v>
      </c>
      <c r="V769" s="4">
        <v>33</v>
      </c>
      <c r="W769" s="4">
        <v>84</v>
      </c>
    </row>
    <row r="770" spans="1:2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32</v>
      </c>
      <c r="F770" s="4" t="s">
        <v>25</v>
      </c>
      <c r="G770" s="4" t="s">
        <v>25</v>
      </c>
      <c r="H770" s="4" t="s">
        <v>25</v>
      </c>
      <c r="I770" s="5">
        <v>44682</v>
      </c>
      <c r="J770" s="6">
        <v>0</v>
      </c>
      <c r="K770" s="6">
        <v>0</v>
      </c>
      <c r="L770" s="6">
        <v>2099.8310000000001</v>
      </c>
      <c r="M770" s="6">
        <v>2099.8310000000001</v>
      </c>
      <c r="N770" s="6">
        <v>2099.8310000000001</v>
      </c>
      <c r="O770" s="6">
        <v>2099.8310000000001</v>
      </c>
      <c r="P770" s="6">
        <v>10220</v>
      </c>
      <c r="Q770" s="4" t="s">
        <v>26</v>
      </c>
      <c r="R770" s="4">
        <v>0</v>
      </c>
      <c r="S770" s="4" t="s">
        <v>318</v>
      </c>
      <c r="T770" s="4" t="s">
        <v>564</v>
      </c>
      <c r="U770" s="4">
        <v>0</v>
      </c>
      <c r="V770" s="4">
        <v>33</v>
      </c>
      <c r="W770" s="4">
        <v>84</v>
      </c>
    </row>
    <row r="771" spans="1:23" ht="11.25" customHeight="1" x14ac:dyDescent="0.25">
      <c r="A771" s="4" t="s">
        <v>27</v>
      </c>
      <c r="B771" s="4" t="s">
        <v>22</v>
      </c>
      <c r="C771" s="4" t="s">
        <v>23</v>
      </c>
      <c r="D771" s="4" t="s">
        <v>24</v>
      </c>
      <c r="E771" s="4" t="s">
        <v>32</v>
      </c>
      <c r="F771" s="4" t="s">
        <v>25</v>
      </c>
      <c r="G771" s="4" t="s">
        <v>25</v>
      </c>
      <c r="H771" s="4" t="s">
        <v>25</v>
      </c>
      <c r="I771" s="5">
        <v>44682</v>
      </c>
      <c r="J771" s="6">
        <v>0</v>
      </c>
      <c r="K771" s="6">
        <v>0</v>
      </c>
      <c r="L771" s="6">
        <v>-39.298000000000002</v>
      </c>
      <c r="M771" s="6">
        <v>-39.298000000000002</v>
      </c>
      <c r="N771" s="6">
        <v>-39.298000000000002</v>
      </c>
      <c r="O771" s="6">
        <v>-39.298000000000002</v>
      </c>
      <c r="P771" s="6">
        <v>-100</v>
      </c>
      <c r="Q771" s="4" t="s">
        <v>26</v>
      </c>
      <c r="R771" s="4">
        <v>0</v>
      </c>
      <c r="S771" s="4" t="s">
        <v>318</v>
      </c>
      <c r="T771" s="4" t="s">
        <v>564</v>
      </c>
      <c r="U771" s="4">
        <v>0</v>
      </c>
      <c r="V771" s="4">
        <v>33</v>
      </c>
      <c r="W771" s="4">
        <v>84</v>
      </c>
    </row>
    <row r="772" spans="1:23" ht="11.25" customHeight="1" x14ac:dyDescent="0.25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32</v>
      </c>
      <c r="F772" s="4" t="s">
        <v>25</v>
      </c>
      <c r="G772" s="4" t="s">
        <v>25</v>
      </c>
      <c r="H772" s="4" t="s">
        <v>25</v>
      </c>
      <c r="I772" s="5">
        <v>44713</v>
      </c>
      <c r="J772" s="6">
        <v>0</v>
      </c>
      <c r="K772" s="6">
        <v>0</v>
      </c>
      <c r="L772" s="6">
        <v>2218.1909999999998</v>
      </c>
      <c r="M772" s="6">
        <v>2218.1909999999998</v>
      </c>
      <c r="N772" s="6">
        <v>2218.1909999999998</v>
      </c>
      <c r="O772" s="6">
        <v>2218.1909999999998</v>
      </c>
      <c r="P772" s="6">
        <v>10963</v>
      </c>
      <c r="Q772" s="4" t="s">
        <v>26</v>
      </c>
      <c r="R772" s="4">
        <v>0</v>
      </c>
      <c r="S772" s="4" t="s">
        <v>319</v>
      </c>
      <c r="T772" s="4" t="s">
        <v>565</v>
      </c>
      <c r="U772" s="4">
        <v>0</v>
      </c>
      <c r="V772" s="4">
        <v>33</v>
      </c>
      <c r="W772" s="4">
        <v>84</v>
      </c>
    </row>
    <row r="773" spans="1:23" ht="11.25" customHeight="1" x14ac:dyDescent="0.25">
      <c r="A773" s="4" t="s">
        <v>27</v>
      </c>
      <c r="B773" s="4" t="s">
        <v>22</v>
      </c>
      <c r="C773" s="4" t="s">
        <v>23</v>
      </c>
      <c r="D773" s="4" t="s">
        <v>24</v>
      </c>
      <c r="E773" s="4" t="s">
        <v>32</v>
      </c>
      <c r="F773" s="4" t="s">
        <v>25</v>
      </c>
      <c r="G773" s="4" t="s">
        <v>25</v>
      </c>
      <c r="H773" s="4" t="s">
        <v>25</v>
      </c>
      <c r="I773" s="5">
        <v>44713</v>
      </c>
      <c r="J773" s="6">
        <v>0</v>
      </c>
      <c r="K773" s="6">
        <v>0</v>
      </c>
      <c r="L773" s="6">
        <v>-16.390999999999998</v>
      </c>
      <c r="M773" s="6">
        <v>-16.390999999999998</v>
      </c>
      <c r="N773" s="6">
        <v>-16.390999999999998</v>
      </c>
      <c r="O773" s="6">
        <v>-16.390999999999998</v>
      </c>
      <c r="P773" s="6">
        <v>-38</v>
      </c>
      <c r="Q773" s="4" t="s">
        <v>26</v>
      </c>
      <c r="R773" s="4">
        <v>0</v>
      </c>
      <c r="S773" s="4" t="s">
        <v>319</v>
      </c>
      <c r="T773" s="4" t="s">
        <v>565</v>
      </c>
      <c r="U773" s="4">
        <v>0</v>
      </c>
      <c r="V773" s="4">
        <v>33</v>
      </c>
      <c r="W773" s="4">
        <v>84</v>
      </c>
    </row>
    <row r="774" spans="1:23" ht="11.25" customHeight="1" x14ac:dyDescent="0.25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32</v>
      </c>
      <c r="F774" s="4" t="s">
        <v>25</v>
      </c>
      <c r="G774" s="4" t="s">
        <v>25</v>
      </c>
      <c r="H774" s="4" t="s">
        <v>25</v>
      </c>
      <c r="I774" s="5">
        <v>44743</v>
      </c>
      <c r="J774" s="6">
        <v>0</v>
      </c>
      <c r="K774" s="6">
        <v>0</v>
      </c>
      <c r="L774" s="6">
        <v>2324.4229999999998</v>
      </c>
      <c r="M774" s="6">
        <v>2324.4229999999998</v>
      </c>
      <c r="N774" s="6">
        <v>2324.4229999999998</v>
      </c>
      <c r="O774" s="6">
        <v>2324.4229999999998</v>
      </c>
      <c r="P774" s="6">
        <v>11246</v>
      </c>
      <c r="Q774" s="4" t="s">
        <v>26</v>
      </c>
      <c r="R774" s="4">
        <v>0</v>
      </c>
      <c r="S774" s="4" t="s">
        <v>320</v>
      </c>
      <c r="T774" s="4" t="s">
        <v>566</v>
      </c>
      <c r="U774" s="4">
        <v>0</v>
      </c>
      <c r="V774" s="4">
        <v>33</v>
      </c>
      <c r="W774" s="4">
        <v>84</v>
      </c>
    </row>
    <row r="775" spans="1:23" ht="11.25" customHeight="1" x14ac:dyDescent="0.25">
      <c r="A775" s="4" t="s">
        <v>27</v>
      </c>
      <c r="B775" s="4" t="s">
        <v>22</v>
      </c>
      <c r="C775" s="4" t="s">
        <v>23</v>
      </c>
      <c r="D775" s="4" t="s">
        <v>24</v>
      </c>
      <c r="E775" s="4" t="s">
        <v>32</v>
      </c>
      <c r="F775" s="4" t="s">
        <v>25</v>
      </c>
      <c r="G775" s="4" t="s">
        <v>25</v>
      </c>
      <c r="H775" s="4" t="s">
        <v>25</v>
      </c>
      <c r="I775" s="5">
        <v>44743</v>
      </c>
      <c r="J775" s="6">
        <v>0</v>
      </c>
      <c r="K775" s="6">
        <v>0</v>
      </c>
      <c r="L775" s="6">
        <v>-36.485999999999997</v>
      </c>
      <c r="M775" s="6">
        <v>-36.485999999999997</v>
      </c>
      <c r="N775" s="6">
        <v>-36.485999999999997</v>
      </c>
      <c r="O775" s="6">
        <v>-36.485999999999997</v>
      </c>
      <c r="P775" s="6">
        <v>-37</v>
      </c>
      <c r="Q775" s="4" t="s">
        <v>26</v>
      </c>
      <c r="R775" s="4">
        <v>0</v>
      </c>
      <c r="S775" s="4" t="s">
        <v>320</v>
      </c>
      <c r="T775" s="4" t="s">
        <v>566</v>
      </c>
      <c r="U775" s="4">
        <v>0</v>
      </c>
      <c r="V775" s="4">
        <v>33</v>
      </c>
      <c r="W775" s="4">
        <v>84</v>
      </c>
    </row>
    <row r="776" spans="1:2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32</v>
      </c>
      <c r="F776" s="4" t="s">
        <v>25</v>
      </c>
      <c r="G776" s="4" t="s">
        <v>25</v>
      </c>
      <c r="H776" s="4" t="s">
        <v>25</v>
      </c>
      <c r="I776" s="5">
        <v>44774</v>
      </c>
      <c r="J776" s="6">
        <v>0</v>
      </c>
      <c r="K776" s="6">
        <v>0</v>
      </c>
      <c r="L776" s="6">
        <v>2751.3339999999998</v>
      </c>
      <c r="M776" s="6">
        <v>2751.3339999999998</v>
      </c>
      <c r="N776" s="6">
        <v>2751.3339999999998</v>
      </c>
      <c r="O776" s="6">
        <v>2751.3339999999998</v>
      </c>
      <c r="P776" s="6">
        <v>12752</v>
      </c>
      <c r="Q776" s="4" t="s">
        <v>26</v>
      </c>
      <c r="R776" s="4">
        <v>0</v>
      </c>
      <c r="S776" s="4" t="s">
        <v>321</v>
      </c>
      <c r="T776" s="4" t="s">
        <v>567</v>
      </c>
      <c r="U776" s="4">
        <v>0</v>
      </c>
      <c r="V776" s="4">
        <v>33</v>
      </c>
      <c r="W776" s="4">
        <v>84</v>
      </c>
    </row>
    <row r="777" spans="1:23" ht="11.25" customHeight="1" x14ac:dyDescent="0.25">
      <c r="A777" s="4" t="s">
        <v>27</v>
      </c>
      <c r="B777" s="4" t="s">
        <v>22</v>
      </c>
      <c r="C777" s="4" t="s">
        <v>23</v>
      </c>
      <c r="D777" s="4" t="s">
        <v>24</v>
      </c>
      <c r="E777" s="4" t="s">
        <v>32</v>
      </c>
      <c r="F777" s="4" t="s">
        <v>25</v>
      </c>
      <c r="G777" s="4" t="s">
        <v>25</v>
      </c>
      <c r="H777" s="4" t="s">
        <v>25</v>
      </c>
      <c r="I777" s="5">
        <v>44774</v>
      </c>
      <c r="J777" s="6">
        <v>0</v>
      </c>
      <c r="K777" s="6">
        <v>0</v>
      </c>
      <c r="L777" s="6">
        <v>-76.405000000000001</v>
      </c>
      <c r="M777" s="6">
        <v>-76.405000000000001</v>
      </c>
      <c r="N777" s="6">
        <v>-76.405000000000001</v>
      </c>
      <c r="O777" s="6">
        <v>-76.405000000000001</v>
      </c>
      <c r="P777" s="6">
        <v>-98</v>
      </c>
      <c r="Q777" s="4" t="s">
        <v>26</v>
      </c>
      <c r="R777" s="4">
        <v>0</v>
      </c>
      <c r="S777" s="4" t="s">
        <v>321</v>
      </c>
      <c r="T777" s="4" t="s">
        <v>567</v>
      </c>
      <c r="U777" s="4">
        <v>0</v>
      </c>
      <c r="V777" s="4">
        <v>33</v>
      </c>
      <c r="W777" s="4">
        <v>84</v>
      </c>
    </row>
    <row r="778" spans="1:23" ht="11.25" customHeight="1" x14ac:dyDescent="0.25">
      <c r="A778" s="4" t="s">
        <v>21</v>
      </c>
      <c r="B778" s="4" t="s">
        <v>22</v>
      </c>
      <c r="C778" s="4" t="s">
        <v>23</v>
      </c>
      <c r="D778" s="4" t="s">
        <v>24</v>
      </c>
      <c r="E778" s="4" t="s">
        <v>32</v>
      </c>
      <c r="F778" s="4" t="s">
        <v>25</v>
      </c>
      <c r="G778" s="4" t="s">
        <v>25</v>
      </c>
      <c r="H778" s="4" t="s">
        <v>25</v>
      </c>
      <c r="I778" s="5">
        <v>44805</v>
      </c>
      <c r="J778" s="6">
        <v>0</v>
      </c>
      <c r="K778" s="6">
        <v>0</v>
      </c>
      <c r="L778" s="6">
        <v>3566.9639999999999</v>
      </c>
      <c r="M778" s="6">
        <v>3566.9639999999999</v>
      </c>
      <c r="N778" s="6">
        <v>3566.9639999999999</v>
      </c>
      <c r="O778" s="6">
        <v>3566.9639999999999</v>
      </c>
      <c r="P778" s="6">
        <v>15120</v>
      </c>
      <c r="Q778" s="4" t="s">
        <v>26</v>
      </c>
      <c r="R778" s="4">
        <v>0</v>
      </c>
      <c r="S778" s="4" t="s">
        <v>322</v>
      </c>
      <c r="T778" s="4" t="s">
        <v>568</v>
      </c>
      <c r="U778" s="4">
        <v>0</v>
      </c>
      <c r="V778" s="4">
        <v>33</v>
      </c>
      <c r="W778" s="4">
        <v>84</v>
      </c>
    </row>
    <row r="779" spans="1:23" ht="11.25" customHeight="1" x14ac:dyDescent="0.25">
      <c r="A779" s="4" t="s">
        <v>27</v>
      </c>
      <c r="B779" s="4" t="s">
        <v>22</v>
      </c>
      <c r="C779" s="4" t="s">
        <v>23</v>
      </c>
      <c r="D779" s="4" t="s">
        <v>24</v>
      </c>
      <c r="E779" s="4" t="s">
        <v>32</v>
      </c>
      <c r="F779" s="4" t="s">
        <v>25</v>
      </c>
      <c r="G779" s="4" t="s">
        <v>25</v>
      </c>
      <c r="H779" s="4" t="s">
        <v>25</v>
      </c>
      <c r="I779" s="5">
        <v>44805</v>
      </c>
      <c r="J779" s="6">
        <v>0</v>
      </c>
      <c r="K779" s="6">
        <v>0</v>
      </c>
      <c r="L779" s="6">
        <v>-29.074000000000002</v>
      </c>
      <c r="M779" s="6">
        <v>-29.074000000000002</v>
      </c>
      <c r="N779" s="6">
        <v>-29.074000000000002</v>
      </c>
      <c r="O779" s="6">
        <v>-29.074000000000002</v>
      </c>
      <c r="P779" s="6">
        <v>-53</v>
      </c>
      <c r="Q779" s="4" t="s">
        <v>26</v>
      </c>
      <c r="R779" s="4">
        <v>0</v>
      </c>
      <c r="S779" s="4" t="s">
        <v>322</v>
      </c>
      <c r="T779" s="4" t="s">
        <v>568</v>
      </c>
      <c r="U779" s="4">
        <v>0</v>
      </c>
      <c r="V779" s="4">
        <v>33</v>
      </c>
      <c r="W779" s="4">
        <v>84</v>
      </c>
    </row>
    <row r="780" spans="1:23" ht="11.25" customHeight="1" x14ac:dyDescent="0.25">
      <c r="A780" s="4" t="s">
        <v>21</v>
      </c>
      <c r="B780" s="4" t="s">
        <v>22</v>
      </c>
      <c r="C780" s="4" t="s">
        <v>23</v>
      </c>
      <c r="D780" s="4" t="s">
        <v>24</v>
      </c>
      <c r="E780" s="4" t="s">
        <v>32</v>
      </c>
      <c r="F780" s="4" t="s">
        <v>25</v>
      </c>
      <c r="G780" s="4" t="s">
        <v>25</v>
      </c>
      <c r="H780" s="4" t="s">
        <v>25</v>
      </c>
      <c r="I780" s="5">
        <v>44835</v>
      </c>
      <c r="J780" s="6">
        <v>0</v>
      </c>
      <c r="K780" s="6">
        <v>0</v>
      </c>
      <c r="L780" s="6">
        <v>4809.5410000000002</v>
      </c>
      <c r="M780" s="6">
        <v>4809.5410000000002</v>
      </c>
      <c r="N780" s="6">
        <v>4809.5410000000002</v>
      </c>
      <c r="O780" s="6">
        <v>4809.5410000000002</v>
      </c>
      <c r="P780" s="6">
        <v>19336</v>
      </c>
      <c r="Q780" s="4" t="s">
        <v>26</v>
      </c>
      <c r="R780" s="4">
        <v>0</v>
      </c>
      <c r="S780" s="4" t="s">
        <v>323</v>
      </c>
      <c r="T780" s="4" t="s">
        <v>569</v>
      </c>
      <c r="U780" s="4">
        <v>0</v>
      </c>
      <c r="V780" s="4">
        <v>33</v>
      </c>
      <c r="W780" s="4">
        <v>84</v>
      </c>
    </row>
    <row r="781" spans="1:23" ht="11.25" customHeight="1" x14ac:dyDescent="0.25">
      <c r="A781" s="4" t="s">
        <v>27</v>
      </c>
      <c r="B781" s="4" t="s">
        <v>22</v>
      </c>
      <c r="C781" s="4" t="s">
        <v>23</v>
      </c>
      <c r="D781" s="4" t="s">
        <v>24</v>
      </c>
      <c r="E781" s="4" t="s">
        <v>32</v>
      </c>
      <c r="F781" s="4" t="s">
        <v>25</v>
      </c>
      <c r="G781" s="4" t="s">
        <v>25</v>
      </c>
      <c r="H781" s="4" t="s">
        <v>25</v>
      </c>
      <c r="I781" s="5">
        <v>44835</v>
      </c>
      <c r="J781" s="6">
        <v>0</v>
      </c>
      <c r="K781" s="6">
        <v>0</v>
      </c>
      <c r="L781" s="6">
        <v>-22.074000000000002</v>
      </c>
      <c r="M781" s="6">
        <v>-22.074000000000002</v>
      </c>
      <c r="N781" s="6">
        <v>-22.074000000000002</v>
      </c>
      <c r="O781" s="6">
        <v>-22.074000000000002</v>
      </c>
      <c r="P781" s="6">
        <v>-53</v>
      </c>
      <c r="Q781" s="4" t="s">
        <v>26</v>
      </c>
      <c r="R781" s="4">
        <v>0</v>
      </c>
      <c r="S781" s="4" t="s">
        <v>323</v>
      </c>
      <c r="T781" s="4" t="s">
        <v>569</v>
      </c>
      <c r="U781" s="4">
        <v>0</v>
      </c>
      <c r="V781" s="4">
        <v>33</v>
      </c>
      <c r="W781" s="4">
        <v>84</v>
      </c>
    </row>
    <row r="782" spans="1:23" ht="11.25" customHeight="1" x14ac:dyDescent="0.25">
      <c r="A782" s="4" t="s">
        <v>54</v>
      </c>
      <c r="B782" s="4" t="s">
        <v>22</v>
      </c>
      <c r="C782" s="4" t="s">
        <v>23</v>
      </c>
      <c r="D782" s="4" t="s">
        <v>24</v>
      </c>
      <c r="E782" s="4" t="s">
        <v>32</v>
      </c>
      <c r="F782" s="4" t="s">
        <v>25</v>
      </c>
      <c r="G782" s="4" t="s">
        <v>25</v>
      </c>
      <c r="H782" s="4" t="s">
        <v>25</v>
      </c>
      <c r="I782" s="5">
        <v>44866</v>
      </c>
      <c r="J782" s="6">
        <v>0</v>
      </c>
      <c r="K782" s="6">
        <v>0</v>
      </c>
      <c r="L782" s="6">
        <v>4809.5410000000002</v>
      </c>
      <c r="M782" s="6">
        <v>4809.5410000000002</v>
      </c>
      <c r="N782" s="6">
        <v>4809.5410000000002</v>
      </c>
      <c r="O782" s="6">
        <v>4809.5410000000002</v>
      </c>
      <c r="P782" s="6">
        <v>19336</v>
      </c>
      <c r="Q782" s="4" t="s">
        <v>26</v>
      </c>
      <c r="R782" s="4">
        <v>0</v>
      </c>
      <c r="S782" s="4" t="s">
        <v>324</v>
      </c>
      <c r="T782" s="4" t="s">
        <v>570</v>
      </c>
      <c r="U782" s="4">
        <v>0</v>
      </c>
      <c r="V782" s="4">
        <v>33</v>
      </c>
      <c r="W782" s="4">
        <v>84</v>
      </c>
    </row>
    <row r="783" spans="1:23" ht="11.25" customHeight="1" x14ac:dyDescent="0.25">
      <c r="A783" s="4" t="s">
        <v>54</v>
      </c>
      <c r="B783" s="4" t="s">
        <v>22</v>
      </c>
      <c r="C783" s="4" t="s">
        <v>23</v>
      </c>
      <c r="D783" s="4" t="s">
        <v>24</v>
      </c>
      <c r="E783" s="4" t="s">
        <v>32</v>
      </c>
      <c r="F783" s="4" t="s">
        <v>25</v>
      </c>
      <c r="G783" s="4" t="s">
        <v>25</v>
      </c>
      <c r="H783" s="4" t="s">
        <v>25</v>
      </c>
      <c r="I783" s="5">
        <v>44866</v>
      </c>
      <c r="J783" s="6">
        <v>0</v>
      </c>
      <c r="K783" s="6">
        <v>0</v>
      </c>
      <c r="L783" s="6">
        <v>-22.074000000000002</v>
      </c>
      <c r="M783" s="6">
        <v>-22.074000000000002</v>
      </c>
      <c r="N783" s="6">
        <v>-22.074000000000002</v>
      </c>
      <c r="O783" s="6">
        <v>-22.074000000000002</v>
      </c>
      <c r="P783" s="6">
        <v>-53</v>
      </c>
      <c r="Q783" s="4" t="s">
        <v>26</v>
      </c>
      <c r="R783" s="4">
        <v>0</v>
      </c>
      <c r="S783" s="4" t="s">
        <v>324</v>
      </c>
      <c r="T783" s="4" t="s">
        <v>570</v>
      </c>
      <c r="U783" s="4">
        <v>0</v>
      </c>
      <c r="V783" s="4">
        <v>33</v>
      </c>
      <c r="W783" s="4">
        <v>84</v>
      </c>
    </row>
    <row r="784" spans="1:23" ht="11.25" customHeight="1" x14ac:dyDescent="0.25">
      <c r="A784" s="4" t="s">
        <v>21</v>
      </c>
      <c r="B784" s="4" t="s">
        <v>45</v>
      </c>
      <c r="C784" s="4" t="s">
        <v>23</v>
      </c>
      <c r="D784" s="4" t="s">
        <v>46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44531</v>
      </c>
      <c r="J784" s="6">
        <v>0</v>
      </c>
      <c r="K784" s="6">
        <v>0</v>
      </c>
      <c r="L784" s="6">
        <v>352.37299999999999</v>
      </c>
      <c r="M784" s="6">
        <v>352.37299999999999</v>
      </c>
      <c r="N784" s="6">
        <v>352.37299999999999</v>
      </c>
      <c r="O784" s="6">
        <v>352.37299999999999</v>
      </c>
      <c r="P784" s="6">
        <v>2547</v>
      </c>
      <c r="Q784" s="4" t="s">
        <v>26</v>
      </c>
      <c r="R784" s="4">
        <v>0</v>
      </c>
      <c r="S784" s="4" t="s">
        <v>325</v>
      </c>
      <c r="T784" s="4" t="s">
        <v>571</v>
      </c>
      <c r="U784" s="4">
        <v>0</v>
      </c>
      <c r="V784" s="4">
        <v>51</v>
      </c>
      <c r="W784" s="4">
        <v>93</v>
      </c>
    </row>
    <row r="785" spans="1:23" ht="11.25" customHeight="1" x14ac:dyDescent="0.25">
      <c r="A785" s="4" t="s">
        <v>27</v>
      </c>
      <c r="B785" s="4" t="s">
        <v>45</v>
      </c>
      <c r="C785" s="4" t="s">
        <v>23</v>
      </c>
      <c r="D785" s="4" t="s">
        <v>46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44531</v>
      </c>
      <c r="J785" s="6">
        <v>0</v>
      </c>
      <c r="K785" s="6">
        <v>0</v>
      </c>
      <c r="L785" s="6">
        <v>-3.8420000000000001</v>
      </c>
      <c r="M785" s="6">
        <v>-3.8420000000000001</v>
      </c>
      <c r="N785" s="6">
        <v>-3.8420000000000001</v>
      </c>
      <c r="O785" s="6">
        <v>-3.8420000000000001</v>
      </c>
      <c r="P785" s="6">
        <v>-3</v>
      </c>
      <c r="Q785" s="4" t="s">
        <v>26</v>
      </c>
      <c r="R785" s="4">
        <v>0</v>
      </c>
      <c r="S785" s="4" t="s">
        <v>325</v>
      </c>
      <c r="T785" s="4" t="s">
        <v>571</v>
      </c>
      <c r="U785" s="4">
        <v>0</v>
      </c>
      <c r="V785" s="4">
        <v>51</v>
      </c>
      <c r="W785" s="4">
        <v>93</v>
      </c>
    </row>
    <row r="786" spans="1:23" ht="11.25" customHeight="1" x14ac:dyDescent="0.25">
      <c r="A786" s="4" t="s">
        <v>28</v>
      </c>
      <c r="B786" s="4" t="s">
        <v>45</v>
      </c>
      <c r="C786" s="4" t="s">
        <v>23</v>
      </c>
      <c r="D786" s="4" t="s">
        <v>46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44531</v>
      </c>
      <c r="J786" s="6">
        <v>0</v>
      </c>
      <c r="K786" s="6">
        <v>0</v>
      </c>
      <c r="L786" s="6">
        <v>2.8730000000000002</v>
      </c>
      <c r="M786" s="6">
        <v>2.8730000000000002</v>
      </c>
      <c r="N786" s="6">
        <v>2.8730000000000002</v>
      </c>
      <c r="O786" s="6">
        <v>2.8730000000000002</v>
      </c>
      <c r="P786" s="6">
        <v>4</v>
      </c>
      <c r="Q786" s="4" t="s">
        <v>26</v>
      </c>
      <c r="R786" s="4">
        <v>0</v>
      </c>
      <c r="S786" s="4" t="s">
        <v>325</v>
      </c>
      <c r="T786" s="4" t="s">
        <v>571</v>
      </c>
      <c r="U786" s="4">
        <v>0</v>
      </c>
      <c r="V786" s="4">
        <v>51</v>
      </c>
      <c r="W786" s="4">
        <v>93</v>
      </c>
    </row>
    <row r="787" spans="1:23" ht="11.25" customHeight="1" x14ac:dyDescent="0.25">
      <c r="A787" s="4" t="s">
        <v>21</v>
      </c>
      <c r="B787" s="4" t="s">
        <v>45</v>
      </c>
      <c r="C787" s="4" t="s">
        <v>23</v>
      </c>
      <c r="D787" s="4" t="s">
        <v>46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44562</v>
      </c>
      <c r="J787" s="6">
        <v>0</v>
      </c>
      <c r="K787" s="6">
        <v>0</v>
      </c>
      <c r="L787" s="6">
        <v>337.36799999999999</v>
      </c>
      <c r="M787" s="6">
        <v>337.36799999999999</v>
      </c>
      <c r="N787" s="6">
        <v>337.36799999999999</v>
      </c>
      <c r="O787" s="6">
        <v>337.36799999999999</v>
      </c>
      <c r="P787" s="6">
        <v>2401</v>
      </c>
      <c r="Q787" s="4" t="s">
        <v>26</v>
      </c>
      <c r="R787" s="4">
        <v>0</v>
      </c>
      <c r="S787" s="4" t="s">
        <v>326</v>
      </c>
      <c r="T787" s="4" t="s">
        <v>572</v>
      </c>
      <c r="U787" s="4">
        <v>0</v>
      </c>
      <c r="V787" s="4">
        <v>51</v>
      </c>
      <c r="W787" s="4">
        <v>93</v>
      </c>
    </row>
    <row r="788" spans="1:23" ht="11.25" customHeight="1" x14ac:dyDescent="0.25">
      <c r="A788" s="4" t="s">
        <v>27</v>
      </c>
      <c r="B788" s="4" t="s">
        <v>45</v>
      </c>
      <c r="C788" s="4" t="s">
        <v>23</v>
      </c>
      <c r="D788" s="4" t="s">
        <v>46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44562</v>
      </c>
      <c r="J788" s="6">
        <v>0</v>
      </c>
      <c r="K788" s="6">
        <v>0</v>
      </c>
      <c r="L788" s="6">
        <v>-2.2610000000000001</v>
      </c>
      <c r="M788" s="6">
        <v>-2.2610000000000001</v>
      </c>
      <c r="N788" s="6">
        <v>-2.2610000000000001</v>
      </c>
      <c r="O788" s="6">
        <v>-2.2610000000000001</v>
      </c>
      <c r="P788" s="6">
        <v>2</v>
      </c>
      <c r="Q788" s="4" t="s">
        <v>26</v>
      </c>
      <c r="R788" s="4">
        <v>0</v>
      </c>
      <c r="S788" s="4" t="s">
        <v>326</v>
      </c>
      <c r="T788" s="4" t="s">
        <v>572</v>
      </c>
      <c r="U788" s="4">
        <v>0</v>
      </c>
      <c r="V788" s="4">
        <v>51</v>
      </c>
      <c r="W788" s="4">
        <v>93</v>
      </c>
    </row>
    <row r="789" spans="1:23" ht="11.25" customHeight="1" x14ac:dyDescent="0.25">
      <c r="A789" s="4" t="s">
        <v>28</v>
      </c>
      <c r="B789" s="4" t="s">
        <v>45</v>
      </c>
      <c r="C789" s="4" t="s">
        <v>23</v>
      </c>
      <c r="D789" s="4" t="s">
        <v>46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3.2839999999999998</v>
      </c>
      <c r="M789" s="6">
        <v>3.2839999999999998</v>
      </c>
      <c r="N789" s="6">
        <v>3.2839999999999998</v>
      </c>
      <c r="O789" s="6">
        <v>3.2839999999999998</v>
      </c>
      <c r="P789" s="6">
        <v>4</v>
      </c>
      <c r="Q789" s="4" t="s">
        <v>26</v>
      </c>
      <c r="R789" s="4">
        <v>0</v>
      </c>
      <c r="S789" s="4" t="s">
        <v>326</v>
      </c>
      <c r="T789" s="4" t="s">
        <v>572</v>
      </c>
      <c r="U789" s="4">
        <v>0</v>
      </c>
      <c r="V789" s="4">
        <v>51</v>
      </c>
      <c r="W789" s="4">
        <v>93</v>
      </c>
    </row>
    <row r="790" spans="1:23" ht="11.25" customHeight="1" x14ac:dyDescent="0.25">
      <c r="A790" s="4" t="s">
        <v>21</v>
      </c>
      <c r="B790" s="4" t="s">
        <v>45</v>
      </c>
      <c r="C790" s="4" t="s">
        <v>23</v>
      </c>
      <c r="D790" s="4" t="s">
        <v>46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44593</v>
      </c>
      <c r="J790" s="6">
        <v>0</v>
      </c>
      <c r="K790" s="6">
        <v>0</v>
      </c>
      <c r="L790" s="6">
        <v>284.05799999999999</v>
      </c>
      <c r="M790" s="6">
        <v>284.05799999999999</v>
      </c>
      <c r="N790" s="6">
        <v>284.05799999999999</v>
      </c>
      <c r="O790" s="6">
        <v>284.05799999999999</v>
      </c>
      <c r="P790" s="6">
        <v>2362</v>
      </c>
      <c r="Q790" s="4" t="s">
        <v>26</v>
      </c>
      <c r="R790" s="4">
        <v>0</v>
      </c>
      <c r="S790" s="4" t="s">
        <v>327</v>
      </c>
      <c r="T790" s="4" t="s">
        <v>573</v>
      </c>
      <c r="U790" s="4">
        <v>0</v>
      </c>
      <c r="V790" s="4">
        <v>51</v>
      </c>
      <c r="W790" s="4">
        <v>93</v>
      </c>
    </row>
    <row r="791" spans="1:23" ht="11.25" customHeight="1" x14ac:dyDescent="0.25">
      <c r="A791" s="4" t="s">
        <v>27</v>
      </c>
      <c r="B791" s="4" t="s">
        <v>45</v>
      </c>
      <c r="C791" s="4" t="s">
        <v>23</v>
      </c>
      <c r="D791" s="4" t="s">
        <v>46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-29.545000000000002</v>
      </c>
      <c r="M791" s="6">
        <v>-29.545000000000002</v>
      </c>
      <c r="N791" s="6">
        <v>-29.545000000000002</v>
      </c>
      <c r="O791" s="6">
        <v>-29.545000000000002</v>
      </c>
      <c r="P791" s="6">
        <v>4</v>
      </c>
      <c r="Q791" s="4" t="s">
        <v>26</v>
      </c>
      <c r="R791" s="4">
        <v>0</v>
      </c>
      <c r="S791" s="4" t="s">
        <v>327</v>
      </c>
      <c r="T791" s="4" t="s">
        <v>573</v>
      </c>
      <c r="U791" s="4">
        <v>0</v>
      </c>
      <c r="V791" s="4">
        <v>51</v>
      </c>
      <c r="W791" s="4">
        <v>93</v>
      </c>
    </row>
    <row r="792" spans="1:23" ht="11.25" customHeight="1" x14ac:dyDescent="0.25">
      <c r="A792" s="4" t="s">
        <v>28</v>
      </c>
      <c r="B792" s="4" t="s">
        <v>45</v>
      </c>
      <c r="C792" s="4" t="s">
        <v>23</v>
      </c>
      <c r="D792" s="4" t="s">
        <v>46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44593</v>
      </c>
      <c r="J792" s="6">
        <v>0</v>
      </c>
      <c r="K792" s="6">
        <v>0</v>
      </c>
      <c r="L792" s="6">
        <v>4.9169999999999998</v>
      </c>
      <c r="M792" s="6">
        <v>4.9169999999999998</v>
      </c>
      <c r="N792" s="6">
        <v>4.9169999999999998</v>
      </c>
      <c r="O792" s="6">
        <v>4.9169999999999998</v>
      </c>
      <c r="P792" s="6">
        <v>4</v>
      </c>
      <c r="Q792" s="4" t="s">
        <v>26</v>
      </c>
      <c r="R792" s="4">
        <v>0</v>
      </c>
      <c r="S792" s="4" t="s">
        <v>327</v>
      </c>
      <c r="T792" s="4" t="s">
        <v>573</v>
      </c>
      <c r="U792" s="4">
        <v>0</v>
      </c>
      <c r="V792" s="4">
        <v>51</v>
      </c>
      <c r="W792" s="4">
        <v>93</v>
      </c>
    </row>
    <row r="793" spans="1:23" ht="11.25" customHeight="1" x14ac:dyDescent="0.25">
      <c r="A793" s="4" t="s">
        <v>21</v>
      </c>
      <c r="B793" s="4" t="s">
        <v>45</v>
      </c>
      <c r="C793" s="4" t="s">
        <v>23</v>
      </c>
      <c r="D793" s="4" t="s">
        <v>46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315.51100000000002</v>
      </c>
      <c r="M793" s="6">
        <v>315.51100000000002</v>
      </c>
      <c r="N793" s="6">
        <v>315.51100000000002</v>
      </c>
      <c r="O793" s="6">
        <v>315.51100000000002</v>
      </c>
      <c r="P793" s="6">
        <v>2441</v>
      </c>
      <c r="Q793" s="4" t="s">
        <v>26</v>
      </c>
      <c r="R793" s="4">
        <v>0</v>
      </c>
      <c r="S793" s="4" t="s">
        <v>328</v>
      </c>
      <c r="T793" s="4" t="s">
        <v>574</v>
      </c>
      <c r="U793" s="4">
        <v>0</v>
      </c>
      <c r="V793" s="4">
        <v>51</v>
      </c>
      <c r="W793" s="4">
        <v>93</v>
      </c>
    </row>
    <row r="794" spans="1:23" ht="11.25" customHeight="1" x14ac:dyDescent="0.25">
      <c r="A794" s="4" t="s">
        <v>27</v>
      </c>
      <c r="B794" s="4" t="s">
        <v>45</v>
      </c>
      <c r="C794" s="4" t="s">
        <v>23</v>
      </c>
      <c r="D794" s="4" t="s">
        <v>46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-10.433999999999999</v>
      </c>
      <c r="M794" s="6">
        <v>-10.433999999999999</v>
      </c>
      <c r="N794" s="6">
        <v>-10.433999999999999</v>
      </c>
      <c r="O794" s="6">
        <v>-10.433999999999999</v>
      </c>
      <c r="P794" s="6">
        <v>0</v>
      </c>
      <c r="Q794" s="4" t="s">
        <v>26</v>
      </c>
      <c r="R794" s="4">
        <v>0</v>
      </c>
      <c r="S794" s="4" t="s">
        <v>328</v>
      </c>
      <c r="T794" s="4" t="s">
        <v>574</v>
      </c>
      <c r="U794" s="4">
        <v>0</v>
      </c>
      <c r="V794" s="4">
        <v>51</v>
      </c>
      <c r="W794" s="4">
        <v>93</v>
      </c>
    </row>
    <row r="795" spans="1:23" ht="11.25" customHeight="1" x14ac:dyDescent="0.25">
      <c r="A795" s="4" t="s">
        <v>28</v>
      </c>
      <c r="B795" s="4" t="s">
        <v>45</v>
      </c>
      <c r="C795" s="4" t="s">
        <v>23</v>
      </c>
      <c r="D795" s="4" t="s">
        <v>46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44621</v>
      </c>
      <c r="J795" s="6">
        <v>0</v>
      </c>
      <c r="K795" s="6">
        <v>0</v>
      </c>
      <c r="L795" s="6">
        <v>2.7290000000000001</v>
      </c>
      <c r="M795" s="6">
        <v>2.7290000000000001</v>
      </c>
      <c r="N795" s="6">
        <v>2.7290000000000001</v>
      </c>
      <c r="O795" s="6">
        <v>2.7290000000000001</v>
      </c>
      <c r="P795" s="6">
        <v>4</v>
      </c>
      <c r="Q795" s="4" t="s">
        <v>26</v>
      </c>
      <c r="R795" s="4">
        <v>0</v>
      </c>
      <c r="S795" s="4" t="s">
        <v>328</v>
      </c>
      <c r="T795" s="4" t="s">
        <v>574</v>
      </c>
      <c r="U795" s="4">
        <v>0</v>
      </c>
      <c r="V795" s="4">
        <v>51</v>
      </c>
      <c r="W795" s="4">
        <v>93</v>
      </c>
    </row>
    <row r="796" spans="1:23" ht="11.25" customHeight="1" x14ac:dyDescent="0.25">
      <c r="A796" s="4" t="s">
        <v>21</v>
      </c>
      <c r="B796" s="4" t="s">
        <v>45</v>
      </c>
      <c r="C796" s="4" t="s">
        <v>23</v>
      </c>
      <c r="D796" s="4" t="s">
        <v>46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305.85700000000003</v>
      </c>
      <c r="M796" s="6">
        <v>305.85700000000003</v>
      </c>
      <c r="N796" s="6">
        <v>305.85700000000003</v>
      </c>
      <c r="O796" s="6">
        <v>305.85700000000003</v>
      </c>
      <c r="P796" s="6">
        <v>2361</v>
      </c>
      <c r="Q796" s="4" t="s">
        <v>26</v>
      </c>
      <c r="R796" s="4">
        <v>0</v>
      </c>
      <c r="S796" s="4" t="s">
        <v>329</v>
      </c>
      <c r="T796" s="4" t="s">
        <v>575</v>
      </c>
      <c r="U796" s="4">
        <v>0</v>
      </c>
      <c r="V796" s="4">
        <v>51</v>
      </c>
      <c r="W796" s="4">
        <v>93</v>
      </c>
    </row>
    <row r="797" spans="1:23" ht="11.25" customHeight="1" x14ac:dyDescent="0.25">
      <c r="A797" s="4" t="s">
        <v>27</v>
      </c>
      <c r="B797" s="4" t="s">
        <v>45</v>
      </c>
      <c r="C797" s="4" t="s">
        <v>23</v>
      </c>
      <c r="D797" s="4" t="s">
        <v>46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44652</v>
      </c>
      <c r="J797" s="6">
        <v>0</v>
      </c>
      <c r="K797" s="6">
        <v>0</v>
      </c>
      <c r="L797" s="6">
        <v>-20.111999999999998</v>
      </c>
      <c r="M797" s="6">
        <v>-20.111999999999998</v>
      </c>
      <c r="N797" s="6">
        <v>-20.111999999999998</v>
      </c>
      <c r="O797" s="6">
        <v>-20.111999999999998</v>
      </c>
      <c r="P797" s="6">
        <v>-1</v>
      </c>
      <c r="Q797" s="4" t="s">
        <v>26</v>
      </c>
      <c r="R797" s="4">
        <v>0</v>
      </c>
      <c r="S797" s="4" t="s">
        <v>329</v>
      </c>
      <c r="T797" s="4" t="s">
        <v>575</v>
      </c>
      <c r="U797" s="4">
        <v>0</v>
      </c>
      <c r="V797" s="4">
        <v>51</v>
      </c>
      <c r="W797" s="4">
        <v>93</v>
      </c>
    </row>
    <row r="798" spans="1:23" ht="11.25" customHeight="1" x14ac:dyDescent="0.25">
      <c r="A798" s="4" t="s">
        <v>28</v>
      </c>
      <c r="B798" s="4" t="s">
        <v>45</v>
      </c>
      <c r="C798" s="4" t="s">
        <v>23</v>
      </c>
      <c r="D798" s="4" t="s">
        <v>46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44652</v>
      </c>
      <c r="J798" s="6">
        <v>0</v>
      </c>
      <c r="K798" s="6">
        <v>0</v>
      </c>
      <c r="L798" s="6">
        <v>2.37</v>
      </c>
      <c r="M798" s="6">
        <v>2.37</v>
      </c>
      <c r="N798" s="6">
        <v>2.37</v>
      </c>
      <c r="O798" s="6">
        <v>2.37</v>
      </c>
      <c r="P798" s="6">
        <v>4</v>
      </c>
      <c r="Q798" s="4" t="s">
        <v>26</v>
      </c>
      <c r="R798" s="4">
        <v>0</v>
      </c>
      <c r="S798" s="4" t="s">
        <v>329</v>
      </c>
      <c r="T798" s="4" t="s">
        <v>575</v>
      </c>
      <c r="U798" s="4">
        <v>0</v>
      </c>
      <c r="V798" s="4">
        <v>51</v>
      </c>
      <c r="W798" s="4">
        <v>93</v>
      </c>
    </row>
    <row r="799" spans="1:23" ht="11.25" customHeight="1" x14ac:dyDescent="0.25">
      <c r="A799" s="4" t="s">
        <v>21</v>
      </c>
      <c r="B799" s="4" t="s">
        <v>45</v>
      </c>
      <c r="C799" s="4" t="s">
        <v>23</v>
      </c>
      <c r="D799" s="4" t="s">
        <v>46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44682</v>
      </c>
      <c r="J799" s="6">
        <v>0</v>
      </c>
      <c r="K799" s="6">
        <v>0</v>
      </c>
      <c r="L799" s="6">
        <v>329.78399999999999</v>
      </c>
      <c r="M799" s="6">
        <v>329.78399999999999</v>
      </c>
      <c r="N799" s="6">
        <v>329.78399999999999</v>
      </c>
      <c r="O799" s="6">
        <v>329.78399999999999</v>
      </c>
      <c r="P799" s="6">
        <v>2390</v>
      </c>
      <c r="Q799" s="4" t="s">
        <v>26</v>
      </c>
      <c r="R799" s="4">
        <v>0</v>
      </c>
      <c r="S799" s="4" t="s">
        <v>330</v>
      </c>
      <c r="T799" s="4" t="s">
        <v>576</v>
      </c>
      <c r="U799" s="4">
        <v>0</v>
      </c>
      <c r="V799" s="4">
        <v>51</v>
      </c>
      <c r="W799" s="4">
        <v>93</v>
      </c>
    </row>
    <row r="800" spans="1:23" ht="11.25" customHeight="1" x14ac:dyDescent="0.25">
      <c r="A800" s="4" t="s">
        <v>27</v>
      </c>
      <c r="B800" s="4" t="s">
        <v>45</v>
      </c>
      <c r="C800" s="4" t="s">
        <v>23</v>
      </c>
      <c r="D800" s="4" t="s">
        <v>46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44682</v>
      </c>
      <c r="J800" s="6">
        <v>0</v>
      </c>
      <c r="K800" s="6">
        <v>0</v>
      </c>
      <c r="L800" s="6">
        <v>-3.359</v>
      </c>
      <c r="M800" s="6">
        <v>-3.359</v>
      </c>
      <c r="N800" s="6">
        <v>-3.359</v>
      </c>
      <c r="O800" s="6">
        <v>-3.359</v>
      </c>
      <c r="P800" s="6">
        <v>-1</v>
      </c>
      <c r="Q800" s="4" t="s">
        <v>26</v>
      </c>
      <c r="R800" s="4">
        <v>0</v>
      </c>
      <c r="S800" s="4" t="s">
        <v>330</v>
      </c>
      <c r="T800" s="4" t="s">
        <v>576</v>
      </c>
      <c r="U800" s="4">
        <v>0</v>
      </c>
      <c r="V800" s="4">
        <v>51</v>
      </c>
      <c r="W800" s="4">
        <v>93</v>
      </c>
    </row>
    <row r="801" spans="1:23" ht="11.25" customHeight="1" x14ac:dyDescent="0.25">
      <c r="A801" s="4" t="s">
        <v>28</v>
      </c>
      <c r="B801" s="4" t="s">
        <v>45</v>
      </c>
      <c r="C801" s="4" t="s">
        <v>23</v>
      </c>
      <c r="D801" s="4" t="s">
        <v>46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44682</v>
      </c>
      <c r="J801" s="6">
        <v>0</v>
      </c>
      <c r="K801" s="6">
        <v>0</v>
      </c>
      <c r="L801" s="6">
        <v>1.5449999999999999</v>
      </c>
      <c r="M801" s="6">
        <v>1.5449999999999999</v>
      </c>
      <c r="N801" s="6">
        <v>1.5449999999999999</v>
      </c>
      <c r="O801" s="6">
        <v>1.5449999999999999</v>
      </c>
      <c r="P801" s="6">
        <v>5</v>
      </c>
      <c r="Q801" s="4" t="s">
        <v>26</v>
      </c>
      <c r="R801" s="4">
        <v>0</v>
      </c>
      <c r="S801" s="4" t="s">
        <v>330</v>
      </c>
      <c r="T801" s="4" t="s">
        <v>576</v>
      </c>
      <c r="U801" s="4">
        <v>0</v>
      </c>
      <c r="V801" s="4">
        <v>51</v>
      </c>
      <c r="W801" s="4">
        <v>93</v>
      </c>
    </row>
    <row r="802" spans="1:23" ht="11.25" customHeight="1" x14ac:dyDescent="0.25">
      <c r="A802" s="4" t="s">
        <v>21</v>
      </c>
      <c r="B802" s="4" t="s">
        <v>45</v>
      </c>
      <c r="C802" s="4" t="s">
        <v>23</v>
      </c>
      <c r="D802" s="4" t="s">
        <v>46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44713</v>
      </c>
      <c r="J802" s="6">
        <v>0</v>
      </c>
      <c r="K802" s="6">
        <v>0</v>
      </c>
      <c r="L802" s="6">
        <v>378.04899999999998</v>
      </c>
      <c r="M802" s="6">
        <v>378.04899999999998</v>
      </c>
      <c r="N802" s="6">
        <v>378.04899999999998</v>
      </c>
      <c r="O802" s="6">
        <v>378.04899999999998</v>
      </c>
      <c r="P802" s="6">
        <v>2428</v>
      </c>
      <c r="Q802" s="4" t="s">
        <v>26</v>
      </c>
      <c r="R802" s="4">
        <v>0</v>
      </c>
      <c r="S802" s="4" t="s">
        <v>331</v>
      </c>
      <c r="T802" s="4" t="s">
        <v>577</v>
      </c>
      <c r="U802" s="4">
        <v>0</v>
      </c>
      <c r="V802" s="4">
        <v>51</v>
      </c>
      <c r="W802" s="4">
        <v>93</v>
      </c>
    </row>
    <row r="803" spans="1:23" ht="11.25" customHeight="1" x14ac:dyDescent="0.25">
      <c r="A803" s="4" t="s">
        <v>27</v>
      </c>
      <c r="B803" s="4" t="s">
        <v>45</v>
      </c>
      <c r="C803" s="4" t="s">
        <v>23</v>
      </c>
      <c r="D803" s="4" t="s">
        <v>46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44713</v>
      </c>
      <c r="J803" s="6">
        <v>0</v>
      </c>
      <c r="K803" s="6">
        <v>0</v>
      </c>
      <c r="L803" s="6">
        <v>-1.4390000000000001</v>
      </c>
      <c r="M803" s="6">
        <v>-1.4390000000000001</v>
      </c>
      <c r="N803" s="6">
        <v>-1.4390000000000001</v>
      </c>
      <c r="O803" s="6">
        <v>-1.4390000000000001</v>
      </c>
      <c r="P803" s="6">
        <v>-70</v>
      </c>
      <c r="Q803" s="4" t="s">
        <v>26</v>
      </c>
      <c r="R803" s="4">
        <v>0</v>
      </c>
      <c r="S803" s="4" t="s">
        <v>331</v>
      </c>
      <c r="T803" s="4" t="s">
        <v>577</v>
      </c>
      <c r="U803" s="4">
        <v>0</v>
      </c>
      <c r="V803" s="4">
        <v>51</v>
      </c>
      <c r="W803" s="4">
        <v>93</v>
      </c>
    </row>
    <row r="804" spans="1:23" ht="11.25" customHeight="1" x14ac:dyDescent="0.25">
      <c r="A804" s="4" t="s">
        <v>28</v>
      </c>
      <c r="B804" s="4" t="s">
        <v>45</v>
      </c>
      <c r="C804" s="4" t="s">
        <v>23</v>
      </c>
      <c r="D804" s="4" t="s">
        <v>46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44713</v>
      </c>
      <c r="J804" s="6">
        <v>0</v>
      </c>
      <c r="K804" s="6">
        <v>0</v>
      </c>
      <c r="L804" s="6">
        <v>1.83</v>
      </c>
      <c r="M804" s="6">
        <v>1.83</v>
      </c>
      <c r="N804" s="6">
        <v>1.83</v>
      </c>
      <c r="O804" s="6">
        <v>1.83</v>
      </c>
      <c r="P804" s="6">
        <v>5</v>
      </c>
      <c r="Q804" s="4" t="s">
        <v>26</v>
      </c>
      <c r="R804" s="4">
        <v>0</v>
      </c>
      <c r="S804" s="4" t="s">
        <v>331</v>
      </c>
      <c r="T804" s="4" t="s">
        <v>577</v>
      </c>
      <c r="U804" s="4">
        <v>0</v>
      </c>
      <c r="V804" s="4">
        <v>51</v>
      </c>
      <c r="W804" s="4">
        <v>93</v>
      </c>
    </row>
    <row r="805" spans="1:23" ht="11.25" customHeight="1" x14ac:dyDescent="0.25">
      <c r="A805" s="4" t="s">
        <v>21</v>
      </c>
      <c r="B805" s="4" t="s">
        <v>45</v>
      </c>
      <c r="C805" s="4" t="s">
        <v>23</v>
      </c>
      <c r="D805" s="4" t="s">
        <v>46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44743</v>
      </c>
      <c r="J805" s="6">
        <v>0</v>
      </c>
      <c r="K805" s="6">
        <v>0</v>
      </c>
      <c r="L805" s="6">
        <v>368.03899999999999</v>
      </c>
      <c r="M805" s="6">
        <v>368.03899999999999</v>
      </c>
      <c r="N805" s="6">
        <v>368.03899999999999</v>
      </c>
      <c r="O805" s="6">
        <v>368.03899999999999</v>
      </c>
      <c r="P805" s="6">
        <v>2429</v>
      </c>
      <c r="Q805" s="4" t="s">
        <v>26</v>
      </c>
      <c r="R805" s="4">
        <v>0</v>
      </c>
      <c r="S805" s="4" t="s">
        <v>332</v>
      </c>
      <c r="T805" s="4" t="s">
        <v>578</v>
      </c>
      <c r="U805" s="4">
        <v>0</v>
      </c>
      <c r="V805" s="4">
        <v>51</v>
      </c>
      <c r="W805" s="4">
        <v>93</v>
      </c>
    </row>
    <row r="806" spans="1:23" ht="11.25" customHeight="1" x14ac:dyDescent="0.25">
      <c r="A806" s="4" t="s">
        <v>27</v>
      </c>
      <c r="B806" s="4" t="s">
        <v>45</v>
      </c>
      <c r="C806" s="4" t="s">
        <v>23</v>
      </c>
      <c r="D806" s="4" t="s">
        <v>46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44743</v>
      </c>
      <c r="J806" s="6">
        <v>0</v>
      </c>
      <c r="K806" s="6">
        <v>0</v>
      </c>
      <c r="L806" s="6">
        <v>-2.6469999999999998</v>
      </c>
      <c r="M806" s="6">
        <v>-2.6469999999999998</v>
      </c>
      <c r="N806" s="6">
        <v>-2.6469999999999998</v>
      </c>
      <c r="O806" s="6">
        <v>-2.6469999999999998</v>
      </c>
      <c r="P806" s="6">
        <v>3</v>
      </c>
      <c r="Q806" s="4" t="s">
        <v>26</v>
      </c>
      <c r="R806" s="4">
        <v>0</v>
      </c>
      <c r="S806" s="4" t="s">
        <v>332</v>
      </c>
      <c r="T806" s="4" t="s">
        <v>578</v>
      </c>
      <c r="U806" s="4">
        <v>0</v>
      </c>
      <c r="V806" s="4">
        <v>51</v>
      </c>
      <c r="W806" s="4">
        <v>93</v>
      </c>
    </row>
    <row r="807" spans="1:23" ht="11.25" customHeight="1" x14ac:dyDescent="0.25">
      <c r="A807" s="4" t="s">
        <v>28</v>
      </c>
      <c r="B807" s="4" t="s">
        <v>45</v>
      </c>
      <c r="C807" s="4" t="s">
        <v>23</v>
      </c>
      <c r="D807" s="4" t="s">
        <v>46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44743</v>
      </c>
      <c r="J807" s="6">
        <v>0</v>
      </c>
      <c r="K807" s="6">
        <v>0</v>
      </c>
      <c r="L807" s="6">
        <v>1.6519999999999999</v>
      </c>
      <c r="M807" s="6">
        <v>1.6519999999999999</v>
      </c>
      <c r="N807" s="6">
        <v>1.6519999999999999</v>
      </c>
      <c r="O807" s="6">
        <v>1.6519999999999999</v>
      </c>
      <c r="P807" s="6">
        <v>5</v>
      </c>
      <c r="Q807" s="4" t="s">
        <v>26</v>
      </c>
      <c r="R807" s="4">
        <v>0</v>
      </c>
      <c r="S807" s="4" t="s">
        <v>332</v>
      </c>
      <c r="T807" s="4" t="s">
        <v>578</v>
      </c>
      <c r="U807" s="4">
        <v>0</v>
      </c>
      <c r="V807" s="4">
        <v>51</v>
      </c>
      <c r="W807" s="4">
        <v>93</v>
      </c>
    </row>
    <row r="808" spans="1:23" ht="11.25" customHeight="1" x14ac:dyDescent="0.25">
      <c r="A808" s="4" t="s">
        <v>21</v>
      </c>
      <c r="B808" s="4" t="s">
        <v>45</v>
      </c>
      <c r="C808" s="4" t="s">
        <v>23</v>
      </c>
      <c r="D808" s="4" t="s">
        <v>46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44774</v>
      </c>
      <c r="J808" s="6">
        <v>0</v>
      </c>
      <c r="K808" s="6">
        <v>0</v>
      </c>
      <c r="L808" s="6">
        <v>357.86599999999999</v>
      </c>
      <c r="M808" s="6">
        <v>357.86599999999999</v>
      </c>
      <c r="N808" s="6">
        <v>357.86599999999999</v>
      </c>
      <c r="O808" s="6">
        <v>357.86599999999999</v>
      </c>
      <c r="P808" s="6">
        <v>2432</v>
      </c>
      <c r="Q808" s="4" t="s">
        <v>26</v>
      </c>
      <c r="R808" s="4">
        <v>0</v>
      </c>
      <c r="S808" s="4" t="s">
        <v>333</v>
      </c>
      <c r="T808" s="4" t="s">
        <v>579</v>
      </c>
      <c r="U808" s="4">
        <v>0</v>
      </c>
      <c r="V808" s="4">
        <v>51</v>
      </c>
      <c r="W808" s="4">
        <v>93</v>
      </c>
    </row>
    <row r="809" spans="1:23" ht="11.25" customHeight="1" x14ac:dyDescent="0.25">
      <c r="A809" s="4" t="s">
        <v>27</v>
      </c>
      <c r="B809" s="4" t="s">
        <v>45</v>
      </c>
      <c r="C809" s="4" t="s">
        <v>23</v>
      </c>
      <c r="D809" s="4" t="s">
        <v>46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44774</v>
      </c>
      <c r="J809" s="6">
        <v>0</v>
      </c>
      <c r="K809" s="6">
        <v>0</v>
      </c>
      <c r="L809" s="6">
        <v>0.192</v>
      </c>
      <c r="M809" s="6">
        <v>0.192</v>
      </c>
      <c r="N809" s="6">
        <v>0.192</v>
      </c>
      <c r="O809" s="6">
        <v>0.192</v>
      </c>
      <c r="P809" s="6">
        <v>1</v>
      </c>
      <c r="Q809" s="4" t="s">
        <v>26</v>
      </c>
      <c r="R809" s="4">
        <v>0</v>
      </c>
      <c r="S809" s="4" t="s">
        <v>333</v>
      </c>
      <c r="T809" s="4" t="s">
        <v>579</v>
      </c>
      <c r="U809" s="4">
        <v>0</v>
      </c>
      <c r="V809" s="4">
        <v>51</v>
      </c>
      <c r="W809" s="4">
        <v>93</v>
      </c>
    </row>
    <row r="810" spans="1:23" ht="11.25" customHeight="1" x14ac:dyDescent="0.25">
      <c r="A810" s="4" t="s">
        <v>28</v>
      </c>
      <c r="B810" s="4" t="s">
        <v>45</v>
      </c>
      <c r="C810" s="4" t="s">
        <v>23</v>
      </c>
      <c r="D810" s="4" t="s">
        <v>46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44774</v>
      </c>
      <c r="J810" s="6">
        <v>0</v>
      </c>
      <c r="K810" s="6">
        <v>0</v>
      </c>
      <c r="L810" s="6">
        <v>2.2200000000000002</v>
      </c>
      <c r="M810" s="6">
        <v>2.2200000000000002</v>
      </c>
      <c r="N810" s="6">
        <v>2.2200000000000002</v>
      </c>
      <c r="O810" s="6">
        <v>2.2200000000000002</v>
      </c>
      <c r="P810" s="6">
        <v>6</v>
      </c>
      <c r="Q810" s="4" t="s">
        <v>26</v>
      </c>
      <c r="R810" s="4">
        <v>0</v>
      </c>
      <c r="S810" s="4" t="s">
        <v>333</v>
      </c>
      <c r="T810" s="4" t="s">
        <v>579</v>
      </c>
      <c r="U810" s="4">
        <v>0</v>
      </c>
      <c r="V810" s="4">
        <v>51</v>
      </c>
      <c r="W810" s="4">
        <v>93</v>
      </c>
    </row>
    <row r="811" spans="1:23" ht="11.25" customHeight="1" x14ac:dyDescent="0.25">
      <c r="A811" s="4" t="s">
        <v>21</v>
      </c>
      <c r="B811" s="4" t="s">
        <v>45</v>
      </c>
      <c r="C811" s="4" t="s">
        <v>23</v>
      </c>
      <c r="D811" s="4" t="s">
        <v>46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44805</v>
      </c>
      <c r="J811" s="6">
        <v>0</v>
      </c>
      <c r="K811" s="6">
        <v>0</v>
      </c>
      <c r="L811" s="6">
        <v>383.43799999999999</v>
      </c>
      <c r="M811" s="6">
        <v>383.43799999999999</v>
      </c>
      <c r="N811" s="6">
        <v>383.43799999999999</v>
      </c>
      <c r="O811" s="6">
        <v>383.43799999999999</v>
      </c>
      <c r="P811" s="6">
        <v>2393</v>
      </c>
      <c r="Q811" s="4" t="s">
        <v>26</v>
      </c>
      <c r="R811" s="4">
        <v>0</v>
      </c>
      <c r="S811" s="4" t="s">
        <v>334</v>
      </c>
      <c r="T811" s="4" t="s">
        <v>580</v>
      </c>
      <c r="U811" s="4">
        <v>0</v>
      </c>
      <c r="V811" s="4">
        <v>51</v>
      </c>
      <c r="W811" s="4">
        <v>93</v>
      </c>
    </row>
    <row r="812" spans="1:23" ht="11.25" customHeight="1" x14ac:dyDescent="0.25">
      <c r="A812" s="4" t="s">
        <v>27</v>
      </c>
      <c r="B812" s="4" t="s">
        <v>45</v>
      </c>
      <c r="C812" s="4" t="s">
        <v>23</v>
      </c>
      <c r="D812" s="4" t="s">
        <v>46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44805</v>
      </c>
      <c r="J812" s="6">
        <v>0</v>
      </c>
      <c r="K812" s="6">
        <v>0</v>
      </c>
      <c r="L812" s="6">
        <v>-20.170999999999999</v>
      </c>
      <c r="M812" s="6">
        <v>-20.170999999999999</v>
      </c>
      <c r="N812" s="6">
        <v>-20.170999999999999</v>
      </c>
      <c r="O812" s="6">
        <v>-20.170999999999999</v>
      </c>
      <c r="P812" s="6">
        <v>-76</v>
      </c>
      <c r="Q812" s="4" t="s">
        <v>26</v>
      </c>
      <c r="R812" s="4">
        <v>0</v>
      </c>
      <c r="S812" s="4" t="s">
        <v>334</v>
      </c>
      <c r="T812" s="4" t="s">
        <v>580</v>
      </c>
      <c r="U812" s="4">
        <v>0</v>
      </c>
      <c r="V812" s="4">
        <v>51</v>
      </c>
      <c r="W812" s="4">
        <v>93</v>
      </c>
    </row>
    <row r="813" spans="1:23" ht="11.25" customHeight="1" x14ac:dyDescent="0.25">
      <c r="A813" s="4" t="s">
        <v>28</v>
      </c>
      <c r="B813" s="4" t="s">
        <v>45</v>
      </c>
      <c r="C813" s="4" t="s">
        <v>23</v>
      </c>
      <c r="D813" s="4" t="s">
        <v>46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44805</v>
      </c>
      <c r="J813" s="6">
        <v>0</v>
      </c>
      <c r="K813" s="6">
        <v>0</v>
      </c>
      <c r="L813" s="6">
        <v>1.9279999999999999</v>
      </c>
      <c r="M813" s="6">
        <v>1.9279999999999999</v>
      </c>
      <c r="N813" s="6">
        <v>1.9279999999999999</v>
      </c>
      <c r="O813" s="6">
        <v>1.9279999999999999</v>
      </c>
      <c r="P813" s="6">
        <v>5</v>
      </c>
      <c r="Q813" s="4" t="s">
        <v>26</v>
      </c>
      <c r="R813" s="4">
        <v>0</v>
      </c>
      <c r="S813" s="4" t="s">
        <v>334</v>
      </c>
      <c r="T813" s="4" t="s">
        <v>580</v>
      </c>
      <c r="U813" s="4">
        <v>0</v>
      </c>
      <c r="V813" s="4">
        <v>51</v>
      </c>
      <c r="W813" s="4">
        <v>93</v>
      </c>
    </row>
    <row r="814" spans="1:23" ht="11.25" customHeight="1" x14ac:dyDescent="0.25">
      <c r="A814" s="4" t="s">
        <v>21</v>
      </c>
      <c r="B814" s="4" t="s">
        <v>45</v>
      </c>
      <c r="C814" s="4" t="s">
        <v>23</v>
      </c>
      <c r="D814" s="4" t="s">
        <v>46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44835</v>
      </c>
      <c r="J814" s="6">
        <v>0</v>
      </c>
      <c r="K814" s="6">
        <v>0</v>
      </c>
      <c r="L814" s="6">
        <v>412.11599999999999</v>
      </c>
      <c r="M814" s="6">
        <v>412.11599999999999</v>
      </c>
      <c r="N814" s="6">
        <v>412.11599999999999</v>
      </c>
      <c r="O814" s="6">
        <v>412.11599999999999</v>
      </c>
      <c r="P814" s="6">
        <v>2393</v>
      </c>
      <c r="Q814" s="4" t="s">
        <v>26</v>
      </c>
      <c r="R814" s="4">
        <v>0</v>
      </c>
      <c r="S814" s="4" t="s">
        <v>335</v>
      </c>
      <c r="T814" s="4" t="s">
        <v>581</v>
      </c>
      <c r="U814" s="4">
        <v>0</v>
      </c>
      <c r="V814" s="4">
        <v>51</v>
      </c>
      <c r="W814" s="4">
        <v>93</v>
      </c>
    </row>
    <row r="815" spans="1:23" ht="11.25" customHeight="1" x14ac:dyDescent="0.25">
      <c r="A815" s="4" t="s">
        <v>27</v>
      </c>
      <c r="B815" s="4" t="s">
        <v>45</v>
      </c>
      <c r="C815" s="4" t="s">
        <v>23</v>
      </c>
      <c r="D815" s="4" t="s">
        <v>46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44835</v>
      </c>
      <c r="J815" s="6">
        <v>0</v>
      </c>
      <c r="K815" s="6">
        <v>0</v>
      </c>
      <c r="L815" s="6">
        <v>-13.420999999999999</v>
      </c>
      <c r="M815" s="6">
        <v>-13.420999999999999</v>
      </c>
      <c r="N815" s="6">
        <v>-13.420999999999999</v>
      </c>
      <c r="O815" s="6">
        <v>-13.420999999999999</v>
      </c>
      <c r="P815" s="6">
        <v>-3</v>
      </c>
      <c r="Q815" s="4" t="s">
        <v>26</v>
      </c>
      <c r="R815" s="4">
        <v>0</v>
      </c>
      <c r="S815" s="4" t="s">
        <v>335</v>
      </c>
      <c r="T815" s="4" t="s">
        <v>581</v>
      </c>
      <c r="U815" s="4">
        <v>0</v>
      </c>
      <c r="V815" s="4">
        <v>51</v>
      </c>
      <c r="W815" s="4">
        <v>93</v>
      </c>
    </row>
    <row r="816" spans="1:23" ht="11.25" customHeight="1" x14ac:dyDescent="0.25">
      <c r="A816" s="4" t="s">
        <v>28</v>
      </c>
      <c r="B816" s="4" t="s">
        <v>45</v>
      </c>
      <c r="C816" s="4" t="s">
        <v>23</v>
      </c>
      <c r="D816" s="4" t="s">
        <v>46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44835</v>
      </c>
      <c r="J816" s="6">
        <v>0</v>
      </c>
      <c r="K816" s="6">
        <v>0</v>
      </c>
      <c r="L816" s="6">
        <v>2.3210000000000002</v>
      </c>
      <c r="M816" s="6">
        <v>2.3210000000000002</v>
      </c>
      <c r="N816" s="6">
        <v>2.3210000000000002</v>
      </c>
      <c r="O816" s="6">
        <v>2.3210000000000002</v>
      </c>
      <c r="P816" s="6">
        <v>6</v>
      </c>
      <c r="Q816" s="4" t="s">
        <v>26</v>
      </c>
      <c r="R816" s="4">
        <v>0</v>
      </c>
      <c r="S816" s="4" t="s">
        <v>335</v>
      </c>
      <c r="T816" s="4" t="s">
        <v>581</v>
      </c>
      <c r="U816" s="4">
        <v>0</v>
      </c>
      <c r="V816" s="4">
        <v>51</v>
      </c>
      <c r="W816" s="4">
        <v>93</v>
      </c>
    </row>
    <row r="817" spans="1:23" ht="11.25" customHeight="1" x14ac:dyDescent="0.25">
      <c r="A817" s="4" t="s">
        <v>54</v>
      </c>
      <c r="B817" s="4" t="s">
        <v>45</v>
      </c>
      <c r="C817" s="4" t="s">
        <v>23</v>
      </c>
      <c r="D817" s="4" t="s">
        <v>46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44866</v>
      </c>
      <c r="J817" s="6">
        <v>0</v>
      </c>
      <c r="K817" s="6">
        <v>0</v>
      </c>
      <c r="L817" s="6">
        <v>412.11599999999999</v>
      </c>
      <c r="M817" s="6">
        <v>412.11599999999999</v>
      </c>
      <c r="N817" s="6">
        <v>412.11599999999999</v>
      </c>
      <c r="O817" s="6">
        <v>412.11599999999999</v>
      </c>
      <c r="P817" s="6">
        <v>2393</v>
      </c>
      <c r="Q817" s="4" t="s">
        <v>26</v>
      </c>
      <c r="R817" s="4">
        <v>0</v>
      </c>
      <c r="S817" s="4" t="s">
        <v>336</v>
      </c>
      <c r="T817" s="4" t="s">
        <v>582</v>
      </c>
      <c r="U817" s="4">
        <v>0</v>
      </c>
      <c r="V817" s="4">
        <v>51</v>
      </c>
      <c r="W817" s="4">
        <v>93</v>
      </c>
    </row>
    <row r="818" spans="1:23" ht="11.25" customHeight="1" x14ac:dyDescent="0.25">
      <c r="A818" s="4" t="s">
        <v>54</v>
      </c>
      <c r="B818" s="4" t="s">
        <v>45</v>
      </c>
      <c r="C818" s="4" t="s">
        <v>23</v>
      </c>
      <c r="D818" s="4" t="s">
        <v>46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44866</v>
      </c>
      <c r="J818" s="6">
        <v>0</v>
      </c>
      <c r="K818" s="6">
        <v>0</v>
      </c>
      <c r="L818" s="6">
        <v>-13.420999999999999</v>
      </c>
      <c r="M818" s="6">
        <v>-13.420999999999999</v>
      </c>
      <c r="N818" s="6">
        <v>-13.420999999999999</v>
      </c>
      <c r="O818" s="6">
        <v>-13.420999999999999</v>
      </c>
      <c r="P818" s="6">
        <v>-3</v>
      </c>
      <c r="Q818" s="4" t="s">
        <v>26</v>
      </c>
      <c r="R818" s="4">
        <v>0</v>
      </c>
      <c r="S818" s="4" t="s">
        <v>336</v>
      </c>
      <c r="T818" s="4" t="s">
        <v>582</v>
      </c>
      <c r="U818" s="4">
        <v>0</v>
      </c>
      <c r="V818" s="4">
        <v>51</v>
      </c>
      <c r="W818" s="4">
        <v>93</v>
      </c>
    </row>
    <row r="819" spans="1:23" ht="11.25" customHeight="1" x14ac:dyDescent="0.25">
      <c r="A819" s="4" t="s">
        <v>54</v>
      </c>
      <c r="B819" s="4" t="s">
        <v>45</v>
      </c>
      <c r="C819" s="4" t="s">
        <v>23</v>
      </c>
      <c r="D819" s="4" t="s">
        <v>46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44866</v>
      </c>
      <c r="J819" s="6">
        <v>0</v>
      </c>
      <c r="K819" s="6">
        <v>0</v>
      </c>
      <c r="L819" s="6">
        <v>2.3210000000000002</v>
      </c>
      <c r="M819" s="6">
        <v>2.3210000000000002</v>
      </c>
      <c r="N819" s="6">
        <v>2.3210000000000002</v>
      </c>
      <c r="O819" s="6">
        <v>2.3210000000000002</v>
      </c>
      <c r="P819" s="6">
        <v>6</v>
      </c>
      <c r="Q819" s="4" t="s">
        <v>26</v>
      </c>
      <c r="R819" s="4">
        <v>0</v>
      </c>
      <c r="S819" s="4" t="s">
        <v>336</v>
      </c>
      <c r="T819" s="4" t="s">
        <v>582</v>
      </c>
      <c r="U819" s="4">
        <v>0</v>
      </c>
      <c r="V819" s="4">
        <v>51</v>
      </c>
      <c r="W819" s="4">
        <v>93</v>
      </c>
    </row>
    <row r="820" spans="1:23" ht="11.25" customHeight="1" x14ac:dyDescent="0.25">
      <c r="A820" s="4" t="s">
        <v>21</v>
      </c>
      <c r="B820" s="4" t="s">
        <v>37</v>
      </c>
      <c r="C820" s="4" t="s">
        <v>33</v>
      </c>
      <c r="D820" s="4" t="s">
        <v>44</v>
      </c>
      <c r="E820" s="4" t="s">
        <v>25</v>
      </c>
      <c r="F820" s="4" t="s">
        <v>25</v>
      </c>
      <c r="G820" s="4" t="s">
        <v>25</v>
      </c>
      <c r="H820" s="4" t="s">
        <v>35</v>
      </c>
      <c r="I820" s="5">
        <v>44531</v>
      </c>
      <c r="J820" s="6">
        <v>0</v>
      </c>
      <c r="K820" s="6">
        <v>0</v>
      </c>
      <c r="L820" s="6">
        <v>44.750999999999998</v>
      </c>
      <c r="M820" s="6">
        <v>44.750999999999998</v>
      </c>
      <c r="N820" s="6">
        <v>44.750999999999998</v>
      </c>
      <c r="O820" s="6">
        <v>44.750999999999998</v>
      </c>
      <c r="P820" s="6">
        <v>0</v>
      </c>
      <c r="Q820" s="4" t="s">
        <v>26</v>
      </c>
      <c r="R820" s="4">
        <v>0</v>
      </c>
      <c r="S820" s="4" t="s">
        <v>337</v>
      </c>
      <c r="T820" s="4" t="s">
        <v>583</v>
      </c>
      <c r="U820" s="4">
        <v>0</v>
      </c>
      <c r="V820" s="4">
        <v>65</v>
      </c>
      <c r="W820" s="4">
        <v>107</v>
      </c>
    </row>
    <row r="821" spans="1:23" ht="11.25" customHeight="1" x14ac:dyDescent="0.25">
      <c r="A821" s="4" t="s">
        <v>21</v>
      </c>
      <c r="B821" s="4" t="s">
        <v>37</v>
      </c>
      <c r="C821" s="4" t="s">
        <v>33</v>
      </c>
      <c r="D821" s="4" t="s">
        <v>44</v>
      </c>
      <c r="E821" s="4" t="s">
        <v>25</v>
      </c>
      <c r="F821" s="4" t="s">
        <v>25</v>
      </c>
      <c r="G821" s="4" t="s">
        <v>25</v>
      </c>
      <c r="H821" s="4" t="s">
        <v>35</v>
      </c>
      <c r="I821" s="5">
        <v>44562</v>
      </c>
      <c r="J821" s="6">
        <v>0</v>
      </c>
      <c r="K821" s="6">
        <v>0</v>
      </c>
      <c r="L821" s="6">
        <v>41.4</v>
      </c>
      <c r="M821" s="6">
        <v>41.4</v>
      </c>
      <c r="N821" s="6">
        <v>41.4</v>
      </c>
      <c r="O821" s="6">
        <v>41.4</v>
      </c>
      <c r="P821" s="6">
        <v>0</v>
      </c>
      <c r="Q821" s="4" t="s">
        <v>26</v>
      </c>
      <c r="R821" s="4">
        <v>0</v>
      </c>
      <c r="S821" s="4" t="s">
        <v>338</v>
      </c>
      <c r="T821" s="4" t="s">
        <v>584</v>
      </c>
      <c r="U821" s="4">
        <v>0</v>
      </c>
      <c r="V821" s="4">
        <v>65</v>
      </c>
      <c r="W821" s="4">
        <v>107</v>
      </c>
    </row>
    <row r="822" spans="1:23" ht="11.25" customHeight="1" x14ac:dyDescent="0.25">
      <c r="A822" s="4" t="s">
        <v>21</v>
      </c>
      <c r="B822" s="4" t="s">
        <v>37</v>
      </c>
      <c r="C822" s="4" t="s">
        <v>33</v>
      </c>
      <c r="D822" s="4" t="s">
        <v>44</v>
      </c>
      <c r="E822" s="4" t="s">
        <v>25</v>
      </c>
      <c r="F822" s="4" t="s">
        <v>25</v>
      </c>
      <c r="G822" s="4" t="s">
        <v>25</v>
      </c>
      <c r="H822" s="4" t="s">
        <v>35</v>
      </c>
      <c r="I822" s="5">
        <v>44593</v>
      </c>
      <c r="J822" s="6">
        <v>0</v>
      </c>
      <c r="K822" s="6">
        <v>0</v>
      </c>
      <c r="L822" s="6">
        <v>31.459</v>
      </c>
      <c r="M822" s="6">
        <v>31.459</v>
      </c>
      <c r="N822" s="6">
        <v>31.459</v>
      </c>
      <c r="O822" s="6">
        <v>31.459</v>
      </c>
      <c r="P822" s="6">
        <v>0</v>
      </c>
      <c r="Q822" s="4" t="s">
        <v>26</v>
      </c>
      <c r="R822" s="4">
        <v>0</v>
      </c>
      <c r="S822" s="4" t="s">
        <v>339</v>
      </c>
      <c r="T822" s="4" t="s">
        <v>585</v>
      </c>
      <c r="U822" s="4">
        <v>0</v>
      </c>
      <c r="V822" s="4">
        <v>65</v>
      </c>
      <c r="W822" s="4">
        <v>107</v>
      </c>
    </row>
    <row r="823" spans="1:23" ht="11.25" customHeight="1" x14ac:dyDescent="0.25">
      <c r="A823" s="4" t="s">
        <v>21</v>
      </c>
      <c r="B823" s="4" t="s">
        <v>37</v>
      </c>
      <c r="C823" s="4" t="s">
        <v>33</v>
      </c>
      <c r="D823" s="4" t="s">
        <v>44</v>
      </c>
      <c r="E823" s="4" t="s">
        <v>25</v>
      </c>
      <c r="F823" s="4" t="s">
        <v>25</v>
      </c>
      <c r="G823" s="4" t="s">
        <v>25</v>
      </c>
      <c r="H823" s="4" t="s">
        <v>35</v>
      </c>
      <c r="I823" s="5">
        <v>44621</v>
      </c>
      <c r="J823" s="6">
        <v>0</v>
      </c>
      <c r="K823" s="6">
        <v>0</v>
      </c>
      <c r="L823" s="6">
        <v>31.753</v>
      </c>
      <c r="M823" s="6">
        <v>31.753</v>
      </c>
      <c r="N823" s="6">
        <v>31.753</v>
      </c>
      <c r="O823" s="6">
        <v>31.753</v>
      </c>
      <c r="P823" s="6">
        <v>0</v>
      </c>
      <c r="Q823" s="4" t="s">
        <v>26</v>
      </c>
      <c r="R823" s="4">
        <v>0</v>
      </c>
      <c r="S823" s="4" t="s">
        <v>340</v>
      </c>
      <c r="T823" s="4" t="s">
        <v>586</v>
      </c>
      <c r="U823" s="4">
        <v>0</v>
      </c>
      <c r="V823" s="4">
        <v>65</v>
      </c>
      <c r="W823" s="4">
        <v>107</v>
      </c>
    </row>
    <row r="824" spans="1:23" ht="11.25" customHeight="1" x14ac:dyDescent="0.25">
      <c r="A824" s="4" t="s">
        <v>21</v>
      </c>
      <c r="B824" s="4" t="s">
        <v>37</v>
      </c>
      <c r="C824" s="4" t="s">
        <v>33</v>
      </c>
      <c r="D824" s="4" t="s">
        <v>44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44652</v>
      </c>
      <c r="J824" s="6">
        <v>0</v>
      </c>
      <c r="K824" s="6">
        <v>0</v>
      </c>
      <c r="L824" s="6">
        <v>32.344000000000001</v>
      </c>
      <c r="M824" s="6">
        <v>32.344000000000001</v>
      </c>
      <c r="N824" s="6">
        <v>32.344000000000001</v>
      </c>
      <c r="O824" s="6">
        <v>32.344000000000001</v>
      </c>
      <c r="P824" s="6">
        <v>0</v>
      </c>
      <c r="Q824" s="4" t="s">
        <v>26</v>
      </c>
      <c r="R824" s="4">
        <v>0</v>
      </c>
      <c r="S824" s="4" t="s">
        <v>341</v>
      </c>
      <c r="T824" s="4" t="s">
        <v>587</v>
      </c>
      <c r="U824" s="4">
        <v>0</v>
      </c>
      <c r="V824" s="4">
        <v>65</v>
      </c>
      <c r="W824" s="4">
        <v>107</v>
      </c>
    </row>
    <row r="825" spans="1:23" ht="11.25" customHeight="1" x14ac:dyDescent="0.25">
      <c r="A825" s="4" t="s">
        <v>21</v>
      </c>
      <c r="B825" s="4" t="s">
        <v>37</v>
      </c>
      <c r="C825" s="4" t="s">
        <v>33</v>
      </c>
      <c r="D825" s="4" t="s">
        <v>44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44682</v>
      </c>
      <c r="J825" s="6">
        <v>0</v>
      </c>
      <c r="K825" s="6">
        <v>0</v>
      </c>
      <c r="L825" s="6">
        <v>39.494</v>
      </c>
      <c r="M825" s="6">
        <v>39.494</v>
      </c>
      <c r="N825" s="6">
        <v>39.494</v>
      </c>
      <c r="O825" s="6">
        <v>39.494</v>
      </c>
      <c r="P825" s="6">
        <v>0</v>
      </c>
      <c r="Q825" s="4" t="s">
        <v>26</v>
      </c>
      <c r="R825" s="4">
        <v>0</v>
      </c>
      <c r="S825" s="4" t="s">
        <v>342</v>
      </c>
      <c r="T825" s="4" t="s">
        <v>588</v>
      </c>
      <c r="U825" s="4">
        <v>0</v>
      </c>
      <c r="V825" s="4">
        <v>65</v>
      </c>
      <c r="W825" s="4">
        <v>107</v>
      </c>
    </row>
    <row r="826" spans="1:23" ht="11.25" customHeight="1" x14ac:dyDescent="0.25">
      <c r="A826" s="4" t="s">
        <v>21</v>
      </c>
      <c r="B826" s="4" t="s">
        <v>37</v>
      </c>
      <c r="C826" s="4" t="s">
        <v>33</v>
      </c>
      <c r="D826" s="4" t="s">
        <v>44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44713</v>
      </c>
      <c r="J826" s="6">
        <v>0</v>
      </c>
      <c r="K826" s="6">
        <v>0</v>
      </c>
      <c r="L826" s="6">
        <v>38.345999999999997</v>
      </c>
      <c r="M826" s="6">
        <v>38.345999999999997</v>
      </c>
      <c r="N826" s="6">
        <v>38.345999999999997</v>
      </c>
      <c r="O826" s="6">
        <v>38.345999999999997</v>
      </c>
      <c r="P826" s="6">
        <v>0</v>
      </c>
      <c r="Q826" s="4" t="s">
        <v>26</v>
      </c>
      <c r="R826" s="4">
        <v>0</v>
      </c>
      <c r="S826" s="4" t="s">
        <v>343</v>
      </c>
      <c r="T826" s="4" t="s">
        <v>589</v>
      </c>
      <c r="U826" s="4">
        <v>0</v>
      </c>
      <c r="V826" s="4">
        <v>65</v>
      </c>
      <c r="W826" s="4">
        <v>107</v>
      </c>
    </row>
    <row r="827" spans="1:23" ht="11.25" customHeight="1" x14ac:dyDescent="0.25">
      <c r="A827" s="4" t="s">
        <v>21</v>
      </c>
      <c r="B827" s="4" t="s">
        <v>37</v>
      </c>
      <c r="C827" s="4" t="s">
        <v>33</v>
      </c>
      <c r="D827" s="4" t="s">
        <v>44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44743</v>
      </c>
      <c r="J827" s="6">
        <v>0</v>
      </c>
      <c r="K827" s="6">
        <v>0</v>
      </c>
      <c r="L827" s="6">
        <v>29.544</v>
      </c>
      <c r="M827" s="6">
        <v>29.544</v>
      </c>
      <c r="N827" s="6">
        <v>29.544</v>
      </c>
      <c r="O827" s="6">
        <v>29.544</v>
      </c>
      <c r="P827" s="6">
        <v>0</v>
      </c>
      <c r="Q827" s="4" t="s">
        <v>26</v>
      </c>
      <c r="R827" s="4">
        <v>0</v>
      </c>
      <c r="S827" s="4" t="s">
        <v>344</v>
      </c>
      <c r="T827" s="4" t="s">
        <v>590</v>
      </c>
      <c r="U827" s="4">
        <v>0</v>
      </c>
      <c r="V827" s="4">
        <v>65</v>
      </c>
      <c r="W827" s="4">
        <v>107</v>
      </c>
    </row>
    <row r="828" spans="1:23" ht="11.25" customHeight="1" x14ac:dyDescent="0.25">
      <c r="A828" s="4" t="s">
        <v>21</v>
      </c>
      <c r="B828" s="4" t="s">
        <v>37</v>
      </c>
      <c r="C828" s="4" t="s">
        <v>33</v>
      </c>
      <c r="D828" s="4" t="s">
        <v>44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44774</v>
      </c>
      <c r="J828" s="6">
        <v>0</v>
      </c>
      <c r="K828" s="6">
        <v>0</v>
      </c>
      <c r="L828" s="6">
        <v>31.44</v>
      </c>
      <c r="M828" s="6">
        <v>31.44</v>
      </c>
      <c r="N828" s="6">
        <v>31.44</v>
      </c>
      <c r="O828" s="6">
        <v>31.44</v>
      </c>
      <c r="P828" s="6">
        <v>0</v>
      </c>
      <c r="Q828" s="4" t="s">
        <v>26</v>
      </c>
      <c r="R828" s="4">
        <v>0</v>
      </c>
      <c r="S828" s="4" t="s">
        <v>345</v>
      </c>
      <c r="T828" s="4" t="s">
        <v>591</v>
      </c>
      <c r="U828" s="4">
        <v>0</v>
      </c>
      <c r="V828" s="4">
        <v>65</v>
      </c>
      <c r="W828" s="4">
        <v>107</v>
      </c>
    </row>
    <row r="829" spans="1:23" ht="11.25" customHeight="1" x14ac:dyDescent="0.25">
      <c r="A829" s="4" t="s">
        <v>21</v>
      </c>
      <c r="B829" s="4" t="s">
        <v>37</v>
      </c>
      <c r="C829" s="4" t="s">
        <v>33</v>
      </c>
      <c r="D829" s="4" t="s">
        <v>44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44805</v>
      </c>
      <c r="J829" s="6">
        <v>0</v>
      </c>
      <c r="K829" s="6">
        <v>0</v>
      </c>
      <c r="L829" s="6">
        <v>41.100999999999999</v>
      </c>
      <c r="M829" s="6">
        <v>41.100999999999999</v>
      </c>
      <c r="N829" s="6">
        <v>41.100999999999999</v>
      </c>
      <c r="O829" s="6">
        <v>41.100999999999999</v>
      </c>
      <c r="P829" s="6">
        <v>0</v>
      </c>
      <c r="Q829" s="4" t="s">
        <v>26</v>
      </c>
      <c r="R829" s="4">
        <v>0</v>
      </c>
      <c r="S829" s="4" t="s">
        <v>346</v>
      </c>
      <c r="T829" s="4" t="s">
        <v>592</v>
      </c>
      <c r="U829" s="4">
        <v>0</v>
      </c>
      <c r="V829" s="4">
        <v>65</v>
      </c>
      <c r="W829" s="4">
        <v>107</v>
      </c>
    </row>
    <row r="830" spans="1:23" ht="11.25" customHeight="1" x14ac:dyDescent="0.25">
      <c r="A830" s="4" t="s">
        <v>21</v>
      </c>
      <c r="B830" s="4" t="s">
        <v>37</v>
      </c>
      <c r="C830" s="4" t="s">
        <v>33</v>
      </c>
      <c r="D830" s="4" t="s">
        <v>44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44835</v>
      </c>
      <c r="J830" s="6">
        <v>0</v>
      </c>
      <c r="K830" s="6">
        <v>0</v>
      </c>
      <c r="L830" s="6">
        <v>76.043000000000006</v>
      </c>
      <c r="M830" s="6">
        <v>76.043000000000006</v>
      </c>
      <c r="N830" s="6">
        <v>76.043000000000006</v>
      </c>
      <c r="O830" s="6">
        <v>76.043000000000006</v>
      </c>
      <c r="P830" s="6">
        <v>0</v>
      </c>
      <c r="Q830" s="4" t="s">
        <v>26</v>
      </c>
      <c r="R830" s="4">
        <v>0</v>
      </c>
      <c r="S830" s="4" t="s">
        <v>347</v>
      </c>
      <c r="T830" s="4" t="s">
        <v>593</v>
      </c>
      <c r="U830" s="4">
        <v>0</v>
      </c>
      <c r="V830" s="4">
        <v>65</v>
      </c>
      <c r="W830" s="4">
        <v>107</v>
      </c>
    </row>
    <row r="831" spans="1:23" ht="11.25" customHeight="1" x14ac:dyDescent="0.25">
      <c r="A831" s="4" t="s">
        <v>54</v>
      </c>
      <c r="B831" s="4" t="s">
        <v>37</v>
      </c>
      <c r="C831" s="4" t="s">
        <v>33</v>
      </c>
      <c r="D831" s="4" t="s">
        <v>44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44866</v>
      </c>
      <c r="J831" s="6">
        <v>0</v>
      </c>
      <c r="K831" s="6">
        <v>0</v>
      </c>
      <c r="L831" s="6">
        <v>76.043000000000006</v>
      </c>
      <c r="M831" s="6">
        <v>76.043000000000006</v>
      </c>
      <c r="N831" s="6">
        <v>76.043000000000006</v>
      </c>
      <c r="O831" s="6">
        <v>76.043000000000006</v>
      </c>
      <c r="P831" s="6">
        <v>0</v>
      </c>
      <c r="Q831" s="4" t="s">
        <v>26</v>
      </c>
      <c r="R831" s="4">
        <v>0</v>
      </c>
      <c r="S831" s="4" t="s">
        <v>348</v>
      </c>
      <c r="T831" s="4" t="s">
        <v>594</v>
      </c>
      <c r="U831" s="4">
        <v>0</v>
      </c>
      <c r="V831" s="4">
        <v>65</v>
      </c>
      <c r="W831" s="4">
        <v>107</v>
      </c>
    </row>
    <row r="832" spans="1:23" ht="11.25" customHeight="1" x14ac:dyDescent="0.25">
      <c r="A832" s="4" t="s">
        <v>21</v>
      </c>
      <c r="B832" s="4" t="s">
        <v>37</v>
      </c>
      <c r="C832" s="4" t="s">
        <v>33</v>
      </c>
      <c r="D832" s="4" t="s">
        <v>44</v>
      </c>
      <c r="E832" s="4" t="s">
        <v>25</v>
      </c>
      <c r="F832" s="4" t="s">
        <v>25</v>
      </c>
      <c r="G832" s="4" t="s">
        <v>25</v>
      </c>
      <c r="H832" s="4" t="s">
        <v>36</v>
      </c>
      <c r="I832" s="5">
        <v>44531</v>
      </c>
      <c r="J832" s="6">
        <v>0</v>
      </c>
      <c r="K832" s="6">
        <v>0</v>
      </c>
      <c r="L832" s="6">
        <v>2.21</v>
      </c>
      <c r="M832" s="6">
        <v>2.21</v>
      </c>
      <c r="N832" s="6">
        <v>2.21</v>
      </c>
      <c r="O832" s="6">
        <v>2.21</v>
      </c>
      <c r="P832" s="6">
        <v>0</v>
      </c>
      <c r="Q832" s="4" t="s">
        <v>26</v>
      </c>
      <c r="R832" s="4">
        <v>0</v>
      </c>
      <c r="S832" s="4" t="s">
        <v>349</v>
      </c>
      <c r="T832" s="4" t="s">
        <v>595</v>
      </c>
      <c r="U832" s="4">
        <v>0</v>
      </c>
      <c r="V832" s="4">
        <v>64</v>
      </c>
      <c r="W832" s="4">
        <v>106</v>
      </c>
    </row>
    <row r="833" spans="1:23" ht="11.25" customHeight="1" x14ac:dyDescent="0.25">
      <c r="A833" s="4" t="s">
        <v>21</v>
      </c>
      <c r="B833" s="4" t="s">
        <v>37</v>
      </c>
      <c r="C833" s="4" t="s">
        <v>33</v>
      </c>
      <c r="D833" s="4" t="s">
        <v>44</v>
      </c>
      <c r="E833" s="4" t="s">
        <v>25</v>
      </c>
      <c r="F833" s="4" t="s">
        <v>25</v>
      </c>
      <c r="G833" s="4" t="s">
        <v>25</v>
      </c>
      <c r="H833" s="4" t="s">
        <v>36</v>
      </c>
      <c r="I833" s="5">
        <v>44562</v>
      </c>
      <c r="J833" s="6">
        <v>0</v>
      </c>
      <c r="K833" s="6">
        <v>0</v>
      </c>
      <c r="L833" s="6">
        <v>2.032</v>
      </c>
      <c r="M833" s="6">
        <v>2.032</v>
      </c>
      <c r="N833" s="6">
        <v>2.032</v>
      </c>
      <c r="O833" s="6">
        <v>2.032</v>
      </c>
      <c r="P833" s="6">
        <v>0</v>
      </c>
      <c r="Q833" s="4" t="s">
        <v>26</v>
      </c>
      <c r="R833" s="4">
        <v>0</v>
      </c>
      <c r="S833" s="4" t="s">
        <v>350</v>
      </c>
      <c r="T833" s="4" t="s">
        <v>596</v>
      </c>
      <c r="U833" s="4">
        <v>0</v>
      </c>
      <c r="V833" s="4">
        <v>64</v>
      </c>
      <c r="W833" s="4">
        <v>106</v>
      </c>
    </row>
    <row r="834" spans="1:23" ht="11.25" customHeight="1" x14ac:dyDescent="0.25">
      <c r="A834" s="4" t="s">
        <v>21</v>
      </c>
      <c r="B834" s="4" t="s">
        <v>37</v>
      </c>
      <c r="C834" s="4" t="s">
        <v>33</v>
      </c>
      <c r="D834" s="4" t="s">
        <v>44</v>
      </c>
      <c r="E834" s="4" t="s">
        <v>25</v>
      </c>
      <c r="F834" s="4" t="s">
        <v>25</v>
      </c>
      <c r="G834" s="4" t="s">
        <v>25</v>
      </c>
      <c r="H834" s="4" t="s">
        <v>36</v>
      </c>
      <c r="I834" s="5">
        <v>44593</v>
      </c>
      <c r="J834" s="6">
        <v>0</v>
      </c>
      <c r="K834" s="6">
        <v>0</v>
      </c>
      <c r="L834" s="6">
        <v>1.68</v>
      </c>
      <c r="M834" s="6">
        <v>1.68</v>
      </c>
      <c r="N834" s="6">
        <v>1.68</v>
      </c>
      <c r="O834" s="6">
        <v>1.68</v>
      </c>
      <c r="P834" s="6">
        <v>0</v>
      </c>
      <c r="Q834" s="4" t="s">
        <v>26</v>
      </c>
      <c r="R834" s="4">
        <v>0</v>
      </c>
      <c r="S834" s="4" t="s">
        <v>351</v>
      </c>
      <c r="T834" s="4" t="s">
        <v>597</v>
      </c>
      <c r="U834" s="4">
        <v>0</v>
      </c>
      <c r="V834" s="4">
        <v>64</v>
      </c>
      <c r="W834" s="4">
        <v>106</v>
      </c>
    </row>
    <row r="835" spans="1:23" ht="11.25" customHeight="1" x14ac:dyDescent="0.25">
      <c r="A835" s="4" t="s">
        <v>21</v>
      </c>
      <c r="B835" s="4" t="s">
        <v>37</v>
      </c>
      <c r="C835" s="4" t="s">
        <v>33</v>
      </c>
      <c r="D835" s="4" t="s">
        <v>44</v>
      </c>
      <c r="E835" s="4" t="s">
        <v>25</v>
      </c>
      <c r="F835" s="4" t="s">
        <v>25</v>
      </c>
      <c r="G835" s="4" t="s">
        <v>25</v>
      </c>
      <c r="H835" s="4" t="s">
        <v>36</v>
      </c>
      <c r="I835" s="5">
        <v>44621</v>
      </c>
      <c r="J835" s="6">
        <v>0</v>
      </c>
      <c r="K835" s="6">
        <v>0</v>
      </c>
      <c r="L835" s="6">
        <v>1.569</v>
      </c>
      <c r="M835" s="6">
        <v>1.569</v>
      </c>
      <c r="N835" s="6">
        <v>1.569</v>
      </c>
      <c r="O835" s="6">
        <v>1.569</v>
      </c>
      <c r="P835" s="6">
        <v>0</v>
      </c>
      <c r="Q835" s="4" t="s">
        <v>26</v>
      </c>
      <c r="R835" s="4">
        <v>0</v>
      </c>
      <c r="S835" s="4" t="s">
        <v>352</v>
      </c>
      <c r="T835" s="4" t="s">
        <v>598</v>
      </c>
      <c r="U835" s="4">
        <v>0</v>
      </c>
      <c r="V835" s="4">
        <v>64</v>
      </c>
      <c r="W835" s="4">
        <v>106</v>
      </c>
    </row>
    <row r="836" spans="1:23" ht="11.25" customHeight="1" x14ac:dyDescent="0.25">
      <c r="A836" s="4" t="s">
        <v>21</v>
      </c>
      <c r="B836" s="4" t="s">
        <v>37</v>
      </c>
      <c r="C836" s="4" t="s">
        <v>33</v>
      </c>
      <c r="D836" s="4" t="s">
        <v>44</v>
      </c>
      <c r="E836" s="4" t="s">
        <v>25</v>
      </c>
      <c r="F836" s="4" t="s">
        <v>25</v>
      </c>
      <c r="G836" s="4" t="s">
        <v>25</v>
      </c>
      <c r="H836" s="4" t="s">
        <v>36</v>
      </c>
      <c r="I836" s="5">
        <v>44652</v>
      </c>
      <c r="J836" s="6">
        <v>0</v>
      </c>
      <c r="K836" s="6">
        <v>0</v>
      </c>
      <c r="L836" s="6">
        <v>1.7370000000000001</v>
      </c>
      <c r="M836" s="6">
        <v>1.7370000000000001</v>
      </c>
      <c r="N836" s="6">
        <v>1.7370000000000001</v>
      </c>
      <c r="O836" s="6">
        <v>1.7370000000000001</v>
      </c>
      <c r="P836" s="6">
        <v>0</v>
      </c>
      <c r="Q836" s="4" t="s">
        <v>26</v>
      </c>
      <c r="R836" s="4">
        <v>0</v>
      </c>
      <c r="S836" s="4" t="s">
        <v>353</v>
      </c>
      <c r="T836" s="4" t="s">
        <v>599</v>
      </c>
      <c r="U836" s="4">
        <v>0</v>
      </c>
      <c r="V836" s="4">
        <v>64</v>
      </c>
      <c r="W836" s="4">
        <v>106</v>
      </c>
    </row>
    <row r="837" spans="1:23" ht="11.25" customHeight="1" x14ac:dyDescent="0.25">
      <c r="A837" s="4" t="s">
        <v>21</v>
      </c>
      <c r="B837" s="4" t="s">
        <v>37</v>
      </c>
      <c r="C837" s="4" t="s">
        <v>33</v>
      </c>
      <c r="D837" s="4" t="s">
        <v>44</v>
      </c>
      <c r="E837" s="4" t="s">
        <v>25</v>
      </c>
      <c r="F837" s="4" t="s">
        <v>25</v>
      </c>
      <c r="G837" s="4" t="s">
        <v>25</v>
      </c>
      <c r="H837" s="4" t="s">
        <v>36</v>
      </c>
      <c r="I837" s="5">
        <v>44682</v>
      </c>
      <c r="J837" s="6">
        <v>0</v>
      </c>
      <c r="K837" s="6">
        <v>0</v>
      </c>
      <c r="L837" s="6">
        <v>1.5620000000000001</v>
      </c>
      <c r="M837" s="6">
        <v>1.5620000000000001</v>
      </c>
      <c r="N837" s="6">
        <v>1.5620000000000001</v>
      </c>
      <c r="O837" s="6">
        <v>1.5620000000000001</v>
      </c>
      <c r="P837" s="6">
        <v>0</v>
      </c>
      <c r="Q837" s="4" t="s">
        <v>26</v>
      </c>
      <c r="R837" s="4">
        <v>0</v>
      </c>
      <c r="S837" s="4" t="s">
        <v>354</v>
      </c>
      <c r="T837" s="4" t="s">
        <v>600</v>
      </c>
      <c r="U837" s="4">
        <v>0</v>
      </c>
      <c r="V837" s="4">
        <v>64</v>
      </c>
      <c r="W837" s="4">
        <v>106</v>
      </c>
    </row>
    <row r="838" spans="1:23" ht="11.25" customHeight="1" x14ac:dyDescent="0.25">
      <c r="A838" s="4" t="s">
        <v>21</v>
      </c>
      <c r="B838" s="4" t="s">
        <v>37</v>
      </c>
      <c r="C838" s="4" t="s">
        <v>33</v>
      </c>
      <c r="D838" s="4" t="s">
        <v>44</v>
      </c>
      <c r="E838" s="4" t="s">
        <v>25</v>
      </c>
      <c r="F838" s="4" t="s">
        <v>25</v>
      </c>
      <c r="G838" s="4" t="s">
        <v>25</v>
      </c>
      <c r="H838" s="4" t="s">
        <v>36</v>
      </c>
      <c r="I838" s="5">
        <v>44713</v>
      </c>
      <c r="J838" s="6">
        <v>0</v>
      </c>
      <c r="K838" s="6">
        <v>0</v>
      </c>
      <c r="L838" s="6">
        <v>2.0369999999999999</v>
      </c>
      <c r="M838" s="6">
        <v>2.0369999999999999</v>
      </c>
      <c r="N838" s="6">
        <v>2.0369999999999999</v>
      </c>
      <c r="O838" s="6">
        <v>2.0369999999999999</v>
      </c>
      <c r="P838" s="6">
        <v>0</v>
      </c>
      <c r="Q838" s="4" t="s">
        <v>26</v>
      </c>
      <c r="R838" s="4">
        <v>0</v>
      </c>
      <c r="S838" s="4" t="s">
        <v>355</v>
      </c>
      <c r="T838" s="4" t="s">
        <v>601</v>
      </c>
      <c r="U838" s="4">
        <v>0</v>
      </c>
      <c r="V838" s="4">
        <v>64</v>
      </c>
      <c r="W838" s="4">
        <v>106</v>
      </c>
    </row>
    <row r="839" spans="1:23" ht="11.25" customHeight="1" x14ac:dyDescent="0.25">
      <c r="A839" s="4" t="s">
        <v>21</v>
      </c>
      <c r="B839" s="4" t="s">
        <v>37</v>
      </c>
      <c r="C839" s="4" t="s">
        <v>33</v>
      </c>
      <c r="D839" s="4" t="s">
        <v>44</v>
      </c>
      <c r="E839" s="4" t="s">
        <v>25</v>
      </c>
      <c r="F839" s="4" t="s">
        <v>25</v>
      </c>
      <c r="G839" s="4" t="s">
        <v>25</v>
      </c>
      <c r="H839" s="4" t="s">
        <v>36</v>
      </c>
      <c r="I839" s="5">
        <v>44743</v>
      </c>
      <c r="J839" s="6">
        <v>0</v>
      </c>
      <c r="K839" s="6">
        <v>0</v>
      </c>
      <c r="L839" s="6">
        <v>1.264</v>
      </c>
      <c r="M839" s="6">
        <v>1.264</v>
      </c>
      <c r="N839" s="6">
        <v>1.264</v>
      </c>
      <c r="O839" s="6">
        <v>1.264</v>
      </c>
      <c r="P839" s="6">
        <v>0</v>
      </c>
      <c r="Q839" s="4" t="s">
        <v>26</v>
      </c>
      <c r="R839" s="4">
        <v>0</v>
      </c>
      <c r="S839" s="4" t="s">
        <v>356</v>
      </c>
      <c r="T839" s="4" t="s">
        <v>602</v>
      </c>
      <c r="U839" s="4">
        <v>0</v>
      </c>
      <c r="V839" s="4">
        <v>64</v>
      </c>
      <c r="W839" s="4">
        <v>106</v>
      </c>
    </row>
    <row r="840" spans="1:23" ht="11.25" customHeight="1" x14ac:dyDescent="0.25">
      <c r="A840" s="4" t="s">
        <v>21</v>
      </c>
      <c r="B840" s="4" t="s">
        <v>37</v>
      </c>
      <c r="C840" s="4" t="s">
        <v>33</v>
      </c>
      <c r="D840" s="4" t="s">
        <v>44</v>
      </c>
      <c r="E840" s="4" t="s">
        <v>25</v>
      </c>
      <c r="F840" s="4" t="s">
        <v>25</v>
      </c>
      <c r="G840" s="4" t="s">
        <v>25</v>
      </c>
      <c r="H840" s="4" t="s">
        <v>36</v>
      </c>
      <c r="I840" s="5">
        <v>44774</v>
      </c>
      <c r="J840" s="6">
        <v>0</v>
      </c>
      <c r="K840" s="6">
        <v>0</v>
      </c>
      <c r="L840" s="6">
        <v>1.605</v>
      </c>
      <c r="M840" s="6">
        <v>1.605</v>
      </c>
      <c r="N840" s="6">
        <v>1.605</v>
      </c>
      <c r="O840" s="6">
        <v>1.605</v>
      </c>
      <c r="P840" s="6">
        <v>0</v>
      </c>
      <c r="Q840" s="4" t="s">
        <v>26</v>
      </c>
      <c r="R840" s="4">
        <v>0</v>
      </c>
      <c r="S840" s="4" t="s">
        <v>357</v>
      </c>
      <c r="T840" s="4" t="s">
        <v>603</v>
      </c>
      <c r="U840" s="4">
        <v>0</v>
      </c>
      <c r="V840" s="4">
        <v>64</v>
      </c>
      <c r="W840" s="4">
        <v>106</v>
      </c>
    </row>
    <row r="841" spans="1:23" ht="11.25" customHeight="1" x14ac:dyDescent="0.25">
      <c r="A841" s="4" t="s">
        <v>21</v>
      </c>
      <c r="B841" s="4" t="s">
        <v>37</v>
      </c>
      <c r="C841" s="4" t="s">
        <v>33</v>
      </c>
      <c r="D841" s="4" t="s">
        <v>44</v>
      </c>
      <c r="E841" s="4" t="s">
        <v>25</v>
      </c>
      <c r="F841" s="4" t="s">
        <v>25</v>
      </c>
      <c r="G841" s="4" t="s">
        <v>25</v>
      </c>
      <c r="H841" s="4" t="s">
        <v>36</v>
      </c>
      <c r="I841" s="5">
        <v>44805</v>
      </c>
      <c r="J841" s="6">
        <v>0</v>
      </c>
      <c r="K841" s="6">
        <v>0</v>
      </c>
      <c r="L841" s="6">
        <v>2.0590000000000002</v>
      </c>
      <c r="M841" s="6">
        <v>2.0590000000000002</v>
      </c>
      <c r="N841" s="6">
        <v>2.0590000000000002</v>
      </c>
      <c r="O841" s="6">
        <v>2.0590000000000002</v>
      </c>
      <c r="P841" s="6">
        <v>0</v>
      </c>
      <c r="Q841" s="4" t="s">
        <v>26</v>
      </c>
      <c r="R841" s="4">
        <v>0</v>
      </c>
      <c r="S841" s="4" t="s">
        <v>358</v>
      </c>
      <c r="T841" s="4" t="s">
        <v>604</v>
      </c>
      <c r="U841" s="4">
        <v>0</v>
      </c>
      <c r="V841" s="4">
        <v>64</v>
      </c>
      <c r="W841" s="4">
        <v>106</v>
      </c>
    </row>
    <row r="842" spans="1:23" ht="11.25" customHeight="1" x14ac:dyDescent="0.25">
      <c r="A842" s="4" t="s">
        <v>21</v>
      </c>
      <c r="B842" s="4" t="s">
        <v>37</v>
      </c>
      <c r="C842" s="4" t="s">
        <v>33</v>
      </c>
      <c r="D842" s="4" t="s">
        <v>44</v>
      </c>
      <c r="E842" s="4" t="s">
        <v>25</v>
      </c>
      <c r="F842" s="4" t="s">
        <v>25</v>
      </c>
      <c r="G842" s="4" t="s">
        <v>25</v>
      </c>
      <c r="H842" s="4" t="s">
        <v>36</v>
      </c>
      <c r="I842" s="5">
        <v>44835</v>
      </c>
      <c r="J842" s="6">
        <v>0</v>
      </c>
      <c r="K842" s="6">
        <v>0</v>
      </c>
      <c r="L842" s="6">
        <v>3.12</v>
      </c>
      <c r="M842" s="6">
        <v>3.12</v>
      </c>
      <c r="N842" s="6">
        <v>3.12</v>
      </c>
      <c r="O842" s="6">
        <v>3.12</v>
      </c>
      <c r="P842" s="6">
        <v>0</v>
      </c>
      <c r="Q842" s="4" t="s">
        <v>26</v>
      </c>
      <c r="R842" s="4">
        <v>0</v>
      </c>
      <c r="S842" s="4" t="s">
        <v>359</v>
      </c>
      <c r="T842" s="4" t="s">
        <v>605</v>
      </c>
      <c r="U842" s="4">
        <v>0</v>
      </c>
      <c r="V842" s="4">
        <v>64</v>
      </c>
      <c r="W842" s="4">
        <v>106</v>
      </c>
    </row>
    <row r="843" spans="1:23" ht="11.25" customHeight="1" x14ac:dyDescent="0.25">
      <c r="A843" s="4" t="s">
        <v>54</v>
      </c>
      <c r="B843" s="4" t="s">
        <v>37</v>
      </c>
      <c r="C843" s="4" t="s">
        <v>33</v>
      </c>
      <c r="D843" s="4" t="s">
        <v>44</v>
      </c>
      <c r="E843" s="4" t="s">
        <v>25</v>
      </c>
      <c r="F843" s="4" t="s">
        <v>25</v>
      </c>
      <c r="G843" s="4" t="s">
        <v>25</v>
      </c>
      <c r="H843" s="4" t="s">
        <v>36</v>
      </c>
      <c r="I843" s="5">
        <v>44866</v>
      </c>
      <c r="J843" s="6">
        <v>0</v>
      </c>
      <c r="K843" s="6">
        <v>0</v>
      </c>
      <c r="L843" s="6">
        <v>3.12</v>
      </c>
      <c r="M843" s="6">
        <v>3.12</v>
      </c>
      <c r="N843" s="6">
        <v>3.12</v>
      </c>
      <c r="O843" s="6">
        <v>3.12</v>
      </c>
      <c r="P843" s="6">
        <v>0</v>
      </c>
      <c r="Q843" s="4" t="s">
        <v>26</v>
      </c>
      <c r="R843" s="4">
        <v>0</v>
      </c>
      <c r="S843" s="4" t="s">
        <v>360</v>
      </c>
      <c r="T843" s="4" t="s">
        <v>606</v>
      </c>
      <c r="U843" s="4">
        <v>0</v>
      </c>
      <c r="V843" s="4">
        <v>64</v>
      </c>
      <c r="W843" s="4">
        <v>106</v>
      </c>
    </row>
    <row r="844" spans="1:23" ht="11.25" customHeight="1" x14ac:dyDescent="0.25">
      <c r="A844" s="4" t="s">
        <v>21</v>
      </c>
      <c r="B844" s="4" t="s">
        <v>37</v>
      </c>
      <c r="C844" s="4" t="s">
        <v>33</v>
      </c>
      <c r="D844" s="4" t="s">
        <v>44</v>
      </c>
      <c r="E844" s="4" t="s">
        <v>25</v>
      </c>
      <c r="F844" s="4" t="s">
        <v>25</v>
      </c>
      <c r="G844" s="4" t="s">
        <v>25</v>
      </c>
      <c r="H844" s="4" t="s">
        <v>34</v>
      </c>
      <c r="I844" s="5">
        <v>44531</v>
      </c>
      <c r="J844" s="6">
        <v>0</v>
      </c>
      <c r="K844" s="6">
        <v>0</v>
      </c>
      <c r="L844" s="6">
        <v>2.137</v>
      </c>
      <c r="M844" s="6">
        <v>2.137</v>
      </c>
      <c r="N844" s="6">
        <v>2.137</v>
      </c>
      <c r="O844" s="6">
        <v>2.137</v>
      </c>
      <c r="P844" s="6">
        <v>0</v>
      </c>
      <c r="Q844" s="4" t="s">
        <v>26</v>
      </c>
      <c r="R844" s="4">
        <v>0</v>
      </c>
      <c r="S844" s="4" t="s">
        <v>361</v>
      </c>
      <c r="T844" s="4" t="s">
        <v>607</v>
      </c>
      <c r="U844" s="4">
        <v>0</v>
      </c>
      <c r="V844" s="4">
        <v>63</v>
      </c>
      <c r="W844" s="4">
        <v>105</v>
      </c>
    </row>
    <row r="845" spans="1:23" ht="11.25" customHeight="1" x14ac:dyDescent="0.25">
      <c r="A845" s="4" t="s">
        <v>21</v>
      </c>
      <c r="B845" s="4" t="s">
        <v>37</v>
      </c>
      <c r="C845" s="4" t="s">
        <v>33</v>
      </c>
      <c r="D845" s="4" t="s">
        <v>44</v>
      </c>
      <c r="E845" s="4" t="s">
        <v>25</v>
      </c>
      <c r="F845" s="4" t="s">
        <v>25</v>
      </c>
      <c r="G845" s="4" t="s">
        <v>25</v>
      </c>
      <c r="H845" s="4" t="s">
        <v>34</v>
      </c>
      <c r="I845" s="5">
        <v>44562</v>
      </c>
      <c r="J845" s="6">
        <v>0</v>
      </c>
      <c r="K845" s="6">
        <v>0</v>
      </c>
      <c r="L845" s="6">
        <v>1.9179999999999999</v>
      </c>
      <c r="M845" s="6">
        <v>1.9179999999999999</v>
      </c>
      <c r="N845" s="6">
        <v>1.9179999999999999</v>
      </c>
      <c r="O845" s="6">
        <v>1.9179999999999999</v>
      </c>
      <c r="P845" s="6">
        <v>0</v>
      </c>
      <c r="Q845" s="4" t="s">
        <v>26</v>
      </c>
      <c r="R845" s="4">
        <v>0</v>
      </c>
      <c r="S845" s="4" t="s">
        <v>362</v>
      </c>
      <c r="T845" s="4" t="s">
        <v>608</v>
      </c>
      <c r="U845" s="4">
        <v>0</v>
      </c>
      <c r="V845" s="4">
        <v>63</v>
      </c>
      <c r="W845" s="4">
        <v>105</v>
      </c>
    </row>
    <row r="846" spans="1:23" ht="11.25" customHeight="1" x14ac:dyDescent="0.25">
      <c r="A846" s="4" t="s">
        <v>21</v>
      </c>
      <c r="B846" s="4" t="s">
        <v>37</v>
      </c>
      <c r="C846" s="4" t="s">
        <v>33</v>
      </c>
      <c r="D846" s="4" t="s">
        <v>44</v>
      </c>
      <c r="E846" s="4" t="s">
        <v>25</v>
      </c>
      <c r="F846" s="4" t="s">
        <v>25</v>
      </c>
      <c r="G846" s="4" t="s">
        <v>25</v>
      </c>
      <c r="H846" s="4" t="s">
        <v>34</v>
      </c>
      <c r="I846" s="5">
        <v>44593</v>
      </c>
      <c r="J846" s="6">
        <v>0</v>
      </c>
      <c r="K846" s="6">
        <v>0</v>
      </c>
      <c r="L846" s="6">
        <v>1.895</v>
      </c>
      <c r="M846" s="6">
        <v>1.895</v>
      </c>
      <c r="N846" s="6">
        <v>1.895</v>
      </c>
      <c r="O846" s="6">
        <v>1.895</v>
      </c>
      <c r="P846" s="6">
        <v>0</v>
      </c>
      <c r="Q846" s="4" t="s">
        <v>26</v>
      </c>
      <c r="R846" s="4">
        <v>0</v>
      </c>
      <c r="S846" s="4" t="s">
        <v>363</v>
      </c>
      <c r="T846" s="4" t="s">
        <v>609</v>
      </c>
      <c r="U846" s="4">
        <v>0</v>
      </c>
      <c r="V846" s="4">
        <v>63</v>
      </c>
      <c r="W846" s="4">
        <v>105</v>
      </c>
    </row>
    <row r="847" spans="1:23" ht="11.25" customHeight="1" x14ac:dyDescent="0.25">
      <c r="A847" s="4" t="s">
        <v>21</v>
      </c>
      <c r="B847" s="4" t="s">
        <v>37</v>
      </c>
      <c r="C847" s="4" t="s">
        <v>33</v>
      </c>
      <c r="D847" s="4" t="s">
        <v>44</v>
      </c>
      <c r="E847" s="4" t="s">
        <v>25</v>
      </c>
      <c r="F847" s="4" t="s">
        <v>25</v>
      </c>
      <c r="G847" s="4" t="s">
        <v>25</v>
      </c>
      <c r="H847" s="4" t="s">
        <v>34</v>
      </c>
      <c r="I847" s="5">
        <v>44621</v>
      </c>
      <c r="J847" s="6">
        <v>0</v>
      </c>
      <c r="K847" s="6">
        <v>0</v>
      </c>
      <c r="L847" s="6">
        <v>1.583</v>
      </c>
      <c r="M847" s="6">
        <v>1.583</v>
      </c>
      <c r="N847" s="6">
        <v>1.583</v>
      </c>
      <c r="O847" s="6">
        <v>1.583</v>
      </c>
      <c r="P847" s="6">
        <v>0</v>
      </c>
      <c r="Q847" s="4" t="s">
        <v>26</v>
      </c>
      <c r="R847" s="4">
        <v>0</v>
      </c>
      <c r="S847" s="4" t="s">
        <v>364</v>
      </c>
      <c r="T847" s="4" t="s">
        <v>610</v>
      </c>
      <c r="U847" s="4">
        <v>0</v>
      </c>
      <c r="V847" s="4">
        <v>63</v>
      </c>
      <c r="W847" s="4">
        <v>105</v>
      </c>
    </row>
    <row r="848" spans="1:23" ht="11.25" customHeight="1" x14ac:dyDescent="0.25">
      <c r="A848" s="4" t="s">
        <v>21</v>
      </c>
      <c r="B848" s="4" t="s">
        <v>37</v>
      </c>
      <c r="C848" s="4" t="s">
        <v>33</v>
      </c>
      <c r="D848" s="4" t="s">
        <v>44</v>
      </c>
      <c r="E848" s="4" t="s">
        <v>25</v>
      </c>
      <c r="F848" s="4" t="s">
        <v>25</v>
      </c>
      <c r="G848" s="4" t="s">
        <v>25</v>
      </c>
      <c r="H848" s="4" t="s">
        <v>34</v>
      </c>
      <c r="I848" s="5">
        <v>44652</v>
      </c>
      <c r="J848" s="6">
        <v>0</v>
      </c>
      <c r="K848" s="6">
        <v>0</v>
      </c>
      <c r="L848" s="6">
        <v>1.583</v>
      </c>
      <c r="M848" s="6">
        <v>1.583</v>
      </c>
      <c r="N848" s="6">
        <v>1.583</v>
      </c>
      <c r="O848" s="6">
        <v>1.583</v>
      </c>
      <c r="P848" s="6">
        <v>0</v>
      </c>
      <c r="Q848" s="4" t="s">
        <v>26</v>
      </c>
      <c r="R848" s="4">
        <v>0</v>
      </c>
      <c r="S848" s="4" t="s">
        <v>365</v>
      </c>
      <c r="T848" s="4" t="s">
        <v>611</v>
      </c>
      <c r="U848" s="4">
        <v>0</v>
      </c>
      <c r="V848" s="4">
        <v>63</v>
      </c>
      <c r="W848" s="4">
        <v>105</v>
      </c>
    </row>
    <row r="849" spans="1:23" ht="11.25" customHeight="1" x14ac:dyDescent="0.25">
      <c r="A849" s="4" t="s">
        <v>21</v>
      </c>
      <c r="B849" s="4" t="s">
        <v>37</v>
      </c>
      <c r="C849" s="4" t="s">
        <v>33</v>
      </c>
      <c r="D849" s="4" t="s">
        <v>44</v>
      </c>
      <c r="E849" s="4" t="s">
        <v>25</v>
      </c>
      <c r="F849" s="4" t="s">
        <v>25</v>
      </c>
      <c r="G849" s="4" t="s">
        <v>25</v>
      </c>
      <c r="H849" s="4" t="s">
        <v>34</v>
      </c>
      <c r="I849" s="5">
        <v>44682</v>
      </c>
      <c r="J849" s="6">
        <v>0</v>
      </c>
      <c r="K849" s="6">
        <v>0</v>
      </c>
      <c r="L849" s="6">
        <v>1.8160000000000001</v>
      </c>
      <c r="M849" s="6">
        <v>1.8160000000000001</v>
      </c>
      <c r="N849" s="6">
        <v>1.8160000000000001</v>
      </c>
      <c r="O849" s="6">
        <v>1.8160000000000001</v>
      </c>
      <c r="P849" s="6">
        <v>0</v>
      </c>
      <c r="Q849" s="4" t="s">
        <v>26</v>
      </c>
      <c r="R849" s="4">
        <v>0</v>
      </c>
      <c r="S849" s="4" t="s">
        <v>366</v>
      </c>
      <c r="T849" s="4" t="s">
        <v>612</v>
      </c>
      <c r="U849" s="4">
        <v>0</v>
      </c>
      <c r="V849" s="4">
        <v>63</v>
      </c>
      <c r="W849" s="4">
        <v>105</v>
      </c>
    </row>
    <row r="850" spans="1:23" ht="11.25" customHeight="1" x14ac:dyDescent="0.25">
      <c r="A850" s="4" t="s">
        <v>21</v>
      </c>
      <c r="B850" s="4" t="s">
        <v>37</v>
      </c>
      <c r="C850" s="4" t="s">
        <v>33</v>
      </c>
      <c r="D850" s="4" t="s">
        <v>44</v>
      </c>
      <c r="E850" s="4" t="s">
        <v>25</v>
      </c>
      <c r="F850" s="4" t="s">
        <v>25</v>
      </c>
      <c r="G850" s="4" t="s">
        <v>25</v>
      </c>
      <c r="H850" s="4" t="s">
        <v>34</v>
      </c>
      <c r="I850" s="5">
        <v>44713</v>
      </c>
      <c r="J850" s="6">
        <v>0</v>
      </c>
      <c r="K850" s="6">
        <v>0</v>
      </c>
      <c r="L850" s="6">
        <v>1.8340000000000001</v>
      </c>
      <c r="M850" s="6">
        <v>1.8340000000000001</v>
      </c>
      <c r="N850" s="6">
        <v>1.8340000000000001</v>
      </c>
      <c r="O850" s="6">
        <v>1.8340000000000001</v>
      </c>
      <c r="P850" s="6">
        <v>0</v>
      </c>
      <c r="Q850" s="4" t="s">
        <v>26</v>
      </c>
      <c r="R850" s="4">
        <v>0</v>
      </c>
      <c r="S850" s="4" t="s">
        <v>367</v>
      </c>
      <c r="T850" s="4" t="s">
        <v>613</v>
      </c>
      <c r="U850" s="4">
        <v>0</v>
      </c>
      <c r="V850" s="4">
        <v>63</v>
      </c>
      <c r="W850" s="4">
        <v>105</v>
      </c>
    </row>
    <row r="851" spans="1:23" ht="11.25" customHeight="1" x14ac:dyDescent="0.25">
      <c r="A851" s="4" t="s">
        <v>21</v>
      </c>
      <c r="B851" s="4" t="s">
        <v>37</v>
      </c>
      <c r="C851" s="4" t="s">
        <v>33</v>
      </c>
      <c r="D851" s="4" t="s">
        <v>44</v>
      </c>
      <c r="E851" s="4" t="s">
        <v>25</v>
      </c>
      <c r="F851" s="4" t="s">
        <v>25</v>
      </c>
      <c r="G851" s="4" t="s">
        <v>25</v>
      </c>
      <c r="H851" s="4" t="s">
        <v>34</v>
      </c>
      <c r="I851" s="5">
        <v>44743</v>
      </c>
      <c r="J851" s="6">
        <v>0</v>
      </c>
      <c r="K851" s="6">
        <v>0</v>
      </c>
      <c r="L851" s="6">
        <v>1.1679999999999999</v>
      </c>
      <c r="M851" s="6">
        <v>1.1679999999999999</v>
      </c>
      <c r="N851" s="6">
        <v>1.1679999999999999</v>
      </c>
      <c r="O851" s="6">
        <v>1.1679999999999999</v>
      </c>
      <c r="P851" s="6">
        <v>0</v>
      </c>
      <c r="Q851" s="4" t="s">
        <v>26</v>
      </c>
      <c r="R851" s="4">
        <v>0</v>
      </c>
      <c r="S851" s="4" t="s">
        <v>368</v>
      </c>
      <c r="T851" s="4" t="s">
        <v>614</v>
      </c>
      <c r="U851" s="4">
        <v>0</v>
      </c>
      <c r="V851" s="4">
        <v>63</v>
      </c>
      <c r="W851" s="4">
        <v>105</v>
      </c>
    </row>
    <row r="852" spans="1:23" ht="11.25" customHeight="1" x14ac:dyDescent="0.25">
      <c r="A852" s="4" t="s">
        <v>21</v>
      </c>
      <c r="B852" s="4" t="s">
        <v>37</v>
      </c>
      <c r="C852" s="4" t="s">
        <v>33</v>
      </c>
      <c r="D852" s="4" t="s">
        <v>44</v>
      </c>
      <c r="E852" s="4" t="s">
        <v>25</v>
      </c>
      <c r="F852" s="4" t="s">
        <v>25</v>
      </c>
      <c r="G852" s="4" t="s">
        <v>25</v>
      </c>
      <c r="H852" s="4" t="s">
        <v>34</v>
      </c>
      <c r="I852" s="5">
        <v>44774</v>
      </c>
      <c r="J852" s="6">
        <v>0</v>
      </c>
      <c r="K852" s="6">
        <v>0</v>
      </c>
      <c r="L852" s="6">
        <v>1.2390000000000001</v>
      </c>
      <c r="M852" s="6">
        <v>1.2390000000000001</v>
      </c>
      <c r="N852" s="6">
        <v>1.2390000000000001</v>
      </c>
      <c r="O852" s="6">
        <v>1.2390000000000001</v>
      </c>
      <c r="P852" s="6">
        <v>0</v>
      </c>
      <c r="Q852" s="4" t="s">
        <v>26</v>
      </c>
      <c r="R852" s="4">
        <v>0</v>
      </c>
      <c r="S852" s="4" t="s">
        <v>369</v>
      </c>
      <c r="T852" s="4" t="s">
        <v>615</v>
      </c>
      <c r="U852" s="4">
        <v>0</v>
      </c>
      <c r="V852" s="4">
        <v>63</v>
      </c>
      <c r="W852" s="4">
        <v>105</v>
      </c>
    </row>
    <row r="853" spans="1:23" ht="11.25" customHeight="1" x14ac:dyDescent="0.25">
      <c r="A853" s="4" t="s">
        <v>21</v>
      </c>
      <c r="B853" s="4" t="s">
        <v>37</v>
      </c>
      <c r="C853" s="4" t="s">
        <v>33</v>
      </c>
      <c r="D853" s="4" t="s">
        <v>44</v>
      </c>
      <c r="E853" s="4" t="s">
        <v>25</v>
      </c>
      <c r="F853" s="4" t="s">
        <v>25</v>
      </c>
      <c r="G853" s="4" t="s">
        <v>25</v>
      </c>
      <c r="H853" s="4" t="s">
        <v>34</v>
      </c>
      <c r="I853" s="5">
        <v>44805</v>
      </c>
      <c r="J853" s="6">
        <v>0</v>
      </c>
      <c r="K853" s="6">
        <v>0</v>
      </c>
      <c r="L853" s="6">
        <v>1.9039999999999999</v>
      </c>
      <c r="M853" s="6">
        <v>1.9039999999999999</v>
      </c>
      <c r="N853" s="6">
        <v>1.9039999999999999</v>
      </c>
      <c r="O853" s="6">
        <v>1.9039999999999999</v>
      </c>
      <c r="P853" s="6">
        <v>0</v>
      </c>
      <c r="Q853" s="4" t="s">
        <v>26</v>
      </c>
      <c r="R853" s="4">
        <v>0</v>
      </c>
      <c r="S853" s="4" t="s">
        <v>370</v>
      </c>
      <c r="T853" s="4" t="s">
        <v>616</v>
      </c>
      <c r="U853" s="4">
        <v>0</v>
      </c>
      <c r="V853" s="4">
        <v>63</v>
      </c>
      <c r="W853" s="4">
        <v>105</v>
      </c>
    </row>
    <row r="854" spans="1:23" ht="11.25" customHeight="1" x14ac:dyDescent="0.25">
      <c r="A854" s="4" t="s">
        <v>21</v>
      </c>
      <c r="B854" s="4" t="s">
        <v>37</v>
      </c>
      <c r="C854" s="4" t="s">
        <v>33</v>
      </c>
      <c r="D854" s="4" t="s">
        <v>44</v>
      </c>
      <c r="E854" s="4" t="s">
        <v>25</v>
      </c>
      <c r="F854" s="4" t="s">
        <v>25</v>
      </c>
      <c r="G854" s="4" t="s">
        <v>25</v>
      </c>
      <c r="H854" s="4" t="s">
        <v>34</v>
      </c>
      <c r="I854" s="5">
        <v>44835</v>
      </c>
      <c r="J854" s="6">
        <v>0</v>
      </c>
      <c r="K854" s="6">
        <v>0</v>
      </c>
      <c r="L854" s="6">
        <v>2.452</v>
      </c>
      <c r="M854" s="6">
        <v>2.452</v>
      </c>
      <c r="N854" s="6">
        <v>2.452</v>
      </c>
      <c r="O854" s="6">
        <v>2.452</v>
      </c>
      <c r="P854" s="6">
        <v>0</v>
      </c>
      <c r="Q854" s="4" t="s">
        <v>26</v>
      </c>
      <c r="R854" s="4">
        <v>0</v>
      </c>
      <c r="S854" s="4" t="s">
        <v>371</v>
      </c>
      <c r="T854" s="4" t="s">
        <v>617</v>
      </c>
      <c r="U854" s="4">
        <v>0</v>
      </c>
      <c r="V854" s="4">
        <v>63</v>
      </c>
      <c r="W854" s="4">
        <v>105</v>
      </c>
    </row>
    <row r="855" spans="1:23" ht="11.25" customHeight="1" x14ac:dyDescent="0.25">
      <c r="A855" s="4" t="s">
        <v>54</v>
      </c>
      <c r="B855" s="4" t="s">
        <v>37</v>
      </c>
      <c r="C855" s="4" t="s">
        <v>33</v>
      </c>
      <c r="D855" s="4" t="s">
        <v>44</v>
      </c>
      <c r="E855" s="4" t="s">
        <v>25</v>
      </c>
      <c r="F855" s="4" t="s">
        <v>25</v>
      </c>
      <c r="G855" s="4" t="s">
        <v>25</v>
      </c>
      <c r="H855" s="4" t="s">
        <v>34</v>
      </c>
      <c r="I855" s="5">
        <v>44866</v>
      </c>
      <c r="J855" s="6">
        <v>0</v>
      </c>
      <c r="K855" s="6">
        <v>0</v>
      </c>
      <c r="L855" s="6">
        <v>2.452</v>
      </c>
      <c r="M855" s="6">
        <v>2.452</v>
      </c>
      <c r="N855" s="6">
        <v>2.452</v>
      </c>
      <c r="O855" s="6">
        <v>2.452</v>
      </c>
      <c r="P855" s="6">
        <v>0</v>
      </c>
      <c r="Q855" s="4" t="s">
        <v>26</v>
      </c>
      <c r="R855" s="4">
        <v>0</v>
      </c>
      <c r="S855" s="4" t="s">
        <v>372</v>
      </c>
      <c r="T855" s="4" t="s">
        <v>618</v>
      </c>
      <c r="U855" s="4">
        <v>0</v>
      </c>
      <c r="V855" s="4">
        <v>63</v>
      </c>
      <c r="W855" s="4">
        <v>105</v>
      </c>
    </row>
    <row r="856" spans="1:23" ht="11.25" customHeight="1" x14ac:dyDescent="0.25">
      <c r="A856" s="4" t="s">
        <v>21</v>
      </c>
      <c r="B856" s="4" t="s">
        <v>37</v>
      </c>
      <c r="C856" s="4" t="s">
        <v>33</v>
      </c>
      <c r="D856" s="4" t="s">
        <v>38</v>
      </c>
      <c r="E856" s="4" t="s">
        <v>25</v>
      </c>
      <c r="F856" s="4" t="s">
        <v>25</v>
      </c>
      <c r="G856" s="4" t="s">
        <v>25</v>
      </c>
      <c r="H856" s="4" t="s">
        <v>35</v>
      </c>
      <c r="I856" s="5">
        <v>44835</v>
      </c>
      <c r="J856" s="6">
        <v>0</v>
      </c>
      <c r="K856" s="6">
        <v>0</v>
      </c>
      <c r="L856" s="6">
        <v>0.78400000000000003</v>
      </c>
      <c r="M856" s="6">
        <v>0.78400000000000003</v>
      </c>
      <c r="N856" s="6">
        <v>0.78400000000000003</v>
      </c>
      <c r="O856" s="6">
        <v>0.78400000000000003</v>
      </c>
      <c r="P856" s="6">
        <v>0</v>
      </c>
      <c r="Q856" s="4" t="s">
        <v>26</v>
      </c>
      <c r="R856" s="4">
        <v>0</v>
      </c>
      <c r="S856" s="4" t="s">
        <v>347</v>
      </c>
      <c r="T856" s="4" t="s">
        <v>593</v>
      </c>
      <c r="U856" s="4">
        <v>0</v>
      </c>
      <c r="V856" s="4">
        <v>65</v>
      </c>
      <c r="W856" s="4">
        <v>107</v>
      </c>
    </row>
    <row r="857" spans="1:23" ht="11.25" customHeight="1" x14ac:dyDescent="0.25">
      <c r="A857" s="4" t="s">
        <v>54</v>
      </c>
      <c r="B857" s="4" t="s">
        <v>37</v>
      </c>
      <c r="C857" s="4" t="s">
        <v>33</v>
      </c>
      <c r="D857" s="4" t="s">
        <v>38</v>
      </c>
      <c r="E857" s="4" t="s">
        <v>25</v>
      </c>
      <c r="F857" s="4" t="s">
        <v>25</v>
      </c>
      <c r="G857" s="4" t="s">
        <v>25</v>
      </c>
      <c r="H857" s="4" t="s">
        <v>35</v>
      </c>
      <c r="I857" s="5">
        <v>44866</v>
      </c>
      <c r="J857" s="6">
        <v>0</v>
      </c>
      <c r="K857" s="6">
        <v>0</v>
      </c>
      <c r="L857" s="6">
        <v>0.78400000000000003</v>
      </c>
      <c r="M857" s="6">
        <v>0.78400000000000003</v>
      </c>
      <c r="N857" s="6">
        <v>0.78400000000000003</v>
      </c>
      <c r="O857" s="6">
        <v>0.78400000000000003</v>
      </c>
      <c r="P857" s="6">
        <v>0</v>
      </c>
      <c r="Q857" s="4" t="s">
        <v>26</v>
      </c>
      <c r="R857" s="4">
        <v>0</v>
      </c>
      <c r="S857" s="4" t="s">
        <v>348</v>
      </c>
      <c r="T857" s="4" t="s">
        <v>594</v>
      </c>
      <c r="U857" s="4">
        <v>0</v>
      </c>
      <c r="V857" s="4">
        <v>65</v>
      </c>
      <c r="W857" s="4">
        <v>107</v>
      </c>
    </row>
    <row r="858" spans="1:23" ht="11.25" customHeight="1" x14ac:dyDescent="0.25">
      <c r="A858" s="4" t="s">
        <v>21</v>
      </c>
      <c r="B858" s="4" t="s">
        <v>37</v>
      </c>
      <c r="C858" s="4" t="s">
        <v>33</v>
      </c>
      <c r="D858" s="4" t="s">
        <v>38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44835</v>
      </c>
      <c r="J858" s="6">
        <v>0</v>
      </c>
      <c r="K858" s="6">
        <v>0</v>
      </c>
      <c r="L858" s="6">
        <v>1.6E-2</v>
      </c>
      <c r="M858" s="6">
        <v>1.6E-2</v>
      </c>
      <c r="N858" s="6">
        <v>1.6E-2</v>
      </c>
      <c r="O858" s="6">
        <v>1.6E-2</v>
      </c>
      <c r="P858" s="6">
        <v>0</v>
      </c>
      <c r="Q858" s="4" t="s">
        <v>26</v>
      </c>
      <c r="R858" s="4">
        <v>0</v>
      </c>
      <c r="S858" s="4" t="s">
        <v>359</v>
      </c>
      <c r="T858" s="4" t="s">
        <v>605</v>
      </c>
      <c r="U858" s="4">
        <v>0</v>
      </c>
      <c r="V858" s="4">
        <v>64</v>
      </c>
      <c r="W858" s="4">
        <v>106</v>
      </c>
    </row>
    <row r="859" spans="1:23" ht="11.25" customHeight="1" x14ac:dyDescent="0.25">
      <c r="A859" s="4" t="s">
        <v>54</v>
      </c>
      <c r="B859" s="4" t="s">
        <v>37</v>
      </c>
      <c r="C859" s="4" t="s">
        <v>33</v>
      </c>
      <c r="D859" s="4" t="s">
        <v>38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44866</v>
      </c>
      <c r="J859" s="6">
        <v>0</v>
      </c>
      <c r="K859" s="6">
        <v>0</v>
      </c>
      <c r="L859" s="6">
        <v>1.6E-2</v>
      </c>
      <c r="M859" s="6">
        <v>1.6E-2</v>
      </c>
      <c r="N859" s="6">
        <v>1.6E-2</v>
      </c>
      <c r="O859" s="6">
        <v>1.6E-2</v>
      </c>
      <c r="P859" s="6">
        <v>0</v>
      </c>
      <c r="Q859" s="4" t="s">
        <v>26</v>
      </c>
      <c r="R859" s="4">
        <v>0</v>
      </c>
      <c r="S859" s="4" t="s">
        <v>360</v>
      </c>
      <c r="T859" s="4" t="s">
        <v>606</v>
      </c>
      <c r="U859" s="4">
        <v>0</v>
      </c>
      <c r="V859" s="4">
        <v>64</v>
      </c>
      <c r="W859" s="4">
        <v>106</v>
      </c>
    </row>
    <row r="860" spans="1:23" ht="11.25" customHeight="1" x14ac:dyDescent="0.25">
      <c r="A860" s="4" t="s">
        <v>21</v>
      </c>
      <c r="B860" s="4" t="s">
        <v>37</v>
      </c>
      <c r="C860" s="4" t="s">
        <v>33</v>
      </c>
      <c r="D860" s="4" t="s">
        <v>38</v>
      </c>
      <c r="E860" s="4" t="s">
        <v>25</v>
      </c>
      <c r="F860" s="4" t="s">
        <v>25</v>
      </c>
      <c r="G860" s="4" t="s">
        <v>25</v>
      </c>
      <c r="H860" s="4" t="s">
        <v>34</v>
      </c>
      <c r="I860" s="5">
        <v>44835</v>
      </c>
      <c r="J860" s="6">
        <v>0</v>
      </c>
      <c r="K860" s="6">
        <v>0</v>
      </c>
      <c r="L860" s="6">
        <v>2.5000000000000001E-2</v>
      </c>
      <c r="M860" s="6">
        <v>2.5000000000000001E-2</v>
      </c>
      <c r="N860" s="6">
        <v>2.5000000000000001E-2</v>
      </c>
      <c r="O860" s="6">
        <v>2.5000000000000001E-2</v>
      </c>
      <c r="P860" s="6">
        <v>0</v>
      </c>
      <c r="Q860" s="4" t="s">
        <v>26</v>
      </c>
      <c r="R860" s="4">
        <v>0</v>
      </c>
      <c r="S860" s="4" t="s">
        <v>371</v>
      </c>
      <c r="T860" s="4" t="s">
        <v>617</v>
      </c>
      <c r="U860" s="4">
        <v>0</v>
      </c>
      <c r="V860" s="4">
        <v>63</v>
      </c>
      <c r="W860" s="4">
        <v>105</v>
      </c>
    </row>
    <row r="861" spans="1:23" ht="11.25" customHeight="1" x14ac:dyDescent="0.25">
      <c r="A861" s="4" t="s">
        <v>54</v>
      </c>
      <c r="B861" s="4" t="s">
        <v>37</v>
      </c>
      <c r="C861" s="4" t="s">
        <v>33</v>
      </c>
      <c r="D861" s="4" t="s">
        <v>38</v>
      </c>
      <c r="E861" s="4" t="s">
        <v>25</v>
      </c>
      <c r="F861" s="4" t="s">
        <v>25</v>
      </c>
      <c r="G861" s="4" t="s">
        <v>25</v>
      </c>
      <c r="H861" s="4" t="s">
        <v>34</v>
      </c>
      <c r="I861" s="5">
        <v>44866</v>
      </c>
      <c r="J861" s="6">
        <v>0</v>
      </c>
      <c r="K861" s="6">
        <v>0</v>
      </c>
      <c r="L861" s="6">
        <v>2.5000000000000001E-2</v>
      </c>
      <c r="M861" s="6">
        <v>2.5000000000000001E-2</v>
      </c>
      <c r="N861" s="6">
        <v>2.5000000000000001E-2</v>
      </c>
      <c r="O861" s="6">
        <v>2.5000000000000001E-2</v>
      </c>
      <c r="P861" s="6">
        <v>0</v>
      </c>
      <c r="Q861" s="4" t="s">
        <v>26</v>
      </c>
      <c r="R861" s="4">
        <v>0</v>
      </c>
      <c r="S861" s="4" t="s">
        <v>372</v>
      </c>
      <c r="T861" s="4" t="s">
        <v>618</v>
      </c>
      <c r="U861" s="4">
        <v>0</v>
      </c>
      <c r="V861" s="4">
        <v>63</v>
      </c>
      <c r="W861" s="4">
        <v>105</v>
      </c>
    </row>
    <row r="862" spans="1:23" ht="11.25" customHeight="1" x14ac:dyDescent="0.25">
      <c r="A862" s="4" t="s">
        <v>21</v>
      </c>
      <c r="B862" s="4" t="s">
        <v>37</v>
      </c>
      <c r="C862" s="4" t="s">
        <v>33</v>
      </c>
      <c r="D862" s="4" t="s">
        <v>47</v>
      </c>
      <c r="E862" s="4" t="s">
        <v>25</v>
      </c>
      <c r="F862" s="4" t="s">
        <v>25</v>
      </c>
      <c r="G862" s="4" t="s">
        <v>25</v>
      </c>
      <c r="H862" s="4" t="s">
        <v>35</v>
      </c>
      <c r="I862" s="5">
        <v>44621</v>
      </c>
      <c r="J862" s="6">
        <v>0</v>
      </c>
      <c r="K862" s="6">
        <v>0</v>
      </c>
      <c r="L862" s="6">
        <v>1.2010000000000001</v>
      </c>
      <c r="M862" s="6">
        <v>1.2010000000000001</v>
      </c>
      <c r="N862" s="6">
        <v>1.2010000000000001</v>
      </c>
      <c r="O862" s="6">
        <v>1.2010000000000001</v>
      </c>
      <c r="P862" s="6">
        <v>0</v>
      </c>
      <c r="Q862" s="4" t="s">
        <v>26</v>
      </c>
      <c r="R862" s="4">
        <v>0</v>
      </c>
      <c r="S862" s="4" t="s">
        <v>340</v>
      </c>
      <c r="T862" s="4" t="s">
        <v>586</v>
      </c>
      <c r="U862" s="4">
        <v>0</v>
      </c>
      <c r="V862" s="4">
        <v>65</v>
      </c>
      <c r="W862" s="4">
        <v>107</v>
      </c>
    </row>
    <row r="863" spans="1:23" ht="11.25" customHeight="1" x14ac:dyDescent="0.25">
      <c r="A863" s="4" t="s">
        <v>21</v>
      </c>
      <c r="B863" s="4" t="s">
        <v>37</v>
      </c>
      <c r="C863" s="4" t="s">
        <v>33</v>
      </c>
      <c r="D863" s="4" t="s">
        <v>47</v>
      </c>
      <c r="E863" s="4" t="s">
        <v>25</v>
      </c>
      <c r="F863" s="4" t="s">
        <v>25</v>
      </c>
      <c r="G863" s="4" t="s">
        <v>25</v>
      </c>
      <c r="H863" s="4" t="s">
        <v>35</v>
      </c>
      <c r="I863" s="5">
        <v>44652</v>
      </c>
      <c r="J863" s="6">
        <v>0</v>
      </c>
      <c r="K863" s="6">
        <v>0</v>
      </c>
      <c r="L863" s="6">
        <v>8.4789999999999992</v>
      </c>
      <c r="M863" s="6">
        <v>8.4789999999999992</v>
      </c>
      <c r="N863" s="6">
        <v>8.4789999999999992</v>
      </c>
      <c r="O863" s="6">
        <v>8.4789999999999992</v>
      </c>
      <c r="P863" s="6">
        <v>0</v>
      </c>
      <c r="Q863" s="4" t="s">
        <v>26</v>
      </c>
      <c r="R863" s="4">
        <v>0</v>
      </c>
      <c r="S863" s="4" t="s">
        <v>341</v>
      </c>
      <c r="T863" s="4" t="s">
        <v>587</v>
      </c>
      <c r="U863" s="4">
        <v>0</v>
      </c>
      <c r="V863" s="4">
        <v>65</v>
      </c>
      <c r="W863" s="4">
        <v>107</v>
      </c>
    </row>
    <row r="864" spans="1:23" ht="11.25" customHeight="1" x14ac:dyDescent="0.25">
      <c r="A864" s="4" t="s">
        <v>27</v>
      </c>
      <c r="B864" s="4" t="s">
        <v>37</v>
      </c>
      <c r="C864" s="4" t="s">
        <v>33</v>
      </c>
      <c r="D864" s="4" t="s">
        <v>47</v>
      </c>
      <c r="E864" s="4" t="s">
        <v>25</v>
      </c>
      <c r="F864" s="4" t="s">
        <v>25</v>
      </c>
      <c r="G864" s="4" t="s">
        <v>25</v>
      </c>
      <c r="H864" s="4" t="s">
        <v>35</v>
      </c>
      <c r="I864" s="5">
        <v>44652</v>
      </c>
      <c r="J864" s="6">
        <v>0</v>
      </c>
      <c r="K864" s="6">
        <v>0</v>
      </c>
      <c r="L864" s="6">
        <v>0.1</v>
      </c>
      <c r="M864" s="6">
        <v>0.1</v>
      </c>
      <c r="N864" s="6">
        <v>0.1</v>
      </c>
      <c r="O864" s="6">
        <v>0.1</v>
      </c>
      <c r="P864" s="6">
        <v>0</v>
      </c>
      <c r="Q864" s="4" t="s">
        <v>26</v>
      </c>
      <c r="R864" s="4">
        <v>0</v>
      </c>
      <c r="S864" s="4" t="s">
        <v>341</v>
      </c>
      <c r="T864" s="4" t="s">
        <v>587</v>
      </c>
      <c r="U864" s="4">
        <v>0</v>
      </c>
      <c r="V864" s="4">
        <v>65</v>
      </c>
      <c r="W864" s="4">
        <v>107</v>
      </c>
    </row>
    <row r="865" spans="1:23" ht="11.25" customHeight="1" x14ac:dyDescent="0.25">
      <c r="A865" s="4" t="s">
        <v>21</v>
      </c>
      <c r="B865" s="4" t="s">
        <v>37</v>
      </c>
      <c r="C865" s="4" t="s">
        <v>33</v>
      </c>
      <c r="D865" s="4" t="s">
        <v>47</v>
      </c>
      <c r="E865" s="4" t="s">
        <v>25</v>
      </c>
      <c r="F865" s="4" t="s">
        <v>25</v>
      </c>
      <c r="G865" s="4" t="s">
        <v>25</v>
      </c>
      <c r="H865" s="4" t="s">
        <v>35</v>
      </c>
      <c r="I865" s="5">
        <v>44682</v>
      </c>
      <c r="J865" s="6">
        <v>0</v>
      </c>
      <c r="K865" s="6">
        <v>0</v>
      </c>
      <c r="L865" s="6">
        <v>12.067</v>
      </c>
      <c r="M865" s="6">
        <v>12.067</v>
      </c>
      <c r="N865" s="6">
        <v>12.067</v>
      </c>
      <c r="O865" s="6">
        <v>12.067</v>
      </c>
      <c r="P865" s="6">
        <v>0</v>
      </c>
      <c r="Q865" s="4" t="s">
        <v>26</v>
      </c>
      <c r="R865" s="4">
        <v>0</v>
      </c>
      <c r="S865" s="4" t="s">
        <v>342</v>
      </c>
      <c r="T865" s="4" t="s">
        <v>588</v>
      </c>
      <c r="U865" s="4">
        <v>0</v>
      </c>
      <c r="V865" s="4">
        <v>65</v>
      </c>
      <c r="W865" s="4">
        <v>107</v>
      </c>
    </row>
    <row r="866" spans="1:23" ht="11.25" customHeight="1" x14ac:dyDescent="0.25">
      <c r="A866" s="4" t="s">
        <v>27</v>
      </c>
      <c r="B866" s="4" t="s">
        <v>37</v>
      </c>
      <c r="C866" s="4" t="s">
        <v>33</v>
      </c>
      <c r="D866" s="4" t="s">
        <v>47</v>
      </c>
      <c r="E866" s="4" t="s">
        <v>25</v>
      </c>
      <c r="F866" s="4" t="s">
        <v>25</v>
      </c>
      <c r="G866" s="4" t="s">
        <v>25</v>
      </c>
      <c r="H866" s="4" t="s">
        <v>35</v>
      </c>
      <c r="I866" s="5">
        <v>44682</v>
      </c>
      <c r="J866" s="6">
        <v>0</v>
      </c>
      <c r="K866" s="6">
        <v>0</v>
      </c>
      <c r="L866" s="6">
        <v>0.60699999999999998</v>
      </c>
      <c r="M866" s="6">
        <v>0.60699999999999998</v>
      </c>
      <c r="N866" s="6">
        <v>0.60699999999999998</v>
      </c>
      <c r="O866" s="6">
        <v>0.60699999999999998</v>
      </c>
      <c r="P866" s="6">
        <v>0</v>
      </c>
      <c r="Q866" s="4" t="s">
        <v>26</v>
      </c>
      <c r="R866" s="4">
        <v>0</v>
      </c>
      <c r="S866" s="4" t="s">
        <v>342</v>
      </c>
      <c r="T866" s="4" t="s">
        <v>588</v>
      </c>
      <c r="U866" s="4">
        <v>0</v>
      </c>
      <c r="V866" s="4">
        <v>65</v>
      </c>
      <c r="W866" s="4">
        <v>107</v>
      </c>
    </row>
    <row r="867" spans="1:23" ht="11.25" customHeight="1" x14ac:dyDescent="0.25">
      <c r="A867" s="4" t="s">
        <v>21</v>
      </c>
      <c r="B867" s="4" t="s">
        <v>37</v>
      </c>
      <c r="C867" s="4" t="s">
        <v>33</v>
      </c>
      <c r="D867" s="4" t="s">
        <v>47</v>
      </c>
      <c r="E867" s="4" t="s">
        <v>25</v>
      </c>
      <c r="F867" s="4" t="s">
        <v>25</v>
      </c>
      <c r="G867" s="4" t="s">
        <v>25</v>
      </c>
      <c r="H867" s="4" t="s">
        <v>35</v>
      </c>
      <c r="I867" s="5">
        <v>44713</v>
      </c>
      <c r="J867" s="6">
        <v>0</v>
      </c>
      <c r="K867" s="6">
        <v>0</v>
      </c>
      <c r="L867" s="6">
        <v>11.173</v>
      </c>
      <c r="M867" s="6">
        <v>11.173</v>
      </c>
      <c r="N867" s="6">
        <v>11.173</v>
      </c>
      <c r="O867" s="6">
        <v>11.173</v>
      </c>
      <c r="P867" s="6">
        <v>0</v>
      </c>
      <c r="Q867" s="4" t="s">
        <v>26</v>
      </c>
      <c r="R867" s="4">
        <v>0</v>
      </c>
      <c r="S867" s="4" t="s">
        <v>343</v>
      </c>
      <c r="T867" s="4" t="s">
        <v>589</v>
      </c>
      <c r="U867" s="4">
        <v>0</v>
      </c>
      <c r="V867" s="4">
        <v>65</v>
      </c>
      <c r="W867" s="4">
        <v>107</v>
      </c>
    </row>
    <row r="868" spans="1:23" ht="11.25" customHeight="1" x14ac:dyDescent="0.25">
      <c r="A868" s="4" t="s">
        <v>21</v>
      </c>
      <c r="B868" s="4" t="s">
        <v>37</v>
      </c>
      <c r="C868" s="4" t="s">
        <v>33</v>
      </c>
      <c r="D868" s="4" t="s">
        <v>47</v>
      </c>
      <c r="E868" s="4" t="s">
        <v>25</v>
      </c>
      <c r="F868" s="4" t="s">
        <v>25</v>
      </c>
      <c r="G868" s="4" t="s">
        <v>25</v>
      </c>
      <c r="H868" s="4" t="s">
        <v>35</v>
      </c>
      <c r="I868" s="5">
        <v>44743</v>
      </c>
      <c r="J868" s="6">
        <v>0</v>
      </c>
      <c r="K868" s="6">
        <v>0</v>
      </c>
      <c r="L868" s="6">
        <v>11.907999999999999</v>
      </c>
      <c r="M868" s="6">
        <v>11.907999999999999</v>
      </c>
      <c r="N868" s="6">
        <v>11.907999999999999</v>
      </c>
      <c r="O868" s="6">
        <v>11.907999999999999</v>
      </c>
      <c r="P868" s="6">
        <v>0</v>
      </c>
      <c r="Q868" s="4" t="s">
        <v>26</v>
      </c>
      <c r="R868" s="4">
        <v>0</v>
      </c>
      <c r="S868" s="4" t="s">
        <v>344</v>
      </c>
      <c r="T868" s="4" t="s">
        <v>590</v>
      </c>
      <c r="U868" s="4">
        <v>0</v>
      </c>
      <c r="V868" s="4">
        <v>65</v>
      </c>
      <c r="W868" s="4">
        <v>107</v>
      </c>
    </row>
    <row r="869" spans="1:23" ht="11.25" customHeight="1" x14ac:dyDescent="0.25">
      <c r="A869" s="4" t="s">
        <v>21</v>
      </c>
      <c r="B869" s="4" t="s">
        <v>37</v>
      </c>
      <c r="C869" s="4" t="s">
        <v>33</v>
      </c>
      <c r="D869" s="4" t="s">
        <v>47</v>
      </c>
      <c r="E869" s="4" t="s">
        <v>25</v>
      </c>
      <c r="F869" s="4" t="s">
        <v>25</v>
      </c>
      <c r="G869" s="4" t="s">
        <v>25</v>
      </c>
      <c r="H869" s="4" t="s">
        <v>35</v>
      </c>
      <c r="I869" s="5">
        <v>44774</v>
      </c>
      <c r="J869" s="6">
        <v>0</v>
      </c>
      <c r="K869" s="6">
        <v>0</v>
      </c>
      <c r="L869" s="6">
        <v>15.36</v>
      </c>
      <c r="M869" s="6">
        <v>15.36</v>
      </c>
      <c r="N869" s="6">
        <v>15.36</v>
      </c>
      <c r="O869" s="6">
        <v>15.36</v>
      </c>
      <c r="P869" s="6">
        <v>0</v>
      </c>
      <c r="Q869" s="4" t="s">
        <v>26</v>
      </c>
      <c r="R869" s="4">
        <v>0</v>
      </c>
      <c r="S869" s="4" t="s">
        <v>345</v>
      </c>
      <c r="T869" s="4" t="s">
        <v>591</v>
      </c>
      <c r="U869" s="4">
        <v>0</v>
      </c>
      <c r="V869" s="4">
        <v>65</v>
      </c>
      <c r="W869" s="4">
        <v>107</v>
      </c>
    </row>
    <row r="870" spans="1:23" ht="11.25" customHeight="1" x14ac:dyDescent="0.25">
      <c r="A870" s="4" t="s">
        <v>21</v>
      </c>
      <c r="B870" s="4" t="s">
        <v>37</v>
      </c>
      <c r="C870" s="4" t="s">
        <v>33</v>
      </c>
      <c r="D870" s="4" t="s">
        <v>47</v>
      </c>
      <c r="E870" s="4" t="s">
        <v>25</v>
      </c>
      <c r="F870" s="4" t="s">
        <v>25</v>
      </c>
      <c r="G870" s="4" t="s">
        <v>25</v>
      </c>
      <c r="H870" s="4" t="s">
        <v>35</v>
      </c>
      <c r="I870" s="5">
        <v>44805</v>
      </c>
      <c r="J870" s="6">
        <v>0</v>
      </c>
      <c r="K870" s="6">
        <v>0</v>
      </c>
      <c r="L870" s="6">
        <v>13.993</v>
      </c>
      <c r="M870" s="6">
        <v>13.993</v>
      </c>
      <c r="N870" s="6">
        <v>13.993</v>
      </c>
      <c r="O870" s="6">
        <v>13.993</v>
      </c>
      <c r="P870" s="6">
        <v>0</v>
      </c>
      <c r="Q870" s="4" t="s">
        <v>26</v>
      </c>
      <c r="R870" s="4">
        <v>0</v>
      </c>
      <c r="S870" s="4" t="s">
        <v>346</v>
      </c>
      <c r="T870" s="4" t="s">
        <v>592</v>
      </c>
      <c r="U870" s="4">
        <v>0</v>
      </c>
      <c r="V870" s="4">
        <v>65</v>
      </c>
      <c r="W870" s="4">
        <v>107</v>
      </c>
    </row>
    <row r="871" spans="1:23" ht="11.25" customHeight="1" x14ac:dyDescent="0.25">
      <c r="A871" s="4" t="s">
        <v>21</v>
      </c>
      <c r="B871" s="4" t="s">
        <v>37</v>
      </c>
      <c r="C871" s="4" t="s">
        <v>33</v>
      </c>
      <c r="D871" s="4" t="s">
        <v>47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44621</v>
      </c>
      <c r="J871" s="6">
        <v>0</v>
      </c>
      <c r="K871" s="6">
        <v>0</v>
      </c>
      <c r="L871" s="6">
        <v>3.7999999999999999E-2</v>
      </c>
      <c r="M871" s="6">
        <v>3.7999999999999999E-2</v>
      </c>
      <c r="N871" s="6">
        <v>3.7999999999999999E-2</v>
      </c>
      <c r="O871" s="6">
        <v>3.7999999999999999E-2</v>
      </c>
      <c r="P871" s="6">
        <v>0</v>
      </c>
      <c r="Q871" s="4" t="s">
        <v>26</v>
      </c>
      <c r="R871" s="4">
        <v>0</v>
      </c>
      <c r="S871" s="4" t="s">
        <v>352</v>
      </c>
      <c r="T871" s="4" t="s">
        <v>598</v>
      </c>
      <c r="U871" s="4">
        <v>0</v>
      </c>
      <c r="V871" s="4">
        <v>64</v>
      </c>
      <c r="W871" s="4">
        <v>106</v>
      </c>
    </row>
    <row r="872" spans="1:23" ht="11.25" customHeight="1" x14ac:dyDescent="0.25">
      <c r="A872" s="4" t="s">
        <v>21</v>
      </c>
      <c r="B872" s="4" t="s">
        <v>37</v>
      </c>
      <c r="C872" s="4" t="s">
        <v>33</v>
      </c>
      <c r="D872" s="4" t="s">
        <v>47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44652</v>
      </c>
      <c r="J872" s="6">
        <v>0</v>
      </c>
      <c r="K872" s="6">
        <v>0</v>
      </c>
      <c r="L872" s="6">
        <v>1.423</v>
      </c>
      <c r="M872" s="6">
        <v>1.423</v>
      </c>
      <c r="N872" s="6">
        <v>1.423</v>
      </c>
      <c r="O872" s="6">
        <v>1.423</v>
      </c>
      <c r="P872" s="6">
        <v>0</v>
      </c>
      <c r="Q872" s="4" t="s">
        <v>26</v>
      </c>
      <c r="R872" s="4">
        <v>0</v>
      </c>
      <c r="S872" s="4" t="s">
        <v>353</v>
      </c>
      <c r="T872" s="4" t="s">
        <v>599</v>
      </c>
      <c r="U872" s="4">
        <v>0</v>
      </c>
      <c r="V872" s="4">
        <v>64</v>
      </c>
      <c r="W872" s="4">
        <v>106</v>
      </c>
    </row>
    <row r="873" spans="1:23" ht="11.25" customHeight="1" x14ac:dyDescent="0.25">
      <c r="A873" s="4" t="s">
        <v>21</v>
      </c>
      <c r="B873" s="4" t="s">
        <v>37</v>
      </c>
      <c r="C873" s="4" t="s">
        <v>33</v>
      </c>
      <c r="D873" s="4" t="s">
        <v>47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44682</v>
      </c>
      <c r="J873" s="6">
        <v>0</v>
      </c>
      <c r="K873" s="6">
        <v>0</v>
      </c>
      <c r="L873" s="6">
        <v>0.38700000000000001</v>
      </c>
      <c r="M873" s="6">
        <v>0.38700000000000001</v>
      </c>
      <c r="N873" s="6">
        <v>0.38700000000000001</v>
      </c>
      <c r="O873" s="6">
        <v>0.38700000000000001</v>
      </c>
      <c r="P873" s="6">
        <v>0</v>
      </c>
      <c r="Q873" s="4" t="s">
        <v>26</v>
      </c>
      <c r="R873" s="4">
        <v>0</v>
      </c>
      <c r="S873" s="4" t="s">
        <v>354</v>
      </c>
      <c r="T873" s="4" t="s">
        <v>600</v>
      </c>
      <c r="U873" s="4">
        <v>0</v>
      </c>
      <c r="V873" s="4">
        <v>64</v>
      </c>
      <c r="W873" s="4">
        <v>106</v>
      </c>
    </row>
    <row r="874" spans="1:23" ht="11.25" customHeight="1" x14ac:dyDescent="0.25">
      <c r="A874" s="4" t="s">
        <v>27</v>
      </c>
      <c r="B874" s="4" t="s">
        <v>37</v>
      </c>
      <c r="C874" s="4" t="s">
        <v>33</v>
      </c>
      <c r="D874" s="4" t="s">
        <v>47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44682</v>
      </c>
      <c r="J874" s="6">
        <v>0</v>
      </c>
      <c r="K874" s="6">
        <v>0</v>
      </c>
      <c r="L874" s="6">
        <v>-0.12</v>
      </c>
      <c r="M874" s="6">
        <v>-0.12</v>
      </c>
      <c r="N874" s="6">
        <v>-0.12</v>
      </c>
      <c r="O874" s="6">
        <v>-0.12</v>
      </c>
      <c r="P874" s="6">
        <v>0</v>
      </c>
      <c r="Q874" s="4" t="s">
        <v>26</v>
      </c>
      <c r="R874" s="4">
        <v>0</v>
      </c>
      <c r="S874" s="4" t="s">
        <v>354</v>
      </c>
      <c r="T874" s="4" t="s">
        <v>600</v>
      </c>
      <c r="U874" s="4">
        <v>0</v>
      </c>
      <c r="V874" s="4">
        <v>64</v>
      </c>
      <c r="W874" s="4">
        <v>106</v>
      </c>
    </row>
    <row r="875" spans="1:23" ht="11.25" customHeight="1" x14ac:dyDescent="0.25">
      <c r="A875" s="4" t="s">
        <v>21</v>
      </c>
      <c r="B875" s="4" t="s">
        <v>37</v>
      </c>
      <c r="C875" s="4" t="s">
        <v>33</v>
      </c>
      <c r="D875" s="4" t="s">
        <v>47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44713</v>
      </c>
      <c r="J875" s="6">
        <v>0</v>
      </c>
      <c r="K875" s="6">
        <v>0</v>
      </c>
      <c r="L875" s="6">
        <v>0.36199999999999999</v>
      </c>
      <c r="M875" s="6">
        <v>0.36199999999999999</v>
      </c>
      <c r="N875" s="6">
        <v>0.36199999999999999</v>
      </c>
      <c r="O875" s="6">
        <v>0.36199999999999999</v>
      </c>
      <c r="P875" s="6">
        <v>0</v>
      </c>
      <c r="Q875" s="4" t="s">
        <v>26</v>
      </c>
      <c r="R875" s="4">
        <v>0</v>
      </c>
      <c r="S875" s="4" t="s">
        <v>355</v>
      </c>
      <c r="T875" s="4" t="s">
        <v>601</v>
      </c>
      <c r="U875" s="4">
        <v>0</v>
      </c>
      <c r="V875" s="4">
        <v>64</v>
      </c>
      <c r="W875" s="4">
        <v>106</v>
      </c>
    </row>
    <row r="876" spans="1:23" ht="11.25" customHeight="1" x14ac:dyDescent="0.25">
      <c r="A876" s="4" t="s">
        <v>21</v>
      </c>
      <c r="B876" s="4" t="s">
        <v>37</v>
      </c>
      <c r="C876" s="4" t="s">
        <v>33</v>
      </c>
      <c r="D876" s="4" t="s">
        <v>47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44743</v>
      </c>
      <c r="J876" s="6">
        <v>0</v>
      </c>
      <c r="K876" s="6">
        <v>0</v>
      </c>
      <c r="L876" s="6">
        <v>0.379</v>
      </c>
      <c r="M876" s="6">
        <v>0.379</v>
      </c>
      <c r="N876" s="6">
        <v>0.379</v>
      </c>
      <c r="O876" s="6">
        <v>0.379</v>
      </c>
      <c r="P876" s="6">
        <v>0</v>
      </c>
      <c r="Q876" s="4" t="s">
        <v>26</v>
      </c>
      <c r="R876" s="4">
        <v>0</v>
      </c>
      <c r="S876" s="4" t="s">
        <v>356</v>
      </c>
      <c r="T876" s="4" t="s">
        <v>602</v>
      </c>
      <c r="U876" s="4">
        <v>0</v>
      </c>
      <c r="V876" s="4">
        <v>64</v>
      </c>
      <c r="W876" s="4">
        <v>106</v>
      </c>
    </row>
    <row r="877" spans="1:23" ht="11.25" customHeight="1" x14ac:dyDescent="0.25">
      <c r="A877" s="4" t="s">
        <v>21</v>
      </c>
      <c r="B877" s="4" t="s">
        <v>37</v>
      </c>
      <c r="C877" s="4" t="s">
        <v>33</v>
      </c>
      <c r="D877" s="4" t="s">
        <v>47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44774</v>
      </c>
      <c r="J877" s="6">
        <v>0</v>
      </c>
      <c r="K877" s="6">
        <v>0</v>
      </c>
      <c r="L877" s="6">
        <v>0.45800000000000002</v>
      </c>
      <c r="M877" s="6">
        <v>0.45800000000000002</v>
      </c>
      <c r="N877" s="6">
        <v>0.45800000000000002</v>
      </c>
      <c r="O877" s="6">
        <v>0.45800000000000002</v>
      </c>
      <c r="P877" s="6">
        <v>0</v>
      </c>
      <c r="Q877" s="4" t="s">
        <v>26</v>
      </c>
      <c r="R877" s="4">
        <v>0</v>
      </c>
      <c r="S877" s="4" t="s">
        <v>357</v>
      </c>
      <c r="T877" s="4" t="s">
        <v>603</v>
      </c>
      <c r="U877" s="4">
        <v>0</v>
      </c>
      <c r="V877" s="4">
        <v>64</v>
      </c>
      <c r="W877" s="4">
        <v>106</v>
      </c>
    </row>
    <row r="878" spans="1:23" ht="11.25" customHeight="1" x14ac:dyDescent="0.25">
      <c r="A878" s="4" t="s">
        <v>21</v>
      </c>
      <c r="B878" s="4" t="s">
        <v>37</v>
      </c>
      <c r="C878" s="4" t="s">
        <v>33</v>
      </c>
      <c r="D878" s="4" t="s">
        <v>47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44805</v>
      </c>
      <c r="J878" s="6">
        <v>0</v>
      </c>
      <c r="K878" s="6">
        <v>0</v>
      </c>
      <c r="L878" s="6">
        <v>0.45100000000000001</v>
      </c>
      <c r="M878" s="6">
        <v>0.45100000000000001</v>
      </c>
      <c r="N878" s="6">
        <v>0.45100000000000001</v>
      </c>
      <c r="O878" s="6">
        <v>0.45100000000000001</v>
      </c>
      <c r="P878" s="6">
        <v>0</v>
      </c>
      <c r="Q878" s="4" t="s">
        <v>26</v>
      </c>
      <c r="R878" s="4">
        <v>0</v>
      </c>
      <c r="S878" s="4" t="s">
        <v>358</v>
      </c>
      <c r="T878" s="4" t="s">
        <v>604</v>
      </c>
      <c r="U878" s="4">
        <v>0</v>
      </c>
      <c r="V878" s="4">
        <v>64</v>
      </c>
      <c r="W878" s="4">
        <v>106</v>
      </c>
    </row>
    <row r="879" spans="1:23" ht="11.25" customHeight="1" x14ac:dyDescent="0.25">
      <c r="A879" s="4" t="s">
        <v>21</v>
      </c>
      <c r="B879" s="4" t="s">
        <v>37</v>
      </c>
      <c r="C879" s="4" t="s">
        <v>33</v>
      </c>
      <c r="D879" s="4" t="s">
        <v>47</v>
      </c>
      <c r="E879" s="4" t="s">
        <v>25</v>
      </c>
      <c r="F879" s="4" t="s">
        <v>25</v>
      </c>
      <c r="G879" s="4" t="s">
        <v>25</v>
      </c>
      <c r="H879" s="4" t="s">
        <v>34</v>
      </c>
      <c r="I879" s="5">
        <v>44621</v>
      </c>
      <c r="J879" s="6">
        <v>0</v>
      </c>
      <c r="K879" s="6">
        <v>0</v>
      </c>
      <c r="L879" s="6">
        <v>2.3E-2</v>
      </c>
      <c r="M879" s="6">
        <v>2.3E-2</v>
      </c>
      <c r="N879" s="6">
        <v>2.3E-2</v>
      </c>
      <c r="O879" s="6">
        <v>2.3E-2</v>
      </c>
      <c r="P879" s="6">
        <v>0</v>
      </c>
      <c r="Q879" s="4" t="s">
        <v>26</v>
      </c>
      <c r="R879" s="4">
        <v>0</v>
      </c>
      <c r="S879" s="4" t="s">
        <v>364</v>
      </c>
      <c r="T879" s="4" t="s">
        <v>610</v>
      </c>
      <c r="U879" s="4">
        <v>0</v>
      </c>
      <c r="V879" s="4">
        <v>63</v>
      </c>
      <c r="W879" s="4">
        <v>105</v>
      </c>
    </row>
    <row r="880" spans="1:23" ht="11.25" customHeight="1" x14ac:dyDescent="0.25">
      <c r="A880" s="4" t="s">
        <v>21</v>
      </c>
      <c r="B880" s="4" t="s">
        <v>37</v>
      </c>
      <c r="C880" s="4" t="s">
        <v>33</v>
      </c>
      <c r="D880" s="4" t="s">
        <v>47</v>
      </c>
      <c r="E880" s="4" t="s">
        <v>25</v>
      </c>
      <c r="F880" s="4" t="s">
        <v>25</v>
      </c>
      <c r="G880" s="4" t="s">
        <v>25</v>
      </c>
      <c r="H880" s="4" t="s">
        <v>34</v>
      </c>
      <c r="I880" s="5">
        <v>44652</v>
      </c>
      <c r="J880" s="6">
        <v>0</v>
      </c>
      <c r="K880" s="6">
        <v>0</v>
      </c>
      <c r="L880" s="6">
        <v>0.14599999999999999</v>
      </c>
      <c r="M880" s="6">
        <v>0.14599999999999999</v>
      </c>
      <c r="N880" s="6">
        <v>0.14599999999999999</v>
      </c>
      <c r="O880" s="6">
        <v>0.14599999999999999</v>
      </c>
      <c r="P880" s="6">
        <v>0</v>
      </c>
      <c r="Q880" s="4" t="s">
        <v>26</v>
      </c>
      <c r="R880" s="4">
        <v>0</v>
      </c>
      <c r="S880" s="4" t="s">
        <v>365</v>
      </c>
      <c r="T880" s="4" t="s">
        <v>611</v>
      </c>
      <c r="U880" s="4">
        <v>0</v>
      </c>
      <c r="V880" s="4">
        <v>63</v>
      </c>
      <c r="W880" s="4">
        <v>105</v>
      </c>
    </row>
    <row r="881" spans="1:23" ht="11.25" customHeight="1" x14ac:dyDescent="0.25">
      <c r="A881" s="4" t="s">
        <v>21</v>
      </c>
      <c r="B881" s="4" t="s">
        <v>37</v>
      </c>
      <c r="C881" s="4" t="s">
        <v>33</v>
      </c>
      <c r="D881" s="4" t="s">
        <v>47</v>
      </c>
      <c r="E881" s="4" t="s">
        <v>25</v>
      </c>
      <c r="F881" s="4" t="s">
        <v>25</v>
      </c>
      <c r="G881" s="4" t="s">
        <v>25</v>
      </c>
      <c r="H881" s="4" t="s">
        <v>34</v>
      </c>
      <c r="I881" s="5">
        <v>44682</v>
      </c>
      <c r="J881" s="6">
        <v>0</v>
      </c>
      <c r="K881" s="6">
        <v>0</v>
      </c>
      <c r="L881" s="6">
        <v>0.40799999999999997</v>
      </c>
      <c r="M881" s="6">
        <v>0.40799999999999997</v>
      </c>
      <c r="N881" s="6">
        <v>0.40799999999999997</v>
      </c>
      <c r="O881" s="6">
        <v>0.40799999999999997</v>
      </c>
      <c r="P881" s="6">
        <v>0</v>
      </c>
      <c r="Q881" s="4" t="s">
        <v>26</v>
      </c>
      <c r="R881" s="4">
        <v>0</v>
      </c>
      <c r="S881" s="4" t="s">
        <v>366</v>
      </c>
      <c r="T881" s="4" t="s">
        <v>612</v>
      </c>
      <c r="U881" s="4">
        <v>0</v>
      </c>
      <c r="V881" s="4">
        <v>63</v>
      </c>
      <c r="W881" s="4">
        <v>105</v>
      </c>
    </row>
    <row r="882" spans="1:23" ht="11.25" customHeight="1" x14ac:dyDescent="0.25">
      <c r="A882" s="4" t="s">
        <v>27</v>
      </c>
      <c r="B882" s="4" t="s">
        <v>37</v>
      </c>
      <c r="C882" s="4" t="s">
        <v>33</v>
      </c>
      <c r="D882" s="4" t="s">
        <v>47</v>
      </c>
      <c r="E882" s="4" t="s">
        <v>25</v>
      </c>
      <c r="F882" s="4" t="s">
        <v>25</v>
      </c>
      <c r="G882" s="4" t="s">
        <v>25</v>
      </c>
      <c r="H882" s="4" t="s">
        <v>34</v>
      </c>
      <c r="I882" s="5">
        <v>44682</v>
      </c>
      <c r="J882" s="6">
        <v>0</v>
      </c>
      <c r="K882" s="6">
        <v>0</v>
      </c>
      <c r="L882" s="6">
        <v>7.6999999999999999E-2</v>
      </c>
      <c r="M882" s="6">
        <v>7.6999999999999999E-2</v>
      </c>
      <c r="N882" s="6">
        <v>7.6999999999999999E-2</v>
      </c>
      <c r="O882" s="6">
        <v>7.6999999999999999E-2</v>
      </c>
      <c r="P882" s="6">
        <v>0</v>
      </c>
      <c r="Q882" s="4" t="s">
        <v>26</v>
      </c>
      <c r="R882" s="4">
        <v>0</v>
      </c>
      <c r="S882" s="4" t="s">
        <v>366</v>
      </c>
      <c r="T882" s="4" t="s">
        <v>612</v>
      </c>
      <c r="U882" s="4">
        <v>0</v>
      </c>
      <c r="V882" s="4">
        <v>63</v>
      </c>
      <c r="W882" s="4">
        <v>105</v>
      </c>
    </row>
    <row r="883" spans="1:23" ht="11.25" customHeight="1" x14ac:dyDescent="0.25">
      <c r="A883" s="4" t="s">
        <v>21</v>
      </c>
      <c r="B883" s="4" t="s">
        <v>37</v>
      </c>
      <c r="C883" s="4" t="s">
        <v>33</v>
      </c>
      <c r="D883" s="4" t="s">
        <v>47</v>
      </c>
      <c r="E883" s="4" t="s">
        <v>25</v>
      </c>
      <c r="F883" s="4" t="s">
        <v>25</v>
      </c>
      <c r="G883" s="4" t="s">
        <v>25</v>
      </c>
      <c r="H883" s="4" t="s">
        <v>34</v>
      </c>
      <c r="I883" s="5">
        <v>44713</v>
      </c>
      <c r="J883" s="6">
        <v>0</v>
      </c>
      <c r="K883" s="6">
        <v>0</v>
      </c>
      <c r="L883" s="6">
        <v>0.67300000000000004</v>
      </c>
      <c r="M883" s="6">
        <v>0.67300000000000004</v>
      </c>
      <c r="N883" s="6">
        <v>0.67300000000000004</v>
      </c>
      <c r="O883" s="6">
        <v>0.67300000000000004</v>
      </c>
      <c r="P883" s="6">
        <v>0</v>
      </c>
      <c r="Q883" s="4" t="s">
        <v>26</v>
      </c>
      <c r="R883" s="4">
        <v>0</v>
      </c>
      <c r="S883" s="4" t="s">
        <v>367</v>
      </c>
      <c r="T883" s="4" t="s">
        <v>613</v>
      </c>
      <c r="U883" s="4">
        <v>0</v>
      </c>
      <c r="V883" s="4">
        <v>63</v>
      </c>
      <c r="W883" s="4">
        <v>105</v>
      </c>
    </row>
    <row r="884" spans="1:23" ht="11.25" customHeight="1" x14ac:dyDescent="0.25">
      <c r="A884" s="4" t="s">
        <v>21</v>
      </c>
      <c r="B884" s="4" t="s">
        <v>37</v>
      </c>
      <c r="C884" s="4" t="s">
        <v>33</v>
      </c>
      <c r="D884" s="4" t="s">
        <v>47</v>
      </c>
      <c r="E884" s="4" t="s">
        <v>25</v>
      </c>
      <c r="F884" s="4" t="s">
        <v>25</v>
      </c>
      <c r="G884" s="4" t="s">
        <v>25</v>
      </c>
      <c r="H884" s="4" t="s">
        <v>34</v>
      </c>
      <c r="I884" s="5">
        <v>44743</v>
      </c>
      <c r="J884" s="6">
        <v>0</v>
      </c>
      <c r="K884" s="6">
        <v>0</v>
      </c>
      <c r="L884" s="6">
        <v>0.66300000000000003</v>
      </c>
      <c r="M884" s="6">
        <v>0.66300000000000003</v>
      </c>
      <c r="N884" s="6">
        <v>0.66300000000000003</v>
      </c>
      <c r="O884" s="6">
        <v>0.66300000000000003</v>
      </c>
      <c r="P884" s="6">
        <v>0</v>
      </c>
      <c r="Q884" s="4" t="s">
        <v>26</v>
      </c>
      <c r="R884" s="4">
        <v>0</v>
      </c>
      <c r="S884" s="4" t="s">
        <v>368</v>
      </c>
      <c r="T884" s="4" t="s">
        <v>614</v>
      </c>
      <c r="U884" s="4">
        <v>0</v>
      </c>
      <c r="V884" s="4">
        <v>63</v>
      </c>
      <c r="W884" s="4">
        <v>105</v>
      </c>
    </row>
    <row r="885" spans="1:23" ht="11.25" customHeight="1" x14ac:dyDescent="0.25">
      <c r="A885" s="4" t="s">
        <v>21</v>
      </c>
      <c r="B885" s="4" t="s">
        <v>37</v>
      </c>
      <c r="C885" s="4" t="s">
        <v>33</v>
      </c>
      <c r="D885" s="4" t="s">
        <v>47</v>
      </c>
      <c r="E885" s="4" t="s">
        <v>25</v>
      </c>
      <c r="F885" s="4" t="s">
        <v>25</v>
      </c>
      <c r="G885" s="4" t="s">
        <v>25</v>
      </c>
      <c r="H885" s="4" t="s">
        <v>34</v>
      </c>
      <c r="I885" s="5">
        <v>44774</v>
      </c>
      <c r="J885" s="6">
        <v>0</v>
      </c>
      <c r="K885" s="6">
        <v>0</v>
      </c>
      <c r="L885" s="6">
        <v>0.55600000000000005</v>
      </c>
      <c r="M885" s="6">
        <v>0.55600000000000005</v>
      </c>
      <c r="N885" s="6">
        <v>0.55600000000000005</v>
      </c>
      <c r="O885" s="6">
        <v>0.55600000000000005</v>
      </c>
      <c r="P885" s="6">
        <v>0</v>
      </c>
      <c r="Q885" s="4" t="s">
        <v>26</v>
      </c>
      <c r="R885" s="4">
        <v>0</v>
      </c>
      <c r="S885" s="4" t="s">
        <v>369</v>
      </c>
      <c r="T885" s="4" t="s">
        <v>615</v>
      </c>
      <c r="U885" s="4">
        <v>0</v>
      </c>
      <c r="V885" s="4">
        <v>63</v>
      </c>
      <c r="W885" s="4">
        <v>105</v>
      </c>
    </row>
    <row r="886" spans="1:23" ht="11.25" customHeight="1" x14ac:dyDescent="0.25">
      <c r="A886" s="4" t="s">
        <v>21</v>
      </c>
      <c r="B886" s="4" t="s">
        <v>37</v>
      </c>
      <c r="C886" s="4" t="s">
        <v>33</v>
      </c>
      <c r="D886" s="4" t="s">
        <v>47</v>
      </c>
      <c r="E886" s="4" t="s">
        <v>25</v>
      </c>
      <c r="F886" s="4" t="s">
        <v>25</v>
      </c>
      <c r="G886" s="4" t="s">
        <v>25</v>
      </c>
      <c r="H886" s="4" t="s">
        <v>34</v>
      </c>
      <c r="I886" s="5">
        <v>44805</v>
      </c>
      <c r="J886" s="6">
        <v>0</v>
      </c>
      <c r="K886" s="6">
        <v>0</v>
      </c>
      <c r="L886" s="6">
        <v>0.54900000000000004</v>
      </c>
      <c r="M886" s="6">
        <v>0.54900000000000004</v>
      </c>
      <c r="N886" s="6">
        <v>0.54900000000000004</v>
      </c>
      <c r="O886" s="6">
        <v>0.54900000000000004</v>
      </c>
      <c r="P886" s="6">
        <v>0</v>
      </c>
      <c r="Q886" s="4" t="s">
        <v>26</v>
      </c>
      <c r="R886" s="4">
        <v>0</v>
      </c>
      <c r="S886" s="4" t="s">
        <v>370</v>
      </c>
      <c r="T886" s="4" t="s">
        <v>616</v>
      </c>
      <c r="U886" s="4">
        <v>0</v>
      </c>
      <c r="V886" s="4">
        <v>63</v>
      </c>
      <c r="W886" s="4">
        <v>105</v>
      </c>
    </row>
    <row r="887" spans="1:23" ht="11.25" customHeight="1" x14ac:dyDescent="0.25">
      <c r="A887" s="4" t="s">
        <v>21</v>
      </c>
      <c r="B887" s="4" t="s">
        <v>37</v>
      </c>
      <c r="C887" s="4" t="s">
        <v>23</v>
      </c>
      <c r="D887" s="4" t="s">
        <v>44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44531</v>
      </c>
      <c r="J887" s="6">
        <v>0</v>
      </c>
      <c r="K887" s="6">
        <v>0</v>
      </c>
      <c r="L887" s="6">
        <v>11556.769</v>
      </c>
      <c r="M887" s="6">
        <v>11556.769</v>
      </c>
      <c r="N887" s="6">
        <v>11556.769</v>
      </c>
      <c r="O887" s="6">
        <v>11556.769</v>
      </c>
      <c r="P887" s="6">
        <v>16490</v>
      </c>
      <c r="Q887" s="4" t="s">
        <v>26</v>
      </c>
      <c r="R887" s="4">
        <v>0</v>
      </c>
      <c r="S887" s="4" t="s">
        <v>373</v>
      </c>
      <c r="T887" s="4" t="s">
        <v>619</v>
      </c>
      <c r="U887" s="4">
        <v>0</v>
      </c>
      <c r="V887" s="4">
        <v>66</v>
      </c>
      <c r="W887" s="4">
        <v>3</v>
      </c>
    </row>
    <row r="888" spans="1:23" ht="11.25" customHeight="1" x14ac:dyDescent="0.25">
      <c r="A888" s="4" t="s">
        <v>27</v>
      </c>
      <c r="B888" s="4" t="s">
        <v>37</v>
      </c>
      <c r="C888" s="4" t="s">
        <v>23</v>
      </c>
      <c r="D888" s="4" t="s">
        <v>44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44531</v>
      </c>
      <c r="J888" s="6">
        <v>0</v>
      </c>
      <c r="K888" s="6">
        <v>0</v>
      </c>
      <c r="L888" s="6">
        <v>-322.38400000000001</v>
      </c>
      <c r="M888" s="6">
        <v>-322.38400000000001</v>
      </c>
      <c r="N888" s="6">
        <v>-322.38400000000001</v>
      </c>
      <c r="O888" s="6">
        <v>-322.38400000000001</v>
      </c>
      <c r="P888" s="6">
        <v>-236</v>
      </c>
      <c r="Q888" s="4" t="s">
        <v>26</v>
      </c>
      <c r="R888" s="4">
        <v>0</v>
      </c>
      <c r="S888" s="4" t="s">
        <v>373</v>
      </c>
      <c r="T888" s="4" t="s">
        <v>619</v>
      </c>
      <c r="U888" s="4">
        <v>0</v>
      </c>
      <c r="V888" s="4">
        <v>66</v>
      </c>
      <c r="W888" s="4">
        <v>3</v>
      </c>
    </row>
    <row r="889" spans="1:23" ht="11.25" customHeight="1" x14ac:dyDescent="0.25">
      <c r="A889" s="4" t="s">
        <v>28</v>
      </c>
      <c r="B889" s="4" t="s">
        <v>37</v>
      </c>
      <c r="C889" s="4" t="s">
        <v>23</v>
      </c>
      <c r="D889" s="4" t="s">
        <v>44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44531</v>
      </c>
      <c r="J889" s="6">
        <v>0</v>
      </c>
      <c r="K889" s="6">
        <v>0</v>
      </c>
      <c r="L889" s="6">
        <v>256.28899999999999</v>
      </c>
      <c r="M889" s="6">
        <v>256.28899999999999</v>
      </c>
      <c r="N889" s="6">
        <v>256.28899999999999</v>
      </c>
      <c r="O889" s="6">
        <v>256.28899999999999</v>
      </c>
      <c r="P889" s="6">
        <v>196</v>
      </c>
      <c r="Q889" s="4" t="s">
        <v>26</v>
      </c>
      <c r="R889" s="4">
        <v>0</v>
      </c>
      <c r="S889" s="4" t="s">
        <v>373</v>
      </c>
      <c r="T889" s="4" t="s">
        <v>619</v>
      </c>
      <c r="U889" s="4">
        <v>0</v>
      </c>
      <c r="V889" s="4">
        <v>66</v>
      </c>
      <c r="W889" s="4">
        <v>3</v>
      </c>
    </row>
    <row r="890" spans="1:23" ht="11.25" customHeight="1" x14ac:dyDescent="0.25">
      <c r="A890" s="4" t="s">
        <v>28</v>
      </c>
      <c r="B890" s="4" t="s">
        <v>37</v>
      </c>
      <c r="C890" s="4" t="s">
        <v>23</v>
      </c>
      <c r="D890" s="4" t="s">
        <v>44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44531</v>
      </c>
      <c r="J890" s="6">
        <v>0</v>
      </c>
      <c r="K890" s="6">
        <v>0</v>
      </c>
      <c r="L890" s="6">
        <v>0.20799999999999999</v>
      </c>
      <c r="M890" s="6">
        <v>0.20799999999999999</v>
      </c>
      <c r="N890" s="6">
        <v>0.20799999999999999</v>
      </c>
      <c r="O890" s="6">
        <v>0.20799999999999999</v>
      </c>
      <c r="P890" s="6">
        <v>1</v>
      </c>
      <c r="Q890" s="4" t="s">
        <v>26</v>
      </c>
      <c r="R890" s="4">
        <v>0</v>
      </c>
      <c r="S890" s="4" t="s">
        <v>373</v>
      </c>
      <c r="T890" s="4" t="s">
        <v>619</v>
      </c>
      <c r="U890" s="4">
        <v>0</v>
      </c>
      <c r="V890" s="4">
        <v>66</v>
      </c>
      <c r="W890" s="4">
        <v>3</v>
      </c>
    </row>
    <row r="891" spans="1:23" ht="11.25" customHeight="1" x14ac:dyDescent="0.25">
      <c r="A891" s="4" t="s">
        <v>21</v>
      </c>
      <c r="B891" s="4" t="s">
        <v>37</v>
      </c>
      <c r="C891" s="4" t="s">
        <v>23</v>
      </c>
      <c r="D891" s="4" t="s">
        <v>44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44562</v>
      </c>
      <c r="J891" s="6">
        <v>0</v>
      </c>
      <c r="K891" s="6">
        <v>0</v>
      </c>
      <c r="L891" s="6">
        <v>10244.385</v>
      </c>
      <c r="M891" s="6">
        <v>10244.385</v>
      </c>
      <c r="N891" s="6">
        <v>10244.385</v>
      </c>
      <c r="O891" s="6">
        <v>10244.385</v>
      </c>
      <c r="P891" s="6">
        <v>16405</v>
      </c>
      <c r="Q891" s="4" t="s">
        <v>26</v>
      </c>
      <c r="R891" s="4">
        <v>0</v>
      </c>
      <c r="S891" s="4" t="s">
        <v>374</v>
      </c>
      <c r="T891" s="4" t="s">
        <v>620</v>
      </c>
      <c r="U891" s="4">
        <v>0</v>
      </c>
      <c r="V891" s="4">
        <v>66</v>
      </c>
      <c r="W891" s="4">
        <v>3</v>
      </c>
    </row>
    <row r="892" spans="1:23" ht="11.25" customHeight="1" x14ac:dyDescent="0.25">
      <c r="A892" s="4" t="s">
        <v>27</v>
      </c>
      <c r="B892" s="4" t="s">
        <v>37</v>
      </c>
      <c r="C892" s="4" t="s">
        <v>23</v>
      </c>
      <c r="D892" s="4" t="s">
        <v>44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44562</v>
      </c>
      <c r="J892" s="6">
        <v>0</v>
      </c>
      <c r="K892" s="6">
        <v>0</v>
      </c>
      <c r="L892" s="6">
        <v>-227.30600000000001</v>
      </c>
      <c r="M892" s="6">
        <v>-227.30600000000001</v>
      </c>
      <c r="N892" s="6">
        <v>-227.30600000000001</v>
      </c>
      <c r="O892" s="6">
        <v>-227.30600000000001</v>
      </c>
      <c r="P892" s="6">
        <v>-342</v>
      </c>
      <c r="Q892" s="4" t="s">
        <v>26</v>
      </c>
      <c r="R892" s="4">
        <v>0</v>
      </c>
      <c r="S892" s="4" t="s">
        <v>374</v>
      </c>
      <c r="T892" s="4" t="s">
        <v>620</v>
      </c>
      <c r="U892" s="4">
        <v>0</v>
      </c>
      <c r="V892" s="4">
        <v>66</v>
      </c>
      <c r="W892" s="4">
        <v>3</v>
      </c>
    </row>
    <row r="893" spans="1:23" ht="11.25" customHeight="1" x14ac:dyDescent="0.25">
      <c r="A893" s="4" t="s">
        <v>28</v>
      </c>
      <c r="B893" s="4" t="s">
        <v>37</v>
      </c>
      <c r="C893" s="4" t="s">
        <v>23</v>
      </c>
      <c r="D893" s="4" t="s">
        <v>44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44562</v>
      </c>
      <c r="J893" s="6">
        <v>0</v>
      </c>
      <c r="K893" s="6">
        <v>0</v>
      </c>
      <c r="L893" s="6">
        <v>258.50099999999998</v>
      </c>
      <c r="M893" s="6">
        <v>258.50099999999998</v>
      </c>
      <c r="N893" s="6">
        <v>258.50099999999998</v>
      </c>
      <c r="O893" s="6">
        <v>258.50099999999998</v>
      </c>
      <c r="P893" s="6">
        <v>209</v>
      </c>
      <c r="Q893" s="4" t="s">
        <v>26</v>
      </c>
      <c r="R893" s="4">
        <v>0</v>
      </c>
      <c r="S893" s="4" t="s">
        <v>374</v>
      </c>
      <c r="T893" s="4" t="s">
        <v>620</v>
      </c>
      <c r="U893" s="4">
        <v>0</v>
      </c>
      <c r="V893" s="4">
        <v>66</v>
      </c>
      <c r="W893" s="4">
        <v>3</v>
      </c>
    </row>
    <row r="894" spans="1:23" ht="11.25" customHeight="1" x14ac:dyDescent="0.25">
      <c r="A894" s="4" t="s">
        <v>28</v>
      </c>
      <c r="B894" s="4" t="s">
        <v>37</v>
      </c>
      <c r="C894" s="4" t="s">
        <v>23</v>
      </c>
      <c r="D894" s="4" t="s">
        <v>44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44562</v>
      </c>
      <c r="J894" s="6">
        <v>0</v>
      </c>
      <c r="K894" s="6">
        <v>0</v>
      </c>
      <c r="L894" s="6">
        <v>1.4750000000000001</v>
      </c>
      <c r="M894" s="6">
        <v>1.4750000000000001</v>
      </c>
      <c r="N894" s="6">
        <v>1.4750000000000001</v>
      </c>
      <c r="O894" s="6">
        <v>1.4750000000000001</v>
      </c>
      <c r="P894" s="6">
        <v>2</v>
      </c>
      <c r="Q894" s="4" t="s">
        <v>26</v>
      </c>
      <c r="R894" s="4">
        <v>0</v>
      </c>
      <c r="S894" s="4" t="s">
        <v>374</v>
      </c>
      <c r="T894" s="4" t="s">
        <v>620</v>
      </c>
      <c r="U894" s="4">
        <v>0</v>
      </c>
      <c r="V894" s="4">
        <v>66</v>
      </c>
      <c r="W894" s="4">
        <v>3</v>
      </c>
    </row>
    <row r="895" spans="1:23" ht="11.25" customHeight="1" x14ac:dyDescent="0.25">
      <c r="A895" s="4" t="s">
        <v>21</v>
      </c>
      <c r="B895" s="4" t="s">
        <v>37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44593</v>
      </c>
      <c r="J895" s="6">
        <v>0</v>
      </c>
      <c r="K895" s="6">
        <v>0</v>
      </c>
      <c r="L895" s="6">
        <v>9065.7800000000007</v>
      </c>
      <c r="M895" s="6">
        <v>9065.7800000000007</v>
      </c>
      <c r="N895" s="6">
        <v>9065.7800000000007</v>
      </c>
      <c r="O895" s="6">
        <v>9065.7800000000007</v>
      </c>
      <c r="P895" s="6">
        <v>15183</v>
      </c>
      <c r="Q895" s="4" t="s">
        <v>26</v>
      </c>
      <c r="R895" s="4">
        <v>0</v>
      </c>
      <c r="S895" s="4" t="s">
        <v>375</v>
      </c>
      <c r="T895" s="4" t="s">
        <v>621</v>
      </c>
      <c r="U895" s="4">
        <v>0</v>
      </c>
      <c r="V895" s="4">
        <v>66</v>
      </c>
      <c r="W895" s="4">
        <v>3</v>
      </c>
    </row>
    <row r="896" spans="1:23" ht="11.25" customHeight="1" x14ac:dyDescent="0.25">
      <c r="A896" s="4" t="s">
        <v>27</v>
      </c>
      <c r="B896" s="4" t="s">
        <v>37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44593</v>
      </c>
      <c r="J896" s="6">
        <v>0</v>
      </c>
      <c r="K896" s="6">
        <v>0</v>
      </c>
      <c r="L896" s="6">
        <v>-370.13099999999997</v>
      </c>
      <c r="M896" s="6">
        <v>-370.13099999999997</v>
      </c>
      <c r="N896" s="6">
        <v>-370.13099999999997</v>
      </c>
      <c r="O896" s="6">
        <v>-370.13099999999997</v>
      </c>
      <c r="P896" s="6">
        <v>-84</v>
      </c>
      <c r="Q896" s="4" t="s">
        <v>26</v>
      </c>
      <c r="R896" s="4">
        <v>0</v>
      </c>
      <c r="S896" s="4" t="s">
        <v>375</v>
      </c>
      <c r="T896" s="4" t="s">
        <v>621</v>
      </c>
      <c r="U896" s="4">
        <v>0</v>
      </c>
      <c r="V896" s="4">
        <v>66</v>
      </c>
      <c r="W896" s="4">
        <v>3</v>
      </c>
    </row>
    <row r="897" spans="1:23" ht="11.25" customHeight="1" x14ac:dyDescent="0.25">
      <c r="A897" s="4" t="s">
        <v>28</v>
      </c>
      <c r="B897" s="4" t="s">
        <v>37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44593</v>
      </c>
      <c r="J897" s="6">
        <v>0</v>
      </c>
      <c r="K897" s="6">
        <v>0</v>
      </c>
      <c r="L897" s="6">
        <v>329.10599999999999</v>
      </c>
      <c r="M897" s="6">
        <v>329.10599999999999</v>
      </c>
      <c r="N897" s="6">
        <v>329.10599999999999</v>
      </c>
      <c r="O897" s="6">
        <v>329.10599999999999</v>
      </c>
      <c r="P897" s="6">
        <v>214</v>
      </c>
      <c r="Q897" s="4" t="s">
        <v>26</v>
      </c>
      <c r="R897" s="4">
        <v>0</v>
      </c>
      <c r="S897" s="4" t="s">
        <v>375</v>
      </c>
      <c r="T897" s="4" t="s">
        <v>621</v>
      </c>
      <c r="U897" s="4">
        <v>0</v>
      </c>
      <c r="V897" s="4">
        <v>66</v>
      </c>
      <c r="W897" s="4">
        <v>3</v>
      </c>
    </row>
    <row r="898" spans="1:23" ht="11.25" customHeight="1" x14ac:dyDescent="0.25">
      <c r="A898" s="4" t="s">
        <v>21</v>
      </c>
      <c r="B898" s="4" t="s">
        <v>37</v>
      </c>
      <c r="C898" s="4" t="s">
        <v>23</v>
      </c>
      <c r="D898" s="4" t="s">
        <v>44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44621</v>
      </c>
      <c r="J898" s="6">
        <v>0</v>
      </c>
      <c r="K898" s="6">
        <v>0</v>
      </c>
      <c r="L898" s="6">
        <v>10219.133</v>
      </c>
      <c r="M898" s="6">
        <v>10219.133</v>
      </c>
      <c r="N898" s="6">
        <v>10219.133</v>
      </c>
      <c r="O898" s="6">
        <v>10219.133</v>
      </c>
      <c r="P898" s="6">
        <v>15279</v>
      </c>
      <c r="Q898" s="4" t="s">
        <v>26</v>
      </c>
      <c r="R898" s="4">
        <v>0</v>
      </c>
      <c r="S898" s="4" t="s">
        <v>376</v>
      </c>
      <c r="T898" s="4" t="s">
        <v>622</v>
      </c>
      <c r="U898" s="4">
        <v>0</v>
      </c>
      <c r="V898" s="4">
        <v>66</v>
      </c>
      <c r="W898" s="4">
        <v>3</v>
      </c>
    </row>
    <row r="899" spans="1:23" ht="11.25" customHeight="1" x14ac:dyDescent="0.25">
      <c r="A899" s="4" t="s">
        <v>27</v>
      </c>
      <c r="B899" s="4" t="s">
        <v>37</v>
      </c>
      <c r="C899" s="4" t="s">
        <v>23</v>
      </c>
      <c r="D899" s="4" t="s">
        <v>44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44621</v>
      </c>
      <c r="J899" s="6">
        <v>0</v>
      </c>
      <c r="K899" s="6">
        <v>0</v>
      </c>
      <c r="L899" s="6">
        <v>-354.66699999999997</v>
      </c>
      <c r="M899" s="6">
        <v>-354.66699999999997</v>
      </c>
      <c r="N899" s="6">
        <v>-354.66699999999997</v>
      </c>
      <c r="O899" s="6">
        <v>-354.66699999999997</v>
      </c>
      <c r="P899" s="6">
        <v>-518</v>
      </c>
      <c r="Q899" s="4" t="s">
        <v>26</v>
      </c>
      <c r="R899" s="4">
        <v>0</v>
      </c>
      <c r="S899" s="4" t="s">
        <v>376</v>
      </c>
      <c r="T899" s="4" t="s">
        <v>622</v>
      </c>
      <c r="U899" s="4">
        <v>0</v>
      </c>
      <c r="V899" s="4">
        <v>66</v>
      </c>
      <c r="W899" s="4">
        <v>3</v>
      </c>
    </row>
    <row r="900" spans="1:23" ht="11.25" customHeight="1" x14ac:dyDescent="0.25">
      <c r="A900" s="4" t="s">
        <v>28</v>
      </c>
      <c r="B900" s="4" t="s">
        <v>37</v>
      </c>
      <c r="C900" s="4" t="s">
        <v>23</v>
      </c>
      <c r="D900" s="4" t="s">
        <v>44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44621</v>
      </c>
      <c r="J900" s="6">
        <v>0</v>
      </c>
      <c r="K900" s="6">
        <v>0</v>
      </c>
      <c r="L900" s="6">
        <v>276.12</v>
      </c>
      <c r="M900" s="6">
        <v>276.12</v>
      </c>
      <c r="N900" s="6">
        <v>276.12</v>
      </c>
      <c r="O900" s="6">
        <v>276.12</v>
      </c>
      <c r="P900" s="6">
        <v>220</v>
      </c>
      <c r="Q900" s="4" t="s">
        <v>26</v>
      </c>
      <c r="R900" s="4">
        <v>0</v>
      </c>
      <c r="S900" s="4" t="s">
        <v>376</v>
      </c>
      <c r="T900" s="4" t="s">
        <v>622</v>
      </c>
      <c r="U900" s="4">
        <v>0</v>
      </c>
      <c r="V900" s="4">
        <v>66</v>
      </c>
      <c r="W900" s="4">
        <v>3</v>
      </c>
    </row>
    <row r="901" spans="1:23" ht="11.25" customHeight="1" x14ac:dyDescent="0.25">
      <c r="A901" s="4" t="s">
        <v>21</v>
      </c>
      <c r="B901" s="4" t="s">
        <v>37</v>
      </c>
      <c r="C901" s="4" t="s">
        <v>23</v>
      </c>
      <c r="D901" s="4" t="s">
        <v>44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44652</v>
      </c>
      <c r="J901" s="6">
        <v>0</v>
      </c>
      <c r="K901" s="6">
        <v>0</v>
      </c>
      <c r="L901" s="6">
        <v>9965.0439999999999</v>
      </c>
      <c r="M901" s="6">
        <v>9965.0439999999999</v>
      </c>
      <c r="N901" s="6">
        <v>9965.0439999999999</v>
      </c>
      <c r="O901" s="6">
        <v>9965.0439999999999</v>
      </c>
      <c r="P901" s="6">
        <v>15115</v>
      </c>
      <c r="Q901" s="4" t="s">
        <v>26</v>
      </c>
      <c r="R901" s="4">
        <v>0</v>
      </c>
      <c r="S901" s="4" t="s">
        <v>377</v>
      </c>
      <c r="T901" s="4" t="s">
        <v>623</v>
      </c>
      <c r="U901" s="4">
        <v>0</v>
      </c>
      <c r="V901" s="4">
        <v>66</v>
      </c>
      <c r="W901" s="4">
        <v>3</v>
      </c>
    </row>
    <row r="902" spans="1:23" ht="11.25" customHeight="1" x14ac:dyDescent="0.25">
      <c r="A902" s="4" t="s">
        <v>27</v>
      </c>
      <c r="B902" s="4" t="s">
        <v>37</v>
      </c>
      <c r="C902" s="4" t="s">
        <v>23</v>
      </c>
      <c r="D902" s="4" t="s">
        <v>44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44652</v>
      </c>
      <c r="J902" s="6">
        <v>0</v>
      </c>
      <c r="K902" s="6">
        <v>0</v>
      </c>
      <c r="L902" s="6">
        <v>-436.42399999999998</v>
      </c>
      <c r="M902" s="6">
        <v>-436.42399999999998</v>
      </c>
      <c r="N902" s="6">
        <v>-436.42399999999998</v>
      </c>
      <c r="O902" s="6">
        <v>-436.42399999999998</v>
      </c>
      <c r="P902" s="6">
        <v>-565</v>
      </c>
      <c r="Q902" s="4" t="s">
        <v>26</v>
      </c>
      <c r="R902" s="4">
        <v>0</v>
      </c>
      <c r="S902" s="4" t="s">
        <v>377</v>
      </c>
      <c r="T902" s="4" t="s">
        <v>623</v>
      </c>
      <c r="U902" s="4">
        <v>0</v>
      </c>
      <c r="V902" s="4">
        <v>66</v>
      </c>
      <c r="W902" s="4">
        <v>3</v>
      </c>
    </row>
    <row r="903" spans="1:23" ht="11.25" customHeight="1" x14ac:dyDescent="0.25">
      <c r="A903" s="4" t="s">
        <v>28</v>
      </c>
      <c r="B903" s="4" t="s">
        <v>37</v>
      </c>
      <c r="C903" s="4" t="s">
        <v>23</v>
      </c>
      <c r="D903" s="4" t="s">
        <v>44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44652</v>
      </c>
      <c r="J903" s="6">
        <v>0</v>
      </c>
      <c r="K903" s="6">
        <v>0</v>
      </c>
      <c r="L903" s="6">
        <v>299.40699999999998</v>
      </c>
      <c r="M903" s="6">
        <v>299.40699999999998</v>
      </c>
      <c r="N903" s="6">
        <v>299.40699999999998</v>
      </c>
      <c r="O903" s="6">
        <v>299.40699999999998</v>
      </c>
      <c r="P903" s="6">
        <v>234</v>
      </c>
      <c r="Q903" s="4" t="s">
        <v>26</v>
      </c>
      <c r="R903" s="4">
        <v>0</v>
      </c>
      <c r="S903" s="4" t="s">
        <v>377</v>
      </c>
      <c r="T903" s="4" t="s">
        <v>623</v>
      </c>
      <c r="U903" s="4">
        <v>0</v>
      </c>
      <c r="V903" s="4">
        <v>66</v>
      </c>
      <c r="W903" s="4">
        <v>3</v>
      </c>
    </row>
    <row r="904" spans="1:23" ht="11.25" customHeight="1" x14ac:dyDescent="0.25">
      <c r="A904" s="4" t="s">
        <v>28</v>
      </c>
      <c r="B904" s="4" t="s">
        <v>37</v>
      </c>
      <c r="C904" s="4" t="s">
        <v>23</v>
      </c>
      <c r="D904" s="4" t="s">
        <v>44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44652</v>
      </c>
      <c r="J904" s="6">
        <v>0</v>
      </c>
      <c r="K904" s="6">
        <v>0</v>
      </c>
      <c r="L904" s="6">
        <v>-4.76</v>
      </c>
      <c r="M904" s="6">
        <v>-4.76</v>
      </c>
      <c r="N904" s="6">
        <v>-4.76</v>
      </c>
      <c r="O904" s="6">
        <v>-4.76</v>
      </c>
      <c r="P904" s="6">
        <v>0</v>
      </c>
      <c r="Q904" s="4" t="s">
        <v>26</v>
      </c>
      <c r="R904" s="4">
        <v>0</v>
      </c>
      <c r="S904" s="4" t="s">
        <v>377</v>
      </c>
      <c r="T904" s="4" t="s">
        <v>623</v>
      </c>
      <c r="U904" s="4">
        <v>0</v>
      </c>
      <c r="V904" s="4">
        <v>66</v>
      </c>
      <c r="W904" s="4">
        <v>3</v>
      </c>
    </row>
    <row r="905" spans="1:23" ht="11.25" customHeight="1" x14ac:dyDescent="0.25">
      <c r="A905" s="4" t="s">
        <v>21</v>
      </c>
      <c r="B905" s="4" t="s">
        <v>37</v>
      </c>
      <c r="C905" s="4" t="s">
        <v>23</v>
      </c>
      <c r="D905" s="4" t="s">
        <v>44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44682</v>
      </c>
      <c r="J905" s="6">
        <v>0</v>
      </c>
      <c r="K905" s="6">
        <v>0</v>
      </c>
      <c r="L905" s="6">
        <v>11080.031999999999</v>
      </c>
      <c r="M905" s="6">
        <v>11080.031999999999</v>
      </c>
      <c r="N905" s="6">
        <v>11080.031999999999</v>
      </c>
      <c r="O905" s="6">
        <v>11080.031999999999</v>
      </c>
      <c r="P905" s="6">
        <v>15159</v>
      </c>
      <c r="Q905" s="4" t="s">
        <v>26</v>
      </c>
      <c r="R905" s="4">
        <v>0</v>
      </c>
      <c r="S905" s="4" t="s">
        <v>378</v>
      </c>
      <c r="T905" s="4" t="s">
        <v>624</v>
      </c>
      <c r="U905" s="4">
        <v>0</v>
      </c>
      <c r="V905" s="4">
        <v>66</v>
      </c>
      <c r="W905" s="4">
        <v>3</v>
      </c>
    </row>
    <row r="906" spans="1:23" ht="11.25" customHeight="1" x14ac:dyDescent="0.25">
      <c r="A906" s="4" t="s">
        <v>27</v>
      </c>
      <c r="B906" s="4" t="s">
        <v>37</v>
      </c>
      <c r="C906" s="4" t="s">
        <v>23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-594.08399999999995</v>
      </c>
      <c r="M906" s="6">
        <v>-594.08399999999995</v>
      </c>
      <c r="N906" s="6">
        <v>-594.08399999999995</v>
      </c>
      <c r="O906" s="6">
        <v>-594.08399999999995</v>
      </c>
      <c r="P906" s="6">
        <v>-243</v>
      </c>
      <c r="Q906" s="4" t="s">
        <v>26</v>
      </c>
      <c r="R906" s="4">
        <v>0</v>
      </c>
      <c r="S906" s="4" t="s">
        <v>378</v>
      </c>
      <c r="T906" s="4" t="s">
        <v>624</v>
      </c>
      <c r="U906" s="4">
        <v>0</v>
      </c>
      <c r="V906" s="4">
        <v>66</v>
      </c>
      <c r="W906" s="4">
        <v>3</v>
      </c>
    </row>
    <row r="907" spans="1:23" ht="11.25" customHeight="1" x14ac:dyDescent="0.25">
      <c r="A907" s="4" t="s">
        <v>28</v>
      </c>
      <c r="B907" s="4" t="s">
        <v>37</v>
      </c>
      <c r="C907" s="4" t="s">
        <v>23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314.38299999999998</v>
      </c>
      <c r="M907" s="6">
        <v>314.38299999999998</v>
      </c>
      <c r="N907" s="6">
        <v>314.38299999999998</v>
      </c>
      <c r="O907" s="6">
        <v>314.38299999999998</v>
      </c>
      <c r="P907" s="6">
        <v>249</v>
      </c>
      <c r="Q907" s="4" t="s">
        <v>26</v>
      </c>
      <c r="R907" s="4">
        <v>0</v>
      </c>
      <c r="S907" s="4" t="s">
        <v>378</v>
      </c>
      <c r="T907" s="4" t="s">
        <v>624</v>
      </c>
      <c r="U907" s="4">
        <v>0</v>
      </c>
      <c r="V907" s="4">
        <v>66</v>
      </c>
      <c r="W907" s="4">
        <v>3</v>
      </c>
    </row>
    <row r="908" spans="1:23" ht="11.25" customHeight="1" x14ac:dyDescent="0.25">
      <c r="A908" s="4" t="s">
        <v>28</v>
      </c>
      <c r="B908" s="4" t="s">
        <v>37</v>
      </c>
      <c r="C908" s="4" t="s">
        <v>23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44682</v>
      </c>
      <c r="J908" s="6">
        <v>0</v>
      </c>
      <c r="K908" s="6">
        <v>0</v>
      </c>
      <c r="L908" s="6">
        <v>-18</v>
      </c>
      <c r="M908" s="6">
        <v>-18</v>
      </c>
      <c r="N908" s="6">
        <v>-18</v>
      </c>
      <c r="O908" s="6">
        <v>-18</v>
      </c>
      <c r="P908" s="6">
        <v>0</v>
      </c>
      <c r="Q908" s="4" t="s">
        <v>26</v>
      </c>
      <c r="R908" s="4">
        <v>0</v>
      </c>
      <c r="S908" s="4" t="s">
        <v>378</v>
      </c>
      <c r="T908" s="4" t="s">
        <v>624</v>
      </c>
      <c r="U908" s="4">
        <v>0</v>
      </c>
      <c r="V908" s="4">
        <v>66</v>
      </c>
      <c r="W908" s="4">
        <v>3</v>
      </c>
    </row>
    <row r="909" spans="1:23" ht="11.25" customHeight="1" x14ac:dyDescent="0.25">
      <c r="A909" s="4" t="s">
        <v>21</v>
      </c>
      <c r="B909" s="4" t="s">
        <v>37</v>
      </c>
      <c r="C909" s="4" t="s">
        <v>23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44713</v>
      </c>
      <c r="J909" s="6">
        <v>0</v>
      </c>
      <c r="K909" s="6">
        <v>0</v>
      </c>
      <c r="L909" s="6">
        <v>11374.653</v>
      </c>
      <c r="M909" s="6">
        <v>11374.653</v>
      </c>
      <c r="N909" s="6">
        <v>11374.653</v>
      </c>
      <c r="O909" s="6">
        <v>11374.653</v>
      </c>
      <c r="P909" s="6">
        <v>15252</v>
      </c>
      <c r="Q909" s="4" t="s">
        <v>26</v>
      </c>
      <c r="R909" s="4">
        <v>0</v>
      </c>
      <c r="S909" s="4" t="s">
        <v>379</v>
      </c>
      <c r="T909" s="4" t="s">
        <v>625</v>
      </c>
      <c r="U909" s="4">
        <v>0</v>
      </c>
      <c r="V909" s="4">
        <v>66</v>
      </c>
      <c r="W909" s="4">
        <v>3</v>
      </c>
    </row>
    <row r="910" spans="1:23" ht="11.25" customHeight="1" x14ac:dyDescent="0.25">
      <c r="A910" s="4" t="s">
        <v>27</v>
      </c>
      <c r="B910" s="4" t="s">
        <v>37</v>
      </c>
      <c r="C910" s="4" t="s">
        <v>23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44713</v>
      </c>
      <c r="J910" s="6">
        <v>0</v>
      </c>
      <c r="K910" s="6">
        <v>0</v>
      </c>
      <c r="L910" s="6">
        <v>-116.081</v>
      </c>
      <c r="M910" s="6">
        <v>-116.081</v>
      </c>
      <c r="N910" s="6">
        <v>-116.081</v>
      </c>
      <c r="O910" s="6">
        <v>-116.081</v>
      </c>
      <c r="P910" s="6">
        <v>-174</v>
      </c>
      <c r="Q910" s="4" t="s">
        <v>26</v>
      </c>
      <c r="R910" s="4">
        <v>0</v>
      </c>
      <c r="S910" s="4" t="s">
        <v>379</v>
      </c>
      <c r="T910" s="4" t="s">
        <v>625</v>
      </c>
      <c r="U910" s="4">
        <v>0</v>
      </c>
      <c r="V910" s="4">
        <v>66</v>
      </c>
      <c r="W910" s="4">
        <v>3</v>
      </c>
    </row>
    <row r="911" spans="1:23" ht="11.25" customHeight="1" x14ac:dyDescent="0.25">
      <c r="A911" s="4" t="s">
        <v>28</v>
      </c>
      <c r="B911" s="4" t="s">
        <v>37</v>
      </c>
      <c r="C911" s="4" t="s">
        <v>23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44713</v>
      </c>
      <c r="J911" s="6">
        <v>0</v>
      </c>
      <c r="K911" s="6">
        <v>0</v>
      </c>
      <c r="L911" s="6">
        <v>355.75099999999998</v>
      </c>
      <c r="M911" s="6">
        <v>355.75099999999998</v>
      </c>
      <c r="N911" s="6">
        <v>355.75099999999998</v>
      </c>
      <c r="O911" s="6">
        <v>355.75099999999998</v>
      </c>
      <c r="P911" s="6">
        <v>257</v>
      </c>
      <c r="Q911" s="4" t="s">
        <v>26</v>
      </c>
      <c r="R911" s="4">
        <v>0</v>
      </c>
      <c r="S911" s="4" t="s">
        <v>379</v>
      </c>
      <c r="T911" s="4" t="s">
        <v>625</v>
      </c>
      <c r="U911" s="4">
        <v>0</v>
      </c>
      <c r="V911" s="4">
        <v>66</v>
      </c>
      <c r="W911" s="4">
        <v>3</v>
      </c>
    </row>
    <row r="912" spans="1:23" ht="11.25" customHeight="1" x14ac:dyDescent="0.25">
      <c r="A912" s="4" t="s">
        <v>21</v>
      </c>
      <c r="B912" s="4" t="s">
        <v>37</v>
      </c>
      <c r="C912" s="4" t="s">
        <v>23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44743</v>
      </c>
      <c r="J912" s="6">
        <v>0</v>
      </c>
      <c r="K912" s="6">
        <v>0</v>
      </c>
      <c r="L912" s="6">
        <v>10852.985000000001</v>
      </c>
      <c r="M912" s="6">
        <v>10852.985000000001</v>
      </c>
      <c r="N912" s="6">
        <v>10852.985000000001</v>
      </c>
      <c r="O912" s="6">
        <v>10852.985000000001</v>
      </c>
      <c r="P912" s="6">
        <v>15212</v>
      </c>
      <c r="Q912" s="4" t="s">
        <v>26</v>
      </c>
      <c r="R912" s="4">
        <v>0</v>
      </c>
      <c r="S912" s="4" t="s">
        <v>380</v>
      </c>
      <c r="T912" s="4" t="s">
        <v>626</v>
      </c>
      <c r="U912" s="4">
        <v>0</v>
      </c>
      <c r="V912" s="4">
        <v>66</v>
      </c>
      <c r="W912" s="4">
        <v>3</v>
      </c>
    </row>
    <row r="913" spans="1:23" ht="11.25" customHeight="1" x14ac:dyDescent="0.25">
      <c r="A913" s="4" t="s">
        <v>27</v>
      </c>
      <c r="B913" s="4" t="s">
        <v>37</v>
      </c>
      <c r="C913" s="4" t="s">
        <v>23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44743</v>
      </c>
      <c r="J913" s="6">
        <v>0</v>
      </c>
      <c r="K913" s="6">
        <v>0</v>
      </c>
      <c r="L913" s="6">
        <v>-307.89299999999997</v>
      </c>
      <c r="M913" s="6">
        <v>-307.89299999999997</v>
      </c>
      <c r="N913" s="6">
        <v>-307.89299999999997</v>
      </c>
      <c r="O913" s="6">
        <v>-307.89299999999997</v>
      </c>
      <c r="P913" s="6">
        <v>-616</v>
      </c>
      <c r="Q913" s="4" t="s">
        <v>26</v>
      </c>
      <c r="R913" s="4">
        <v>0</v>
      </c>
      <c r="S913" s="4" t="s">
        <v>380</v>
      </c>
      <c r="T913" s="4" t="s">
        <v>626</v>
      </c>
      <c r="U913" s="4">
        <v>0</v>
      </c>
      <c r="V913" s="4">
        <v>66</v>
      </c>
      <c r="W913" s="4">
        <v>3</v>
      </c>
    </row>
    <row r="914" spans="1:23" ht="11.25" customHeight="1" x14ac:dyDescent="0.25">
      <c r="A914" s="4" t="s">
        <v>28</v>
      </c>
      <c r="B914" s="4" t="s">
        <v>37</v>
      </c>
      <c r="C914" s="4" t="s">
        <v>23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44743</v>
      </c>
      <c r="J914" s="6">
        <v>0</v>
      </c>
      <c r="K914" s="6">
        <v>0</v>
      </c>
      <c r="L914" s="6">
        <v>311.613</v>
      </c>
      <c r="M914" s="6">
        <v>311.613</v>
      </c>
      <c r="N914" s="6">
        <v>311.613</v>
      </c>
      <c r="O914" s="6">
        <v>311.613</v>
      </c>
      <c r="P914" s="6">
        <v>265</v>
      </c>
      <c r="Q914" s="4" t="s">
        <v>26</v>
      </c>
      <c r="R914" s="4">
        <v>0</v>
      </c>
      <c r="S914" s="4" t="s">
        <v>380</v>
      </c>
      <c r="T914" s="4" t="s">
        <v>626</v>
      </c>
      <c r="U914" s="4">
        <v>0</v>
      </c>
      <c r="V914" s="4">
        <v>66</v>
      </c>
      <c r="W914" s="4">
        <v>3</v>
      </c>
    </row>
    <row r="915" spans="1:23" ht="11.25" customHeight="1" x14ac:dyDescent="0.25">
      <c r="A915" s="4" t="s">
        <v>21</v>
      </c>
      <c r="B915" s="4" t="s">
        <v>37</v>
      </c>
      <c r="C915" s="4" t="s">
        <v>23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44774</v>
      </c>
      <c r="J915" s="6">
        <v>0</v>
      </c>
      <c r="K915" s="6">
        <v>0</v>
      </c>
      <c r="L915" s="6">
        <v>11725.965</v>
      </c>
      <c r="M915" s="6">
        <v>11725.965</v>
      </c>
      <c r="N915" s="6">
        <v>11725.965</v>
      </c>
      <c r="O915" s="6">
        <v>11725.965</v>
      </c>
      <c r="P915" s="6">
        <v>15661</v>
      </c>
      <c r="Q915" s="4" t="s">
        <v>26</v>
      </c>
      <c r="R915" s="4">
        <v>0</v>
      </c>
      <c r="S915" s="4" t="s">
        <v>381</v>
      </c>
      <c r="T915" s="4" t="s">
        <v>627</v>
      </c>
      <c r="U915" s="4">
        <v>0</v>
      </c>
      <c r="V915" s="4">
        <v>66</v>
      </c>
      <c r="W915" s="4">
        <v>3</v>
      </c>
    </row>
    <row r="916" spans="1:23" ht="11.25" customHeight="1" x14ac:dyDescent="0.25">
      <c r="A916" s="4" t="s">
        <v>27</v>
      </c>
      <c r="B916" s="4" t="s">
        <v>37</v>
      </c>
      <c r="C916" s="4" t="s">
        <v>23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44774</v>
      </c>
      <c r="J916" s="6">
        <v>0</v>
      </c>
      <c r="K916" s="6">
        <v>0</v>
      </c>
      <c r="L916" s="6">
        <v>-287.28500000000003</v>
      </c>
      <c r="M916" s="6">
        <v>-287.28500000000003</v>
      </c>
      <c r="N916" s="6">
        <v>-287.28500000000003</v>
      </c>
      <c r="O916" s="6">
        <v>-287.28500000000003</v>
      </c>
      <c r="P916" s="6">
        <v>-334</v>
      </c>
      <c r="Q916" s="4" t="s">
        <v>26</v>
      </c>
      <c r="R916" s="4">
        <v>0</v>
      </c>
      <c r="S916" s="4" t="s">
        <v>381</v>
      </c>
      <c r="T916" s="4" t="s">
        <v>627</v>
      </c>
      <c r="U916" s="4">
        <v>0</v>
      </c>
      <c r="V916" s="4">
        <v>66</v>
      </c>
      <c r="W916" s="4">
        <v>3</v>
      </c>
    </row>
    <row r="917" spans="1:23" ht="11.25" customHeight="1" x14ac:dyDescent="0.25">
      <c r="A917" s="4" t="s">
        <v>28</v>
      </c>
      <c r="B917" s="4" t="s">
        <v>37</v>
      </c>
      <c r="C917" s="4" t="s">
        <v>23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44774</v>
      </c>
      <c r="J917" s="6">
        <v>0</v>
      </c>
      <c r="K917" s="6">
        <v>0</v>
      </c>
      <c r="L917" s="6">
        <v>357.03899999999999</v>
      </c>
      <c r="M917" s="6">
        <v>357.03899999999999</v>
      </c>
      <c r="N917" s="6">
        <v>357.03899999999999</v>
      </c>
      <c r="O917" s="6">
        <v>357.03899999999999</v>
      </c>
      <c r="P917" s="6">
        <v>277</v>
      </c>
      <c r="Q917" s="4" t="s">
        <v>26</v>
      </c>
      <c r="R917" s="4">
        <v>0</v>
      </c>
      <c r="S917" s="4" t="s">
        <v>381</v>
      </c>
      <c r="T917" s="4" t="s">
        <v>627</v>
      </c>
      <c r="U917" s="4">
        <v>0</v>
      </c>
      <c r="V917" s="4">
        <v>66</v>
      </c>
      <c r="W917" s="4">
        <v>3</v>
      </c>
    </row>
    <row r="918" spans="1:23" ht="11.25" customHeight="1" x14ac:dyDescent="0.25">
      <c r="A918" s="4" t="s">
        <v>21</v>
      </c>
      <c r="B918" s="4" t="s">
        <v>37</v>
      </c>
      <c r="C918" s="4" t="s">
        <v>23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44805</v>
      </c>
      <c r="J918" s="6">
        <v>0</v>
      </c>
      <c r="K918" s="6">
        <v>0</v>
      </c>
      <c r="L918" s="6">
        <v>12587.894</v>
      </c>
      <c r="M918" s="6">
        <v>12587.894</v>
      </c>
      <c r="N918" s="6">
        <v>12587.894</v>
      </c>
      <c r="O918" s="6">
        <v>12587.894</v>
      </c>
      <c r="P918" s="6">
        <v>14906</v>
      </c>
      <c r="Q918" s="4" t="s">
        <v>26</v>
      </c>
      <c r="R918" s="4">
        <v>0</v>
      </c>
      <c r="S918" s="4" t="s">
        <v>382</v>
      </c>
      <c r="T918" s="4" t="s">
        <v>628</v>
      </c>
      <c r="U918" s="4">
        <v>0</v>
      </c>
      <c r="V918" s="4">
        <v>66</v>
      </c>
      <c r="W918" s="4">
        <v>3</v>
      </c>
    </row>
    <row r="919" spans="1:23" ht="11.25" customHeight="1" x14ac:dyDescent="0.25">
      <c r="A919" s="4" t="s">
        <v>27</v>
      </c>
      <c r="B919" s="4" t="s">
        <v>37</v>
      </c>
      <c r="C919" s="4" t="s">
        <v>23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44805</v>
      </c>
      <c r="J919" s="6">
        <v>0</v>
      </c>
      <c r="K919" s="6">
        <v>0</v>
      </c>
      <c r="L919" s="6">
        <v>-358.16300000000001</v>
      </c>
      <c r="M919" s="6">
        <v>-358.16300000000001</v>
      </c>
      <c r="N919" s="6">
        <v>-358.16300000000001</v>
      </c>
      <c r="O919" s="6">
        <v>-358.16300000000001</v>
      </c>
      <c r="P919" s="6">
        <v>-1091</v>
      </c>
      <c r="Q919" s="4" t="s">
        <v>26</v>
      </c>
      <c r="R919" s="4">
        <v>0</v>
      </c>
      <c r="S919" s="4" t="s">
        <v>382</v>
      </c>
      <c r="T919" s="4" t="s">
        <v>628</v>
      </c>
      <c r="U919" s="4">
        <v>0</v>
      </c>
      <c r="V919" s="4">
        <v>66</v>
      </c>
      <c r="W919" s="4">
        <v>3</v>
      </c>
    </row>
    <row r="920" spans="1:23" ht="11.25" customHeight="1" x14ac:dyDescent="0.25">
      <c r="A920" s="4" t="s">
        <v>28</v>
      </c>
      <c r="B920" s="4" t="s">
        <v>37</v>
      </c>
      <c r="C920" s="4" t="s">
        <v>23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44805</v>
      </c>
      <c r="J920" s="6">
        <v>0</v>
      </c>
      <c r="K920" s="6">
        <v>0</v>
      </c>
      <c r="L920" s="6">
        <v>366.21499999999997</v>
      </c>
      <c r="M920" s="6">
        <v>366.21499999999997</v>
      </c>
      <c r="N920" s="6">
        <v>366.21499999999997</v>
      </c>
      <c r="O920" s="6">
        <v>366.21499999999997</v>
      </c>
      <c r="P920" s="6">
        <v>281</v>
      </c>
      <c r="Q920" s="4" t="s">
        <v>26</v>
      </c>
      <c r="R920" s="4">
        <v>0</v>
      </c>
      <c r="S920" s="4" t="s">
        <v>382</v>
      </c>
      <c r="T920" s="4" t="s">
        <v>628</v>
      </c>
      <c r="U920" s="4">
        <v>0</v>
      </c>
      <c r="V920" s="4">
        <v>66</v>
      </c>
      <c r="W920" s="4">
        <v>3</v>
      </c>
    </row>
    <row r="921" spans="1:23" ht="11.25" customHeight="1" x14ac:dyDescent="0.25">
      <c r="A921" s="4" t="s">
        <v>28</v>
      </c>
      <c r="B921" s="4" t="s">
        <v>37</v>
      </c>
      <c r="C921" s="4" t="s">
        <v>23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44805</v>
      </c>
      <c r="J921" s="6">
        <v>0</v>
      </c>
      <c r="K921" s="6">
        <v>0</v>
      </c>
      <c r="L921" s="6">
        <v>-0.1</v>
      </c>
      <c r="M921" s="6">
        <v>-0.1</v>
      </c>
      <c r="N921" s="6">
        <v>-0.1</v>
      </c>
      <c r="O921" s="6">
        <v>-0.1</v>
      </c>
      <c r="P921" s="6">
        <v>-2</v>
      </c>
      <c r="Q921" s="4" t="s">
        <v>26</v>
      </c>
      <c r="R921" s="4">
        <v>0</v>
      </c>
      <c r="S921" s="4" t="s">
        <v>382</v>
      </c>
      <c r="T921" s="4" t="s">
        <v>628</v>
      </c>
      <c r="U921" s="4">
        <v>0</v>
      </c>
      <c r="V921" s="4">
        <v>66</v>
      </c>
      <c r="W921" s="4">
        <v>3</v>
      </c>
    </row>
    <row r="922" spans="1:23" ht="11.25" customHeight="1" x14ac:dyDescent="0.25">
      <c r="A922" s="4" t="s">
        <v>21</v>
      </c>
      <c r="B922" s="4" t="s">
        <v>37</v>
      </c>
      <c r="C922" s="4" t="s">
        <v>23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44835</v>
      </c>
      <c r="J922" s="6">
        <v>0</v>
      </c>
      <c r="K922" s="6">
        <v>0</v>
      </c>
      <c r="L922" s="6">
        <v>13376.085999999999</v>
      </c>
      <c r="M922" s="6">
        <v>13376.085999999999</v>
      </c>
      <c r="N922" s="6">
        <v>13376.085999999999</v>
      </c>
      <c r="O922" s="6">
        <v>13376.085999999999</v>
      </c>
      <c r="P922" s="6">
        <v>15151</v>
      </c>
      <c r="Q922" s="4" t="s">
        <v>26</v>
      </c>
      <c r="R922" s="4">
        <v>0</v>
      </c>
      <c r="S922" s="4" t="s">
        <v>383</v>
      </c>
      <c r="T922" s="4" t="s">
        <v>629</v>
      </c>
      <c r="U922" s="4">
        <v>0</v>
      </c>
      <c r="V922" s="4">
        <v>66</v>
      </c>
      <c r="W922" s="4">
        <v>3</v>
      </c>
    </row>
    <row r="923" spans="1:23" ht="11.25" customHeight="1" x14ac:dyDescent="0.25">
      <c r="A923" s="4" t="s">
        <v>27</v>
      </c>
      <c r="B923" s="4" t="s">
        <v>37</v>
      </c>
      <c r="C923" s="4" t="s">
        <v>23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44835</v>
      </c>
      <c r="J923" s="6">
        <v>0</v>
      </c>
      <c r="K923" s="6">
        <v>0</v>
      </c>
      <c r="L923" s="6">
        <v>-476.08300000000003</v>
      </c>
      <c r="M923" s="6">
        <v>-476.08300000000003</v>
      </c>
      <c r="N923" s="6">
        <v>-476.08300000000003</v>
      </c>
      <c r="O923" s="6">
        <v>-476.08300000000003</v>
      </c>
      <c r="P923" s="6">
        <v>-223</v>
      </c>
      <c r="Q923" s="4" t="s">
        <v>26</v>
      </c>
      <c r="R923" s="4">
        <v>0</v>
      </c>
      <c r="S923" s="4" t="s">
        <v>383</v>
      </c>
      <c r="T923" s="4" t="s">
        <v>629</v>
      </c>
      <c r="U923" s="4">
        <v>0</v>
      </c>
      <c r="V923" s="4">
        <v>66</v>
      </c>
      <c r="W923" s="4">
        <v>3</v>
      </c>
    </row>
    <row r="924" spans="1:23" ht="11.25" customHeight="1" x14ac:dyDescent="0.25">
      <c r="A924" s="4" t="s">
        <v>28</v>
      </c>
      <c r="B924" s="4" t="s">
        <v>37</v>
      </c>
      <c r="C924" s="4" t="s">
        <v>23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44835</v>
      </c>
      <c r="J924" s="6">
        <v>0</v>
      </c>
      <c r="K924" s="6">
        <v>0</v>
      </c>
      <c r="L924" s="6">
        <v>363.98700000000002</v>
      </c>
      <c r="M924" s="6">
        <v>363.98700000000002</v>
      </c>
      <c r="N924" s="6">
        <v>363.98700000000002</v>
      </c>
      <c r="O924" s="6">
        <v>363.98700000000002</v>
      </c>
      <c r="P924" s="6">
        <v>294</v>
      </c>
      <c r="Q924" s="4" t="s">
        <v>26</v>
      </c>
      <c r="R924" s="4">
        <v>0</v>
      </c>
      <c r="S924" s="4" t="s">
        <v>383</v>
      </c>
      <c r="T924" s="4" t="s">
        <v>629</v>
      </c>
      <c r="U924" s="4">
        <v>0</v>
      </c>
      <c r="V924" s="4">
        <v>66</v>
      </c>
      <c r="W924" s="4">
        <v>3</v>
      </c>
    </row>
    <row r="925" spans="1:23" ht="11.25" customHeight="1" x14ac:dyDescent="0.25">
      <c r="A925" s="4" t="s">
        <v>54</v>
      </c>
      <c r="B925" s="4" t="s">
        <v>37</v>
      </c>
      <c r="C925" s="4" t="s">
        <v>23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44866</v>
      </c>
      <c r="J925" s="6">
        <v>0</v>
      </c>
      <c r="K925" s="6">
        <v>0</v>
      </c>
      <c r="L925" s="6">
        <v>13376.085999999999</v>
      </c>
      <c r="M925" s="6">
        <v>13376.085999999999</v>
      </c>
      <c r="N925" s="6">
        <v>13376.085999999999</v>
      </c>
      <c r="O925" s="6">
        <v>13376.085999999999</v>
      </c>
      <c r="P925" s="6">
        <v>15151</v>
      </c>
      <c r="Q925" s="4" t="s">
        <v>26</v>
      </c>
      <c r="R925" s="4">
        <v>0</v>
      </c>
      <c r="S925" s="4" t="s">
        <v>384</v>
      </c>
      <c r="T925" s="4" t="s">
        <v>630</v>
      </c>
      <c r="U925" s="4">
        <v>0</v>
      </c>
      <c r="V925" s="4">
        <v>66</v>
      </c>
      <c r="W925" s="4">
        <v>3</v>
      </c>
    </row>
    <row r="926" spans="1:23" ht="11.25" customHeight="1" x14ac:dyDescent="0.25">
      <c r="A926" s="4" t="s">
        <v>54</v>
      </c>
      <c r="B926" s="4" t="s">
        <v>37</v>
      </c>
      <c r="C926" s="4" t="s">
        <v>23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44866</v>
      </c>
      <c r="J926" s="6">
        <v>0</v>
      </c>
      <c r="K926" s="6">
        <v>0</v>
      </c>
      <c r="L926" s="6">
        <v>-476.08300000000003</v>
      </c>
      <c r="M926" s="6">
        <v>-476.08300000000003</v>
      </c>
      <c r="N926" s="6">
        <v>-476.08300000000003</v>
      </c>
      <c r="O926" s="6">
        <v>-476.08300000000003</v>
      </c>
      <c r="P926" s="6">
        <v>-223</v>
      </c>
      <c r="Q926" s="4" t="s">
        <v>26</v>
      </c>
      <c r="R926" s="4">
        <v>0</v>
      </c>
      <c r="S926" s="4" t="s">
        <v>384</v>
      </c>
      <c r="T926" s="4" t="s">
        <v>630</v>
      </c>
      <c r="U926" s="4">
        <v>0</v>
      </c>
      <c r="V926" s="4">
        <v>66</v>
      </c>
      <c r="W926" s="4">
        <v>3</v>
      </c>
    </row>
    <row r="927" spans="1:23" ht="11.25" customHeight="1" x14ac:dyDescent="0.25">
      <c r="A927" s="4" t="s">
        <v>54</v>
      </c>
      <c r="B927" s="4" t="s">
        <v>37</v>
      </c>
      <c r="C927" s="4" t="s">
        <v>23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44866</v>
      </c>
      <c r="J927" s="6">
        <v>0</v>
      </c>
      <c r="K927" s="6">
        <v>0</v>
      </c>
      <c r="L927" s="6">
        <v>363.98700000000002</v>
      </c>
      <c r="M927" s="6">
        <v>363.98700000000002</v>
      </c>
      <c r="N927" s="6">
        <v>363.98700000000002</v>
      </c>
      <c r="O927" s="6">
        <v>363.98700000000002</v>
      </c>
      <c r="P927" s="6">
        <v>294</v>
      </c>
      <c r="Q927" s="4" t="s">
        <v>26</v>
      </c>
      <c r="R927" s="4">
        <v>0</v>
      </c>
      <c r="S927" s="4" t="s">
        <v>384</v>
      </c>
      <c r="T927" s="4" t="s">
        <v>630</v>
      </c>
      <c r="U927" s="4">
        <v>0</v>
      </c>
      <c r="V927" s="4">
        <v>66</v>
      </c>
      <c r="W927" s="4">
        <v>3</v>
      </c>
    </row>
    <row r="928" spans="1:23" ht="11.25" customHeight="1" x14ac:dyDescent="0.25">
      <c r="A928" s="4" t="s">
        <v>21</v>
      </c>
      <c r="B928" s="4" t="s">
        <v>37</v>
      </c>
      <c r="C928" s="4" t="s">
        <v>23</v>
      </c>
      <c r="D928" s="4" t="s">
        <v>53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44531</v>
      </c>
      <c r="J928" s="6">
        <v>0</v>
      </c>
      <c r="K928" s="6">
        <v>0</v>
      </c>
      <c r="L928" s="6">
        <v>253.71</v>
      </c>
      <c r="M928" s="6">
        <v>253.71</v>
      </c>
      <c r="N928" s="6">
        <v>253.71</v>
      </c>
      <c r="O928" s="6">
        <v>253.71</v>
      </c>
      <c r="P928" s="6">
        <v>39</v>
      </c>
      <c r="Q928" s="4" t="s">
        <v>26</v>
      </c>
      <c r="R928" s="4">
        <v>0</v>
      </c>
      <c r="S928" s="4" t="s">
        <v>373</v>
      </c>
      <c r="T928" s="4" t="s">
        <v>619</v>
      </c>
      <c r="U928" s="4">
        <v>0</v>
      </c>
      <c r="V928" s="4">
        <v>66</v>
      </c>
      <c r="W928" s="4">
        <v>3</v>
      </c>
    </row>
    <row r="929" spans="1:23" ht="11.25" customHeight="1" x14ac:dyDescent="0.25">
      <c r="A929" s="4" t="s">
        <v>21</v>
      </c>
      <c r="B929" s="4" t="s">
        <v>37</v>
      </c>
      <c r="C929" s="4" t="s">
        <v>23</v>
      </c>
      <c r="D929" s="4" t="s">
        <v>53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44562</v>
      </c>
      <c r="J929" s="6">
        <v>0</v>
      </c>
      <c r="K929" s="6">
        <v>0</v>
      </c>
      <c r="L929" s="6">
        <v>187.81700000000001</v>
      </c>
      <c r="M929" s="6">
        <v>187.81700000000001</v>
      </c>
      <c r="N929" s="6">
        <v>187.81700000000001</v>
      </c>
      <c r="O929" s="6">
        <v>187.81700000000001</v>
      </c>
      <c r="P929" s="6">
        <v>38</v>
      </c>
      <c r="Q929" s="4" t="s">
        <v>26</v>
      </c>
      <c r="R929" s="4">
        <v>0</v>
      </c>
      <c r="S929" s="4" t="s">
        <v>374</v>
      </c>
      <c r="T929" s="4" t="s">
        <v>620</v>
      </c>
      <c r="U929" s="4">
        <v>0</v>
      </c>
      <c r="V929" s="4">
        <v>66</v>
      </c>
      <c r="W929" s="4">
        <v>3</v>
      </c>
    </row>
    <row r="930" spans="1:23" ht="11.25" customHeight="1" x14ac:dyDescent="0.25">
      <c r="A930" s="4" t="s">
        <v>21</v>
      </c>
      <c r="B930" s="4" t="s">
        <v>37</v>
      </c>
      <c r="C930" s="4" t="s">
        <v>23</v>
      </c>
      <c r="D930" s="4" t="s">
        <v>53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44593</v>
      </c>
      <c r="J930" s="6">
        <v>0</v>
      </c>
      <c r="K930" s="6">
        <v>0</v>
      </c>
      <c r="L930" s="6">
        <v>207.43799999999999</v>
      </c>
      <c r="M930" s="6">
        <v>207.43799999999999</v>
      </c>
      <c r="N930" s="6">
        <v>207.43799999999999</v>
      </c>
      <c r="O930" s="6">
        <v>207.43799999999999</v>
      </c>
      <c r="P930" s="6">
        <v>28</v>
      </c>
      <c r="Q930" s="4" t="s">
        <v>26</v>
      </c>
      <c r="R930" s="4">
        <v>0</v>
      </c>
      <c r="S930" s="4" t="s">
        <v>375</v>
      </c>
      <c r="T930" s="4" t="s">
        <v>621</v>
      </c>
      <c r="U930" s="4">
        <v>0</v>
      </c>
      <c r="V930" s="4">
        <v>66</v>
      </c>
      <c r="W930" s="4">
        <v>3</v>
      </c>
    </row>
    <row r="931" spans="1:23" ht="11.25" customHeight="1" x14ac:dyDescent="0.25">
      <c r="A931" s="4" t="s">
        <v>21</v>
      </c>
      <c r="B931" s="4" t="s">
        <v>37</v>
      </c>
      <c r="C931" s="4" t="s">
        <v>23</v>
      </c>
      <c r="D931" s="4" t="s">
        <v>53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44621</v>
      </c>
      <c r="J931" s="6">
        <v>0</v>
      </c>
      <c r="K931" s="6">
        <v>0</v>
      </c>
      <c r="L931" s="6">
        <v>152.38499999999999</v>
      </c>
      <c r="M931" s="6">
        <v>152.38499999999999</v>
      </c>
      <c r="N931" s="6">
        <v>152.38499999999999</v>
      </c>
      <c r="O931" s="6">
        <v>152.38499999999999</v>
      </c>
      <c r="P931" s="6">
        <v>31</v>
      </c>
      <c r="Q931" s="4" t="s">
        <v>26</v>
      </c>
      <c r="R931" s="4">
        <v>0</v>
      </c>
      <c r="S931" s="4" t="s">
        <v>376</v>
      </c>
      <c r="T931" s="4" t="s">
        <v>622</v>
      </c>
      <c r="U931" s="4">
        <v>0</v>
      </c>
      <c r="V931" s="4">
        <v>66</v>
      </c>
      <c r="W931" s="4">
        <v>3</v>
      </c>
    </row>
    <row r="932" spans="1:23" ht="11.25" customHeight="1" x14ac:dyDescent="0.25">
      <c r="A932" s="4" t="s">
        <v>21</v>
      </c>
      <c r="B932" s="4" t="s">
        <v>37</v>
      </c>
      <c r="C932" s="4" t="s">
        <v>23</v>
      </c>
      <c r="D932" s="4" t="s">
        <v>53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44652</v>
      </c>
      <c r="J932" s="6">
        <v>0</v>
      </c>
      <c r="K932" s="6">
        <v>0</v>
      </c>
      <c r="L932" s="6">
        <v>197.62</v>
      </c>
      <c r="M932" s="6">
        <v>197.62</v>
      </c>
      <c r="N932" s="6">
        <v>197.62</v>
      </c>
      <c r="O932" s="6">
        <v>197.62</v>
      </c>
      <c r="P932" s="6">
        <v>28</v>
      </c>
      <c r="Q932" s="4" t="s">
        <v>26</v>
      </c>
      <c r="R932" s="4">
        <v>0</v>
      </c>
      <c r="S932" s="4" t="s">
        <v>377</v>
      </c>
      <c r="T932" s="4" t="s">
        <v>623</v>
      </c>
      <c r="U932" s="4">
        <v>0</v>
      </c>
      <c r="V932" s="4">
        <v>66</v>
      </c>
      <c r="W932" s="4">
        <v>3</v>
      </c>
    </row>
    <row r="933" spans="1:23" ht="11.25" customHeight="1" x14ac:dyDescent="0.25">
      <c r="A933" s="4" t="s">
        <v>21</v>
      </c>
      <c r="B933" s="4" t="s">
        <v>37</v>
      </c>
      <c r="C933" s="4" t="s">
        <v>23</v>
      </c>
      <c r="D933" s="4" t="s">
        <v>53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44682</v>
      </c>
      <c r="J933" s="6">
        <v>0</v>
      </c>
      <c r="K933" s="6">
        <v>0</v>
      </c>
      <c r="L933" s="6">
        <v>167.821</v>
      </c>
      <c r="M933" s="6">
        <v>167.821</v>
      </c>
      <c r="N933" s="6">
        <v>167.821</v>
      </c>
      <c r="O933" s="6">
        <v>167.821</v>
      </c>
      <c r="P933" s="6">
        <v>31</v>
      </c>
      <c r="Q933" s="4" t="s">
        <v>26</v>
      </c>
      <c r="R933" s="4">
        <v>0</v>
      </c>
      <c r="S933" s="4" t="s">
        <v>378</v>
      </c>
      <c r="T933" s="4" t="s">
        <v>624</v>
      </c>
      <c r="U933" s="4">
        <v>0</v>
      </c>
      <c r="V933" s="4">
        <v>66</v>
      </c>
      <c r="W933" s="4">
        <v>3</v>
      </c>
    </row>
    <row r="934" spans="1:23" ht="11.25" customHeight="1" x14ac:dyDescent="0.25">
      <c r="A934" s="4" t="s">
        <v>21</v>
      </c>
      <c r="B934" s="4" t="s">
        <v>37</v>
      </c>
      <c r="C934" s="4" t="s">
        <v>23</v>
      </c>
      <c r="D934" s="4" t="s">
        <v>53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44713</v>
      </c>
      <c r="J934" s="6">
        <v>0</v>
      </c>
      <c r="K934" s="6">
        <v>0</v>
      </c>
      <c r="L934" s="6">
        <v>129.22800000000001</v>
      </c>
      <c r="M934" s="6">
        <v>129.22800000000001</v>
      </c>
      <c r="N934" s="6">
        <v>129.22800000000001</v>
      </c>
      <c r="O934" s="6">
        <v>129.22800000000001</v>
      </c>
      <c r="P934" s="6">
        <v>31</v>
      </c>
      <c r="Q934" s="4" t="s">
        <v>26</v>
      </c>
      <c r="R934" s="4">
        <v>0</v>
      </c>
      <c r="S934" s="4" t="s">
        <v>379</v>
      </c>
      <c r="T934" s="4" t="s">
        <v>625</v>
      </c>
      <c r="U934" s="4">
        <v>0</v>
      </c>
      <c r="V934" s="4">
        <v>66</v>
      </c>
      <c r="W934" s="4">
        <v>3</v>
      </c>
    </row>
    <row r="935" spans="1:23" ht="11.25" customHeight="1" x14ac:dyDescent="0.25">
      <c r="A935" s="4" t="s">
        <v>21</v>
      </c>
      <c r="B935" s="4" t="s">
        <v>37</v>
      </c>
      <c r="C935" s="4" t="s">
        <v>23</v>
      </c>
      <c r="D935" s="4" t="s">
        <v>53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44743</v>
      </c>
      <c r="J935" s="6">
        <v>0</v>
      </c>
      <c r="K935" s="6">
        <v>0</v>
      </c>
      <c r="L935" s="6">
        <v>147.977</v>
      </c>
      <c r="M935" s="6">
        <v>147.977</v>
      </c>
      <c r="N935" s="6">
        <v>147.977</v>
      </c>
      <c r="O935" s="6">
        <v>147.977</v>
      </c>
      <c r="P935" s="6">
        <v>32</v>
      </c>
      <c r="Q935" s="4" t="s">
        <v>26</v>
      </c>
      <c r="R935" s="4">
        <v>0</v>
      </c>
      <c r="S935" s="4" t="s">
        <v>380</v>
      </c>
      <c r="T935" s="4" t="s">
        <v>626</v>
      </c>
      <c r="U935" s="4">
        <v>0</v>
      </c>
      <c r="V935" s="4">
        <v>66</v>
      </c>
      <c r="W935" s="4">
        <v>3</v>
      </c>
    </row>
    <row r="936" spans="1:23" ht="11.25" customHeight="1" x14ac:dyDescent="0.25">
      <c r="A936" s="4" t="s">
        <v>21</v>
      </c>
      <c r="B936" s="4" t="s">
        <v>37</v>
      </c>
      <c r="C936" s="4" t="s">
        <v>23</v>
      </c>
      <c r="D936" s="4" t="s">
        <v>53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44774</v>
      </c>
      <c r="J936" s="6">
        <v>0</v>
      </c>
      <c r="K936" s="6">
        <v>0</v>
      </c>
      <c r="L936" s="6">
        <v>170.96</v>
      </c>
      <c r="M936" s="6">
        <v>170.96</v>
      </c>
      <c r="N936" s="6">
        <v>170.96</v>
      </c>
      <c r="O936" s="6">
        <v>170.96</v>
      </c>
      <c r="P936" s="6">
        <v>38</v>
      </c>
      <c r="Q936" s="4" t="s">
        <v>26</v>
      </c>
      <c r="R936" s="4">
        <v>0</v>
      </c>
      <c r="S936" s="4" t="s">
        <v>381</v>
      </c>
      <c r="T936" s="4" t="s">
        <v>627</v>
      </c>
      <c r="U936" s="4">
        <v>0</v>
      </c>
      <c r="V936" s="4">
        <v>66</v>
      </c>
      <c r="W936" s="4">
        <v>3</v>
      </c>
    </row>
    <row r="937" spans="1:23" ht="11.25" customHeight="1" x14ac:dyDescent="0.25">
      <c r="A937" s="4" t="s">
        <v>21</v>
      </c>
      <c r="B937" s="4" t="s">
        <v>37</v>
      </c>
      <c r="C937" s="4" t="s">
        <v>23</v>
      </c>
      <c r="D937" s="4" t="s">
        <v>53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44805</v>
      </c>
      <c r="J937" s="6">
        <v>0</v>
      </c>
      <c r="K937" s="6">
        <v>0</v>
      </c>
      <c r="L937" s="6">
        <v>159.78</v>
      </c>
      <c r="M937" s="6">
        <v>159.78</v>
      </c>
      <c r="N937" s="6">
        <v>159.78</v>
      </c>
      <c r="O937" s="6">
        <v>159.78</v>
      </c>
      <c r="P937" s="6">
        <v>36</v>
      </c>
      <c r="Q937" s="4" t="s">
        <v>26</v>
      </c>
      <c r="R937" s="4">
        <v>0</v>
      </c>
      <c r="S937" s="4" t="s">
        <v>382</v>
      </c>
      <c r="T937" s="4" t="s">
        <v>628</v>
      </c>
      <c r="U937" s="4">
        <v>0</v>
      </c>
      <c r="V937" s="4">
        <v>66</v>
      </c>
      <c r="W937" s="4">
        <v>3</v>
      </c>
    </row>
    <row r="938" spans="1:23" ht="11.25" customHeight="1" x14ac:dyDescent="0.25">
      <c r="A938" s="4" t="s">
        <v>21</v>
      </c>
      <c r="B938" s="4" t="s">
        <v>37</v>
      </c>
      <c r="C938" s="4" t="s">
        <v>23</v>
      </c>
      <c r="D938" s="4" t="s">
        <v>53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44835</v>
      </c>
      <c r="J938" s="6">
        <v>0</v>
      </c>
      <c r="K938" s="6">
        <v>0</v>
      </c>
      <c r="L938" s="6">
        <v>187.661</v>
      </c>
      <c r="M938" s="6">
        <v>187.661</v>
      </c>
      <c r="N938" s="6">
        <v>187.661</v>
      </c>
      <c r="O938" s="6">
        <v>187.661</v>
      </c>
      <c r="P938" s="6">
        <v>35</v>
      </c>
      <c r="Q938" s="4" t="s">
        <v>26</v>
      </c>
      <c r="R938" s="4">
        <v>0</v>
      </c>
      <c r="S938" s="4" t="s">
        <v>383</v>
      </c>
      <c r="T938" s="4" t="s">
        <v>629</v>
      </c>
      <c r="U938" s="4">
        <v>0</v>
      </c>
      <c r="V938" s="4">
        <v>66</v>
      </c>
      <c r="W938" s="4">
        <v>3</v>
      </c>
    </row>
    <row r="939" spans="1:23" ht="11.25" customHeight="1" x14ac:dyDescent="0.25">
      <c r="A939" s="4" t="s">
        <v>54</v>
      </c>
      <c r="B939" s="4" t="s">
        <v>37</v>
      </c>
      <c r="C939" s="4" t="s">
        <v>23</v>
      </c>
      <c r="D939" s="4" t="s">
        <v>53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44866</v>
      </c>
      <c r="J939" s="6">
        <v>0</v>
      </c>
      <c r="K939" s="6">
        <v>0</v>
      </c>
      <c r="L939" s="6">
        <v>187.661</v>
      </c>
      <c r="M939" s="6">
        <v>187.661</v>
      </c>
      <c r="N939" s="6">
        <v>187.661</v>
      </c>
      <c r="O939" s="6">
        <v>187.661</v>
      </c>
      <c r="P939" s="6">
        <v>35</v>
      </c>
      <c r="Q939" s="4" t="s">
        <v>26</v>
      </c>
      <c r="R939" s="4">
        <v>0</v>
      </c>
      <c r="S939" s="4" t="s">
        <v>384</v>
      </c>
      <c r="T939" s="4" t="s">
        <v>630</v>
      </c>
      <c r="U939" s="4">
        <v>0</v>
      </c>
      <c r="V939" s="4">
        <v>66</v>
      </c>
      <c r="W939" s="4">
        <v>3</v>
      </c>
    </row>
    <row r="940" spans="1:23" ht="11.25" customHeight="1" x14ac:dyDescent="0.25">
      <c r="A940" s="4" t="s">
        <v>21</v>
      </c>
      <c r="B940" s="4" t="s">
        <v>37</v>
      </c>
      <c r="C940" s="4" t="s">
        <v>23</v>
      </c>
      <c r="D940" s="4" t="s">
        <v>38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44531</v>
      </c>
      <c r="J940" s="6">
        <v>0</v>
      </c>
      <c r="K940" s="6">
        <v>0</v>
      </c>
      <c r="L940" s="6">
        <v>274.173</v>
      </c>
      <c r="M940" s="6">
        <v>274.173</v>
      </c>
      <c r="N940" s="6">
        <v>274.173</v>
      </c>
      <c r="O940" s="6">
        <v>274.173</v>
      </c>
      <c r="P940" s="6">
        <v>254</v>
      </c>
      <c r="Q940" s="4" t="s">
        <v>26</v>
      </c>
      <c r="R940" s="4">
        <v>0</v>
      </c>
      <c r="S940" s="4" t="s">
        <v>373</v>
      </c>
      <c r="T940" s="4" t="s">
        <v>619</v>
      </c>
      <c r="U940" s="4">
        <v>0</v>
      </c>
      <c r="V940" s="4">
        <v>66</v>
      </c>
      <c r="W940" s="4">
        <v>3</v>
      </c>
    </row>
    <row r="941" spans="1:23" ht="11.25" customHeight="1" x14ac:dyDescent="0.25">
      <c r="A941" s="4" t="s">
        <v>27</v>
      </c>
      <c r="B941" s="4" t="s">
        <v>37</v>
      </c>
      <c r="C941" s="4" t="s">
        <v>23</v>
      </c>
      <c r="D941" s="4" t="s">
        <v>38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44531</v>
      </c>
      <c r="J941" s="6">
        <v>0</v>
      </c>
      <c r="K941" s="6">
        <v>0</v>
      </c>
      <c r="L941" s="6">
        <v>-0.376</v>
      </c>
      <c r="M941" s="6">
        <v>-0.376</v>
      </c>
      <c r="N941" s="6">
        <v>-0.376</v>
      </c>
      <c r="O941" s="6">
        <v>-0.376</v>
      </c>
      <c r="P941" s="6">
        <v>0</v>
      </c>
      <c r="Q941" s="4" t="s">
        <v>26</v>
      </c>
      <c r="R941" s="4">
        <v>0</v>
      </c>
      <c r="S941" s="4" t="s">
        <v>373</v>
      </c>
      <c r="T941" s="4" t="s">
        <v>619</v>
      </c>
      <c r="U941" s="4">
        <v>0</v>
      </c>
      <c r="V941" s="4">
        <v>66</v>
      </c>
      <c r="W941" s="4">
        <v>3</v>
      </c>
    </row>
    <row r="942" spans="1:23" ht="11.25" customHeight="1" x14ac:dyDescent="0.25">
      <c r="A942" s="4" t="s">
        <v>28</v>
      </c>
      <c r="B942" s="4" t="s">
        <v>37</v>
      </c>
      <c r="C942" s="4" t="s">
        <v>23</v>
      </c>
      <c r="D942" s="4" t="s">
        <v>38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44531</v>
      </c>
      <c r="J942" s="6">
        <v>0</v>
      </c>
      <c r="K942" s="6">
        <v>0</v>
      </c>
      <c r="L942" s="6">
        <v>0.1</v>
      </c>
      <c r="M942" s="6">
        <v>0.1</v>
      </c>
      <c r="N942" s="6">
        <v>0.1</v>
      </c>
      <c r="O942" s="6">
        <v>0.1</v>
      </c>
      <c r="P942" s="6">
        <v>1</v>
      </c>
      <c r="Q942" s="4" t="s">
        <v>26</v>
      </c>
      <c r="R942" s="4">
        <v>0</v>
      </c>
      <c r="S942" s="4" t="s">
        <v>373</v>
      </c>
      <c r="T942" s="4" t="s">
        <v>619</v>
      </c>
      <c r="U942" s="4">
        <v>0</v>
      </c>
      <c r="V942" s="4">
        <v>66</v>
      </c>
      <c r="W942" s="4">
        <v>3</v>
      </c>
    </row>
    <row r="943" spans="1:23" ht="11.25" customHeight="1" x14ac:dyDescent="0.25">
      <c r="A943" s="4" t="s">
        <v>21</v>
      </c>
      <c r="B943" s="4" t="s">
        <v>37</v>
      </c>
      <c r="C943" s="4" t="s">
        <v>23</v>
      </c>
      <c r="D943" s="4" t="s">
        <v>38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44562</v>
      </c>
      <c r="J943" s="6">
        <v>0</v>
      </c>
      <c r="K943" s="6">
        <v>0</v>
      </c>
      <c r="L943" s="6">
        <v>257.28899999999999</v>
      </c>
      <c r="M943" s="6">
        <v>257.28899999999999</v>
      </c>
      <c r="N943" s="6">
        <v>257.28899999999999</v>
      </c>
      <c r="O943" s="6">
        <v>257.28899999999999</v>
      </c>
      <c r="P943" s="6">
        <v>250</v>
      </c>
      <c r="Q943" s="4" t="s">
        <v>26</v>
      </c>
      <c r="R943" s="4">
        <v>0</v>
      </c>
      <c r="S943" s="4" t="s">
        <v>374</v>
      </c>
      <c r="T943" s="4" t="s">
        <v>620</v>
      </c>
      <c r="U943" s="4">
        <v>0</v>
      </c>
      <c r="V943" s="4">
        <v>66</v>
      </c>
      <c r="W943" s="4">
        <v>3</v>
      </c>
    </row>
    <row r="944" spans="1:23" ht="11.25" customHeight="1" x14ac:dyDescent="0.25">
      <c r="A944" s="4" t="s">
        <v>27</v>
      </c>
      <c r="B944" s="4" t="s">
        <v>37</v>
      </c>
      <c r="C944" s="4" t="s">
        <v>23</v>
      </c>
      <c r="D944" s="4" t="s">
        <v>38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44562</v>
      </c>
      <c r="J944" s="6">
        <v>0</v>
      </c>
      <c r="K944" s="6">
        <v>0</v>
      </c>
      <c r="L944" s="6">
        <v>-8.4369999999999994</v>
      </c>
      <c r="M944" s="6">
        <v>-8.4369999999999994</v>
      </c>
      <c r="N944" s="6">
        <v>-8.4369999999999994</v>
      </c>
      <c r="O944" s="6">
        <v>-8.4369999999999994</v>
      </c>
      <c r="P944" s="6">
        <v>-18</v>
      </c>
      <c r="Q944" s="4" t="s">
        <v>26</v>
      </c>
      <c r="R944" s="4">
        <v>0</v>
      </c>
      <c r="S944" s="4" t="s">
        <v>374</v>
      </c>
      <c r="T944" s="4" t="s">
        <v>620</v>
      </c>
      <c r="U944" s="4">
        <v>0</v>
      </c>
      <c r="V944" s="4">
        <v>66</v>
      </c>
      <c r="W944" s="4">
        <v>3</v>
      </c>
    </row>
    <row r="945" spans="1:23" ht="11.25" customHeight="1" x14ac:dyDescent="0.25">
      <c r="A945" s="4" t="s">
        <v>28</v>
      </c>
      <c r="B945" s="4" t="s">
        <v>37</v>
      </c>
      <c r="C945" s="4" t="s">
        <v>23</v>
      </c>
      <c r="D945" s="4" t="s">
        <v>38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44562</v>
      </c>
      <c r="J945" s="6">
        <v>0</v>
      </c>
      <c r="K945" s="6">
        <v>0</v>
      </c>
      <c r="L945" s="6">
        <v>11.589</v>
      </c>
      <c r="M945" s="6">
        <v>11.589</v>
      </c>
      <c r="N945" s="6">
        <v>11.589</v>
      </c>
      <c r="O945" s="6">
        <v>11.589</v>
      </c>
      <c r="P945" s="6">
        <v>3</v>
      </c>
      <c r="Q945" s="4" t="s">
        <v>26</v>
      </c>
      <c r="R945" s="4">
        <v>0</v>
      </c>
      <c r="S945" s="4" t="s">
        <v>374</v>
      </c>
      <c r="T945" s="4" t="s">
        <v>620</v>
      </c>
      <c r="U945" s="4">
        <v>0</v>
      </c>
      <c r="V945" s="4">
        <v>66</v>
      </c>
      <c r="W945" s="4">
        <v>3</v>
      </c>
    </row>
    <row r="946" spans="1:23" ht="11.25" customHeight="1" x14ac:dyDescent="0.25">
      <c r="A946" s="4" t="s">
        <v>21</v>
      </c>
      <c r="B946" s="4" t="s">
        <v>37</v>
      </c>
      <c r="C946" s="4" t="s">
        <v>23</v>
      </c>
      <c r="D946" s="4" t="s">
        <v>38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44593</v>
      </c>
      <c r="J946" s="6">
        <v>0</v>
      </c>
      <c r="K946" s="6">
        <v>0</v>
      </c>
      <c r="L946" s="6">
        <v>215.87200000000001</v>
      </c>
      <c r="M946" s="6">
        <v>215.87200000000001</v>
      </c>
      <c r="N946" s="6">
        <v>215.87200000000001</v>
      </c>
      <c r="O946" s="6">
        <v>215.87200000000001</v>
      </c>
      <c r="P946" s="6">
        <v>219</v>
      </c>
      <c r="Q946" s="4" t="s">
        <v>26</v>
      </c>
      <c r="R946" s="4">
        <v>0</v>
      </c>
      <c r="S946" s="4" t="s">
        <v>375</v>
      </c>
      <c r="T946" s="4" t="s">
        <v>621</v>
      </c>
      <c r="U946" s="4">
        <v>0</v>
      </c>
      <c r="V946" s="4">
        <v>66</v>
      </c>
      <c r="W946" s="4">
        <v>3</v>
      </c>
    </row>
    <row r="947" spans="1:23" ht="11.25" customHeight="1" x14ac:dyDescent="0.25">
      <c r="A947" s="4" t="s">
        <v>28</v>
      </c>
      <c r="B947" s="4" t="s">
        <v>37</v>
      </c>
      <c r="C947" s="4" t="s">
        <v>23</v>
      </c>
      <c r="D947" s="4" t="s">
        <v>38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44593</v>
      </c>
      <c r="J947" s="6">
        <v>0</v>
      </c>
      <c r="K947" s="6">
        <v>0</v>
      </c>
      <c r="L947" s="6">
        <v>11.587999999999999</v>
      </c>
      <c r="M947" s="6">
        <v>11.587999999999999</v>
      </c>
      <c r="N947" s="6">
        <v>11.587999999999999</v>
      </c>
      <c r="O947" s="6">
        <v>11.587999999999999</v>
      </c>
      <c r="P947" s="6">
        <v>3</v>
      </c>
      <c r="Q947" s="4" t="s">
        <v>26</v>
      </c>
      <c r="R947" s="4">
        <v>0</v>
      </c>
      <c r="S947" s="4" t="s">
        <v>375</v>
      </c>
      <c r="T947" s="4" t="s">
        <v>621</v>
      </c>
      <c r="U947" s="4">
        <v>0</v>
      </c>
      <c r="V947" s="4">
        <v>66</v>
      </c>
      <c r="W947" s="4">
        <v>3</v>
      </c>
    </row>
    <row r="948" spans="1:23" ht="11.25" customHeight="1" x14ac:dyDescent="0.25">
      <c r="A948" s="4" t="s">
        <v>21</v>
      </c>
      <c r="B948" s="4" t="s">
        <v>37</v>
      </c>
      <c r="C948" s="4" t="s">
        <v>23</v>
      </c>
      <c r="D948" s="4" t="s">
        <v>38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44621</v>
      </c>
      <c r="J948" s="6">
        <v>0</v>
      </c>
      <c r="K948" s="6">
        <v>0</v>
      </c>
      <c r="L948" s="6">
        <v>228.69399999999999</v>
      </c>
      <c r="M948" s="6">
        <v>228.69399999999999</v>
      </c>
      <c r="N948" s="6">
        <v>228.69399999999999</v>
      </c>
      <c r="O948" s="6">
        <v>228.69399999999999</v>
      </c>
      <c r="P948" s="6">
        <v>218</v>
      </c>
      <c r="Q948" s="4" t="s">
        <v>26</v>
      </c>
      <c r="R948" s="4">
        <v>0</v>
      </c>
      <c r="S948" s="4" t="s">
        <v>376</v>
      </c>
      <c r="T948" s="4" t="s">
        <v>622</v>
      </c>
      <c r="U948" s="4">
        <v>0</v>
      </c>
      <c r="V948" s="4">
        <v>66</v>
      </c>
      <c r="W948" s="4">
        <v>3</v>
      </c>
    </row>
    <row r="949" spans="1:23" ht="11.25" customHeight="1" x14ac:dyDescent="0.25">
      <c r="A949" s="4" t="s">
        <v>27</v>
      </c>
      <c r="B949" s="4" t="s">
        <v>37</v>
      </c>
      <c r="C949" s="4" t="s">
        <v>23</v>
      </c>
      <c r="D949" s="4" t="s">
        <v>38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44621</v>
      </c>
      <c r="J949" s="6">
        <v>0</v>
      </c>
      <c r="K949" s="6">
        <v>0</v>
      </c>
      <c r="L949" s="6">
        <v>-3.1070000000000002</v>
      </c>
      <c r="M949" s="6">
        <v>-3.1070000000000002</v>
      </c>
      <c r="N949" s="6">
        <v>-3.1070000000000002</v>
      </c>
      <c r="O949" s="6">
        <v>-3.1070000000000002</v>
      </c>
      <c r="P949" s="6">
        <v>0</v>
      </c>
      <c r="Q949" s="4" t="s">
        <v>26</v>
      </c>
      <c r="R949" s="4">
        <v>0</v>
      </c>
      <c r="S949" s="4" t="s">
        <v>376</v>
      </c>
      <c r="T949" s="4" t="s">
        <v>622</v>
      </c>
      <c r="U949" s="4">
        <v>0</v>
      </c>
      <c r="V949" s="4">
        <v>66</v>
      </c>
      <c r="W949" s="4">
        <v>3</v>
      </c>
    </row>
    <row r="950" spans="1:23" ht="11.25" customHeight="1" x14ac:dyDescent="0.25">
      <c r="A950" s="4" t="s">
        <v>28</v>
      </c>
      <c r="B950" s="4" t="s">
        <v>37</v>
      </c>
      <c r="C950" s="4" t="s">
        <v>23</v>
      </c>
      <c r="D950" s="4" t="s">
        <v>38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44621</v>
      </c>
      <c r="J950" s="6">
        <v>0</v>
      </c>
      <c r="K950" s="6">
        <v>0</v>
      </c>
      <c r="L950" s="6">
        <v>11.62</v>
      </c>
      <c r="M950" s="6">
        <v>11.62</v>
      </c>
      <c r="N950" s="6">
        <v>11.62</v>
      </c>
      <c r="O950" s="6">
        <v>11.62</v>
      </c>
      <c r="P950" s="6">
        <v>3</v>
      </c>
      <c r="Q950" s="4" t="s">
        <v>26</v>
      </c>
      <c r="R950" s="4">
        <v>0</v>
      </c>
      <c r="S950" s="4" t="s">
        <v>376</v>
      </c>
      <c r="T950" s="4" t="s">
        <v>622</v>
      </c>
      <c r="U950" s="4">
        <v>0</v>
      </c>
      <c r="V950" s="4">
        <v>66</v>
      </c>
      <c r="W950" s="4">
        <v>3</v>
      </c>
    </row>
    <row r="951" spans="1:23" ht="11.25" customHeight="1" x14ac:dyDescent="0.25">
      <c r="A951" s="4" t="s">
        <v>21</v>
      </c>
      <c r="B951" s="4" t="s">
        <v>37</v>
      </c>
      <c r="C951" s="4" t="s">
        <v>23</v>
      </c>
      <c r="D951" s="4" t="s">
        <v>38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44652</v>
      </c>
      <c r="J951" s="6">
        <v>0</v>
      </c>
      <c r="K951" s="6">
        <v>0</v>
      </c>
      <c r="L951" s="6">
        <v>239.10300000000001</v>
      </c>
      <c r="M951" s="6">
        <v>239.10300000000001</v>
      </c>
      <c r="N951" s="6">
        <v>239.10300000000001</v>
      </c>
      <c r="O951" s="6">
        <v>239.10300000000001</v>
      </c>
      <c r="P951" s="6">
        <v>212</v>
      </c>
      <c r="Q951" s="4" t="s">
        <v>26</v>
      </c>
      <c r="R951" s="4">
        <v>0</v>
      </c>
      <c r="S951" s="4" t="s">
        <v>377</v>
      </c>
      <c r="T951" s="4" t="s">
        <v>623</v>
      </c>
      <c r="U951" s="4">
        <v>0</v>
      </c>
      <c r="V951" s="4">
        <v>66</v>
      </c>
      <c r="W951" s="4">
        <v>3</v>
      </c>
    </row>
    <row r="952" spans="1:23" ht="11.25" customHeight="1" x14ac:dyDescent="0.25">
      <c r="A952" s="4" t="s">
        <v>28</v>
      </c>
      <c r="B952" s="4" t="s">
        <v>37</v>
      </c>
      <c r="C952" s="4" t="s">
        <v>23</v>
      </c>
      <c r="D952" s="4" t="s">
        <v>38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44652</v>
      </c>
      <c r="J952" s="6">
        <v>0</v>
      </c>
      <c r="K952" s="6">
        <v>0</v>
      </c>
      <c r="L952" s="6">
        <v>11.978</v>
      </c>
      <c r="M952" s="6">
        <v>11.978</v>
      </c>
      <c r="N952" s="6">
        <v>11.978</v>
      </c>
      <c r="O952" s="6">
        <v>11.978</v>
      </c>
      <c r="P952" s="6">
        <v>3</v>
      </c>
      <c r="Q952" s="4" t="s">
        <v>26</v>
      </c>
      <c r="R952" s="4">
        <v>0</v>
      </c>
      <c r="S952" s="4" t="s">
        <v>377</v>
      </c>
      <c r="T952" s="4" t="s">
        <v>623</v>
      </c>
      <c r="U952" s="4">
        <v>0</v>
      </c>
      <c r="V952" s="4">
        <v>66</v>
      </c>
      <c r="W952" s="4">
        <v>3</v>
      </c>
    </row>
    <row r="953" spans="1:23" ht="11.25" customHeight="1" x14ac:dyDescent="0.25">
      <c r="A953" s="4" t="s">
        <v>21</v>
      </c>
      <c r="B953" s="4" t="s">
        <v>37</v>
      </c>
      <c r="C953" s="4" t="s">
        <v>23</v>
      </c>
      <c r="D953" s="4" t="s">
        <v>38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44682</v>
      </c>
      <c r="J953" s="6">
        <v>0</v>
      </c>
      <c r="K953" s="6">
        <v>0</v>
      </c>
      <c r="L953" s="6">
        <v>247.72300000000001</v>
      </c>
      <c r="M953" s="6">
        <v>247.72300000000001</v>
      </c>
      <c r="N953" s="6">
        <v>247.72300000000001</v>
      </c>
      <c r="O953" s="6">
        <v>247.72300000000001</v>
      </c>
      <c r="P953" s="6">
        <v>214</v>
      </c>
      <c r="Q953" s="4" t="s">
        <v>26</v>
      </c>
      <c r="R953" s="4">
        <v>0</v>
      </c>
      <c r="S953" s="4" t="s">
        <v>378</v>
      </c>
      <c r="T953" s="4" t="s">
        <v>624</v>
      </c>
      <c r="U953" s="4">
        <v>0</v>
      </c>
      <c r="V953" s="4">
        <v>66</v>
      </c>
      <c r="W953" s="4">
        <v>3</v>
      </c>
    </row>
    <row r="954" spans="1:23" ht="11.25" customHeight="1" x14ac:dyDescent="0.25">
      <c r="A954" s="4" t="s">
        <v>27</v>
      </c>
      <c r="B954" s="4" t="s">
        <v>37</v>
      </c>
      <c r="C954" s="4" t="s">
        <v>23</v>
      </c>
      <c r="D954" s="4" t="s">
        <v>38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44682</v>
      </c>
      <c r="J954" s="6">
        <v>0</v>
      </c>
      <c r="K954" s="6">
        <v>0</v>
      </c>
      <c r="L954" s="6">
        <v>-6.4779999999999998</v>
      </c>
      <c r="M954" s="6">
        <v>-6.4779999999999998</v>
      </c>
      <c r="N954" s="6">
        <v>-6.4779999999999998</v>
      </c>
      <c r="O954" s="6">
        <v>-6.4779999999999998</v>
      </c>
      <c r="P954" s="6">
        <v>0</v>
      </c>
      <c r="Q954" s="4" t="s">
        <v>26</v>
      </c>
      <c r="R954" s="4">
        <v>0</v>
      </c>
      <c r="S954" s="4" t="s">
        <v>378</v>
      </c>
      <c r="T954" s="4" t="s">
        <v>624</v>
      </c>
      <c r="U954" s="4">
        <v>0</v>
      </c>
      <c r="V954" s="4">
        <v>66</v>
      </c>
      <c r="W954" s="4">
        <v>3</v>
      </c>
    </row>
    <row r="955" spans="1:23" ht="11.25" customHeight="1" x14ac:dyDescent="0.25">
      <c r="A955" s="4" t="s">
        <v>28</v>
      </c>
      <c r="B955" s="4" t="s">
        <v>37</v>
      </c>
      <c r="C955" s="4" t="s">
        <v>23</v>
      </c>
      <c r="D955" s="4" t="s">
        <v>38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44682</v>
      </c>
      <c r="J955" s="6">
        <v>0</v>
      </c>
      <c r="K955" s="6">
        <v>0</v>
      </c>
      <c r="L955" s="6">
        <v>7.5049999999999999</v>
      </c>
      <c r="M955" s="6">
        <v>7.5049999999999999</v>
      </c>
      <c r="N955" s="6">
        <v>7.5049999999999999</v>
      </c>
      <c r="O955" s="6">
        <v>7.5049999999999999</v>
      </c>
      <c r="P955" s="6">
        <v>3</v>
      </c>
      <c r="Q955" s="4" t="s">
        <v>26</v>
      </c>
      <c r="R955" s="4">
        <v>0</v>
      </c>
      <c r="S955" s="4" t="s">
        <v>378</v>
      </c>
      <c r="T955" s="4" t="s">
        <v>624</v>
      </c>
      <c r="U955" s="4">
        <v>0</v>
      </c>
      <c r="V955" s="4">
        <v>66</v>
      </c>
      <c r="W955" s="4">
        <v>3</v>
      </c>
    </row>
    <row r="956" spans="1:23" ht="11.25" customHeight="1" x14ac:dyDescent="0.25">
      <c r="A956" s="4" t="s">
        <v>21</v>
      </c>
      <c r="B956" s="4" t="s">
        <v>37</v>
      </c>
      <c r="C956" s="4" t="s">
        <v>23</v>
      </c>
      <c r="D956" s="4" t="s">
        <v>38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44713</v>
      </c>
      <c r="J956" s="6">
        <v>0</v>
      </c>
      <c r="K956" s="6">
        <v>0</v>
      </c>
      <c r="L956" s="6">
        <v>280.84399999999999</v>
      </c>
      <c r="M956" s="6">
        <v>280.84399999999999</v>
      </c>
      <c r="N956" s="6">
        <v>280.84399999999999</v>
      </c>
      <c r="O956" s="6">
        <v>280.84399999999999</v>
      </c>
      <c r="P956" s="6">
        <v>220</v>
      </c>
      <c r="Q956" s="4" t="s">
        <v>26</v>
      </c>
      <c r="R956" s="4">
        <v>0</v>
      </c>
      <c r="S956" s="4" t="s">
        <v>379</v>
      </c>
      <c r="T956" s="4" t="s">
        <v>625</v>
      </c>
      <c r="U956" s="4">
        <v>0</v>
      </c>
      <c r="V956" s="4">
        <v>66</v>
      </c>
      <c r="W956" s="4">
        <v>3</v>
      </c>
    </row>
    <row r="957" spans="1:23" ht="11.25" customHeight="1" x14ac:dyDescent="0.25">
      <c r="A957" s="4" t="s">
        <v>28</v>
      </c>
      <c r="B957" s="4" t="s">
        <v>37</v>
      </c>
      <c r="C957" s="4" t="s">
        <v>23</v>
      </c>
      <c r="D957" s="4" t="s">
        <v>38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44713</v>
      </c>
      <c r="J957" s="6">
        <v>0</v>
      </c>
      <c r="K957" s="6">
        <v>0</v>
      </c>
      <c r="L957" s="6">
        <v>16.222000000000001</v>
      </c>
      <c r="M957" s="6">
        <v>16.222000000000001</v>
      </c>
      <c r="N957" s="6">
        <v>16.222000000000001</v>
      </c>
      <c r="O957" s="6">
        <v>16.222000000000001</v>
      </c>
      <c r="P957" s="6">
        <v>3</v>
      </c>
      <c r="Q957" s="4" t="s">
        <v>26</v>
      </c>
      <c r="R957" s="4">
        <v>0</v>
      </c>
      <c r="S957" s="4" t="s">
        <v>379</v>
      </c>
      <c r="T957" s="4" t="s">
        <v>625</v>
      </c>
      <c r="U957" s="4">
        <v>0</v>
      </c>
      <c r="V957" s="4">
        <v>66</v>
      </c>
      <c r="W957" s="4">
        <v>3</v>
      </c>
    </row>
    <row r="958" spans="1:23" ht="11.25" customHeight="1" x14ac:dyDescent="0.25">
      <c r="A958" s="4" t="s">
        <v>21</v>
      </c>
      <c r="B958" s="4" t="s">
        <v>37</v>
      </c>
      <c r="C958" s="4" t="s">
        <v>23</v>
      </c>
      <c r="D958" s="4" t="s">
        <v>38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44743</v>
      </c>
      <c r="J958" s="6">
        <v>0</v>
      </c>
      <c r="K958" s="6">
        <v>0</v>
      </c>
      <c r="L958" s="6">
        <v>237.977</v>
      </c>
      <c r="M958" s="6">
        <v>237.977</v>
      </c>
      <c r="N958" s="6">
        <v>237.977</v>
      </c>
      <c r="O958" s="6">
        <v>237.977</v>
      </c>
      <c r="P958" s="6">
        <v>217</v>
      </c>
      <c r="Q958" s="4" t="s">
        <v>26</v>
      </c>
      <c r="R958" s="4">
        <v>0</v>
      </c>
      <c r="S958" s="4" t="s">
        <v>380</v>
      </c>
      <c r="T958" s="4" t="s">
        <v>626</v>
      </c>
      <c r="U958" s="4">
        <v>0</v>
      </c>
      <c r="V958" s="4">
        <v>66</v>
      </c>
      <c r="W958" s="4">
        <v>3</v>
      </c>
    </row>
    <row r="959" spans="1:23" ht="11.25" customHeight="1" x14ac:dyDescent="0.25">
      <c r="A959" s="4" t="s">
        <v>27</v>
      </c>
      <c r="B959" s="4" t="s">
        <v>37</v>
      </c>
      <c r="C959" s="4" t="s">
        <v>23</v>
      </c>
      <c r="D959" s="4" t="s">
        <v>38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44743</v>
      </c>
      <c r="J959" s="6">
        <v>0</v>
      </c>
      <c r="K959" s="6">
        <v>0</v>
      </c>
      <c r="L959" s="6">
        <v>-13.643000000000001</v>
      </c>
      <c r="M959" s="6">
        <v>-13.643000000000001</v>
      </c>
      <c r="N959" s="6">
        <v>-13.643000000000001</v>
      </c>
      <c r="O959" s="6">
        <v>-13.643000000000001</v>
      </c>
      <c r="P959" s="6">
        <v>2</v>
      </c>
      <c r="Q959" s="4" t="s">
        <v>26</v>
      </c>
      <c r="R959" s="4">
        <v>0</v>
      </c>
      <c r="S959" s="4" t="s">
        <v>380</v>
      </c>
      <c r="T959" s="4" t="s">
        <v>626</v>
      </c>
      <c r="U959" s="4">
        <v>0</v>
      </c>
      <c r="V959" s="4">
        <v>66</v>
      </c>
      <c r="W959" s="4">
        <v>3</v>
      </c>
    </row>
    <row r="960" spans="1:23" ht="11.25" customHeight="1" x14ac:dyDescent="0.25">
      <c r="A960" s="4" t="s">
        <v>28</v>
      </c>
      <c r="B960" s="4" t="s">
        <v>37</v>
      </c>
      <c r="C960" s="4" t="s">
        <v>23</v>
      </c>
      <c r="D960" s="4" t="s">
        <v>38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44743</v>
      </c>
      <c r="J960" s="6">
        <v>0</v>
      </c>
      <c r="K960" s="6">
        <v>0</v>
      </c>
      <c r="L960" s="6">
        <v>16.492000000000001</v>
      </c>
      <c r="M960" s="6">
        <v>16.492000000000001</v>
      </c>
      <c r="N960" s="6">
        <v>16.492000000000001</v>
      </c>
      <c r="O960" s="6">
        <v>16.492000000000001</v>
      </c>
      <c r="P960" s="6">
        <v>4</v>
      </c>
      <c r="Q960" s="4" t="s">
        <v>26</v>
      </c>
      <c r="R960" s="4">
        <v>0</v>
      </c>
      <c r="S960" s="4" t="s">
        <v>380</v>
      </c>
      <c r="T960" s="4" t="s">
        <v>626</v>
      </c>
      <c r="U960" s="4">
        <v>0</v>
      </c>
      <c r="V960" s="4">
        <v>66</v>
      </c>
      <c r="W960" s="4">
        <v>3</v>
      </c>
    </row>
    <row r="961" spans="1:23" ht="11.25" customHeight="1" x14ac:dyDescent="0.25">
      <c r="A961" s="4" t="s">
        <v>21</v>
      </c>
      <c r="B961" s="4" t="s">
        <v>37</v>
      </c>
      <c r="C961" s="4" t="s">
        <v>23</v>
      </c>
      <c r="D961" s="4" t="s">
        <v>38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44774</v>
      </c>
      <c r="J961" s="6">
        <v>0</v>
      </c>
      <c r="K961" s="6">
        <v>0</v>
      </c>
      <c r="L961" s="6">
        <v>265.57400000000001</v>
      </c>
      <c r="M961" s="6">
        <v>265.57400000000001</v>
      </c>
      <c r="N961" s="6">
        <v>265.57400000000001</v>
      </c>
      <c r="O961" s="6">
        <v>265.57400000000001</v>
      </c>
      <c r="P961" s="6">
        <v>222</v>
      </c>
      <c r="Q961" s="4" t="s">
        <v>26</v>
      </c>
      <c r="R961" s="4">
        <v>0</v>
      </c>
      <c r="S961" s="4" t="s">
        <v>381</v>
      </c>
      <c r="T961" s="4" t="s">
        <v>627</v>
      </c>
      <c r="U961" s="4">
        <v>0</v>
      </c>
      <c r="V961" s="4">
        <v>66</v>
      </c>
      <c r="W961" s="4">
        <v>3</v>
      </c>
    </row>
    <row r="962" spans="1:23" ht="11.25" customHeight="1" x14ac:dyDescent="0.25">
      <c r="A962" s="4" t="s">
        <v>27</v>
      </c>
      <c r="B962" s="4" t="s">
        <v>37</v>
      </c>
      <c r="C962" s="4" t="s">
        <v>23</v>
      </c>
      <c r="D962" s="4" t="s">
        <v>38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44774</v>
      </c>
      <c r="J962" s="6">
        <v>0</v>
      </c>
      <c r="K962" s="6">
        <v>0</v>
      </c>
      <c r="L962" s="6">
        <v>-4.3769999999999998</v>
      </c>
      <c r="M962" s="6">
        <v>-4.3769999999999998</v>
      </c>
      <c r="N962" s="6">
        <v>-4.3769999999999998</v>
      </c>
      <c r="O962" s="6">
        <v>-4.3769999999999998</v>
      </c>
      <c r="P962" s="6">
        <v>0</v>
      </c>
      <c r="Q962" s="4" t="s">
        <v>26</v>
      </c>
      <c r="R962" s="4">
        <v>0</v>
      </c>
      <c r="S962" s="4" t="s">
        <v>381</v>
      </c>
      <c r="T962" s="4" t="s">
        <v>627</v>
      </c>
      <c r="U962" s="4">
        <v>0</v>
      </c>
      <c r="V962" s="4">
        <v>66</v>
      </c>
      <c r="W962" s="4">
        <v>3</v>
      </c>
    </row>
    <row r="963" spans="1:23" ht="11.25" customHeight="1" x14ac:dyDescent="0.25">
      <c r="A963" s="4" t="s">
        <v>28</v>
      </c>
      <c r="B963" s="4" t="s">
        <v>37</v>
      </c>
      <c r="C963" s="4" t="s">
        <v>23</v>
      </c>
      <c r="D963" s="4" t="s">
        <v>38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44774</v>
      </c>
      <c r="J963" s="6">
        <v>0</v>
      </c>
      <c r="K963" s="6">
        <v>0</v>
      </c>
      <c r="L963" s="6">
        <v>36.944000000000003</v>
      </c>
      <c r="M963" s="6">
        <v>36.944000000000003</v>
      </c>
      <c r="N963" s="6">
        <v>36.944000000000003</v>
      </c>
      <c r="O963" s="6">
        <v>36.944000000000003</v>
      </c>
      <c r="P963" s="6">
        <v>4</v>
      </c>
      <c r="Q963" s="4" t="s">
        <v>26</v>
      </c>
      <c r="R963" s="4">
        <v>0</v>
      </c>
      <c r="S963" s="4" t="s">
        <v>381</v>
      </c>
      <c r="T963" s="4" t="s">
        <v>627</v>
      </c>
      <c r="U963" s="4">
        <v>0</v>
      </c>
      <c r="V963" s="4">
        <v>66</v>
      </c>
      <c r="W963" s="4">
        <v>3</v>
      </c>
    </row>
    <row r="964" spans="1:23" ht="11.25" customHeight="1" x14ac:dyDescent="0.25">
      <c r="A964" s="4" t="s">
        <v>21</v>
      </c>
      <c r="B964" s="4" t="s">
        <v>37</v>
      </c>
      <c r="C964" s="4" t="s">
        <v>23</v>
      </c>
      <c r="D964" s="4" t="s">
        <v>38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44805</v>
      </c>
      <c r="J964" s="6">
        <v>0</v>
      </c>
      <c r="K964" s="6">
        <v>0</v>
      </c>
      <c r="L964" s="6">
        <v>310.55500000000001</v>
      </c>
      <c r="M964" s="6">
        <v>310.55500000000001</v>
      </c>
      <c r="N964" s="6">
        <v>310.55500000000001</v>
      </c>
      <c r="O964" s="6">
        <v>310.55500000000001</v>
      </c>
      <c r="P964" s="6">
        <v>205</v>
      </c>
      <c r="Q964" s="4" t="s">
        <v>26</v>
      </c>
      <c r="R964" s="4">
        <v>0</v>
      </c>
      <c r="S964" s="4" t="s">
        <v>382</v>
      </c>
      <c r="T964" s="4" t="s">
        <v>628</v>
      </c>
      <c r="U964" s="4">
        <v>0</v>
      </c>
      <c r="V964" s="4">
        <v>66</v>
      </c>
      <c r="W964" s="4">
        <v>3</v>
      </c>
    </row>
    <row r="965" spans="1:23" ht="11.25" customHeight="1" x14ac:dyDescent="0.25">
      <c r="A965" s="4" t="s">
        <v>27</v>
      </c>
      <c r="B965" s="4" t="s">
        <v>37</v>
      </c>
      <c r="C965" s="4" t="s">
        <v>23</v>
      </c>
      <c r="D965" s="4" t="s">
        <v>38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44805</v>
      </c>
      <c r="J965" s="6">
        <v>0</v>
      </c>
      <c r="K965" s="6">
        <v>0</v>
      </c>
      <c r="L965" s="6">
        <v>-1.1000000000000001</v>
      </c>
      <c r="M965" s="6">
        <v>-1.1000000000000001</v>
      </c>
      <c r="N965" s="6">
        <v>-1.1000000000000001</v>
      </c>
      <c r="O965" s="6">
        <v>-1.1000000000000001</v>
      </c>
      <c r="P965" s="6">
        <v>-12</v>
      </c>
      <c r="Q965" s="4" t="s">
        <v>26</v>
      </c>
      <c r="R965" s="4">
        <v>0</v>
      </c>
      <c r="S965" s="4" t="s">
        <v>382</v>
      </c>
      <c r="T965" s="4" t="s">
        <v>628</v>
      </c>
      <c r="U965" s="4">
        <v>0</v>
      </c>
      <c r="V965" s="4">
        <v>66</v>
      </c>
      <c r="W965" s="4">
        <v>3</v>
      </c>
    </row>
    <row r="966" spans="1:23" ht="11.25" customHeight="1" x14ac:dyDescent="0.25">
      <c r="A966" s="4" t="s">
        <v>28</v>
      </c>
      <c r="B966" s="4" t="s">
        <v>37</v>
      </c>
      <c r="C966" s="4" t="s">
        <v>23</v>
      </c>
      <c r="D966" s="4" t="s">
        <v>38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44805</v>
      </c>
      <c r="J966" s="6">
        <v>0</v>
      </c>
      <c r="K966" s="6">
        <v>0</v>
      </c>
      <c r="L966" s="6">
        <v>50.341999999999999</v>
      </c>
      <c r="M966" s="6">
        <v>50.341999999999999</v>
      </c>
      <c r="N966" s="6">
        <v>50.341999999999999</v>
      </c>
      <c r="O966" s="6">
        <v>50.341999999999999</v>
      </c>
      <c r="P966" s="6">
        <v>4</v>
      </c>
      <c r="Q966" s="4" t="s">
        <v>26</v>
      </c>
      <c r="R966" s="4">
        <v>0</v>
      </c>
      <c r="S966" s="4" t="s">
        <v>382</v>
      </c>
      <c r="T966" s="4" t="s">
        <v>628</v>
      </c>
      <c r="U966" s="4">
        <v>0</v>
      </c>
      <c r="V966" s="4">
        <v>66</v>
      </c>
      <c r="W966" s="4">
        <v>3</v>
      </c>
    </row>
    <row r="967" spans="1:23" ht="11.25" customHeight="1" x14ac:dyDescent="0.25">
      <c r="A967" s="4" t="s">
        <v>21</v>
      </c>
      <c r="B967" s="4" t="s">
        <v>37</v>
      </c>
      <c r="C967" s="4" t="s">
        <v>23</v>
      </c>
      <c r="D967" s="4" t="s">
        <v>38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44835</v>
      </c>
      <c r="J967" s="6">
        <v>0</v>
      </c>
      <c r="K967" s="6">
        <v>0</v>
      </c>
      <c r="L967" s="6">
        <v>293.90899999999999</v>
      </c>
      <c r="M967" s="6">
        <v>293.90899999999999</v>
      </c>
      <c r="N967" s="6">
        <v>293.90899999999999</v>
      </c>
      <c r="O967" s="6">
        <v>293.90899999999999</v>
      </c>
      <c r="P967" s="6">
        <v>213</v>
      </c>
      <c r="Q967" s="4" t="s">
        <v>26</v>
      </c>
      <c r="R967" s="4">
        <v>0</v>
      </c>
      <c r="S967" s="4" t="s">
        <v>383</v>
      </c>
      <c r="T967" s="4" t="s">
        <v>629</v>
      </c>
      <c r="U967" s="4">
        <v>0</v>
      </c>
      <c r="V967" s="4">
        <v>66</v>
      </c>
      <c r="W967" s="4">
        <v>3</v>
      </c>
    </row>
    <row r="968" spans="1:23" ht="11.25" customHeight="1" x14ac:dyDescent="0.25">
      <c r="A968" s="4" t="s">
        <v>27</v>
      </c>
      <c r="B968" s="4" t="s">
        <v>37</v>
      </c>
      <c r="C968" s="4" t="s">
        <v>23</v>
      </c>
      <c r="D968" s="4" t="s">
        <v>38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44835</v>
      </c>
      <c r="J968" s="6">
        <v>0</v>
      </c>
      <c r="K968" s="6">
        <v>0</v>
      </c>
      <c r="L968" s="6">
        <v>-52.406999999999996</v>
      </c>
      <c r="M968" s="6">
        <v>-52.406999999999996</v>
      </c>
      <c r="N968" s="6">
        <v>-52.406999999999996</v>
      </c>
      <c r="O968" s="6">
        <v>-52.406999999999996</v>
      </c>
      <c r="P968" s="6">
        <v>-4</v>
      </c>
      <c r="Q968" s="4" t="s">
        <v>26</v>
      </c>
      <c r="R968" s="4">
        <v>0</v>
      </c>
      <c r="S968" s="4" t="s">
        <v>383</v>
      </c>
      <c r="T968" s="4" t="s">
        <v>629</v>
      </c>
      <c r="U968" s="4">
        <v>0</v>
      </c>
      <c r="V968" s="4">
        <v>66</v>
      </c>
      <c r="W968" s="4">
        <v>3</v>
      </c>
    </row>
    <row r="969" spans="1:23" ht="11.25" customHeight="1" x14ac:dyDescent="0.25">
      <c r="A969" s="4" t="s">
        <v>28</v>
      </c>
      <c r="B969" s="4" t="s">
        <v>37</v>
      </c>
      <c r="C969" s="4" t="s">
        <v>23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44835</v>
      </c>
      <c r="J969" s="6">
        <v>0</v>
      </c>
      <c r="K969" s="6">
        <v>0</v>
      </c>
      <c r="L969" s="6">
        <v>27.434000000000001</v>
      </c>
      <c r="M969" s="6">
        <v>27.434000000000001</v>
      </c>
      <c r="N969" s="6">
        <v>27.434000000000001</v>
      </c>
      <c r="O969" s="6">
        <v>27.434000000000001</v>
      </c>
      <c r="P969" s="6">
        <v>4</v>
      </c>
      <c r="Q969" s="4" t="s">
        <v>26</v>
      </c>
      <c r="R969" s="4">
        <v>0</v>
      </c>
      <c r="S969" s="4" t="s">
        <v>383</v>
      </c>
      <c r="T969" s="4" t="s">
        <v>629</v>
      </c>
      <c r="U969" s="4">
        <v>0</v>
      </c>
      <c r="V969" s="4">
        <v>66</v>
      </c>
      <c r="W969" s="4">
        <v>3</v>
      </c>
    </row>
    <row r="970" spans="1:23" ht="11.25" customHeight="1" x14ac:dyDescent="0.25">
      <c r="A970" s="4" t="s">
        <v>54</v>
      </c>
      <c r="B970" s="4" t="s">
        <v>37</v>
      </c>
      <c r="C970" s="4" t="s">
        <v>23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44866</v>
      </c>
      <c r="J970" s="6">
        <v>0</v>
      </c>
      <c r="K970" s="6">
        <v>0</v>
      </c>
      <c r="L970" s="6">
        <v>293.90899999999999</v>
      </c>
      <c r="M970" s="6">
        <v>293.90899999999999</v>
      </c>
      <c r="N970" s="6">
        <v>293.90899999999999</v>
      </c>
      <c r="O970" s="6">
        <v>293.90899999999999</v>
      </c>
      <c r="P970" s="6">
        <v>213</v>
      </c>
      <c r="Q970" s="4" t="s">
        <v>26</v>
      </c>
      <c r="R970" s="4">
        <v>0</v>
      </c>
      <c r="S970" s="4" t="s">
        <v>384</v>
      </c>
      <c r="T970" s="4" t="s">
        <v>630</v>
      </c>
      <c r="U970" s="4">
        <v>0</v>
      </c>
      <c r="V970" s="4">
        <v>66</v>
      </c>
      <c r="W970" s="4">
        <v>3</v>
      </c>
    </row>
    <row r="971" spans="1:23" ht="11.25" customHeight="1" x14ac:dyDescent="0.25">
      <c r="A971" s="4" t="s">
        <v>54</v>
      </c>
      <c r="B971" s="4" t="s">
        <v>37</v>
      </c>
      <c r="C971" s="4" t="s">
        <v>23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44866</v>
      </c>
      <c r="J971" s="6">
        <v>0</v>
      </c>
      <c r="K971" s="6">
        <v>0</v>
      </c>
      <c r="L971" s="6">
        <v>-52.406999999999996</v>
      </c>
      <c r="M971" s="6">
        <v>-52.406999999999996</v>
      </c>
      <c r="N971" s="6">
        <v>-52.406999999999996</v>
      </c>
      <c r="O971" s="6">
        <v>-52.406999999999996</v>
      </c>
      <c r="P971" s="6">
        <v>-4</v>
      </c>
      <c r="Q971" s="4" t="s">
        <v>26</v>
      </c>
      <c r="R971" s="4">
        <v>0</v>
      </c>
      <c r="S971" s="4" t="s">
        <v>384</v>
      </c>
      <c r="T971" s="4" t="s">
        <v>630</v>
      </c>
      <c r="U971" s="4">
        <v>0</v>
      </c>
      <c r="V971" s="4">
        <v>66</v>
      </c>
      <c r="W971" s="4">
        <v>3</v>
      </c>
    </row>
    <row r="972" spans="1:23" ht="11.25" customHeight="1" x14ac:dyDescent="0.25">
      <c r="A972" s="4" t="s">
        <v>54</v>
      </c>
      <c r="B972" s="4" t="s">
        <v>37</v>
      </c>
      <c r="C972" s="4" t="s">
        <v>23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44866</v>
      </c>
      <c r="J972" s="6">
        <v>0</v>
      </c>
      <c r="K972" s="6">
        <v>0</v>
      </c>
      <c r="L972" s="6">
        <v>27.434000000000001</v>
      </c>
      <c r="M972" s="6">
        <v>27.434000000000001</v>
      </c>
      <c r="N972" s="6">
        <v>27.434000000000001</v>
      </c>
      <c r="O972" s="6">
        <v>27.434000000000001</v>
      </c>
      <c r="P972" s="6">
        <v>4</v>
      </c>
      <c r="Q972" s="4" t="s">
        <v>26</v>
      </c>
      <c r="R972" s="4">
        <v>0</v>
      </c>
      <c r="S972" s="4" t="s">
        <v>384</v>
      </c>
      <c r="T972" s="4" t="s">
        <v>630</v>
      </c>
      <c r="U972" s="4">
        <v>0</v>
      </c>
      <c r="V972" s="4">
        <v>66</v>
      </c>
      <c r="W972" s="4">
        <v>3</v>
      </c>
    </row>
    <row r="973" spans="1:23" ht="11.25" customHeight="1" x14ac:dyDescent="0.25">
      <c r="A973" s="4" t="s">
        <v>21</v>
      </c>
      <c r="B973" s="4" t="s">
        <v>37</v>
      </c>
      <c r="C973" s="4" t="s">
        <v>23</v>
      </c>
      <c r="D973" s="4" t="s">
        <v>47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44531</v>
      </c>
      <c r="J973" s="6">
        <v>0</v>
      </c>
      <c r="K973" s="6">
        <v>0</v>
      </c>
      <c r="L973" s="6">
        <v>2860.585</v>
      </c>
      <c r="M973" s="6">
        <v>2860.585</v>
      </c>
      <c r="N973" s="6">
        <v>2860.585</v>
      </c>
      <c r="O973" s="6">
        <v>2860.585</v>
      </c>
      <c r="P973" s="6">
        <v>1866</v>
      </c>
      <c r="Q973" s="4" t="s">
        <v>26</v>
      </c>
      <c r="R973" s="4">
        <v>0</v>
      </c>
      <c r="S973" s="4" t="s">
        <v>373</v>
      </c>
      <c r="T973" s="4" t="s">
        <v>619</v>
      </c>
      <c r="U973" s="4">
        <v>0</v>
      </c>
      <c r="V973" s="4">
        <v>66</v>
      </c>
      <c r="W973" s="4">
        <v>3</v>
      </c>
    </row>
    <row r="974" spans="1:23" ht="11.25" customHeight="1" x14ac:dyDescent="0.25">
      <c r="A974" s="4" t="s">
        <v>27</v>
      </c>
      <c r="B974" s="4" t="s">
        <v>37</v>
      </c>
      <c r="C974" s="4" t="s">
        <v>23</v>
      </c>
      <c r="D974" s="4" t="s">
        <v>47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44531</v>
      </c>
      <c r="J974" s="6">
        <v>0</v>
      </c>
      <c r="K974" s="6">
        <v>0</v>
      </c>
      <c r="L974" s="6">
        <v>-24.808</v>
      </c>
      <c r="M974" s="6">
        <v>-24.808</v>
      </c>
      <c r="N974" s="6">
        <v>-24.808</v>
      </c>
      <c r="O974" s="6">
        <v>-24.808</v>
      </c>
      <c r="P974" s="6">
        <v>-12</v>
      </c>
      <c r="Q974" s="4" t="s">
        <v>26</v>
      </c>
      <c r="R974" s="4">
        <v>0</v>
      </c>
      <c r="S974" s="4" t="s">
        <v>373</v>
      </c>
      <c r="T974" s="4" t="s">
        <v>619</v>
      </c>
      <c r="U974" s="4">
        <v>0</v>
      </c>
      <c r="V974" s="4">
        <v>66</v>
      </c>
      <c r="W974" s="4">
        <v>3</v>
      </c>
    </row>
    <row r="975" spans="1:23" ht="11.25" customHeight="1" x14ac:dyDescent="0.25">
      <c r="A975" s="4" t="s">
        <v>28</v>
      </c>
      <c r="B975" s="4" t="s">
        <v>37</v>
      </c>
      <c r="C975" s="4" t="s">
        <v>23</v>
      </c>
      <c r="D975" s="4" t="s">
        <v>47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44531</v>
      </c>
      <c r="J975" s="6">
        <v>0</v>
      </c>
      <c r="K975" s="6">
        <v>0</v>
      </c>
      <c r="L975" s="6">
        <v>8.1449999999999996</v>
      </c>
      <c r="M975" s="6">
        <v>8.1449999999999996</v>
      </c>
      <c r="N975" s="6">
        <v>8.1449999999999996</v>
      </c>
      <c r="O975" s="6">
        <v>8.1449999999999996</v>
      </c>
      <c r="P975" s="6">
        <v>9</v>
      </c>
      <c r="Q975" s="4" t="s">
        <v>26</v>
      </c>
      <c r="R975" s="4">
        <v>0</v>
      </c>
      <c r="S975" s="4" t="s">
        <v>373</v>
      </c>
      <c r="T975" s="4" t="s">
        <v>619</v>
      </c>
      <c r="U975" s="4">
        <v>0</v>
      </c>
      <c r="V975" s="4">
        <v>66</v>
      </c>
      <c r="W975" s="4">
        <v>3</v>
      </c>
    </row>
    <row r="976" spans="1:23" ht="11.25" customHeight="1" x14ac:dyDescent="0.25">
      <c r="A976" s="4" t="s">
        <v>21</v>
      </c>
      <c r="B976" s="4" t="s">
        <v>37</v>
      </c>
      <c r="C976" s="4" t="s">
        <v>23</v>
      </c>
      <c r="D976" s="4" t="s">
        <v>47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44562</v>
      </c>
      <c r="J976" s="6">
        <v>0</v>
      </c>
      <c r="K976" s="6">
        <v>0</v>
      </c>
      <c r="L976" s="6">
        <v>2535.5030000000002</v>
      </c>
      <c r="M976" s="6">
        <v>2535.5030000000002</v>
      </c>
      <c r="N976" s="6">
        <v>2535.5030000000002</v>
      </c>
      <c r="O976" s="6">
        <v>2535.5030000000002</v>
      </c>
      <c r="P976" s="6">
        <v>1872</v>
      </c>
      <c r="Q976" s="4" t="s">
        <v>26</v>
      </c>
      <c r="R976" s="4">
        <v>0</v>
      </c>
      <c r="S976" s="4" t="s">
        <v>374</v>
      </c>
      <c r="T976" s="4" t="s">
        <v>620</v>
      </c>
      <c r="U976" s="4">
        <v>0</v>
      </c>
      <c r="V976" s="4">
        <v>66</v>
      </c>
      <c r="W976" s="4">
        <v>3</v>
      </c>
    </row>
    <row r="977" spans="1:23" ht="11.25" customHeight="1" x14ac:dyDescent="0.25">
      <c r="A977" s="4" t="s">
        <v>27</v>
      </c>
      <c r="B977" s="4" t="s">
        <v>37</v>
      </c>
      <c r="C977" s="4" t="s">
        <v>23</v>
      </c>
      <c r="D977" s="4" t="s">
        <v>47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44562</v>
      </c>
      <c r="J977" s="6">
        <v>0</v>
      </c>
      <c r="K977" s="6">
        <v>0</v>
      </c>
      <c r="L977" s="6">
        <v>0.20499999999999999</v>
      </c>
      <c r="M977" s="6">
        <v>0.20499999999999999</v>
      </c>
      <c r="N977" s="6">
        <v>0.20499999999999999</v>
      </c>
      <c r="O977" s="6">
        <v>0.20499999999999999</v>
      </c>
      <c r="P977" s="6">
        <v>1</v>
      </c>
      <c r="Q977" s="4" t="s">
        <v>26</v>
      </c>
      <c r="R977" s="4">
        <v>0</v>
      </c>
      <c r="S977" s="4" t="s">
        <v>374</v>
      </c>
      <c r="T977" s="4" t="s">
        <v>620</v>
      </c>
      <c r="U977" s="4">
        <v>0</v>
      </c>
      <c r="V977" s="4">
        <v>66</v>
      </c>
      <c r="W977" s="4">
        <v>3</v>
      </c>
    </row>
    <row r="978" spans="1:23" ht="11.25" customHeight="1" x14ac:dyDescent="0.25">
      <c r="A978" s="4" t="s">
        <v>28</v>
      </c>
      <c r="B978" s="4" t="s">
        <v>37</v>
      </c>
      <c r="C978" s="4" t="s">
        <v>23</v>
      </c>
      <c r="D978" s="4" t="s">
        <v>47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44562</v>
      </c>
      <c r="J978" s="6">
        <v>0</v>
      </c>
      <c r="K978" s="6">
        <v>0</v>
      </c>
      <c r="L978" s="6">
        <v>4.8109999999999999</v>
      </c>
      <c r="M978" s="6">
        <v>4.8109999999999999</v>
      </c>
      <c r="N978" s="6">
        <v>4.8109999999999999</v>
      </c>
      <c r="O978" s="6">
        <v>4.8109999999999999</v>
      </c>
      <c r="P978" s="6">
        <v>9</v>
      </c>
      <c r="Q978" s="4" t="s">
        <v>26</v>
      </c>
      <c r="R978" s="4">
        <v>0</v>
      </c>
      <c r="S978" s="4" t="s">
        <v>374</v>
      </c>
      <c r="T978" s="4" t="s">
        <v>620</v>
      </c>
      <c r="U978" s="4">
        <v>0</v>
      </c>
      <c r="V978" s="4">
        <v>66</v>
      </c>
      <c r="W978" s="4">
        <v>3</v>
      </c>
    </row>
    <row r="979" spans="1:23" ht="11.25" customHeight="1" x14ac:dyDescent="0.25">
      <c r="A979" s="4" t="s">
        <v>21</v>
      </c>
      <c r="B979" s="4" t="s">
        <v>37</v>
      </c>
      <c r="C979" s="4" t="s">
        <v>23</v>
      </c>
      <c r="D979" s="4" t="s">
        <v>47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44593</v>
      </c>
      <c r="J979" s="6">
        <v>0</v>
      </c>
      <c r="K979" s="6">
        <v>0</v>
      </c>
      <c r="L979" s="6">
        <v>2085.9789999999998</v>
      </c>
      <c r="M979" s="6">
        <v>2085.9789999999998</v>
      </c>
      <c r="N979" s="6">
        <v>2085.9789999999998</v>
      </c>
      <c r="O979" s="6">
        <v>2085.9789999999998</v>
      </c>
      <c r="P979" s="6">
        <v>1834</v>
      </c>
      <c r="Q979" s="4" t="s">
        <v>26</v>
      </c>
      <c r="R979" s="4">
        <v>0</v>
      </c>
      <c r="S979" s="4" t="s">
        <v>375</v>
      </c>
      <c r="T979" s="4" t="s">
        <v>621</v>
      </c>
      <c r="U979" s="4">
        <v>0</v>
      </c>
      <c r="V979" s="4">
        <v>66</v>
      </c>
      <c r="W979" s="4">
        <v>3</v>
      </c>
    </row>
    <row r="980" spans="1:23" ht="11.25" customHeight="1" x14ac:dyDescent="0.25">
      <c r="A980" s="4" t="s">
        <v>27</v>
      </c>
      <c r="B980" s="4" t="s">
        <v>37</v>
      </c>
      <c r="C980" s="4" t="s">
        <v>23</v>
      </c>
      <c r="D980" s="4" t="s">
        <v>47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44593</v>
      </c>
      <c r="J980" s="6">
        <v>0</v>
      </c>
      <c r="K980" s="6">
        <v>0</v>
      </c>
      <c r="L980" s="6">
        <v>-18.402999999999999</v>
      </c>
      <c r="M980" s="6">
        <v>-18.402999999999999</v>
      </c>
      <c r="N980" s="6">
        <v>-18.402999999999999</v>
      </c>
      <c r="O980" s="6">
        <v>-18.402999999999999</v>
      </c>
      <c r="P980" s="6">
        <v>19</v>
      </c>
      <c r="Q980" s="4" t="s">
        <v>26</v>
      </c>
      <c r="R980" s="4">
        <v>0</v>
      </c>
      <c r="S980" s="4" t="s">
        <v>375</v>
      </c>
      <c r="T980" s="4" t="s">
        <v>621</v>
      </c>
      <c r="U980" s="4">
        <v>0</v>
      </c>
      <c r="V980" s="4">
        <v>66</v>
      </c>
      <c r="W980" s="4">
        <v>3</v>
      </c>
    </row>
    <row r="981" spans="1:23" ht="11.25" customHeight="1" x14ac:dyDescent="0.25">
      <c r="A981" s="4" t="s">
        <v>28</v>
      </c>
      <c r="B981" s="4" t="s">
        <v>37</v>
      </c>
      <c r="C981" s="4" t="s">
        <v>23</v>
      </c>
      <c r="D981" s="4" t="s">
        <v>47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44593</v>
      </c>
      <c r="J981" s="6">
        <v>0</v>
      </c>
      <c r="K981" s="6">
        <v>0</v>
      </c>
      <c r="L981" s="6">
        <v>7.6559999999999997</v>
      </c>
      <c r="M981" s="6">
        <v>7.6559999999999997</v>
      </c>
      <c r="N981" s="6">
        <v>7.6559999999999997</v>
      </c>
      <c r="O981" s="6">
        <v>7.6559999999999997</v>
      </c>
      <c r="P981" s="6">
        <v>9</v>
      </c>
      <c r="Q981" s="4" t="s">
        <v>26</v>
      </c>
      <c r="R981" s="4">
        <v>0</v>
      </c>
      <c r="S981" s="4" t="s">
        <v>375</v>
      </c>
      <c r="T981" s="4" t="s">
        <v>621</v>
      </c>
      <c r="U981" s="4">
        <v>0</v>
      </c>
      <c r="V981" s="4">
        <v>66</v>
      </c>
      <c r="W981" s="4">
        <v>3</v>
      </c>
    </row>
    <row r="982" spans="1:23" ht="11.25" customHeight="1" x14ac:dyDescent="0.25">
      <c r="A982" s="4" t="s">
        <v>21</v>
      </c>
      <c r="B982" s="4" t="s">
        <v>37</v>
      </c>
      <c r="C982" s="4" t="s">
        <v>23</v>
      </c>
      <c r="D982" s="4" t="s">
        <v>47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44621</v>
      </c>
      <c r="J982" s="6">
        <v>0</v>
      </c>
      <c r="K982" s="6">
        <v>0</v>
      </c>
      <c r="L982" s="6">
        <v>2498.623</v>
      </c>
      <c r="M982" s="6">
        <v>2498.623</v>
      </c>
      <c r="N982" s="6">
        <v>2498.623</v>
      </c>
      <c r="O982" s="6">
        <v>2498.623</v>
      </c>
      <c r="P982" s="6">
        <v>1874</v>
      </c>
      <c r="Q982" s="4" t="s">
        <v>26</v>
      </c>
      <c r="R982" s="4">
        <v>0</v>
      </c>
      <c r="S982" s="4" t="s">
        <v>376</v>
      </c>
      <c r="T982" s="4" t="s">
        <v>622</v>
      </c>
      <c r="U982" s="4">
        <v>0</v>
      </c>
      <c r="V982" s="4">
        <v>66</v>
      </c>
      <c r="W982" s="4">
        <v>3</v>
      </c>
    </row>
    <row r="983" spans="1:23" ht="11.25" customHeight="1" x14ac:dyDescent="0.25">
      <c r="A983" s="4" t="s">
        <v>27</v>
      </c>
      <c r="B983" s="4" t="s">
        <v>37</v>
      </c>
      <c r="C983" s="4" t="s">
        <v>23</v>
      </c>
      <c r="D983" s="4" t="s">
        <v>47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44621</v>
      </c>
      <c r="J983" s="6">
        <v>0</v>
      </c>
      <c r="K983" s="6">
        <v>0</v>
      </c>
      <c r="L983" s="6">
        <v>90.575000000000003</v>
      </c>
      <c r="M983" s="6">
        <v>90.575000000000003</v>
      </c>
      <c r="N983" s="6">
        <v>90.575000000000003</v>
      </c>
      <c r="O983" s="6">
        <v>90.575000000000003</v>
      </c>
      <c r="P983" s="6">
        <v>32</v>
      </c>
      <c r="Q983" s="4" t="s">
        <v>26</v>
      </c>
      <c r="R983" s="4">
        <v>0</v>
      </c>
      <c r="S983" s="4" t="s">
        <v>376</v>
      </c>
      <c r="T983" s="4" t="s">
        <v>622</v>
      </c>
      <c r="U983" s="4">
        <v>0</v>
      </c>
      <c r="V983" s="4">
        <v>66</v>
      </c>
      <c r="W983" s="4">
        <v>3</v>
      </c>
    </row>
    <row r="984" spans="1:23" ht="11.25" customHeight="1" x14ac:dyDescent="0.25">
      <c r="A984" s="4" t="s">
        <v>28</v>
      </c>
      <c r="B984" s="4" t="s">
        <v>37</v>
      </c>
      <c r="C984" s="4" t="s">
        <v>23</v>
      </c>
      <c r="D984" s="4" t="s">
        <v>47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44621</v>
      </c>
      <c r="J984" s="6">
        <v>0</v>
      </c>
      <c r="K984" s="6">
        <v>0</v>
      </c>
      <c r="L984" s="6">
        <v>7.0389999999999997</v>
      </c>
      <c r="M984" s="6">
        <v>7.0389999999999997</v>
      </c>
      <c r="N984" s="6">
        <v>7.0389999999999997</v>
      </c>
      <c r="O984" s="6">
        <v>7.0389999999999997</v>
      </c>
      <c r="P984" s="6">
        <v>9</v>
      </c>
      <c r="Q984" s="4" t="s">
        <v>26</v>
      </c>
      <c r="R984" s="4">
        <v>0</v>
      </c>
      <c r="S984" s="4" t="s">
        <v>376</v>
      </c>
      <c r="T984" s="4" t="s">
        <v>622</v>
      </c>
      <c r="U984" s="4">
        <v>0</v>
      </c>
      <c r="V984" s="4">
        <v>66</v>
      </c>
      <c r="W984" s="4">
        <v>3</v>
      </c>
    </row>
    <row r="985" spans="1:23" ht="11.25" customHeight="1" x14ac:dyDescent="0.25">
      <c r="A985" s="4" t="s">
        <v>21</v>
      </c>
      <c r="B985" s="4" t="s">
        <v>37</v>
      </c>
      <c r="C985" s="4" t="s">
        <v>23</v>
      </c>
      <c r="D985" s="4" t="s">
        <v>47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44652</v>
      </c>
      <c r="J985" s="6">
        <v>0</v>
      </c>
      <c r="K985" s="6">
        <v>0</v>
      </c>
      <c r="L985" s="6">
        <v>2695.93</v>
      </c>
      <c r="M985" s="6">
        <v>2695.93</v>
      </c>
      <c r="N985" s="6">
        <v>2695.93</v>
      </c>
      <c r="O985" s="6">
        <v>2695.93</v>
      </c>
      <c r="P985" s="6">
        <v>1842</v>
      </c>
      <c r="Q985" s="4" t="s">
        <v>26</v>
      </c>
      <c r="R985" s="4">
        <v>0</v>
      </c>
      <c r="S985" s="4" t="s">
        <v>377</v>
      </c>
      <c r="T985" s="4" t="s">
        <v>623</v>
      </c>
      <c r="U985" s="4">
        <v>0</v>
      </c>
      <c r="V985" s="4">
        <v>66</v>
      </c>
      <c r="W985" s="4">
        <v>3</v>
      </c>
    </row>
    <row r="986" spans="1:23" ht="11.25" customHeight="1" x14ac:dyDescent="0.25">
      <c r="A986" s="4" t="s">
        <v>27</v>
      </c>
      <c r="B986" s="4" t="s">
        <v>37</v>
      </c>
      <c r="C986" s="4" t="s">
        <v>23</v>
      </c>
      <c r="D986" s="4" t="s">
        <v>47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-164.83699999999999</v>
      </c>
      <c r="M986" s="6">
        <v>-164.83699999999999</v>
      </c>
      <c r="N986" s="6">
        <v>-164.83699999999999</v>
      </c>
      <c r="O986" s="6">
        <v>-164.83699999999999</v>
      </c>
      <c r="P986" s="6">
        <v>-37</v>
      </c>
      <c r="Q986" s="4" t="s">
        <v>26</v>
      </c>
      <c r="R986" s="4">
        <v>0</v>
      </c>
      <c r="S986" s="4" t="s">
        <v>377</v>
      </c>
      <c r="T986" s="4" t="s">
        <v>623</v>
      </c>
      <c r="U986" s="4">
        <v>0</v>
      </c>
      <c r="V986" s="4">
        <v>66</v>
      </c>
      <c r="W986" s="4">
        <v>3</v>
      </c>
    </row>
    <row r="987" spans="1:23" ht="11.25" customHeight="1" x14ac:dyDescent="0.25">
      <c r="A987" s="4" t="s">
        <v>28</v>
      </c>
      <c r="B987" s="4" t="s">
        <v>37</v>
      </c>
      <c r="C987" s="4" t="s">
        <v>23</v>
      </c>
      <c r="D987" s="4" t="s">
        <v>47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44652</v>
      </c>
      <c r="J987" s="6">
        <v>0</v>
      </c>
      <c r="K987" s="6">
        <v>0</v>
      </c>
      <c r="L987" s="6">
        <v>4.6139999999999999</v>
      </c>
      <c r="M987" s="6">
        <v>4.6139999999999999</v>
      </c>
      <c r="N987" s="6">
        <v>4.6139999999999999</v>
      </c>
      <c r="O987" s="6">
        <v>4.6139999999999999</v>
      </c>
      <c r="P987" s="6">
        <v>9</v>
      </c>
      <c r="Q987" s="4" t="s">
        <v>26</v>
      </c>
      <c r="R987" s="4">
        <v>0</v>
      </c>
      <c r="S987" s="4" t="s">
        <v>377</v>
      </c>
      <c r="T987" s="4" t="s">
        <v>623</v>
      </c>
      <c r="U987" s="4">
        <v>0</v>
      </c>
      <c r="V987" s="4">
        <v>66</v>
      </c>
      <c r="W987" s="4">
        <v>3</v>
      </c>
    </row>
    <row r="988" spans="1:23" ht="11.25" customHeight="1" x14ac:dyDescent="0.25">
      <c r="A988" s="4" t="s">
        <v>21</v>
      </c>
      <c r="B988" s="4" t="s">
        <v>37</v>
      </c>
      <c r="C988" s="4" t="s">
        <v>23</v>
      </c>
      <c r="D988" s="4" t="s">
        <v>47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44682</v>
      </c>
      <c r="J988" s="6">
        <v>0</v>
      </c>
      <c r="K988" s="6">
        <v>0</v>
      </c>
      <c r="L988" s="6">
        <v>2962.3449999999998</v>
      </c>
      <c r="M988" s="6">
        <v>2962.3449999999998</v>
      </c>
      <c r="N988" s="6">
        <v>2962.3449999999998</v>
      </c>
      <c r="O988" s="6">
        <v>2962.3449999999998</v>
      </c>
      <c r="P988" s="6">
        <v>1871</v>
      </c>
      <c r="Q988" s="4" t="s">
        <v>26</v>
      </c>
      <c r="R988" s="4">
        <v>0</v>
      </c>
      <c r="S988" s="4" t="s">
        <v>378</v>
      </c>
      <c r="T988" s="4" t="s">
        <v>624</v>
      </c>
      <c r="U988" s="4">
        <v>0</v>
      </c>
      <c r="V988" s="4">
        <v>66</v>
      </c>
      <c r="W988" s="4">
        <v>3</v>
      </c>
    </row>
    <row r="989" spans="1:23" ht="11.25" customHeight="1" x14ac:dyDescent="0.25">
      <c r="A989" s="4" t="s">
        <v>27</v>
      </c>
      <c r="B989" s="4" t="s">
        <v>37</v>
      </c>
      <c r="C989" s="4" t="s">
        <v>23</v>
      </c>
      <c r="D989" s="4" t="s">
        <v>47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44682</v>
      </c>
      <c r="J989" s="6">
        <v>0</v>
      </c>
      <c r="K989" s="6">
        <v>0</v>
      </c>
      <c r="L989" s="6">
        <v>8.19</v>
      </c>
      <c r="M989" s="6">
        <v>8.19</v>
      </c>
      <c r="N989" s="6">
        <v>8.19</v>
      </c>
      <c r="O989" s="6">
        <v>8.19</v>
      </c>
      <c r="P989" s="6">
        <v>4</v>
      </c>
      <c r="Q989" s="4" t="s">
        <v>26</v>
      </c>
      <c r="R989" s="4">
        <v>0</v>
      </c>
      <c r="S989" s="4" t="s">
        <v>378</v>
      </c>
      <c r="T989" s="4" t="s">
        <v>624</v>
      </c>
      <c r="U989" s="4">
        <v>0</v>
      </c>
      <c r="V989" s="4">
        <v>66</v>
      </c>
      <c r="W989" s="4">
        <v>3</v>
      </c>
    </row>
    <row r="990" spans="1:23" ht="11.25" customHeight="1" x14ac:dyDescent="0.25">
      <c r="A990" s="4" t="s">
        <v>28</v>
      </c>
      <c r="B990" s="4" t="s">
        <v>37</v>
      </c>
      <c r="C990" s="4" t="s">
        <v>23</v>
      </c>
      <c r="D990" s="4" t="s">
        <v>47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44682</v>
      </c>
      <c r="J990" s="6">
        <v>0</v>
      </c>
      <c r="K990" s="6">
        <v>0</v>
      </c>
      <c r="L990" s="6">
        <v>6.5419999999999998</v>
      </c>
      <c r="M990" s="6">
        <v>6.5419999999999998</v>
      </c>
      <c r="N990" s="6">
        <v>6.5419999999999998</v>
      </c>
      <c r="O990" s="6">
        <v>6.5419999999999998</v>
      </c>
      <c r="P990" s="6">
        <v>9</v>
      </c>
      <c r="Q990" s="4" t="s">
        <v>26</v>
      </c>
      <c r="R990" s="4">
        <v>0</v>
      </c>
      <c r="S990" s="4" t="s">
        <v>378</v>
      </c>
      <c r="T990" s="4" t="s">
        <v>624</v>
      </c>
      <c r="U990" s="4">
        <v>0</v>
      </c>
      <c r="V990" s="4">
        <v>66</v>
      </c>
      <c r="W990" s="4">
        <v>3</v>
      </c>
    </row>
    <row r="991" spans="1:23" ht="11.25" customHeight="1" x14ac:dyDescent="0.25">
      <c r="A991" s="4" t="s">
        <v>21</v>
      </c>
      <c r="B991" s="4" t="s">
        <v>37</v>
      </c>
      <c r="C991" s="4" t="s">
        <v>23</v>
      </c>
      <c r="D991" s="4" t="s">
        <v>47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44713</v>
      </c>
      <c r="J991" s="6">
        <v>0</v>
      </c>
      <c r="K991" s="6">
        <v>0</v>
      </c>
      <c r="L991" s="6">
        <v>3183.72</v>
      </c>
      <c r="M991" s="6">
        <v>3183.72</v>
      </c>
      <c r="N991" s="6">
        <v>3183.72</v>
      </c>
      <c r="O991" s="6">
        <v>3183.72</v>
      </c>
      <c r="P991" s="6">
        <v>1878</v>
      </c>
      <c r="Q991" s="4" t="s">
        <v>26</v>
      </c>
      <c r="R991" s="4">
        <v>0</v>
      </c>
      <c r="S991" s="4" t="s">
        <v>379</v>
      </c>
      <c r="T991" s="4" t="s">
        <v>625</v>
      </c>
      <c r="U991" s="4">
        <v>0</v>
      </c>
      <c r="V991" s="4">
        <v>66</v>
      </c>
      <c r="W991" s="4">
        <v>3</v>
      </c>
    </row>
    <row r="992" spans="1:23" ht="11.25" customHeight="1" x14ac:dyDescent="0.25">
      <c r="A992" s="4" t="s">
        <v>27</v>
      </c>
      <c r="B992" s="4" t="s">
        <v>37</v>
      </c>
      <c r="C992" s="4" t="s">
        <v>23</v>
      </c>
      <c r="D992" s="4" t="s">
        <v>47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44713</v>
      </c>
      <c r="J992" s="6">
        <v>0</v>
      </c>
      <c r="K992" s="6">
        <v>0</v>
      </c>
      <c r="L992" s="6">
        <v>-9.2460000000000004</v>
      </c>
      <c r="M992" s="6">
        <v>-9.2460000000000004</v>
      </c>
      <c r="N992" s="6">
        <v>-9.2460000000000004</v>
      </c>
      <c r="O992" s="6">
        <v>-9.2460000000000004</v>
      </c>
      <c r="P992" s="6">
        <v>2</v>
      </c>
      <c r="Q992" s="4" t="s">
        <v>26</v>
      </c>
      <c r="R992" s="4">
        <v>0</v>
      </c>
      <c r="S992" s="4" t="s">
        <v>379</v>
      </c>
      <c r="T992" s="4" t="s">
        <v>625</v>
      </c>
      <c r="U992" s="4">
        <v>0</v>
      </c>
      <c r="V992" s="4">
        <v>66</v>
      </c>
      <c r="W992" s="4">
        <v>3</v>
      </c>
    </row>
    <row r="993" spans="1:23" ht="11.25" customHeight="1" x14ac:dyDescent="0.25">
      <c r="A993" s="4" t="s">
        <v>28</v>
      </c>
      <c r="B993" s="4" t="s">
        <v>37</v>
      </c>
      <c r="C993" s="4" t="s">
        <v>23</v>
      </c>
      <c r="D993" s="4" t="s">
        <v>47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44713</v>
      </c>
      <c r="J993" s="6">
        <v>0</v>
      </c>
      <c r="K993" s="6">
        <v>0</v>
      </c>
      <c r="L993" s="6">
        <v>8.3290000000000006</v>
      </c>
      <c r="M993" s="6">
        <v>8.3290000000000006</v>
      </c>
      <c r="N993" s="6">
        <v>8.3290000000000006</v>
      </c>
      <c r="O993" s="6">
        <v>8.3290000000000006</v>
      </c>
      <c r="P993" s="6">
        <v>9</v>
      </c>
      <c r="Q993" s="4" t="s">
        <v>26</v>
      </c>
      <c r="R993" s="4">
        <v>0</v>
      </c>
      <c r="S993" s="4" t="s">
        <v>379</v>
      </c>
      <c r="T993" s="4" t="s">
        <v>625</v>
      </c>
      <c r="U993" s="4">
        <v>0</v>
      </c>
      <c r="V993" s="4">
        <v>66</v>
      </c>
      <c r="W993" s="4">
        <v>3</v>
      </c>
    </row>
    <row r="994" spans="1:23" ht="11.25" customHeight="1" x14ac:dyDescent="0.25">
      <c r="A994" s="4" t="s">
        <v>21</v>
      </c>
      <c r="B994" s="4" t="s">
        <v>37</v>
      </c>
      <c r="C994" s="4" t="s">
        <v>23</v>
      </c>
      <c r="D994" s="4" t="s">
        <v>47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44743</v>
      </c>
      <c r="J994" s="6">
        <v>0</v>
      </c>
      <c r="K994" s="6">
        <v>0</v>
      </c>
      <c r="L994" s="6">
        <v>2502.7530000000002</v>
      </c>
      <c r="M994" s="6">
        <v>2502.7530000000002</v>
      </c>
      <c r="N994" s="6">
        <v>2502.7530000000002</v>
      </c>
      <c r="O994" s="6">
        <v>2502.7530000000002</v>
      </c>
      <c r="P994" s="6">
        <v>1865</v>
      </c>
      <c r="Q994" s="4" t="s">
        <v>26</v>
      </c>
      <c r="R994" s="4">
        <v>0</v>
      </c>
      <c r="S994" s="4" t="s">
        <v>380</v>
      </c>
      <c r="T994" s="4" t="s">
        <v>626</v>
      </c>
      <c r="U994" s="4">
        <v>0</v>
      </c>
      <c r="V994" s="4">
        <v>66</v>
      </c>
      <c r="W994" s="4">
        <v>3</v>
      </c>
    </row>
    <row r="995" spans="1:23" ht="11.25" customHeight="1" x14ac:dyDescent="0.25">
      <c r="A995" s="4" t="s">
        <v>27</v>
      </c>
      <c r="B995" s="4" t="s">
        <v>37</v>
      </c>
      <c r="C995" s="4" t="s">
        <v>23</v>
      </c>
      <c r="D995" s="4" t="s">
        <v>47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44743</v>
      </c>
      <c r="J995" s="6">
        <v>0</v>
      </c>
      <c r="K995" s="6">
        <v>0</v>
      </c>
      <c r="L995" s="6">
        <v>4.6120000000000001</v>
      </c>
      <c r="M995" s="6">
        <v>4.6120000000000001</v>
      </c>
      <c r="N995" s="6">
        <v>4.6120000000000001</v>
      </c>
      <c r="O995" s="6">
        <v>4.6120000000000001</v>
      </c>
      <c r="P995" s="6">
        <v>1</v>
      </c>
      <c r="Q995" s="4" t="s">
        <v>26</v>
      </c>
      <c r="R995" s="4">
        <v>0</v>
      </c>
      <c r="S995" s="4" t="s">
        <v>380</v>
      </c>
      <c r="T995" s="4" t="s">
        <v>626</v>
      </c>
      <c r="U995" s="4">
        <v>0</v>
      </c>
      <c r="V995" s="4">
        <v>66</v>
      </c>
      <c r="W995" s="4">
        <v>3</v>
      </c>
    </row>
    <row r="996" spans="1:23" ht="11.25" customHeight="1" x14ac:dyDescent="0.25">
      <c r="A996" s="4" t="s">
        <v>28</v>
      </c>
      <c r="B996" s="4" t="s">
        <v>37</v>
      </c>
      <c r="C996" s="4" t="s">
        <v>23</v>
      </c>
      <c r="D996" s="4" t="s">
        <v>47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44743</v>
      </c>
      <c r="J996" s="6">
        <v>0</v>
      </c>
      <c r="K996" s="6">
        <v>0</v>
      </c>
      <c r="L996" s="6">
        <v>8.2140000000000004</v>
      </c>
      <c r="M996" s="6">
        <v>8.2140000000000004</v>
      </c>
      <c r="N996" s="6">
        <v>8.2140000000000004</v>
      </c>
      <c r="O996" s="6">
        <v>8.2140000000000004</v>
      </c>
      <c r="P996" s="6">
        <v>9</v>
      </c>
      <c r="Q996" s="4" t="s">
        <v>26</v>
      </c>
      <c r="R996" s="4">
        <v>0</v>
      </c>
      <c r="S996" s="4" t="s">
        <v>380</v>
      </c>
      <c r="T996" s="4" t="s">
        <v>626</v>
      </c>
      <c r="U996" s="4">
        <v>0</v>
      </c>
      <c r="V996" s="4">
        <v>66</v>
      </c>
      <c r="W996" s="4">
        <v>3</v>
      </c>
    </row>
    <row r="997" spans="1:23" ht="11.25" customHeight="1" x14ac:dyDescent="0.25">
      <c r="A997" s="4" t="s">
        <v>21</v>
      </c>
      <c r="B997" s="4" t="s">
        <v>37</v>
      </c>
      <c r="C997" s="4" t="s">
        <v>23</v>
      </c>
      <c r="D997" s="4" t="s">
        <v>47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44774</v>
      </c>
      <c r="J997" s="6">
        <v>0</v>
      </c>
      <c r="K997" s="6">
        <v>0</v>
      </c>
      <c r="L997" s="6">
        <v>3074.973</v>
      </c>
      <c r="M997" s="6">
        <v>3074.973</v>
      </c>
      <c r="N997" s="6">
        <v>3074.973</v>
      </c>
      <c r="O997" s="6">
        <v>3074.973</v>
      </c>
      <c r="P997" s="6">
        <v>1839</v>
      </c>
      <c r="Q997" s="4" t="s">
        <v>26</v>
      </c>
      <c r="R997" s="4">
        <v>0</v>
      </c>
      <c r="S997" s="4" t="s">
        <v>381</v>
      </c>
      <c r="T997" s="4" t="s">
        <v>627</v>
      </c>
      <c r="U997" s="4">
        <v>0</v>
      </c>
      <c r="V997" s="4">
        <v>66</v>
      </c>
      <c r="W997" s="4">
        <v>3</v>
      </c>
    </row>
    <row r="998" spans="1:23" ht="11.25" customHeight="1" x14ac:dyDescent="0.25">
      <c r="A998" s="4" t="s">
        <v>27</v>
      </c>
      <c r="B998" s="4" t="s">
        <v>37</v>
      </c>
      <c r="C998" s="4" t="s">
        <v>23</v>
      </c>
      <c r="D998" s="4" t="s">
        <v>47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44774</v>
      </c>
      <c r="J998" s="6">
        <v>0</v>
      </c>
      <c r="K998" s="6">
        <v>0</v>
      </c>
      <c r="L998" s="6">
        <v>10.625</v>
      </c>
      <c r="M998" s="6">
        <v>10.625</v>
      </c>
      <c r="N998" s="6">
        <v>10.625</v>
      </c>
      <c r="O998" s="6">
        <v>10.625</v>
      </c>
      <c r="P998" s="6">
        <v>2</v>
      </c>
      <c r="Q998" s="4" t="s">
        <v>26</v>
      </c>
      <c r="R998" s="4">
        <v>0</v>
      </c>
      <c r="S998" s="4" t="s">
        <v>381</v>
      </c>
      <c r="T998" s="4" t="s">
        <v>627</v>
      </c>
      <c r="U998" s="4">
        <v>0</v>
      </c>
      <c r="V998" s="4">
        <v>66</v>
      </c>
      <c r="W998" s="4">
        <v>3</v>
      </c>
    </row>
    <row r="999" spans="1:23" ht="11.25" customHeight="1" x14ac:dyDescent="0.25">
      <c r="A999" s="4" t="s">
        <v>28</v>
      </c>
      <c r="B999" s="4" t="s">
        <v>37</v>
      </c>
      <c r="C999" s="4" t="s">
        <v>23</v>
      </c>
      <c r="D999" s="4" t="s">
        <v>47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44774</v>
      </c>
      <c r="J999" s="6">
        <v>0</v>
      </c>
      <c r="K999" s="6">
        <v>0</v>
      </c>
      <c r="L999" s="6">
        <v>12.186999999999999</v>
      </c>
      <c r="M999" s="6">
        <v>12.186999999999999</v>
      </c>
      <c r="N999" s="6">
        <v>12.186999999999999</v>
      </c>
      <c r="O999" s="6">
        <v>12.186999999999999</v>
      </c>
      <c r="P999" s="6">
        <v>9</v>
      </c>
      <c r="Q999" s="4" t="s">
        <v>26</v>
      </c>
      <c r="R999" s="4">
        <v>0</v>
      </c>
      <c r="S999" s="4" t="s">
        <v>381</v>
      </c>
      <c r="T999" s="4" t="s">
        <v>627</v>
      </c>
      <c r="U999" s="4">
        <v>0</v>
      </c>
      <c r="V999" s="4">
        <v>66</v>
      </c>
      <c r="W999" s="4">
        <v>3</v>
      </c>
    </row>
    <row r="1000" spans="1:23" ht="11.25" customHeight="1" x14ac:dyDescent="0.25">
      <c r="A1000" s="4" t="s">
        <v>21</v>
      </c>
      <c r="B1000" s="4" t="s">
        <v>37</v>
      </c>
      <c r="C1000" s="4" t="s">
        <v>23</v>
      </c>
      <c r="D1000" s="4" t="s">
        <v>47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44805</v>
      </c>
      <c r="J1000" s="6">
        <v>0</v>
      </c>
      <c r="K1000" s="6">
        <v>0</v>
      </c>
      <c r="L1000" s="6">
        <v>3740.067</v>
      </c>
      <c r="M1000" s="6">
        <v>3740.067</v>
      </c>
      <c r="N1000" s="6">
        <v>3740.067</v>
      </c>
      <c r="O1000" s="6">
        <v>3740.067</v>
      </c>
      <c r="P1000" s="6">
        <v>1834</v>
      </c>
      <c r="Q1000" s="4" t="s">
        <v>26</v>
      </c>
      <c r="R1000" s="4">
        <v>0</v>
      </c>
      <c r="S1000" s="4" t="s">
        <v>382</v>
      </c>
      <c r="T1000" s="4" t="s">
        <v>628</v>
      </c>
      <c r="U1000" s="4">
        <v>0</v>
      </c>
      <c r="V1000" s="4">
        <v>66</v>
      </c>
      <c r="W1000" s="4">
        <v>3</v>
      </c>
    </row>
    <row r="1001" spans="1:23" ht="11.25" customHeight="1" x14ac:dyDescent="0.25">
      <c r="A1001" s="4" t="s">
        <v>27</v>
      </c>
      <c r="B1001" s="4" t="s">
        <v>37</v>
      </c>
      <c r="C1001" s="4" t="s">
        <v>23</v>
      </c>
      <c r="D1001" s="4" t="s">
        <v>47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44805</v>
      </c>
      <c r="J1001" s="6">
        <v>0</v>
      </c>
      <c r="K1001" s="6">
        <v>0</v>
      </c>
      <c r="L1001" s="6">
        <v>-304.98700000000002</v>
      </c>
      <c r="M1001" s="6">
        <v>-304.98700000000002</v>
      </c>
      <c r="N1001" s="6">
        <v>-304.98700000000002</v>
      </c>
      <c r="O1001" s="6">
        <v>-304.98700000000002</v>
      </c>
      <c r="P1001" s="6">
        <v>-3</v>
      </c>
      <c r="Q1001" s="4" t="s">
        <v>26</v>
      </c>
      <c r="R1001" s="4">
        <v>0</v>
      </c>
      <c r="S1001" s="4" t="s">
        <v>382</v>
      </c>
      <c r="T1001" s="4" t="s">
        <v>628</v>
      </c>
      <c r="U1001" s="4">
        <v>0</v>
      </c>
      <c r="V1001" s="4">
        <v>66</v>
      </c>
      <c r="W1001" s="4">
        <v>3</v>
      </c>
    </row>
    <row r="1002" spans="1:23" ht="11.25" customHeight="1" x14ac:dyDescent="0.25">
      <c r="A1002" s="4" t="s">
        <v>28</v>
      </c>
      <c r="B1002" s="4" t="s">
        <v>37</v>
      </c>
      <c r="C1002" s="4" t="s">
        <v>23</v>
      </c>
      <c r="D1002" s="4" t="s">
        <v>47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44805</v>
      </c>
      <c r="J1002" s="6">
        <v>0</v>
      </c>
      <c r="K1002" s="6">
        <v>0</v>
      </c>
      <c r="L1002" s="6">
        <v>17.782</v>
      </c>
      <c r="M1002" s="6">
        <v>17.782</v>
      </c>
      <c r="N1002" s="6">
        <v>17.782</v>
      </c>
      <c r="O1002" s="6">
        <v>17.782</v>
      </c>
      <c r="P1002" s="6">
        <v>9</v>
      </c>
      <c r="Q1002" s="4" t="s">
        <v>26</v>
      </c>
      <c r="R1002" s="4">
        <v>0</v>
      </c>
      <c r="S1002" s="4" t="s">
        <v>382</v>
      </c>
      <c r="T1002" s="4" t="s">
        <v>628</v>
      </c>
      <c r="U1002" s="4">
        <v>0</v>
      </c>
      <c r="V1002" s="4">
        <v>66</v>
      </c>
      <c r="W1002" s="4">
        <v>3</v>
      </c>
    </row>
    <row r="1003" spans="1:23" ht="11.25" customHeight="1" x14ac:dyDescent="0.25">
      <c r="A1003" s="4" t="s">
        <v>21</v>
      </c>
      <c r="B1003" s="4" t="s">
        <v>37</v>
      </c>
      <c r="C1003" s="4" t="s">
        <v>23</v>
      </c>
      <c r="D1003" s="4" t="s">
        <v>47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44835</v>
      </c>
      <c r="J1003" s="6">
        <v>0</v>
      </c>
      <c r="K1003" s="6">
        <v>0</v>
      </c>
      <c r="L1003" s="6">
        <v>4127.8090000000002</v>
      </c>
      <c r="M1003" s="6">
        <v>4127.8090000000002</v>
      </c>
      <c r="N1003" s="6">
        <v>4127.8090000000002</v>
      </c>
      <c r="O1003" s="6">
        <v>4127.8090000000002</v>
      </c>
      <c r="P1003" s="6">
        <v>1887</v>
      </c>
      <c r="Q1003" s="4" t="s">
        <v>26</v>
      </c>
      <c r="R1003" s="4">
        <v>0</v>
      </c>
      <c r="S1003" s="4" t="s">
        <v>383</v>
      </c>
      <c r="T1003" s="4" t="s">
        <v>629</v>
      </c>
      <c r="U1003" s="4">
        <v>0</v>
      </c>
      <c r="V1003" s="4">
        <v>66</v>
      </c>
      <c r="W1003" s="4">
        <v>3</v>
      </c>
    </row>
    <row r="1004" spans="1:23" ht="11.25" customHeight="1" x14ac:dyDescent="0.25">
      <c r="A1004" s="4" t="s">
        <v>27</v>
      </c>
      <c r="B1004" s="4" t="s">
        <v>37</v>
      </c>
      <c r="C1004" s="4" t="s">
        <v>23</v>
      </c>
      <c r="D1004" s="4" t="s">
        <v>47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44835</v>
      </c>
      <c r="J1004" s="6">
        <v>0</v>
      </c>
      <c r="K1004" s="6">
        <v>0</v>
      </c>
      <c r="L1004" s="6">
        <v>-5.6749999999999998</v>
      </c>
      <c r="M1004" s="6">
        <v>-5.6749999999999998</v>
      </c>
      <c r="N1004" s="6">
        <v>-5.6749999999999998</v>
      </c>
      <c r="O1004" s="6">
        <v>-5.6749999999999998</v>
      </c>
      <c r="P1004" s="6">
        <v>2</v>
      </c>
      <c r="Q1004" s="4" t="s">
        <v>26</v>
      </c>
      <c r="R1004" s="4">
        <v>0</v>
      </c>
      <c r="S1004" s="4" t="s">
        <v>383</v>
      </c>
      <c r="T1004" s="4" t="s">
        <v>629</v>
      </c>
      <c r="U1004" s="4">
        <v>0</v>
      </c>
      <c r="V1004" s="4">
        <v>66</v>
      </c>
      <c r="W1004" s="4">
        <v>3</v>
      </c>
    </row>
    <row r="1005" spans="1:23" ht="11.25" customHeight="1" x14ac:dyDescent="0.25">
      <c r="A1005" s="4" t="s">
        <v>28</v>
      </c>
      <c r="B1005" s="4" t="s">
        <v>37</v>
      </c>
      <c r="C1005" s="4" t="s">
        <v>23</v>
      </c>
      <c r="D1005" s="4" t="s">
        <v>47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44835</v>
      </c>
      <c r="J1005" s="6">
        <v>0</v>
      </c>
      <c r="K1005" s="6">
        <v>0</v>
      </c>
      <c r="L1005" s="6">
        <v>19.748999999999999</v>
      </c>
      <c r="M1005" s="6">
        <v>19.748999999999999</v>
      </c>
      <c r="N1005" s="6">
        <v>19.748999999999999</v>
      </c>
      <c r="O1005" s="6">
        <v>19.748999999999999</v>
      </c>
      <c r="P1005" s="6">
        <v>9</v>
      </c>
      <c r="Q1005" s="4" t="s">
        <v>26</v>
      </c>
      <c r="R1005" s="4">
        <v>0</v>
      </c>
      <c r="S1005" s="4" t="s">
        <v>383</v>
      </c>
      <c r="T1005" s="4" t="s">
        <v>629</v>
      </c>
      <c r="U1005" s="4">
        <v>0</v>
      </c>
      <c r="V1005" s="4">
        <v>66</v>
      </c>
      <c r="W1005" s="4">
        <v>3</v>
      </c>
    </row>
    <row r="1006" spans="1:23" ht="11.25" customHeight="1" x14ac:dyDescent="0.25">
      <c r="A1006" s="4" t="s">
        <v>54</v>
      </c>
      <c r="B1006" s="4" t="s">
        <v>37</v>
      </c>
      <c r="C1006" s="4" t="s">
        <v>23</v>
      </c>
      <c r="D1006" s="4" t="s">
        <v>47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44866</v>
      </c>
      <c r="J1006" s="6">
        <v>0</v>
      </c>
      <c r="K1006" s="6">
        <v>0</v>
      </c>
      <c r="L1006" s="6">
        <v>4127.8090000000002</v>
      </c>
      <c r="M1006" s="6">
        <v>4127.8090000000002</v>
      </c>
      <c r="N1006" s="6">
        <v>4127.8090000000002</v>
      </c>
      <c r="O1006" s="6">
        <v>4127.8090000000002</v>
      </c>
      <c r="P1006" s="6">
        <v>1887</v>
      </c>
      <c r="Q1006" s="4" t="s">
        <v>26</v>
      </c>
      <c r="R1006" s="4">
        <v>0</v>
      </c>
      <c r="S1006" s="4" t="s">
        <v>384</v>
      </c>
      <c r="T1006" s="4" t="s">
        <v>630</v>
      </c>
      <c r="U1006" s="4">
        <v>0</v>
      </c>
      <c r="V1006" s="4">
        <v>66</v>
      </c>
      <c r="W1006" s="4">
        <v>3</v>
      </c>
    </row>
    <row r="1007" spans="1:23" ht="11.25" customHeight="1" x14ac:dyDescent="0.25">
      <c r="A1007" s="4" t="s">
        <v>54</v>
      </c>
      <c r="B1007" s="4" t="s">
        <v>37</v>
      </c>
      <c r="C1007" s="4" t="s">
        <v>23</v>
      </c>
      <c r="D1007" s="4" t="s">
        <v>47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44866</v>
      </c>
      <c r="J1007" s="6">
        <v>0</v>
      </c>
      <c r="K1007" s="6">
        <v>0</v>
      </c>
      <c r="L1007" s="6">
        <v>-5.6749999999999998</v>
      </c>
      <c r="M1007" s="6">
        <v>-5.6749999999999998</v>
      </c>
      <c r="N1007" s="6">
        <v>-5.6749999999999998</v>
      </c>
      <c r="O1007" s="6">
        <v>-5.6749999999999998</v>
      </c>
      <c r="P1007" s="6">
        <v>2</v>
      </c>
      <c r="Q1007" s="4" t="s">
        <v>26</v>
      </c>
      <c r="R1007" s="4">
        <v>0</v>
      </c>
      <c r="S1007" s="4" t="s">
        <v>384</v>
      </c>
      <c r="T1007" s="4" t="s">
        <v>630</v>
      </c>
      <c r="U1007" s="4">
        <v>0</v>
      </c>
      <c r="V1007" s="4">
        <v>66</v>
      </c>
      <c r="W1007" s="4">
        <v>3</v>
      </c>
    </row>
    <row r="1008" spans="1:23" ht="11.25" customHeight="1" x14ac:dyDescent="0.25">
      <c r="A1008" s="4" t="s">
        <v>54</v>
      </c>
      <c r="B1008" s="4" t="s">
        <v>37</v>
      </c>
      <c r="C1008" s="4" t="s">
        <v>23</v>
      </c>
      <c r="D1008" s="4" t="s">
        <v>47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44866</v>
      </c>
      <c r="J1008" s="6">
        <v>0</v>
      </c>
      <c r="K1008" s="6">
        <v>0</v>
      </c>
      <c r="L1008" s="6">
        <v>19.748999999999999</v>
      </c>
      <c r="M1008" s="6">
        <v>19.748999999999999</v>
      </c>
      <c r="N1008" s="6">
        <v>19.748999999999999</v>
      </c>
      <c r="O1008" s="6">
        <v>19.748999999999999</v>
      </c>
      <c r="P1008" s="6">
        <v>9</v>
      </c>
      <c r="Q1008" s="4" t="s">
        <v>26</v>
      </c>
      <c r="R1008" s="4">
        <v>0</v>
      </c>
      <c r="S1008" s="4" t="s">
        <v>384</v>
      </c>
      <c r="T1008" s="4" t="s">
        <v>630</v>
      </c>
      <c r="U1008" s="4">
        <v>0</v>
      </c>
      <c r="V1008" s="4">
        <v>66</v>
      </c>
      <c r="W1008" s="4">
        <v>3</v>
      </c>
    </row>
    <row r="1009" spans="1:23" ht="11.25" customHeight="1" x14ac:dyDescent="0.25">
      <c r="A1009" s="4" t="s">
        <v>21</v>
      </c>
      <c r="B1009" s="4" t="s">
        <v>37</v>
      </c>
      <c r="C1009" s="4" t="s">
        <v>23</v>
      </c>
      <c r="D1009" s="4" t="s">
        <v>51</v>
      </c>
      <c r="E1009" s="4" t="s">
        <v>52</v>
      </c>
      <c r="F1009" s="4" t="s">
        <v>25</v>
      </c>
      <c r="G1009" s="4" t="s">
        <v>25</v>
      </c>
      <c r="H1009" s="4" t="s">
        <v>25</v>
      </c>
      <c r="I1009" s="5">
        <v>44531</v>
      </c>
      <c r="J1009" s="6">
        <v>0</v>
      </c>
      <c r="K1009" s="6">
        <v>0</v>
      </c>
      <c r="L1009" s="6">
        <v>328.87</v>
      </c>
      <c r="M1009" s="6">
        <v>309.13779999999997</v>
      </c>
      <c r="N1009" s="6">
        <v>328.87</v>
      </c>
      <c r="O1009" s="6">
        <v>309.13779999999997</v>
      </c>
      <c r="P1009" s="6">
        <v>87</v>
      </c>
      <c r="Q1009" s="4" t="s">
        <v>26</v>
      </c>
      <c r="R1009" s="4">
        <v>0</v>
      </c>
      <c r="S1009" s="4" t="s">
        <v>373</v>
      </c>
      <c r="T1009" s="4" t="s">
        <v>619</v>
      </c>
      <c r="U1009" s="4">
        <v>0</v>
      </c>
      <c r="V1009" s="4">
        <v>66</v>
      </c>
      <c r="W1009" s="4">
        <v>3</v>
      </c>
    </row>
    <row r="1010" spans="1:23" ht="11.25" customHeight="1" x14ac:dyDescent="0.25">
      <c r="A1010" s="4" t="s">
        <v>27</v>
      </c>
      <c r="B1010" s="4" t="s">
        <v>37</v>
      </c>
      <c r="C1010" s="4" t="s">
        <v>23</v>
      </c>
      <c r="D1010" s="4" t="s">
        <v>51</v>
      </c>
      <c r="E1010" s="4" t="s">
        <v>52</v>
      </c>
      <c r="F1010" s="4" t="s">
        <v>25</v>
      </c>
      <c r="G1010" s="4" t="s">
        <v>25</v>
      </c>
      <c r="H1010" s="4" t="s">
        <v>25</v>
      </c>
      <c r="I1010" s="5">
        <v>44531</v>
      </c>
      <c r="J1010" s="6">
        <v>0</v>
      </c>
      <c r="K1010" s="6">
        <v>0</v>
      </c>
      <c r="L1010" s="6">
        <v>-81.617999999999995</v>
      </c>
      <c r="M1010" s="6">
        <v>-76.720919999999992</v>
      </c>
      <c r="N1010" s="6">
        <v>-81.617999999999995</v>
      </c>
      <c r="O1010" s="6">
        <v>-76.720919999999992</v>
      </c>
      <c r="P1010" s="6">
        <v>-15</v>
      </c>
      <c r="Q1010" s="4" t="s">
        <v>26</v>
      </c>
      <c r="R1010" s="4">
        <v>0</v>
      </c>
      <c r="S1010" s="4" t="s">
        <v>373</v>
      </c>
      <c r="T1010" s="4" t="s">
        <v>619</v>
      </c>
      <c r="U1010" s="4">
        <v>0</v>
      </c>
      <c r="V1010" s="4">
        <v>66</v>
      </c>
      <c r="W1010" s="4">
        <v>3</v>
      </c>
    </row>
    <row r="1011" spans="1:23" ht="11.25" customHeight="1" x14ac:dyDescent="0.25">
      <c r="A1011" s="4" t="s">
        <v>21</v>
      </c>
      <c r="B1011" s="4" t="s">
        <v>37</v>
      </c>
      <c r="C1011" s="4" t="s">
        <v>23</v>
      </c>
      <c r="D1011" s="4" t="s">
        <v>51</v>
      </c>
      <c r="E1011" s="4" t="s">
        <v>52</v>
      </c>
      <c r="F1011" s="4" t="s">
        <v>25</v>
      </c>
      <c r="G1011" s="4" t="s">
        <v>25</v>
      </c>
      <c r="H1011" s="4" t="s">
        <v>25</v>
      </c>
      <c r="I1011" s="5">
        <v>44562</v>
      </c>
      <c r="J1011" s="6">
        <v>0</v>
      </c>
      <c r="K1011" s="6">
        <v>0</v>
      </c>
      <c r="L1011" s="6">
        <v>317.13900000000001</v>
      </c>
      <c r="M1011" s="6">
        <v>298.11066</v>
      </c>
      <c r="N1011" s="6">
        <v>317.13900000000001</v>
      </c>
      <c r="O1011" s="6">
        <v>298.11066</v>
      </c>
      <c r="P1011" s="6">
        <v>87</v>
      </c>
      <c r="Q1011" s="4" t="s">
        <v>26</v>
      </c>
      <c r="R1011" s="4">
        <v>0</v>
      </c>
      <c r="S1011" s="4" t="s">
        <v>374</v>
      </c>
      <c r="T1011" s="4" t="s">
        <v>620</v>
      </c>
      <c r="U1011" s="4">
        <v>0</v>
      </c>
      <c r="V1011" s="4">
        <v>66</v>
      </c>
      <c r="W1011" s="4">
        <v>3</v>
      </c>
    </row>
    <row r="1012" spans="1:23" ht="11.25" customHeight="1" x14ac:dyDescent="0.25">
      <c r="A1012" s="4" t="s">
        <v>21</v>
      </c>
      <c r="B1012" s="4" t="s">
        <v>37</v>
      </c>
      <c r="C1012" s="4" t="s">
        <v>23</v>
      </c>
      <c r="D1012" s="4" t="s">
        <v>51</v>
      </c>
      <c r="E1012" s="4" t="s">
        <v>52</v>
      </c>
      <c r="F1012" s="4" t="s">
        <v>25</v>
      </c>
      <c r="G1012" s="4" t="s">
        <v>25</v>
      </c>
      <c r="H1012" s="4" t="s">
        <v>25</v>
      </c>
      <c r="I1012" s="5">
        <v>44593</v>
      </c>
      <c r="J1012" s="6">
        <v>0</v>
      </c>
      <c r="K1012" s="6">
        <v>0</v>
      </c>
      <c r="L1012" s="6">
        <v>295.197</v>
      </c>
      <c r="M1012" s="6">
        <v>277.48518000000001</v>
      </c>
      <c r="N1012" s="6">
        <v>295.197</v>
      </c>
      <c r="O1012" s="6">
        <v>277.48518000000001</v>
      </c>
      <c r="P1012" s="6">
        <v>90</v>
      </c>
      <c r="Q1012" s="4" t="s">
        <v>26</v>
      </c>
      <c r="R1012" s="4">
        <v>0</v>
      </c>
      <c r="S1012" s="4" t="s">
        <v>375</v>
      </c>
      <c r="T1012" s="4" t="s">
        <v>621</v>
      </c>
      <c r="U1012" s="4">
        <v>0</v>
      </c>
      <c r="V1012" s="4">
        <v>66</v>
      </c>
      <c r="W1012" s="4">
        <v>3</v>
      </c>
    </row>
    <row r="1013" spans="1:23" ht="11.25" customHeight="1" x14ac:dyDescent="0.25">
      <c r="A1013" s="4" t="s">
        <v>21</v>
      </c>
      <c r="B1013" s="4" t="s">
        <v>37</v>
      </c>
      <c r="C1013" s="4" t="s">
        <v>23</v>
      </c>
      <c r="D1013" s="4" t="s">
        <v>51</v>
      </c>
      <c r="E1013" s="4" t="s">
        <v>52</v>
      </c>
      <c r="F1013" s="4" t="s">
        <v>25</v>
      </c>
      <c r="G1013" s="4" t="s">
        <v>25</v>
      </c>
      <c r="H1013" s="4" t="s">
        <v>25</v>
      </c>
      <c r="I1013" s="5">
        <v>44621</v>
      </c>
      <c r="J1013" s="6">
        <v>0</v>
      </c>
      <c r="K1013" s="6">
        <v>0</v>
      </c>
      <c r="L1013" s="6">
        <v>341.46100000000001</v>
      </c>
      <c r="M1013" s="6">
        <v>320.97334000000001</v>
      </c>
      <c r="N1013" s="6">
        <v>341.46100000000001</v>
      </c>
      <c r="O1013" s="6">
        <v>320.97334000000001</v>
      </c>
      <c r="P1013" s="6">
        <v>92</v>
      </c>
      <c r="Q1013" s="4" t="s">
        <v>26</v>
      </c>
      <c r="R1013" s="4">
        <v>0</v>
      </c>
      <c r="S1013" s="4" t="s">
        <v>376</v>
      </c>
      <c r="T1013" s="4" t="s">
        <v>622</v>
      </c>
      <c r="U1013" s="4">
        <v>0</v>
      </c>
      <c r="V1013" s="4">
        <v>66</v>
      </c>
      <c r="W1013" s="4">
        <v>3</v>
      </c>
    </row>
    <row r="1014" spans="1:23" ht="11.25" customHeight="1" x14ac:dyDescent="0.25">
      <c r="A1014" s="4" t="s">
        <v>21</v>
      </c>
      <c r="B1014" s="4" t="s">
        <v>37</v>
      </c>
      <c r="C1014" s="4" t="s">
        <v>23</v>
      </c>
      <c r="D1014" s="4" t="s">
        <v>51</v>
      </c>
      <c r="E1014" s="4" t="s">
        <v>52</v>
      </c>
      <c r="F1014" s="4" t="s">
        <v>25</v>
      </c>
      <c r="G1014" s="4" t="s">
        <v>25</v>
      </c>
      <c r="H1014" s="4" t="s">
        <v>25</v>
      </c>
      <c r="I1014" s="5">
        <v>44652</v>
      </c>
      <c r="J1014" s="6">
        <v>0</v>
      </c>
      <c r="K1014" s="6">
        <v>0</v>
      </c>
      <c r="L1014" s="6">
        <v>628.62199999999996</v>
      </c>
      <c r="M1014" s="6">
        <v>590.90467999999987</v>
      </c>
      <c r="N1014" s="6">
        <v>628.62199999999996</v>
      </c>
      <c r="O1014" s="6">
        <v>590.90467999999987</v>
      </c>
      <c r="P1014" s="6">
        <v>93</v>
      </c>
      <c r="Q1014" s="4" t="s">
        <v>26</v>
      </c>
      <c r="R1014" s="4">
        <v>0</v>
      </c>
      <c r="S1014" s="4" t="s">
        <v>377</v>
      </c>
      <c r="T1014" s="4" t="s">
        <v>623</v>
      </c>
      <c r="U1014" s="4">
        <v>0</v>
      </c>
      <c r="V1014" s="4">
        <v>66</v>
      </c>
      <c r="W1014" s="4">
        <v>3</v>
      </c>
    </row>
    <row r="1015" spans="1:23" ht="11.25" customHeight="1" x14ac:dyDescent="0.25">
      <c r="A1015" s="4" t="s">
        <v>21</v>
      </c>
      <c r="B1015" s="4" t="s">
        <v>37</v>
      </c>
      <c r="C1015" s="4" t="s">
        <v>23</v>
      </c>
      <c r="D1015" s="4" t="s">
        <v>51</v>
      </c>
      <c r="E1015" s="4" t="s">
        <v>52</v>
      </c>
      <c r="F1015" s="4" t="s">
        <v>25</v>
      </c>
      <c r="G1015" s="4" t="s">
        <v>25</v>
      </c>
      <c r="H1015" s="4" t="s">
        <v>25</v>
      </c>
      <c r="I1015" s="5">
        <v>44682</v>
      </c>
      <c r="J1015" s="6">
        <v>0</v>
      </c>
      <c r="K1015" s="6">
        <v>0</v>
      </c>
      <c r="L1015" s="6">
        <v>398.37599999999998</v>
      </c>
      <c r="M1015" s="6">
        <v>374.47343999999998</v>
      </c>
      <c r="N1015" s="6">
        <v>398.37599999999998</v>
      </c>
      <c r="O1015" s="6">
        <v>374.47343999999998</v>
      </c>
      <c r="P1015" s="6">
        <v>91</v>
      </c>
      <c r="Q1015" s="4" t="s">
        <v>26</v>
      </c>
      <c r="R1015" s="4">
        <v>0</v>
      </c>
      <c r="S1015" s="4" t="s">
        <v>378</v>
      </c>
      <c r="T1015" s="4" t="s">
        <v>624</v>
      </c>
      <c r="U1015" s="4">
        <v>0</v>
      </c>
      <c r="V1015" s="4">
        <v>66</v>
      </c>
      <c r="W1015" s="4">
        <v>3</v>
      </c>
    </row>
    <row r="1016" spans="1:23" ht="11.25" customHeight="1" x14ac:dyDescent="0.25">
      <c r="A1016" s="4" t="s">
        <v>27</v>
      </c>
      <c r="B1016" s="4" t="s">
        <v>37</v>
      </c>
      <c r="C1016" s="4" t="s">
        <v>23</v>
      </c>
      <c r="D1016" s="4" t="s">
        <v>51</v>
      </c>
      <c r="E1016" s="4" t="s">
        <v>52</v>
      </c>
      <c r="F1016" s="4" t="s">
        <v>25</v>
      </c>
      <c r="G1016" s="4" t="s">
        <v>25</v>
      </c>
      <c r="H1016" s="4" t="s">
        <v>25</v>
      </c>
      <c r="I1016" s="5">
        <v>44682</v>
      </c>
      <c r="J1016" s="6">
        <v>0</v>
      </c>
      <c r="K1016" s="6">
        <v>0</v>
      </c>
      <c r="L1016" s="6">
        <v>9.8970000000000002</v>
      </c>
      <c r="M1016" s="6">
        <v>9.3031799999999993</v>
      </c>
      <c r="N1016" s="6">
        <v>9.8970000000000002</v>
      </c>
      <c r="O1016" s="6">
        <v>9.3031799999999993</v>
      </c>
      <c r="P1016" s="6">
        <v>0</v>
      </c>
      <c r="Q1016" s="4" t="s">
        <v>26</v>
      </c>
      <c r="R1016" s="4">
        <v>0</v>
      </c>
      <c r="S1016" s="4" t="s">
        <v>378</v>
      </c>
      <c r="T1016" s="4" t="s">
        <v>624</v>
      </c>
      <c r="U1016" s="4">
        <v>0</v>
      </c>
      <c r="V1016" s="4">
        <v>66</v>
      </c>
      <c r="W1016" s="4">
        <v>3</v>
      </c>
    </row>
    <row r="1017" spans="1:23" ht="11.25" customHeight="1" x14ac:dyDescent="0.25">
      <c r="A1017" s="4" t="s">
        <v>21</v>
      </c>
      <c r="B1017" s="4" t="s">
        <v>37</v>
      </c>
      <c r="C1017" s="4" t="s">
        <v>23</v>
      </c>
      <c r="D1017" s="4" t="s">
        <v>51</v>
      </c>
      <c r="E1017" s="4" t="s">
        <v>52</v>
      </c>
      <c r="F1017" s="4" t="s">
        <v>25</v>
      </c>
      <c r="G1017" s="4" t="s">
        <v>25</v>
      </c>
      <c r="H1017" s="4" t="s">
        <v>25</v>
      </c>
      <c r="I1017" s="5">
        <v>44713</v>
      </c>
      <c r="J1017" s="6">
        <v>0</v>
      </c>
      <c r="K1017" s="6">
        <v>0</v>
      </c>
      <c r="L1017" s="6">
        <v>470.43299999999999</v>
      </c>
      <c r="M1017" s="6">
        <v>442.20701999999994</v>
      </c>
      <c r="N1017" s="6">
        <v>470.43299999999999</v>
      </c>
      <c r="O1017" s="6">
        <v>442.20701999999994</v>
      </c>
      <c r="P1017" s="6">
        <v>95</v>
      </c>
      <c r="Q1017" s="4" t="s">
        <v>26</v>
      </c>
      <c r="R1017" s="4">
        <v>0</v>
      </c>
      <c r="S1017" s="4" t="s">
        <v>379</v>
      </c>
      <c r="T1017" s="4" t="s">
        <v>625</v>
      </c>
      <c r="U1017" s="4">
        <v>0</v>
      </c>
      <c r="V1017" s="4">
        <v>66</v>
      </c>
      <c r="W1017" s="4">
        <v>3</v>
      </c>
    </row>
    <row r="1018" spans="1:23" ht="11.25" customHeight="1" x14ac:dyDescent="0.25">
      <c r="A1018" s="4" t="s">
        <v>27</v>
      </c>
      <c r="B1018" s="4" t="s">
        <v>37</v>
      </c>
      <c r="C1018" s="4" t="s">
        <v>23</v>
      </c>
      <c r="D1018" s="4" t="s">
        <v>51</v>
      </c>
      <c r="E1018" s="4" t="s">
        <v>52</v>
      </c>
      <c r="F1018" s="4" t="s">
        <v>25</v>
      </c>
      <c r="G1018" s="4" t="s">
        <v>25</v>
      </c>
      <c r="H1018" s="4" t="s">
        <v>25</v>
      </c>
      <c r="I1018" s="5">
        <v>44713</v>
      </c>
      <c r="J1018" s="6">
        <v>0</v>
      </c>
      <c r="K1018" s="6">
        <v>0</v>
      </c>
      <c r="L1018" s="6">
        <v>0.74299999999999999</v>
      </c>
      <c r="M1018" s="6">
        <v>0.69841999999999993</v>
      </c>
      <c r="N1018" s="6">
        <v>0.74299999999999999</v>
      </c>
      <c r="O1018" s="6">
        <v>0.69841999999999993</v>
      </c>
      <c r="P1018" s="6">
        <v>0</v>
      </c>
      <c r="Q1018" s="4" t="s">
        <v>26</v>
      </c>
      <c r="R1018" s="4">
        <v>0</v>
      </c>
      <c r="S1018" s="4" t="s">
        <v>379</v>
      </c>
      <c r="T1018" s="4" t="s">
        <v>625</v>
      </c>
      <c r="U1018" s="4">
        <v>0</v>
      </c>
      <c r="V1018" s="4">
        <v>66</v>
      </c>
      <c r="W1018" s="4">
        <v>3</v>
      </c>
    </row>
    <row r="1019" spans="1:23" ht="11.25" customHeight="1" x14ac:dyDescent="0.25">
      <c r="A1019" s="4" t="s">
        <v>21</v>
      </c>
      <c r="B1019" s="4" t="s">
        <v>37</v>
      </c>
      <c r="C1019" s="4" t="s">
        <v>23</v>
      </c>
      <c r="D1019" s="4" t="s">
        <v>51</v>
      </c>
      <c r="E1019" s="4" t="s">
        <v>52</v>
      </c>
      <c r="F1019" s="4" t="s">
        <v>25</v>
      </c>
      <c r="G1019" s="4" t="s">
        <v>25</v>
      </c>
      <c r="H1019" s="4" t="s">
        <v>25</v>
      </c>
      <c r="I1019" s="5">
        <v>44743</v>
      </c>
      <c r="J1019" s="6">
        <v>0</v>
      </c>
      <c r="K1019" s="6">
        <v>0</v>
      </c>
      <c r="L1019" s="6">
        <v>176.07900000000001</v>
      </c>
      <c r="M1019" s="6">
        <v>165.51426000000001</v>
      </c>
      <c r="N1019" s="6">
        <v>176.07900000000001</v>
      </c>
      <c r="O1019" s="6">
        <v>165.51426000000001</v>
      </c>
      <c r="P1019" s="6">
        <v>64</v>
      </c>
      <c r="Q1019" s="4" t="s">
        <v>26</v>
      </c>
      <c r="R1019" s="4">
        <v>0</v>
      </c>
      <c r="S1019" s="4" t="s">
        <v>380</v>
      </c>
      <c r="T1019" s="4" t="s">
        <v>626</v>
      </c>
      <c r="U1019" s="4">
        <v>0</v>
      </c>
      <c r="V1019" s="4">
        <v>66</v>
      </c>
      <c r="W1019" s="4">
        <v>3</v>
      </c>
    </row>
    <row r="1020" spans="1:23" ht="11.25" customHeight="1" x14ac:dyDescent="0.25">
      <c r="A1020" s="4" t="s">
        <v>27</v>
      </c>
      <c r="B1020" s="4" t="s">
        <v>37</v>
      </c>
      <c r="C1020" s="4" t="s">
        <v>23</v>
      </c>
      <c r="D1020" s="4" t="s">
        <v>51</v>
      </c>
      <c r="E1020" s="4" t="s">
        <v>52</v>
      </c>
      <c r="F1020" s="4" t="s">
        <v>25</v>
      </c>
      <c r="G1020" s="4" t="s">
        <v>25</v>
      </c>
      <c r="H1020" s="4" t="s">
        <v>25</v>
      </c>
      <c r="I1020" s="5">
        <v>44743</v>
      </c>
      <c r="J1020" s="6">
        <v>0</v>
      </c>
      <c r="K1020" s="6">
        <v>0</v>
      </c>
      <c r="L1020" s="6">
        <v>44.823999999999998</v>
      </c>
      <c r="M1020" s="6">
        <v>42.134559999999993</v>
      </c>
      <c r="N1020" s="6">
        <v>44.823999999999998</v>
      </c>
      <c r="O1020" s="6">
        <v>42.134559999999993</v>
      </c>
      <c r="P1020" s="6">
        <v>10</v>
      </c>
      <c r="Q1020" s="4" t="s">
        <v>26</v>
      </c>
      <c r="R1020" s="4">
        <v>0</v>
      </c>
      <c r="S1020" s="4" t="s">
        <v>380</v>
      </c>
      <c r="T1020" s="4" t="s">
        <v>626</v>
      </c>
      <c r="U1020" s="4">
        <v>0</v>
      </c>
      <c r="V1020" s="4">
        <v>66</v>
      </c>
      <c r="W1020" s="4">
        <v>3</v>
      </c>
    </row>
    <row r="1021" spans="1:23" ht="11.25" customHeight="1" x14ac:dyDescent="0.25">
      <c r="A1021" s="4" t="s">
        <v>21</v>
      </c>
      <c r="B1021" s="4" t="s">
        <v>37</v>
      </c>
      <c r="C1021" s="4" t="s">
        <v>23</v>
      </c>
      <c r="D1021" s="4" t="s">
        <v>51</v>
      </c>
      <c r="E1021" s="4" t="s">
        <v>52</v>
      </c>
      <c r="F1021" s="4" t="s">
        <v>25</v>
      </c>
      <c r="G1021" s="4" t="s">
        <v>25</v>
      </c>
      <c r="H1021" s="4" t="s">
        <v>25</v>
      </c>
      <c r="I1021" s="5">
        <v>44774</v>
      </c>
      <c r="J1021" s="6">
        <v>0</v>
      </c>
      <c r="K1021" s="6">
        <v>0</v>
      </c>
      <c r="L1021" s="6">
        <v>595.03399999999999</v>
      </c>
      <c r="M1021" s="6">
        <v>559.33195999999998</v>
      </c>
      <c r="N1021" s="6">
        <v>595.03399999999999</v>
      </c>
      <c r="O1021" s="6">
        <v>559.33195999999998</v>
      </c>
      <c r="P1021" s="6">
        <v>98</v>
      </c>
      <c r="Q1021" s="4" t="s">
        <v>26</v>
      </c>
      <c r="R1021" s="4">
        <v>0</v>
      </c>
      <c r="S1021" s="4" t="s">
        <v>381</v>
      </c>
      <c r="T1021" s="4" t="s">
        <v>627</v>
      </c>
      <c r="U1021" s="4">
        <v>0</v>
      </c>
      <c r="V1021" s="4">
        <v>66</v>
      </c>
      <c r="W1021" s="4">
        <v>3</v>
      </c>
    </row>
    <row r="1022" spans="1:23" ht="11.25" customHeight="1" x14ac:dyDescent="0.25">
      <c r="A1022" s="4" t="s">
        <v>21</v>
      </c>
      <c r="B1022" s="4" t="s">
        <v>37</v>
      </c>
      <c r="C1022" s="4" t="s">
        <v>23</v>
      </c>
      <c r="D1022" s="4" t="s">
        <v>51</v>
      </c>
      <c r="E1022" s="4" t="s">
        <v>52</v>
      </c>
      <c r="F1022" s="4" t="s">
        <v>25</v>
      </c>
      <c r="G1022" s="4" t="s">
        <v>25</v>
      </c>
      <c r="H1022" s="4" t="s">
        <v>25</v>
      </c>
      <c r="I1022" s="5">
        <v>44805</v>
      </c>
      <c r="J1022" s="6">
        <v>0</v>
      </c>
      <c r="K1022" s="6">
        <v>0</v>
      </c>
      <c r="L1022" s="6">
        <v>467.83499999999998</v>
      </c>
      <c r="M1022" s="6">
        <v>439.76489999999995</v>
      </c>
      <c r="N1022" s="6">
        <v>467.83499999999998</v>
      </c>
      <c r="O1022" s="6">
        <v>439.76489999999995</v>
      </c>
      <c r="P1022" s="6">
        <v>116</v>
      </c>
      <c r="Q1022" s="4" t="s">
        <v>26</v>
      </c>
      <c r="R1022" s="4">
        <v>0</v>
      </c>
      <c r="S1022" s="4" t="s">
        <v>382</v>
      </c>
      <c r="T1022" s="4" t="s">
        <v>628</v>
      </c>
      <c r="U1022" s="4">
        <v>0</v>
      </c>
      <c r="V1022" s="4">
        <v>66</v>
      </c>
      <c r="W1022" s="4">
        <v>3</v>
      </c>
    </row>
    <row r="1023" spans="1:23" ht="11.25" customHeight="1" x14ac:dyDescent="0.25">
      <c r="A1023" s="4" t="s">
        <v>21</v>
      </c>
      <c r="B1023" s="4" t="s">
        <v>37</v>
      </c>
      <c r="C1023" s="4" t="s">
        <v>23</v>
      </c>
      <c r="D1023" s="4" t="s">
        <v>51</v>
      </c>
      <c r="E1023" s="4" t="s">
        <v>52</v>
      </c>
      <c r="F1023" s="4" t="s">
        <v>25</v>
      </c>
      <c r="G1023" s="4" t="s">
        <v>25</v>
      </c>
      <c r="H1023" s="4" t="s">
        <v>25</v>
      </c>
      <c r="I1023" s="5">
        <v>44835</v>
      </c>
      <c r="J1023" s="6">
        <v>0</v>
      </c>
      <c r="K1023" s="6">
        <v>0</v>
      </c>
      <c r="L1023" s="6">
        <v>510.91500000000002</v>
      </c>
      <c r="M1023" s="6">
        <v>480.26009999999997</v>
      </c>
      <c r="N1023" s="6">
        <v>510.91500000000002</v>
      </c>
      <c r="O1023" s="6">
        <v>480.26009999999997</v>
      </c>
      <c r="P1023" s="6">
        <v>119</v>
      </c>
      <c r="Q1023" s="4" t="s">
        <v>26</v>
      </c>
      <c r="R1023" s="4">
        <v>0</v>
      </c>
      <c r="S1023" s="4" t="s">
        <v>383</v>
      </c>
      <c r="T1023" s="4" t="s">
        <v>629</v>
      </c>
      <c r="U1023" s="4">
        <v>0</v>
      </c>
      <c r="V1023" s="4">
        <v>66</v>
      </c>
      <c r="W1023" s="4">
        <v>3</v>
      </c>
    </row>
    <row r="1024" spans="1:23" ht="11.25" customHeight="1" x14ac:dyDescent="0.25">
      <c r="A1024" s="4" t="s">
        <v>54</v>
      </c>
      <c r="B1024" s="4" t="s">
        <v>37</v>
      </c>
      <c r="C1024" s="4" t="s">
        <v>23</v>
      </c>
      <c r="D1024" s="4" t="s">
        <v>51</v>
      </c>
      <c r="E1024" s="4" t="s">
        <v>52</v>
      </c>
      <c r="F1024" s="4" t="s">
        <v>25</v>
      </c>
      <c r="G1024" s="4" t="s">
        <v>25</v>
      </c>
      <c r="H1024" s="4" t="s">
        <v>25</v>
      </c>
      <c r="I1024" s="5">
        <v>44866</v>
      </c>
      <c r="J1024" s="6">
        <v>0</v>
      </c>
      <c r="K1024" s="6">
        <v>0</v>
      </c>
      <c r="L1024" s="6">
        <v>510.91500000000002</v>
      </c>
      <c r="M1024" s="6">
        <v>480.26009999999997</v>
      </c>
      <c r="N1024" s="6">
        <v>510.91500000000002</v>
      </c>
      <c r="O1024" s="6">
        <v>480.26009999999997</v>
      </c>
      <c r="P1024" s="6">
        <v>119</v>
      </c>
      <c r="Q1024" s="4" t="s">
        <v>26</v>
      </c>
      <c r="R1024" s="4">
        <v>0</v>
      </c>
      <c r="S1024" s="4" t="s">
        <v>384</v>
      </c>
      <c r="T1024" s="4" t="s">
        <v>630</v>
      </c>
      <c r="U1024" s="4">
        <v>0</v>
      </c>
      <c r="V1024" s="4">
        <v>66</v>
      </c>
      <c r="W1024" s="4">
        <v>3</v>
      </c>
    </row>
    <row r="1025" spans="1:23" ht="11.25" customHeight="1" x14ac:dyDescent="0.25">
      <c r="A1025" s="4" t="s">
        <v>21</v>
      </c>
      <c r="B1025" s="4" t="s">
        <v>48</v>
      </c>
      <c r="C1025" s="4" t="s">
        <v>23</v>
      </c>
      <c r="D1025" s="4" t="s">
        <v>49</v>
      </c>
      <c r="E1025" s="4" t="s">
        <v>50</v>
      </c>
      <c r="F1025" s="4" t="s">
        <v>25</v>
      </c>
      <c r="G1025" s="4" t="s">
        <v>25</v>
      </c>
      <c r="H1025" s="4" t="s">
        <v>25</v>
      </c>
      <c r="I1025" s="5">
        <v>44531</v>
      </c>
      <c r="J1025" s="6">
        <v>0</v>
      </c>
      <c r="K1025" s="6">
        <v>0</v>
      </c>
      <c r="L1025" s="6">
        <v>2874.451</v>
      </c>
      <c r="M1025" s="6">
        <v>2874.451</v>
      </c>
      <c r="N1025" s="6">
        <v>2874.451</v>
      </c>
      <c r="O1025" s="6">
        <v>2874.451</v>
      </c>
      <c r="P1025" s="6">
        <v>95</v>
      </c>
      <c r="Q1025" s="4" t="s">
        <v>26</v>
      </c>
      <c r="R1025" s="4">
        <v>0</v>
      </c>
      <c r="S1025" s="4" t="s">
        <v>385</v>
      </c>
      <c r="T1025" s="4" t="s">
        <v>631</v>
      </c>
      <c r="U1025" s="4">
        <v>0</v>
      </c>
      <c r="V1025" s="4">
        <v>68</v>
      </c>
      <c r="W1025" s="4">
        <v>8</v>
      </c>
    </row>
    <row r="1026" spans="1:23" ht="11.25" customHeight="1" x14ac:dyDescent="0.25">
      <c r="A1026" s="4" t="s">
        <v>21</v>
      </c>
      <c r="B1026" s="4" t="s">
        <v>48</v>
      </c>
      <c r="C1026" s="4" t="s">
        <v>23</v>
      </c>
      <c r="D1026" s="4" t="s">
        <v>49</v>
      </c>
      <c r="E1026" s="4" t="s">
        <v>50</v>
      </c>
      <c r="F1026" s="4" t="s">
        <v>25</v>
      </c>
      <c r="G1026" s="4" t="s">
        <v>25</v>
      </c>
      <c r="H1026" s="4" t="s">
        <v>25</v>
      </c>
      <c r="I1026" s="5">
        <v>44562</v>
      </c>
      <c r="J1026" s="6">
        <v>0</v>
      </c>
      <c r="K1026" s="6">
        <v>0</v>
      </c>
      <c r="L1026" s="6">
        <v>2871.97</v>
      </c>
      <c r="M1026" s="6">
        <v>2871.97</v>
      </c>
      <c r="N1026" s="6">
        <v>2871.97</v>
      </c>
      <c r="O1026" s="6">
        <v>2871.97</v>
      </c>
      <c r="P1026" s="6">
        <v>95</v>
      </c>
      <c r="Q1026" s="4" t="s">
        <v>26</v>
      </c>
      <c r="R1026" s="4">
        <v>0</v>
      </c>
      <c r="S1026" s="4" t="s">
        <v>386</v>
      </c>
      <c r="T1026" s="4" t="s">
        <v>632</v>
      </c>
      <c r="U1026" s="4">
        <v>0</v>
      </c>
      <c r="V1026" s="4">
        <v>68</v>
      </c>
      <c r="W1026" s="4">
        <v>8</v>
      </c>
    </row>
    <row r="1027" spans="1:23" ht="11.25" customHeight="1" x14ac:dyDescent="0.25">
      <c r="A1027" s="4" t="s">
        <v>21</v>
      </c>
      <c r="B1027" s="4" t="s">
        <v>48</v>
      </c>
      <c r="C1027" s="4" t="s">
        <v>23</v>
      </c>
      <c r="D1027" s="4" t="s">
        <v>49</v>
      </c>
      <c r="E1027" s="4" t="s">
        <v>50</v>
      </c>
      <c r="F1027" s="4" t="s">
        <v>25</v>
      </c>
      <c r="G1027" s="4" t="s">
        <v>25</v>
      </c>
      <c r="H1027" s="4" t="s">
        <v>25</v>
      </c>
      <c r="I1027" s="5">
        <v>44593</v>
      </c>
      <c r="J1027" s="6">
        <v>0</v>
      </c>
      <c r="K1027" s="6">
        <v>0</v>
      </c>
      <c r="L1027" s="6">
        <v>2586.9229999999998</v>
      </c>
      <c r="M1027" s="6">
        <v>2586.9229999999998</v>
      </c>
      <c r="N1027" s="6">
        <v>2586.9229999999998</v>
      </c>
      <c r="O1027" s="6">
        <v>2586.9229999999998</v>
      </c>
      <c r="P1027" s="6">
        <v>94</v>
      </c>
      <c r="Q1027" s="4" t="s">
        <v>26</v>
      </c>
      <c r="R1027" s="4">
        <v>0</v>
      </c>
      <c r="S1027" s="4" t="s">
        <v>387</v>
      </c>
      <c r="T1027" s="4" t="s">
        <v>633</v>
      </c>
      <c r="U1027" s="4">
        <v>0</v>
      </c>
      <c r="V1027" s="4">
        <v>68</v>
      </c>
      <c r="W1027" s="4">
        <v>8</v>
      </c>
    </row>
    <row r="1028" spans="1:23" ht="11.25" customHeight="1" x14ac:dyDescent="0.25">
      <c r="A1028" s="4" t="s">
        <v>21</v>
      </c>
      <c r="B1028" s="4" t="s">
        <v>48</v>
      </c>
      <c r="C1028" s="4" t="s">
        <v>23</v>
      </c>
      <c r="D1028" s="4" t="s">
        <v>49</v>
      </c>
      <c r="E1028" s="4" t="s">
        <v>50</v>
      </c>
      <c r="F1028" s="4" t="s">
        <v>25</v>
      </c>
      <c r="G1028" s="4" t="s">
        <v>25</v>
      </c>
      <c r="H1028" s="4" t="s">
        <v>25</v>
      </c>
      <c r="I1028" s="5">
        <v>44621</v>
      </c>
      <c r="J1028" s="6">
        <v>0</v>
      </c>
      <c r="K1028" s="6">
        <v>0</v>
      </c>
      <c r="L1028" s="6">
        <v>2763.259</v>
      </c>
      <c r="M1028" s="6">
        <v>2763.259</v>
      </c>
      <c r="N1028" s="6">
        <v>2763.259</v>
      </c>
      <c r="O1028" s="6">
        <v>2763.259</v>
      </c>
      <c r="P1028" s="6">
        <v>82</v>
      </c>
      <c r="Q1028" s="4" t="s">
        <v>26</v>
      </c>
      <c r="R1028" s="4">
        <v>0</v>
      </c>
      <c r="S1028" s="4" t="s">
        <v>388</v>
      </c>
      <c r="T1028" s="4" t="s">
        <v>634</v>
      </c>
      <c r="U1028" s="4">
        <v>0</v>
      </c>
      <c r="V1028" s="4">
        <v>68</v>
      </c>
      <c r="W1028" s="4">
        <v>8</v>
      </c>
    </row>
    <row r="1029" spans="1:23" ht="11.25" customHeight="1" x14ac:dyDescent="0.25">
      <c r="A1029" s="4" t="s">
        <v>21</v>
      </c>
      <c r="B1029" s="4" t="s">
        <v>48</v>
      </c>
      <c r="C1029" s="4" t="s">
        <v>23</v>
      </c>
      <c r="D1029" s="4" t="s">
        <v>49</v>
      </c>
      <c r="E1029" s="4" t="s">
        <v>50</v>
      </c>
      <c r="F1029" s="4" t="s">
        <v>25</v>
      </c>
      <c r="G1029" s="4" t="s">
        <v>25</v>
      </c>
      <c r="H1029" s="4" t="s">
        <v>25</v>
      </c>
      <c r="I1029" s="5">
        <v>44652</v>
      </c>
      <c r="J1029" s="6">
        <v>0</v>
      </c>
      <c r="K1029" s="6">
        <v>0</v>
      </c>
      <c r="L1029" s="6">
        <v>2732.0239999999999</v>
      </c>
      <c r="M1029" s="6">
        <v>2732.0239999999999</v>
      </c>
      <c r="N1029" s="6">
        <v>2732.0239999999999</v>
      </c>
      <c r="O1029" s="6">
        <v>2732.0239999999999</v>
      </c>
      <c r="P1029" s="6">
        <v>66</v>
      </c>
      <c r="Q1029" s="4" t="s">
        <v>26</v>
      </c>
      <c r="R1029" s="4">
        <v>0</v>
      </c>
      <c r="S1029" s="4" t="s">
        <v>389</v>
      </c>
      <c r="T1029" s="4" t="s">
        <v>635</v>
      </c>
      <c r="U1029" s="4">
        <v>0</v>
      </c>
      <c r="V1029" s="4">
        <v>68</v>
      </c>
      <c r="W1029" s="4">
        <v>8</v>
      </c>
    </row>
    <row r="1030" spans="1:23" ht="11.25" customHeight="1" x14ac:dyDescent="0.25">
      <c r="A1030" s="4" t="s">
        <v>21</v>
      </c>
      <c r="B1030" s="4" t="s">
        <v>48</v>
      </c>
      <c r="C1030" s="4" t="s">
        <v>23</v>
      </c>
      <c r="D1030" s="4" t="s">
        <v>49</v>
      </c>
      <c r="E1030" s="4" t="s">
        <v>50</v>
      </c>
      <c r="F1030" s="4" t="s">
        <v>25</v>
      </c>
      <c r="G1030" s="4" t="s">
        <v>25</v>
      </c>
      <c r="H1030" s="4" t="s">
        <v>25</v>
      </c>
      <c r="I1030" s="5">
        <v>44682</v>
      </c>
      <c r="J1030" s="6">
        <v>0</v>
      </c>
      <c r="K1030" s="6">
        <v>0</v>
      </c>
      <c r="L1030" s="6">
        <v>2803.7130000000002</v>
      </c>
      <c r="M1030" s="6">
        <v>2803.7130000000002</v>
      </c>
      <c r="N1030" s="6">
        <v>2803.7130000000002</v>
      </c>
      <c r="O1030" s="6">
        <v>2803.7130000000002</v>
      </c>
      <c r="P1030" s="6">
        <v>47</v>
      </c>
      <c r="Q1030" s="4" t="s">
        <v>26</v>
      </c>
      <c r="R1030" s="4">
        <v>0</v>
      </c>
      <c r="S1030" s="4" t="s">
        <v>390</v>
      </c>
      <c r="T1030" s="4" t="s">
        <v>636</v>
      </c>
      <c r="U1030" s="4">
        <v>0</v>
      </c>
      <c r="V1030" s="4">
        <v>68</v>
      </c>
      <c r="W1030" s="4">
        <v>8</v>
      </c>
    </row>
    <row r="1031" spans="1:23" ht="11.25" customHeight="1" x14ac:dyDescent="0.25">
      <c r="A1031" s="4" t="s">
        <v>27</v>
      </c>
      <c r="B1031" s="4" t="s">
        <v>48</v>
      </c>
      <c r="C1031" s="4" t="s">
        <v>23</v>
      </c>
      <c r="D1031" s="4" t="s">
        <v>49</v>
      </c>
      <c r="E1031" s="4" t="s">
        <v>50</v>
      </c>
      <c r="F1031" s="4" t="s">
        <v>25</v>
      </c>
      <c r="G1031" s="4" t="s">
        <v>25</v>
      </c>
      <c r="H1031" s="4" t="s">
        <v>25</v>
      </c>
      <c r="I1031" s="5">
        <v>44682</v>
      </c>
      <c r="J1031" s="6">
        <v>0</v>
      </c>
      <c r="K1031" s="6">
        <v>0</v>
      </c>
      <c r="L1031" s="6">
        <v>23.556000000000001</v>
      </c>
      <c r="M1031" s="6">
        <v>23.556000000000001</v>
      </c>
      <c r="N1031" s="6">
        <v>23.556000000000001</v>
      </c>
      <c r="O1031" s="6">
        <v>23.556000000000001</v>
      </c>
      <c r="P1031" s="6">
        <v>0</v>
      </c>
      <c r="Q1031" s="4" t="s">
        <v>26</v>
      </c>
      <c r="R1031" s="4">
        <v>0</v>
      </c>
      <c r="S1031" s="4" t="s">
        <v>390</v>
      </c>
      <c r="T1031" s="4" t="s">
        <v>636</v>
      </c>
      <c r="U1031" s="4">
        <v>0</v>
      </c>
      <c r="V1031" s="4">
        <v>68</v>
      </c>
      <c r="W1031" s="4">
        <v>8</v>
      </c>
    </row>
    <row r="1032" spans="1:23" ht="11.25" customHeight="1" x14ac:dyDescent="0.25">
      <c r="A1032" s="4" t="s">
        <v>21</v>
      </c>
      <c r="B1032" s="4" t="s">
        <v>48</v>
      </c>
      <c r="C1032" s="4" t="s">
        <v>23</v>
      </c>
      <c r="D1032" s="4" t="s">
        <v>49</v>
      </c>
      <c r="E1032" s="4" t="s">
        <v>50</v>
      </c>
      <c r="F1032" s="4" t="s">
        <v>25</v>
      </c>
      <c r="G1032" s="4" t="s">
        <v>25</v>
      </c>
      <c r="H1032" s="4" t="s">
        <v>25</v>
      </c>
      <c r="I1032" s="5">
        <v>44713</v>
      </c>
      <c r="J1032" s="6">
        <v>0</v>
      </c>
      <c r="K1032" s="6">
        <v>0</v>
      </c>
      <c r="L1032" s="6">
        <v>3943.5160000000001</v>
      </c>
      <c r="M1032" s="6">
        <v>3943.5160000000001</v>
      </c>
      <c r="N1032" s="6">
        <v>3943.5160000000001</v>
      </c>
      <c r="O1032" s="6">
        <v>3943.5160000000001</v>
      </c>
      <c r="P1032" s="6">
        <v>46</v>
      </c>
      <c r="Q1032" s="4" t="s">
        <v>26</v>
      </c>
      <c r="R1032" s="4">
        <v>0</v>
      </c>
      <c r="S1032" s="4" t="s">
        <v>391</v>
      </c>
      <c r="T1032" s="4" t="s">
        <v>637</v>
      </c>
      <c r="U1032" s="4">
        <v>0</v>
      </c>
      <c r="V1032" s="4">
        <v>68</v>
      </c>
      <c r="W1032" s="4">
        <v>8</v>
      </c>
    </row>
    <row r="1033" spans="1:23" ht="11.25" customHeight="1" x14ac:dyDescent="0.25">
      <c r="A1033" s="4" t="s">
        <v>21</v>
      </c>
      <c r="B1033" s="4" t="s">
        <v>48</v>
      </c>
      <c r="C1033" s="4" t="s">
        <v>23</v>
      </c>
      <c r="D1033" s="4" t="s">
        <v>49</v>
      </c>
      <c r="E1033" s="4" t="s">
        <v>50</v>
      </c>
      <c r="F1033" s="4" t="s">
        <v>25</v>
      </c>
      <c r="G1033" s="4" t="s">
        <v>25</v>
      </c>
      <c r="H1033" s="4" t="s">
        <v>25</v>
      </c>
      <c r="I1033" s="5">
        <v>44743</v>
      </c>
      <c r="J1033" s="6">
        <v>0</v>
      </c>
      <c r="K1033" s="6">
        <v>0</v>
      </c>
      <c r="L1033" s="6">
        <v>2955.9229999999998</v>
      </c>
      <c r="M1033" s="6">
        <v>2955.9229999999998</v>
      </c>
      <c r="N1033" s="6">
        <v>2955.9229999999998</v>
      </c>
      <c r="O1033" s="6">
        <v>2955.9229999999998</v>
      </c>
      <c r="P1033" s="6">
        <v>46</v>
      </c>
      <c r="Q1033" s="4" t="s">
        <v>26</v>
      </c>
      <c r="R1033" s="4">
        <v>0</v>
      </c>
      <c r="S1033" s="4" t="s">
        <v>392</v>
      </c>
      <c r="T1033" s="4" t="s">
        <v>638</v>
      </c>
      <c r="U1033" s="4">
        <v>0</v>
      </c>
      <c r="V1033" s="4">
        <v>68</v>
      </c>
      <c r="W1033" s="4">
        <v>8</v>
      </c>
    </row>
    <row r="1034" spans="1:23" ht="11.25" customHeight="1" x14ac:dyDescent="0.25">
      <c r="A1034" s="4" t="s">
        <v>27</v>
      </c>
      <c r="B1034" s="4" t="s">
        <v>48</v>
      </c>
      <c r="C1034" s="4" t="s">
        <v>23</v>
      </c>
      <c r="D1034" s="4" t="s">
        <v>49</v>
      </c>
      <c r="E1034" s="4" t="s">
        <v>50</v>
      </c>
      <c r="F1034" s="4" t="s">
        <v>25</v>
      </c>
      <c r="G1034" s="4" t="s">
        <v>25</v>
      </c>
      <c r="H1034" s="4" t="s">
        <v>25</v>
      </c>
      <c r="I1034" s="5">
        <v>44743</v>
      </c>
      <c r="J1034" s="6">
        <v>0</v>
      </c>
      <c r="K1034" s="6">
        <v>0</v>
      </c>
      <c r="L1034" s="6">
        <v>35.521999999999998</v>
      </c>
      <c r="M1034" s="6">
        <v>35.521999999999998</v>
      </c>
      <c r="N1034" s="6">
        <v>35.521999999999998</v>
      </c>
      <c r="O1034" s="6">
        <v>35.521999999999998</v>
      </c>
      <c r="P1034" s="6">
        <v>0</v>
      </c>
      <c r="Q1034" s="4" t="s">
        <v>26</v>
      </c>
      <c r="R1034" s="4">
        <v>0</v>
      </c>
      <c r="S1034" s="4" t="s">
        <v>392</v>
      </c>
      <c r="T1034" s="4" t="s">
        <v>638</v>
      </c>
      <c r="U1034" s="4">
        <v>0</v>
      </c>
      <c r="V1034" s="4">
        <v>68</v>
      </c>
      <c r="W1034" s="4">
        <v>8</v>
      </c>
    </row>
    <row r="1035" spans="1:23" ht="11.25" customHeight="1" x14ac:dyDescent="0.25">
      <c r="A1035" s="4" t="s">
        <v>21</v>
      </c>
      <c r="B1035" s="4" t="s">
        <v>48</v>
      </c>
      <c r="C1035" s="4" t="s">
        <v>23</v>
      </c>
      <c r="D1035" s="4" t="s">
        <v>49</v>
      </c>
      <c r="E1035" s="4" t="s">
        <v>50</v>
      </c>
      <c r="F1035" s="4" t="s">
        <v>25</v>
      </c>
      <c r="G1035" s="4" t="s">
        <v>25</v>
      </c>
      <c r="H1035" s="4" t="s">
        <v>25</v>
      </c>
      <c r="I1035" s="5">
        <v>44774</v>
      </c>
      <c r="J1035" s="6">
        <v>0</v>
      </c>
      <c r="K1035" s="6">
        <v>0</v>
      </c>
      <c r="L1035" s="6">
        <v>4028.8229999999999</v>
      </c>
      <c r="M1035" s="6">
        <v>4028.8229999999999</v>
      </c>
      <c r="N1035" s="6">
        <v>4028.8229999999999</v>
      </c>
      <c r="O1035" s="6">
        <v>4028.8229999999999</v>
      </c>
      <c r="P1035" s="6">
        <v>47</v>
      </c>
      <c r="Q1035" s="4" t="s">
        <v>26</v>
      </c>
      <c r="R1035" s="4">
        <v>0</v>
      </c>
      <c r="S1035" s="4" t="s">
        <v>393</v>
      </c>
      <c r="T1035" s="4" t="s">
        <v>639</v>
      </c>
      <c r="U1035" s="4">
        <v>0</v>
      </c>
      <c r="V1035" s="4">
        <v>68</v>
      </c>
      <c r="W1035" s="4">
        <v>8</v>
      </c>
    </row>
    <row r="1036" spans="1:23" ht="11.25" customHeight="1" x14ac:dyDescent="0.25">
      <c r="A1036" s="4" t="s">
        <v>21</v>
      </c>
      <c r="B1036" s="4" t="s">
        <v>48</v>
      </c>
      <c r="C1036" s="4" t="s">
        <v>23</v>
      </c>
      <c r="D1036" s="4" t="s">
        <v>49</v>
      </c>
      <c r="E1036" s="4" t="s">
        <v>50</v>
      </c>
      <c r="F1036" s="4" t="s">
        <v>25</v>
      </c>
      <c r="G1036" s="4" t="s">
        <v>25</v>
      </c>
      <c r="H1036" s="4" t="s">
        <v>25</v>
      </c>
      <c r="I1036" s="5">
        <v>44805</v>
      </c>
      <c r="J1036" s="6">
        <v>0</v>
      </c>
      <c r="K1036" s="6">
        <v>0</v>
      </c>
      <c r="L1036" s="6">
        <v>3755.174</v>
      </c>
      <c r="M1036" s="6">
        <v>3755.174</v>
      </c>
      <c r="N1036" s="6">
        <v>3755.174</v>
      </c>
      <c r="O1036" s="6">
        <v>3755.174</v>
      </c>
      <c r="P1036" s="6">
        <v>46</v>
      </c>
      <c r="Q1036" s="4" t="s">
        <v>26</v>
      </c>
      <c r="R1036" s="4">
        <v>0</v>
      </c>
      <c r="S1036" s="4" t="s">
        <v>394</v>
      </c>
      <c r="T1036" s="4" t="s">
        <v>640</v>
      </c>
      <c r="U1036" s="4">
        <v>0</v>
      </c>
      <c r="V1036" s="4">
        <v>68</v>
      </c>
      <c r="W1036" s="4">
        <v>8</v>
      </c>
    </row>
    <row r="1037" spans="1:23" ht="11.25" customHeight="1" x14ac:dyDescent="0.25">
      <c r="A1037" s="4" t="s">
        <v>27</v>
      </c>
      <c r="B1037" s="4" t="s">
        <v>48</v>
      </c>
      <c r="C1037" s="4" t="s">
        <v>23</v>
      </c>
      <c r="D1037" s="4" t="s">
        <v>49</v>
      </c>
      <c r="E1037" s="4" t="s">
        <v>50</v>
      </c>
      <c r="F1037" s="4" t="s">
        <v>25</v>
      </c>
      <c r="G1037" s="4" t="s">
        <v>25</v>
      </c>
      <c r="H1037" s="4" t="s">
        <v>25</v>
      </c>
      <c r="I1037" s="5">
        <v>44805</v>
      </c>
      <c r="J1037" s="6">
        <v>0</v>
      </c>
      <c r="K1037" s="6">
        <v>0</v>
      </c>
      <c r="L1037" s="6">
        <v>-33.250999999999998</v>
      </c>
      <c r="M1037" s="6">
        <v>-33.250999999999998</v>
      </c>
      <c r="N1037" s="6">
        <v>-33.250999999999998</v>
      </c>
      <c r="O1037" s="6">
        <v>-33.250999999999998</v>
      </c>
      <c r="P1037" s="6">
        <v>0</v>
      </c>
      <c r="Q1037" s="4" t="s">
        <v>26</v>
      </c>
      <c r="R1037" s="4">
        <v>0</v>
      </c>
      <c r="S1037" s="4" t="s">
        <v>394</v>
      </c>
      <c r="T1037" s="4" t="s">
        <v>640</v>
      </c>
      <c r="U1037" s="4">
        <v>0</v>
      </c>
      <c r="V1037" s="4">
        <v>68</v>
      </c>
      <c r="W1037" s="4">
        <v>8</v>
      </c>
    </row>
    <row r="1038" spans="1:23" ht="11.25" customHeight="1" x14ac:dyDescent="0.25">
      <c r="A1038" s="4" t="s">
        <v>21</v>
      </c>
      <c r="B1038" s="4" t="s">
        <v>48</v>
      </c>
      <c r="C1038" s="4" t="s">
        <v>23</v>
      </c>
      <c r="D1038" s="4" t="s">
        <v>49</v>
      </c>
      <c r="E1038" s="4" t="s">
        <v>50</v>
      </c>
      <c r="F1038" s="4" t="s">
        <v>25</v>
      </c>
      <c r="G1038" s="4" t="s">
        <v>25</v>
      </c>
      <c r="H1038" s="4" t="s">
        <v>25</v>
      </c>
      <c r="I1038" s="5">
        <v>44835</v>
      </c>
      <c r="J1038" s="6">
        <v>0</v>
      </c>
      <c r="K1038" s="6">
        <v>0</v>
      </c>
      <c r="L1038" s="6">
        <v>4071.0349999999999</v>
      </c>
      <c r="M1038" s="6">
        <v>4071.0349999999999</v>
      </c>
      <c r="N1038" s="6">
        <v>4071.0349999999999</v>
      </c>
      <c r="O1038" s="6">
        <v>4071.0349999999999</v>
      </c>
      <c r="P1038" s="6">
        <v>48</v>
      </c>
      <c r="Q1038" s="4" t="s">
        <v>26</v>
      </c>
      <c r="R1038" s="4">
        <v>0</v>
      </c>
      <c r="S1038" s="4" t="s">
        <v>395</v>
      </c>
      <c r="T1038" s="4" t="s">
        <v>641</v>
      </c>
      <c r="U1038" s="4">
        <v>0</v>
      </c>
      <c r="V1038" s="4">
        <v>68</v>
      </c>
      <c r="W1038" s="4">
        <v>8</v>
      </c>
    </row>
    <row r="1039" spans="1:23" ht="11.25" customHeight="1" x14ac:dyDescent="0.25">
      <c r="A1039" s="4" t="s">
        <v>54</v>
      </c>
      <c r="B1039" s="4" t="s">
        <v>48</v>
      </c>
      <c r="C1039" s="4" t="s">
        <v>23</v>
      </c>
      <c r="D1039" s="4" t="s">
        <v>49</v>
      </c>
      <c r="E1039" s="4" t="s">
        <v>50</v>
      </c>
      <c r="F1039" s="4" t="s">
        <v>25</v>
      </c>
      <c r="G1039" s="4" t="s">
        <v>25</v>
      </c>
      <c r="H1039" s="4" t="s">
        <v>25</v>
      </c>
      <c r="I1039" s="5">
        <v>44866</v>
      </c>
      <c r="J1039" s="6">
        <v>0</v>
      </c>
      <c r="K1039" s="6">
        <v>0</v>
      </c>
      <c r="L1039" s="6">
        <v>4071.0349999999999</v>
      </c>
      <c r="M1039" s="6">
        <v>4071.0349999999999</v>
      </c>
      <c r="N1039" s="6">
        <v>4071.0349999999999</v>
      </c>
      <c r="O1039" s="6">
        <v>4071.0349999999999</v>
      </c>
      <c r="P1039" s="6">
        <v>48</v>
      </c>
      <c r="Q1039" s="4" t="s">
        <v>26</v>
      </c>
      <c r="R1039" s="4">
        <v>0</v>
      </c>
      <c r="S1039" s="4" t="s">
        <v>396</v>
      </c>
      <c r="T1039" s="4" t="s">
        <v>642</v>
      </c>
      <c r="U1039" s="4">
        <v>0</v>
      </c>
      <c r="V1039" s="4">
        <v>68</v>
      </c>
      <c r="W1039" s="4">
        <v>8</v>
      </c>
    </row>
  </sheetData>
  <sortState xmlns:xlrd2="http://schemas.microsoft.com/office/spreadsheetml/2017/richdata2" ref="A2:W1039">
    <sortCondition ref="B2:B1039"/>
    <sortCondition ref="C2:C1039"/>
    <sortCondition ref="D2:D1039"/>
    <sortCondition ref="E2:E1039"/>
    <sortCondition ref="F2:F1039"/>
    <sortCondition ref="H2:H103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3C20-506E-4857-BC57-4F4DCAE231BD}">
  <sheetPr codeName="Planilha2"/>
  <dimension ref="A1:H130"/>
  <sheetViews>
    <sheetView showGridLines="0" topLeftCell="A56" workbookViewId="0">
      <selection activeCell="J99" sqref="J99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61</v>
      </c>
      <c r="B1" s="7" t="s">
        <v>62</v>
      </c>
      <c r="C1" s="7" t="s">
        <v>63</v>
      </c>
      <c r="D1" s="7" t="s">
        <v>64</v>
      </c>
      <c r="E1" s="7" t="s">
        <v>65</v>
      </c>
      <c r="G1" s="7" t="s">
        <v>66</v>
      </c>
      <c r="H1" s="7">
        <f>COUNTA(A:A)</f>
        <v>130</v>
      </c>
    </row>
    <row r="2" spans="1:8" ht="11.25" customHeight="1" x14ac:dyDescent="0.25">
      <c r="A2" s="8" t="s">
        <v>434</v>
      </c>
      <c r="B2" s="8" t="s">
        <v>435</v>
      </c>
      <c r="C2" s="8" t="s">
        <v>436</v>
      </c>
      <c r="D2" s="8">
        <v>52</v>
      </c>
      <c r="E2" s="8" t="s">
        <v>437</v>
      </c>
    </row>
    <row r="3" spans="1:8" ht="11.25" customHeight="1" x14ac:dyDescent="0.25">
      <c r="A3" s="8" t="s">
        <v>434</v>
      </c>
      <c r="B3" s="8" t="s">
        <v>435</v>
      </c>
      <c r="C3" s="8" t="s">
        <v>436</v>
      </c>
      <c r="D3" s="8">
        <v>53</v>
      </c>
      <c r="E3" s="8" t="s">
        <v>437</v>
      </c>
    </row>
    <row r="4" spans="1:8" ht="11.25" customHeight="1" x14ac:dyDescent="0.25">
      <c r="A4" s="8" t="s">
        <v>434</v>
      </c>
      <c r="B4" s="8" t="s">
        <v>435</v>
      </c>
      <c r="C4" s="8" t="s">
        <v>436</v>
      </c>
      <c r="D4" s="8">
        <v>54</v>
      </c>
      <c r="E4" s="8" t="s">
        <v>437</v>
      </c>
    </row>
    <row r="5" spans="1:8" ht="11.25" customHeight="1" x14ac:dyDescent="0.25">
      <c r="A5" s="8" t="s">
        <v>434</v>
      </c>
      <c r="B5" s="8" t="s">
        <v>435</v>
      </c>
      <c r="C5" s="8" t="s">
        <v>436</v>
      </c>
      <c r="D5" s="8">
        <v>55</v>
      </c>
      <c r="E5" s="8" t="s">
        <v>437</v>
      </c>
    </row>
    <row r="6" spans="1:8" ht="11.25" customHeight="1" x14ac:dyDescent="0.25">
      <c r="A6" s="8" t="s">
        <v>434</v>
      </c>
      <c r="B6" s="8" t="s">
        <v>435</v>
      </c>
      <c r="C6" s="8" t="s">
        <v>436</v>
      </c>
      <c r="D6" s="8">
        <v>56</v>
      </c>
      <c r="E6" s="8" t="s">
        <v>437</v>
      </c>
    </row>
    <row r="7" spans="1:8" ht="11.25" customHeight="1" x14ac:dyDescent="0.25">
      <c r="A7" s="8" t="s">
        <v>434</v>
      </c>
      <c r="B7" s="8" t="s">
        <v>435</v>
      </c>
      <c r="C7" s="8" t="s">
        <v>436</v>
      </c>
      <c r="D7" s="8">
        <v>57</v>
      </c>
      <c r="E7" s="8" t="s">
        <v>437</v>
      </c>
    </row>
    <row r="8" spans="1:8" ht="11.25" customHeight="1" x14ac:dyDescent="0.25">
      <c r="A8" s="8" t="s">
        <v>434</v>
      </c>
      <c r="B8" s="8" t="s">
        <v>435</v>
      </c>
      <c r="C8" s="8" t="s">
        <v>436</v>
      </c>
      <c r="D8" s="8">
        <v>58</v>
      </c>
      <c r="E8" s="8" t="s">
        <v>437</v>
      </c>
    </row>
    <row r="9" spans="1:8" ht="11.25" customHeight="1" x14ac:dyDescent="0.25">
      <c r="A9" s="8" t="s">
        <v>434</v>
      </c>
      <c r="B9" s="8" t="s">
        <v>435</v>
      </c>
      <c r="C9" s="8" t="s">
        <v>436</v>
      </c>
      <c r="D9" s="8">
        <v>59</v>
      </c>
      <c r="E9" s="8" t="s">
        <v>437</v>
      </c>
    </row>
    <row r="10" spans="1:8" ht="11.25" customHeight="1" x14ac:dyDescent="0.25">
      <c r="A10" s="8" t="s">
        <v>434</v>
      </c>
      <c r="B10" s="8" t="s">
        <v>435</v>
      </c>
      <c r="C10" s="8" t="s">
        <v>436</v>
      </c>
      <c r="D10" s="8">
        <v>60</v>
      </c>
      <c r="E10" s="8" t="s">
        <v>437</v>
      </c>
    </row>
    <row r="11" spans="1:8" ht="11.25" customHeight="1" x14ac:dyDescent="0.25">
      <c r="A11" s="8" t="s">
        <v>434</v>
      </c>
      <c r="B11" s="8" t="s">
        <v>435</v>
      </c>
      <c r="C11" s="8" t="s">
        <v>436</v>
      </c>
      <c r="D11" s="8">
        <v>61</v>
      </c>
      <c r="E11" s="8" t="s">
        <v>437</v>
      </c>
    </row>
    <row r="12" spans="1:8" ht="11.25" customHeight="1" x14ac:dyDescent="0.25">
      <c r="A12" s="8" t="s">
        <v>434</v>
      </c>
      <c r="B12" s="8" t="s">
        <v>435</v>
      </c>
      <c r="C12" s="8" t="s">
        <v>436</v>
      </c>
      <c r="D12" s="8">
        <v>62</v>
      </c>
      <c r="E12" s="8" t="s">
        <v>437</v>
      </c>
    </row>
    <row r="13" spans="1:8" ht="11.25" customHeight="1" x14ac:dyDescent="0.25">
      <c r="A13" s="8" t="s">
        <v>434</v>
      </c>
      <c r="B13" s="8" t="s">
        <v>435</v>
      </c>
      <c r="C13" s="8" t="s">
        <v>436</v>
      </c>
      <c r="D13" s="8">
        <v>63</v>
      </c>
      <c r="E13" s="8" t="s">
        <v>437</v>
      </c>
    </row>
    <row r="14" spans="1:8" ht="11.25" customHeight="1" x14ac:dyDescent="0.25">
      <c r="A14" s="8" t="s">
        <v>434</v>
      </c>
      <c r="B14" s="8" t="s">
        <v>474</v>
      </c>
      <c r="C14" s="8" t="s">
        <v>436</v>
      </c>
      <c r="D14" s="8">
        <v>246</v>
      </c>
      <c r="E14" s="8" t="s">
        <v>437</v>
      </c>
    </row>
    <row r="15" spans="1:8" ht="11.25" customHeight="1" x14ac:dyDescent="0.25">
      <c r="A15" s="8" t="s">
        <v>434</v>
      </c>
      <c r="B15" s="8" t="s">
        <v>474</v>
      </c>
      <c r="C15" s="8" t="s">
        <v>436</v>
      </c>
      <c r="D15" s="8">
        <v>247</v>
      </c>
      <c r="E15" s="8" t="s">
        <v>437</v>
      </c>
    </row>
    <row r="16" spans="1:8" ht="11.25" customHeight="1" x14ac:dyDescent="0.25">
      <c r="A16" s="8" t="s">
        <v>434</v>
      </c>
      <c r="B16" s="8" t="s">
        <v>474</v>
      </c>
      <c r="C16" s="8" t="s">
        <v>436</v>
      </c>
      <c r="D16" s="8">
        <v>248</v>
      </c>
      <c r="E16" s="8" t="s">
        <v>437</v>
      </c>
    </row>
    <row r="17" spans="1:5" ht="11.25" customHeight="1" x14ac:dyDescent="0.25">
      <c r="A17" s="8" t="s">
        <v>434</v>
      </c>
      <c r="B17" s="8" t="s">
        <v>474</v>
      </c>
      <c r="C17" s="8" t="s">
        <v>436</v>
      </c>
      <c r="D17" s="8">
        <v>249</v>
      </c>
      <c r="E17" s="8" t="s">
        <v>437</v>
      </c>
    </row>
    <row r="18" spans="1:5" ht="11.25" customHeight="1" x14ac:dyDescent="0.25">
      <c r="A18" s="8" t="s">
        <v>434</v>
      </c>
      <c r="B18" s="8" t="s">
        <v>474</v>
      </c>
      <c r="C18" s="8" t="s">
        <v>436</v>
      </c>
      <c r="D18" s="8">
        <v>250</v>
      </c>
      <c r="E18" s="8" t="s">
        <v>437</v>
      </c>
    </row>
    <row r="19" spans="1:5" ht="11.25" customHeight="1" x14ac:dyDescent="0.25">
      <c r="A19" s="8" t="s">
        <v>434</v>
      </c>
      <c r="B19" s="8" t="s">
        <v>474</v>
      </c>
      <c r="C19" s="8" t="s">
        <v>436</v>
      </c>
      <c r="D19" s="8">
        <v>251</v>
      </c>
      <c r="E19" s="8" t="s">
        <v>437</v>
      </c>
    </row>
    <row r="20" spans="1:5" ht="11.25" customHeight="1" x14ac:dyDescent="0.25">
      <c r="A20" s="8" t="s">
        <v>434</v>
      </c>
      <c r="B20" s="8" t="s">
        <v>474</v>
      </c>
      <c r="C20" s="8" t="s">
        <v>436</v>
      </c>
      <c r="D20" s="8">
        <v>252</v>
      </c>
      <c r="E20" s="8" t="s">
        <v>437</v>
      </c>
    </row>
    <row r="21" spans="1:5" ht="11.25" customHeight="1" x14ac:dyDescent="0.25">
      <c r="A21" s="8" t="s">
        <v>434</v>
      </c>
      <c r="B21" s="8" t="s">
        <v>474</v>
      </c>
      <c r="C21" s="8" t="s">
        <v>436</v>
      </c>
      <c r="D21" s="8">
        <v>253</v>
      </c>
      <c r="E21" s="8" t="s">
        <v>437</v>
      </c>
    </row>
    <row r="22" spans="1:5" ht="11.25" customHeight="1" x14ac:dyDescent="0.25">
      <c r="A22" s="8" t="s">
        <v>434</v>
      </c>
      <c r="B22" s="8" t="s">
        <v>474</v>
      </c>
      <c r="C22" s="8" t="s">
        <v>436</v>
      </c>
      <c r="D22" s="8">
        <v>254</v>
      </c>
      <c r="E22" s="8" t="s">
        <v>437</v>
      </c>
    </row>
    <row r="23" spans="1:5" ht="11.25" customHeight="1" x14ac:dyDescent="0.25">
      <c r="A23" s="8" t="s">
        <v>434</v>
      </c>
      <c r="B23" s="8" t="s">
        <v>474</v>
      </c>
      <c r="C23" s="8" t="s">
        <v>436</v>
      </c>
      <c r="D23" s="8">
        <v>255</v>
      </c>
      <c r="E23" s="8" t="s">
        <v>437</v>
      </c>
    </row>
    <row r="24" spans="1:5" ht="11.25" customHeight="1" x14ac:dyDescent="0.25">
      <c r="A24" s="8" t="s">
        <v>434</v>
      </c>
      <c r="B24" s="8" t="s">
        <v>474</v>
      </c>
      <c r="C24" s="8" t="s">
        <v>436</v>
      </c>
      <c r="D24" s="8">
        <v>256</v>
      </c>
      <c r="E24" s="8" t="s">
        <v>437</v>
      </c>
    </row>
    <row r="25" spans="1:5" ht="11.25" customHeight="1" x14ac:dyDescent="0.25">
      <c r="A25" s="8" t="s">
        <v>434</v>
      </c>
      <c r="B25" s="8" t="s">
        <v>474</v>
      </c>
      <c r="C25" s="8" t="s">
        <v>436</v>
      </c>
      <c r="D25" s="8">
        <v>257</v>
      </c>
      <c r="E25" s="8" t="s">
        <v>437</v>
      </c>
    </row>
    <row r="26" spans="1:5" ht="11.25" customHeight="1" x14ac:dyDescent="0.25">
      <c r="A26" s="8" t="s">
        <v>434</v>
      </c>
      <c r="B26" s="8" t="s">
        <v>474</v>
      </c>
      <c r="C26" s="8" t="s">
        <v>436</v>
      </c>
      <c r="D26" s="8">
        <v>258</v>
      </c>
      <c r="E26" s="8" t="s">
        <v>437</v>
      </c>
    </row>
    <row r="27" spans="1:5" ht="11.25" customHeight="1" x14ac:dyDescent="0.25">
      <c r="A27" s="8" t="s">
        <v>434</v>
      </c>
      <c r="B27" s="8" t="s">
        <v>474</v>
      </c>
      <c r="C27" s="8" t="s">
        <v>436</v>
      </c>
      <c r="D27" s="8">
        <v>259</v>
      </c>
      <c r="E27" s="8" t="s">
        <v>437</v>
      </c>
    </row>
    <row r="28" spans="1:5" ht="11.25" customHeight="1" x14ac:dyDescent="0.25">
      <c r="A28" s="8" t="s">
        <v>434</v>
      </c>
      <c r="B28" s="8" t="s">
        <v>474</v>
      </c>
      <c r="C28" s="8" t="s">
        <v>436</v>
      </c>
      <c r="D28" s="8">
        <v>260</v>
      </c>
      <c r="E28" s="8" t="s">
        <v>437</v>
      </c>
    </row>
    <row r="29" spans="1:5" ht="11.25" customHeight="1" x14ac:dyDescent="0.25">
      <c r="A29" s="8" t="s">
        <v>434</v>
      </c>
      <c r="B29" s="8" t="s">
        <v>474</v>
      </c>
      <c r="C29" s="8" t="s">
        <v>436</v>
      </c>
      <c r="D29" s="8">
        <v>261</v>
      </c>
      <c r="E29" s="8" t="s">
        <v>437</v>
      </c>
    </row>
    <row r="30" spans="1:5" ht="11.25" customHeight="1" x14ac:dyDescent="0.25">
      <c r="A30" s="8" t="s">
        <v>434</v>
      </c>
      <c r="B30" s="8" t="s">
        <v>474</v>
      </c>
      <c r="C30" s="8" t="s">
        <v>436</v>
      </c>
      <c r="D30" s="8">
        <v>262</v>
      </c>
      <c r="E30" s="8" t="s">
        <v>437</v>
      </c>
    </row>
    <row r="31" spans="1:5" ht="11.25" customHeight="1" x14ac:dyDescent="0.25">
      <c r="A31" s="8" t="s">
        <v>434</v>
      </c>
      <c r="B31" s="8" t="s">
        <v>474</v>
      </c>
      <c r="C31" s="8" t="s">
        <v>436</v>
      </c>
      <c r="D31" s="8">
        <v>263</v>
      </c>
      <c r="E31" s="8" t="s">
        <v>437</v>
      </c>
    </row>
    <row r="32" spans="1:5" ht="11.25" customHeight="1" x14ac:dyDescent="0.25">
      <c r="A32" s="8" t="s">
        <v>434</v>
      </c>
      <c r="B32" s="8" t="s">
        <v>474</v>
      </c>
      <c r="C32" s="8" t="s">
        <v>436</v>
      </c>
      <c r="D32" s="8">
        <v>264</v>
      </c>
      <c r="E32" s="8" t="s">
        <v>437</v>
      </c>
    </row>
    <row r="33" spans="1:5" ht="11.25" customHeight="1" x14ac:dyDescent="0.25">
      <c r="A33" s="8" t="s">
        <v>434</v>
      </c>
      <c r="B33" s="8" t="s">
        <v>474</v>
      </c>
      <c r="C33" s="8" t="s">
        <v>436</v>
      </c>
      <c r="D33" s="8">
        <v>265</v>
      </c>
      <c r="E33" s="8" t="s">
        <v>437</v>
      </c>
    </row>
    <row r="34" spans="1:5" ht="11.25" customHeight="1" x14ac:dyDescent="0.25">
      <c r="A34" s="8" t="s">
        <v>434</v>
      </c>
      <c r="B34" s="8" t="s">
        <v>474</v>
      </c>
      <c r="C34" s="8" t="s">
        <v>436</v>
      </c>
      <c r="D34" s="8">
        <v>266</v>
      </c>
      <c r="E34" s="8" t="s">
        <v>437</v>
      </c>
    </row>
    <row r="35" spans="1:5" ht="11.25" customHeight="1" x14ac:dyDescent="0.25">
      <c r="A35" s="8" t="s">
        <v>434</v>
      </c>
      <c r="B35" s="8" t="s">
        <v>474</v>
      </c>
      <c r="C35" s="8" t="s">
        <v>436</v>
      </c>
      <c r="D35" s="8">
        <v>267</v>
      </c>
      <c r="E35" s="8" t="s">
        <v>437</v>
      </c>
    </row>
    <row r="36" spans="1:5" ht="11.25" customHeight="1" x14ac:dyDescent="0.25">
      <c r="A36" s="8" t="s">
        <v>434</v>
      </c>
      <c r="B36" s="8" t="s">
        <v>474</v>
      </c>
      <c r="C36" s="8" t="s">
        <v>436</v>
      </c>
      <c r="D36" s="8">
        <v>268</v>
      </c>
      <c r="E36" s="8" t="s">
        <v>437</v>
      </c>
    </row>
    <row r="37" spans="1:5" ht="11.25" customHeight="1" x14ac:dyDescent="0.25">
      <c r="A37" s="8" t="s">
        <v>434</v>
      </c>
      <c r="B37" s="8" t="s">
        <v>474</v>
      </c>
      <c r="C37" s="8" t="s">
        <v>436</v>
      </c>
      <c r="D37" s="8">
        <v>269</v>
      </c>
      <c r="E37" s="8" t="s">
        <v>437</v>
      </c>
    </row>
    <row r="38" spans="1:5" ht="11.25" customHeight="1" x14ac:dyDescent="0.25">
      <c r="A38" s="8" t="s">
        <v>434</v>
      </c>
      <c r="B38" s="8" t="s">
        <v>474</v>
      </c>
      <c r="C38" s="8" t="s">
        <v>436</v>
      </c>
      <c r="D38" s="8">
        <v>270</v>
      </c>
      <c r="E38" s="8" t="s">
        <v>437</v>
      </c>
    </row>
    <row r="39" spans="1:5" ht="11.25" customHeight="1" x14ac:dyDescent="0.25">
      <c r="A39" s="8" t="s">
        <v>434</v>
      </c>
      <c r="B39" s="8" t="s">
        <v>474</v>
      </c>
      <c r="C39" s="8" t="s">
        <v>436</v>
      </c>
      <c r="D39" s="8">
        <v>271</v>
      </c>
      <c r="E39" s="8" t="s">
        <v>437</v>
      </c>
    </row>
    <row r="40" spans="1:5" ht="11.25" customHeight="1" x14ac:dyDescent="0.25">
      <c r="A40" s="8" t="s">
        <v>434</v>
      </c>
      <c r="B40" s="8" t="s">
        <v>474</v>
      </c>
      <c r="C40" s="8" t="s">
        <v>436</v>
      </c>
      <c r="D40" s="8">
        <v>272</v>
      </c>
      <c r="E40" s="8" t="s">
        <v>437</v>
      </c>
    </row>
    <row r="41" spans="1:5" ht="11.25" customHeight="1" x14ac:dyDescent="0.25">
      <c r="A41" s="8" t="s">
        <v>434</v>
      </c>
      <c r="B41" s="8" t="s">
        <v>474</v>
      </c>
      <c r="C41" s="8" t="s">
        <v>436</v>
      </c>
      <c r="D41" s="8">
        <v>273</v>
      </c>
      <c r="E41" s="8" t="s">
        <v>437</v>
      </c>
    </row>
    <row r="42" spans="1:5" ht="11.25" customHeight="1" x14ac:dyDescent="0.25">
      <c r="A42" s="8" t="s">
        <v>434</v>
      </c>
      <c r="B42" s="8" t="s">
        <v>474</v>
      </c>
      <c r="C42" s="8" t="s">
        <v>436</v>
      </c>
      <c r="D42" s="8">
        <v>274</v>
      </c>
      <c r="E42" s="8" t="s">
        <v>437</v>
      </c>
    </row>
    <row r="43" spans="1:5" ht="11.25" customHeight="1" x14ac:dyDescent="0.25">
      <c r="A43" s="8" t="s">
        <v>434</v>
      </c>
      <c r="B43" s="8" t="s">
        <v>474</v>
      </c>
      <c r="C43" s="8" t="s">
        <v>436</v>
      </c>
      <c r="D43" s="8">
        <v>275</v>
      </c>
      <c r="E43" s="8" t="s">
        <v>437</v>
      </c>
    </row>
    <row r="44" spans="1:5" ht="11.25" customHeight="1" x14ac:dyDescent="0.25">
      <c r="A44" s="8" t="s">
        <v>434</v>
      </c>
      <c r="B44" s="8" t="s">
        <v>474</v>
      </c>
      <c r="C44" s="8" t="s">
        <v>436</v>
      </c>
      <c r="D44" s="8">
        <v>319</v>
      </c>
      <c r="E44" s="8" t="s">
        <v>437</v>
      </c>
    </row>
    <row r="45" spans="1:5" ht="11.25" customHeight="1" x14ac:dyDescent="0.25">
      <c r="A45" s="8" t="s">
        <v>434</v>
      </c>
      <c r="B45" s="8" t="s">
        <v>474</v>
      </c>
      <c r="C45" s="8" t="s">
        <v>436</v>
      </c>
      <c r="D45" s="8">
        <v>320</v>
      </c>
      <c r="E45" s="8" t="s">
        <v>437</v>
      </c>
    </row>
    <row r="46" spans="1:5" ht="11.25" customHeight="1" x14ac:dyDescent="0.25">
      <c r="A46" s="8" t="s">
        <v>434</v>
      </c>
      <c r="B46" s="8" t="s">
        <v>474</v>
      </c>
      <c r="C46" s="8" t="s">
        <v>436</v>
      </c>
      <c r="D46" s="8">
        <v>321</v>
      </c>
      <c r="E46" s="8" t="s">
        <v>437</v>
      </c>
    </row>
    <row r="47" spans="1:5" ht="11.25" customHeight="1" x14ac:dyDescent="0.25">
      <c r="A47" s="8" t="s">
        <v>434</v>
      </c>
      <c r="B47" s="8" t="s">
        <v>474</v>
      </c>
      <c r="C47" s="8" t="s">
        <v>436</v>
      </c>
      <c r="D47" s="8">
        <v>322</v>
      </c>
      <c r="E47" s="8" t="s">
        <v>437</v>
      </c>
    </row>
    <row r="48" spans="1:5" ht="11.25" customHeight="1" x14ac:dyDescent="0.25">
      <c r="A48" s="8" t="s">
        <v>434</v>
      </c>
      <c r="B48" s="8" t="s">
        <v>474</v>
      </c>
      <c r="C48" s="8" t="s">
        <v>436</v>
      </c>
      <c r="D48" s="8">
        <v>323</v>
      </c>
      <c r="E48" s="8" t="s">
        <v>437</v>
      </c>
    </row>
    <row r="49" spans="1:5" ht="11.25" customHeight="1" x14ac:dyDescent="0.25">
      <c r="A49" s="8" t="s">
        <v>434</v>
      </c>
      <c r="B49" s="8" t="s">
        <v>474</v>
      </c>
      <c r="C49" s="8" t="s">
        <v>436</v>
      </c>
      <c r="D49" s="8">
        <v>324</v>
      </c>
      <c r="E49" s="8" t="s">
        <v>437</v>
      </c>
    </row>
    <row r="50" spans="1:5" ht="11.25" customHeight="1" x14ac:dyDescent="0.25">
      <c r="A50" s="8" t="s">
        <v>434</v>
      </c>
      <c r="B50" s="8" t="s">
        <v>474</v>
      </c>
      <c r="C50" s="8" t="s">
        <v>436</v>
      </c>
      <c r="D50" s="8">
        <v>325</v>
      </c>
      <c r="E50" s="8" t="s">
        <v>437</v>
      </c>
    </row>
    <row r="51" spans="1:5" ht="11.25" customHeight="1" x14ac:dyDescent="0.25">
      <c r="A51" s="8" t="s">
        <v>434</v>
      </c>
      <c r="B51" s="8" t="s">
        <v>474</v>
      </c>
      <c r="C51" s="8" t="s">
        <v>436</v>
      </c>
      <c r="D51" s="8">
        <v>326</v>
      </c>
      <c r="E51" s="8" t="s">
        <v>437</v>
      </c>
    </row>
    <row r="52" spans="1:5" ht="11.25" customHeight="1" x14ac:dyDescent="0.25">
      <c r="A52" s="8" t="s">
        <v>434</v>
      </c>
      <c r="B52" s="8" t="s">
        <v>474</v>
      </c>
      <c r="C52" s="8" t="s">
        <v>436</v>
      </c>
      <c r="D52" s="8">
        <v>327</v>
      </c>
      <c r="E52" s="8" t="s">
        <v>437</v>
      </c>
    </row>
    <row r="53" spans="1:5" ht="11.25" customHeight="1" x14ac:dyDescent="0.25">
      <c r="A53" s="8" t="s">
        <v>434</v>
      </c>
      <c r="B53" s="8" t="s">
        <v>474</v>
      </c>
      <c r="C53" s="8" t="s">
        <v>436</v>
      </c>
      <c r="D53" s="8">
        <v>328</v>
      </c>
      <c r="E53" s="8" t="s">
        <v>437</v>
      </c>
    </row>
    <row r="54" spans="1:5" ht="11.25" customHeight="1" x14ac:dyDescent="0.25">
      <c r="A54" s="8" t="s">
        <v>434</v>
      </c>
      <c r="B54" s="8" t="s">
        <v>474</v>
      </c>
      <c r="C54" s="8" t="s">
        <v>436</v>
      </c>
      <c r="D54" s="8">
        <v>329</v>
      </c>
      <c r="E54" s="8" t="s">
        <v>437</v>
      </c>
    </row>
    <row r="55" spans="1:5" ht="11.25" customHeight="1" x14ac:dyDescent="0.25">
      <c r="A55" s="8" t="s">
        <v>434</v>
      </c>
      <c r="B55" s="8" t="s">
        <v>474</v>
      </c>
      <c r="C55" s="8" t="s">
        <v>436</v>
      </c>
      <c r="D55" s="8">
        <v>330</v>
      </c>
      <c r="E55" s="8" t="s">
        <v>437</v>
      </c>
    </row>
    <row r="56" spans="1:5" ht="11.25" customHeight="1" x14ac:dyDescent="0.25">
      <c r="A56" s="8" t="s">
        <v>434</v>
      </c>
      <c r="B56" s="8" t="s">
        <v>474</v>
      </c>
      <c r="C56" s="8" t="s">
        <v>436</v>
      </c>
      <c r="D56" s="8">
        <v>404</v>
      </c>
      <c r="E56" s="8" t="s">
        <v>437</v>
      </c>
    </row>
    <row r="57" spans="1:5" ht="11.25" customHeight="1" x14ac:dyDescent="0.25">
      <c r="A57" s="8" t="s">
        <v>434</v>
      </c>
      <c r="B57" s="8" t="s">
        <v>474</v>
      </c>
      <c r="C57" s="8" t="s">
        <v>436</v>
      </c>
      <c r="D57" s="8">
        <v>405</v>
      </c>
      <c r="E57" s="8" t="s">
        <v>437</v>
      </c>
    </row>
    <row r="58" spans="1:5" ht="11.25" customHeight="1" x14ac:dyDescent="0.25">
      <c r="A58" s="8" t="s">
        <v>434</v>
      </c>
      <c r="B58" s="8" t="s">
        <v>474</v>
      </c>
      <c r="C58" s="8" t="s">
        <v>436</v>
      </c>
      <c r="D58" s="8">
        <v>406</v>
      </c>
      <c r="E58" s="8" t="s">
        <v>437</v>
      </c>
    </row>
    <row r="59" spans="1:5" ht="11.25" customHeight="1" x14ac:dyDescent="0.25">
      <c r="A59" s="8" t="s">
        <v>434</v>
      </c>
      <c r="B59" s="8" t="s">
        <v>474</v>
      </c>
      <c r="C59" s="8" t="s">
        <v>436</v>
      </c>
      <c r="D59" s="8">
        <v>407</v>
      </c>
      <c r="E59" s="8" t="s">
        <v>437</v>
      </c>
    </row>
    <row r="60" spans="1:5" ht="11.25" customHeight="1" x14ac:dyDescent="0.25">
      <c r="A60" s="8" t="s">
        <v>434</v>
      </c>
      <c r="B60" s="8" t="s">
        <v>474</v>
      </c>
      <c r="C60" s="8" t="s">
        <v>436</v>
      </c>
      <c r="D60" s="8">
        <v>408</v>
      </c>
      <c r="E60" s="8" t="s">
        <v>437</v>
      </c>
    </row>
    <row r="61" spans="1:5" ht="11.25" customHeight="1" x14ac:dyDescent="0.25">
      <c r="A61" s="8" t="s">
        <v>434</v>
      </c>
      <c r="B61" s="8" t="s">
        <v>474</v>
      </c>
      <c r="C61" s="8" t="s">
        <v>436</v>
      </c>
      <c r="D61" s="8">
        <v>409</v>
      </c>
      <c r="E61" s="8" t="s">
        <v>437</v>
      </c>
    </row>
    <row r="62" spans="1:5" ht="11.25" customHeight="1" x14ac:dyDescent="0.25">
      <c r="A62" s="8" t="s">
        <v>434</v>
      </c>
      <c r="B62" s="8" t="s">
        <v>474</v>
      </c>
      <c r="C62" s="8" t="s">
        <v>436</v>
      </c>
      <c r="D62" s="8">
        <v>410</v>
      </c>
      <c r="E62" s="8" t="s">
        <v>437</v>
      </c>
    </row>
    <row r="63" spans="1:5" ht="11.25" customHeight="1" x14ac:dyDescent="0.25">
      <c r="A63" s="8" t="s">
        <v>434</v>
      </c>
      <c r="B63" s="8" t="s">
        <v>474</v>
      </c>
      <c r="C63" s="8" t="s">
        <v>436</v>
      </c>
      <c r="D63" s="8">
        <v>411</v>
      </c>
      <c r="E63" s="8" t="s">
        <v>437</v>
      </c>
    </row>
    <row r="64" spans="1:5" ht="11.25" customHeight="1" x14ac:dyDescent="0.25">
      <c r="A64" s="8" t="s">
        <v>434</v>
      </c>
      <c r="B64" s="8" t="s">
        <v>474</v>
      </c>
      <c r="C64" s="8" t="s">
        <v>436</v>
      </c>
      <c r="D64" s="8">
        <v>412</v>
      </c>
      <c r="E64" s="8" t="s">
        <v>437</v>
      </c>
    </row>
    <row r="65" spans="1:5" ht="11.25" customHeight="1" x14ac:dyDescent="0.25">
      <c r="A65" s="8" t="s">
        <v>434</v>
      </c>
      <c r="B65" s="8" t="s">
        <v>474</v>
      </c>
      <c r="C65" s="8" t="s">
        <v>436</v>
      </c>
      <c r="D65" s="8">
        <v>413</v>
      </c>
      <c r="E65" s="8" t="s">
        <v>437</v>
      </c>
    </row>
    <row r="66" spans="1:5" ht="11.25" customHeight="1" x14ac:dyDescent="0.25">
      <c r="A66" s="8" t="s">
        <v>434</v>
      </c>
      <c r="B66" s="8" t="s">
        <v>474</v>
      </c>
      <c r="C66" s="8" t="s">
        <v>436</v>
      </c>
      <c r="D66" s="8">
        <v>414</v>
      </c>
      <c r="E66" s="8" t="s">
        <v>437</v>
      </c>
    </row>
    <row r="67" spans="1:5" ht="11.25" customHeight="1" x14ac:dyDescent="0.25">
      <c r="A67" s="8" t="s">
        <v>434</v>
      </c>
      <c r="B67" s="8" t="s">
        <v>474</v>
      </c>
      <c r="C67" s="8" t="s">
        <v>436</v>
      </c>
      <c r="D67" s="8">
        <v>415</v>
      </c>
      <c r="E67" s="8" t="s">
        <v>437</v>
      </c>
    </row>
    <row r="68" spans="1:5" ht="11.25" customHeight="1" x14ac:dyDescent="0.25">
      <c r="A68" s="8" t="s">
        <v>434</v>
      </c>
      <c r="B68" s="8" t="s">
        <v>474</v>
      </c>
      <c r="C68" s="8" t="s">
        <v>436</v>
      </c>
      <c r="D68" s="8">
        <v>416</v>
      </c>
      <c r="E68" s="8" t="s">
        <v>437</v>
      </c>
    </row>
    <row r="69" spans="1:5" ht="11.25" customHeight="1" x14ac:dyDescent="0.25">
      <c r="A69" s="8" t="s">
        <v>434</v>
      </c>
      <c r="B69" s="8" t="s">
        <v>474</v>
      </c>
      <c r="C69" s="8" t="s">
        <v>436</v>
      </c>
      <c r="D69" s="8">
        <v>417</v>
      </c>
      <c r="E69" s="8" t="s">
        <v>437</v>
      </c>
    </row>
    <row r="70" spans="1:5" ht="11.25" customHeight="1" x14ac:dyDescent="0.25">
      <c r="A70" s="8" t="s">
        <v>434</v>
      </c>
      <c r="B70" s="8" t="s">
        <v>474</v>
      </c>
      <c r="C70" s="8" t="s">
        <v>436</v>
      </c>
      <c r="D70" s="8">
        <v>418</v>
      </c>
      <c r="E70" s="8" t="s">
        <v>437</v>
      </c>
    </row>
    <row r="71" spans="1:5" ht="11.25" customHeight="1" x14ac:dyDescent="0.25">
      <c r="A71" s="8" t="s">
        <v>434</v>
      </c>
      <c r="B71" s="8" t="s">
        <v>474</v>
      </c>
      <c r="C71" s="8" t="s">
        <v>436</v>
      </c>
      <c r="D71" s="8">
        <v>419</v>
      </c>
      <c r="E71" s="8" t="s">
        <v>437</v>
      </c>
    </row>
    <row r="72" spans="1:5" ht="11.25" customHeight="1" x14ac:dyDescent="0.25">
      <c r="A72" s="8" t="s">
        <v>434</v>
      </c>
      <c r="B72" s="8" t="s">
        <v>474</v>
      </c>
      <c r="C72" s="8" t="s">
        <v>436</v>
      </c>
      <c r="D72" s="8">
        <v>420</v>
      </c>
      <c r="E72" s="8" t="s">
        <v>437</v>
      </c>
    </row>
    <row r="73" spans="1:5" ht="11.25" customHeight="1" x14ac:dyDescent="0.25">
      <c r="A73" s="8" t="s">
        <v>434</v>
      </c>
      <c r="B73" s="8" t="s">
        <v>474</v>
      </c>
      <c r="C73" s="8" t="s">
        <v>436</v>
      </c>
      <c r="D73" s="8">
        <v>421</v>
      </c>
      <c r="E73" s="8" t="s">
        <v>437</v>
      </c>
    </row>
    <row r="74" spans="1:5" ht="11.25" customHeight="1" x14ac:dyDescent="0.25">
      <c r="A74" s="8" t="s">
        <v>434</v>
      </c>
      <c r="B74" s="8" t="s">
        <v>474</v>
      </c>
      <c r="C74" s="8" t="s">
        <v>436</v>
      </c>
      <c r="D74" s="8">
        <v>422</v>
      </c>
      <c r="E74" s="8" t="s">
        <v>437</v>
      </c>
    </row>
    <row r="75" spans="1:5" ht="11.25" customHeight="1" x14ac:dyDescent="0.25">
      <c r="A75" s="8" t="s">
        <v>434</v>
      </c>
      <c r="B75" s="8" t="s">
        <v>474</v>
      </c>
      <c r="C75" s="8" t="s">
        <v>436</v>
      </c>
      <c r="D75" s="8">
        <v>423</v>
      </c>
      <c r="E75" s="8" t="s">
        <v>437</v>
      </c>
    </row>
    <row r="76" spans="1:5" ht="11.25" customHeight="1" x14ac:dyDescent="0.25">
      <c r="A76" s="8" t="s">
        <v>434</v>
      </c>
      <c r="B76" s="8" t="s">
        <v>474</v>
      </c>
      <c r="C76" s="8" t="s">
        <v>436</v>
      </c>
      <c r="D76" s="8">
        <v>424</v>
      </c>
      <c r="E76" s="8" t="s">
        <v>437</v>
      </c>
    </row>
    <row r="77" spans="1:5" ht="11.25" customHeight="1" x14ac:dyDescent="0.25">
      <c r="A77" s="8" t="s">
        <v>434</v>
      </c>
      <c r="B77" s="8" t="s">
        <v>474</v>
      </c>
      <c r="C77" s="8" t="s">
        <v>436</v>
      </c>
      <c r="D77" s="8">
        <v>425</v>
      </c>
      <c r="E77" s="8" t="s">
        <v>437</v>
      </c>
    </row>
    <row r="78" spans="1:5" ht="11.25" customHeight="1" x14ac:dyDescent="0.25">
      <c r="A78" s="8" t="s">
        <v>434</v>
      </c>
      <c r="B78" s="8" t="s">
        <v>474</v>
      </c>
      <c r="C78" s="8" t="s">
        <v>436</v>
      </c>
      <c r="D78" s="8">
        <v>426</v>
      </c>
      <c r="E78" s="8" t="s">
        <v>437</v>
      </c>
    </row>
    <row r="79" spans="1:5" ht="11.25" customHeight="1" x14ac:dyDescent="0.25">
      <c r="A79" s="8" t="s">
        <v>434</v>
      </c>
      <c r="B79" s="8" t="s">
        <v>474</v>
      </c>
      <c r="C79" s="8" t="s">
        <v>436</v>
      </c>
      <c r="D79" s="8">
        <v>427</v>
      </c>
      <c r="E79" s="8" t="s">
        <v>437</v>
      </c>
    </row>
    <row r="80" spans="1:5" ht="11.25" customHeight="1" x14ac:dyDescent="0.25">
      <c r="A80" s="8" t="s">
        <v>434</v>
      </c>
      <c r="B80" s="8" t="s">
        <v>474</v>
      </c>
      <c r="C80" s="8" t="s">
        <v>436</v>
      </c>
      <c r="D80" s="8">
        <v>428</v>
      </c>
      <c r="E80" s="8" t="s">
        <v>437</v>
      </c>
    </row>
    <row r="81" spans="1:5" ht="11.25" customHeight="1" x14ac:dyDescent="0.25">
      <c r="A81" s="8" t="s">
        <v>434</v>
      </c>
      <c r="B81" s="8" t="s">
        <v>474</v>
      </c>
      <c r="C81" s="8" t="s">
        <v>436</v>
      </c>
      <c r="D81" s="8">
        <v>429</v>
      </c>
      <c r="E81" s="8" t="s">
        <v>437</v>
      </c>
    </row>
    <row r="82" spans="1:5" ht="11.25" customHeight="1" x14ac:dyDescent="0.25">
      <c r="A82" s="8" t="s">
        <v>434</v>
      </c>
      <c r="B82" s="8" t="s">
        <v>474</v>
      </c>
      <c r="C82" s="8" t="s">
        <v>436</v>
      </c>
      <c r="D82" s="8">
        <v>430</v>
      </c>
      <c r="E82" s="8" t="s">
        <v>437</v>
      </c>
    </row>
    <row r="83" spans="1:5" ht="11.25" customHeight="1" x14ac:dyDescent="0.25">
      <c r="A83" s="8" t="s">
        <v>434</v>
      </c>
      <c r="B83" s="8" t="s">
        <v>474</v>
      </c>
      <c r="C83" s="8" t="s">
        <v>436</v>
      </c>
      <c r="D83" s="8">
        <v>489</v>
      </c>
      <c r="E83" s="8" t="s">
        <v>437</v>
      </c>
    </row>
    <row r="84" spans="1:5" ht="11.25" customHeight="1" x14ac:dyDescent="0.25">
      <c r="A84" s="8" t="s">
        <v>434</v>
      </c>
      <c r="B84" s="8" t="s">
        <v>474</v>
      </c>
      <c r="C84" s="8" t="s">
        <v>436</v>
      </c>
      <c r="D84" s="8">
        <v>490</v>
      </c>
      <c r="E84" s="8" t="s">
        <v>437</v>
      </c>
    </row>
    <row r="85" spans="1:5" ht="11.25" customHeight="1" x14ac:dyDescent="0.25">
      <c r="A85" s="8" t="s">
        <v>434</v>
      </c>
      <c r="B85" s="8" t="s">
        <v>474</v>
      </c>
      <c r="C85" s="8" t="s">
        <v>436</v>
      </c>
      <c r="D85" s="8">
        <v>491</v>
      </c>
      <c r="E85" s="8" t="s">
        <v>437</v>
      </c>
    </row>
    <row r="86" spans="1:5" ht="11.25" customHeight="1" x14ac:dyDescent="0.25">
      <c r="A86" s="8" t="s">
        <v>434</v>
      </c>
      <c r="B86" s="8" t="s">
        <v>474</v>
      </c>
      <c r="C86" s="8" t="s">
        <v>436</v>
      </c>
      <c r="D86" s="8">
        <v>492</v>
      </c>
      <c r="E86" s="8" t="s">
        <v>437</v>
      </c>
    </row>
    <row r="87" spans="1:5" ht="11.25" customHeight="1" x14ac:dyDescent="0.25">
      <c r="A87" s="8" t="s">
        <v>434</v>
      </c>
      <c r="B87" s="8" t="s">
        <v>474</v>
      </c>
      <c r="C87" s="8" t="s">
        <v>436</v>
      </c>
      <c r="D87" s="8">
        <v>493</v>
      </c>
      <c r="E87" s="8" t="s">
        <v>437</v>
      </c>
    </row>
    <row r="88" spans="1:5" ht="11.25" customHeight="1" x14ac:dyDescent="0.25">
      <c r="A88" s="8" t="s">
        <v>434</v>
      </c>
      <c r="B88" s="8" t="s">
        <v>474</v>
      </c>
      <c r="C88" s="8" t="s">
        <v>436</v>
      </c>
      <c r="D88" s="8">
        <v>494</v>
      </c>
      <c r="E88" s="8" t="s">
        <v>437</v>
      </c>
    </row>
    <row r="89" spans="1:5" ht="11.25" customHeight="1" x14ac:dyDescent="0.25">
      <c r="A89" s="8" t="s">
        <v>434</v>
      </c>
      <c r="B89" s="8" t="s">
        <v>474</v>
      </c>
      <c r="C89" s="8" t="s">
        <v>436</v>
      </c>
      <c r="D89" s="8">
        <v>495</v>
      </c>
      <c r="E89" s="8" t="s">
        <v>437</v>
      </c>
    </row>
    <row r="90" spans="1:5" ht="11.25" customHeight="1" x14ac:dyDescent="0.25">
      <c r="A90" s="8" t="s">
        <v>434</v>
      </c>
      <c r="B90" s="8" t="s">
        <v>474</v>
      </c>
      <c r="C90" s="8" t="s">
        <v>436</v>
      </c>
      <c r="D90" s="8">
        <v>496</v>
      </c>
      <c r="E90" s="8" t="s">
        <v>437</v>
      </c>
    </row>
    <row r="91" spans="1:5" ht="11.25" customHeight="1" x14ac:dyDescent="0.25">
      <c r="A91" s="8" t="s">
        <v>434</v>
      </c>
      <c r="B91" s="8" t="s">
        <v>474</v>
      </c>
      <c r="C91" s="8" t="s">
        <v>436</v>
      </c>
      <c r="D91" s="8">
        <v>497</v>
      </c>
      <c r="E91" s="8" t="s">
        <v>437</v>
      </c>
    </row>
    <row r="92" spans="1:5" ht="11.25" customHeight="1" x14ac:dyDescent="0.25">
      <c r="A92" s="8" t="s">
        <v>434</v>
      </c>
      <c r="B92" s="8" t="s">
        <v>474</v>
      </c>
      <c r="C92" s="8" t="s">
        <v>436</v>
      </c>
      <c r="D92" s="8">
        <v>498</v>
      </c>
      <c r="E92" s="8" t="s">
        <v>437</v>
      </c>
    </row>
    <row r="93" spans="1:5" ht="11.25" customHeight="1" x14ac:dyDescent="0.25">
      <c r="A93" s="8" t="s">
        <v>434</v>
      </c>
      <c r="B93" s="8" t="s">
        <v>474</v>
      </c>
      <c r="C93" s="8" t="s">
        <v>436</v>
      </c>
      <c r="D93" s="8">
        <v>499</v>
      </c>
      <c r="E93" s="8" t="s">
        <v>437</v>
      </c>
    </row>
    <row r="94" spans="1:5" ht="11.25" customHeight="1" x14ac:dyDescent="0.25">
      <c r="A94" s="8" t="s">
        <v>434</v>
      </c>
      <c r="B94" s="8" t="s">
        <v>474</v>
      </c>
      <c r="C94" s="8" t="s">
        <v>436</v>
      </c>
      <c r="D94" s="8">
        <v>500</v>
      </c>
      <c r="E94" s="8" t="s">
        <v>437</v>
      </c>
    </row>
    <row r="95" spans="1:5" ht="11.25" customHeight="1" x14ac:dyDescent="0.25">
      <c r="A95" s="8" t="s">
        <v>434</v>
      </c>
      <c r="B95" s="8" t="s">
        <v>474</v>
      </c>
      <c r="C95" s="8" t="s">
        <v>436</v>
      </c>
      <c r="D95" s="8">
        <v>501</v>
      </c>
      <c r="E95" s="8" t="s">
        <v>437</v>
      </c>
    </row>
    <row r="96" spans="1:5" ht="11.25" customHeight="1" x14ac:dyDescent="0.25">
      <c r="A96" s="8" t="s">
        <v>434</v>
      </c>
      <c r="B96" s="8" t="s">
        <v>474</v>
      </c>
      <c r="C96" s="8" t="s">
        <v>436</v>
      </c>
      <c r="D96" s="8">
        <v>502</v>
      </c>
      <c r="E96" s="8" t="s">
        <v>437</v>
      </c>
    </row>
    <row r="97" spans="1:5" ht="11.25" customHeight="1" x14ac:dyDescent="0.25">
      <c r="A97" s="8" t="s">
        <v>434</v>
      </c>
      <c r="B97" s="8" t="s">
        <v>474</v>
      </c>
      <c r="C97" s="8" t="s">
        <v>436</v>
      </c>
      <c r="D97" s="8">
        <v>503</v>
      </c>
      <c r="E97" s="8" t="s">
        <v>437</v>
      </c>
    </row>
    <row r="98" spans="1:5" ht="11.25" customHeight="1" x14ac:dyDescent="0.25">
      <c r="A98" s="8" t="s">
        <v>434</v>
      </c>
      <c r="B98" s="8" t="s">
        <v>474</v>
      </c>
      <c r="C98" s="8" t="s">
        <v>436</v>
      </c>
      <c r="D98" s="8">
        <v>504</v>
      </c>
      <c r="E98" s="8" t="s">
        <v>437</v>
      </c>
    </row>
    <row r="99" spans="1:5" ht="11.25" customHeight="1" x14ac:dyDescent="0.25">
      <c r="A99" s="8" t="s">
        <v>434</v>
      </c>
      <c r="B99" s="8" t="s">
        <v>474</v>
      </c>
      <c r="C99" s="8" t="s">
        <v>436</v>
      </c>
      <c r="D99" s="8">
        <v>505</v>
      </c>
      <c r="E99" s="8" t="s">
        <v>437</v>
      </c>
    </row>
    <row r="100" spans="1:5" ht="11.25" customHeight="1" x14ac:dyDescent="0.25">
      <c r="A100" s="8" t="s">
        <v>434</v>
      </c>
      <c r="B100" s="8" t="s">
        <v>474</v>
      </c>
      <c r="C100" s="8" t="s">
        <v>436</v>
      </c>
      <c r="D100" s="8">
        <v>506</v>
      </c>
      <c r="E100" s="8" t="s">
        <v>437</v>
      </c>
    </row>
    <row r="101" spans="1:5" ht="11.25" customHeight="1" x14ac:dyDescent="0.25">
      <c r="A101" s="8" t="s">
        <v>434</v>
      </c>
      <c r="B101" s="8" t="s">
        <v>474</v>
      </c>
      <c r="C101" s="8" t="s">
        <v>436</v>
      </c>
      <c r="D101" s="8">
        <v>507</v>
      </c>
      <c r="E101" s="8" t="s">
        <v>437</v>
      </c>
    </row>
    <row r="102" spans="1:5" ht="11.25" customHeight="1" x14ac:dyDescent="0.25">
      <c r="A102" s="8" t="s">
        <v>434</v>
      </c>
      <c r="B102" s="8" t="s">
        <v>474</v>
      </c>
      <c r="C102" s="8" t="s">
        <v>436</v>
      </c>
      <c r="D102" s="8">
        <v>508</v>
      </c>
      <c r="E102" s="8" t="s">
        <v>437</v>
      </c>
    </row>
    <row r="103" spans="1:5" ht="11.25" customHeight="1" x14ac:dyDescent="0.25">
      <c r="A103" s="8" t="s">
        <v>434</v>
      </c>
      <c r="B103" s="8" t="s">
        <v>474</v>
      </c>
      <c r="C103" s="8" t="s">
        <v>436</v>
      </c>
      <c r="D103" s="8">
        <v>509</v>
      </c>
      <c r="E103" s="8" t="s">
        <v>437</v>
      </c>
    </row>
    <row r="104" spans="1:5" ht="11.25" customHeight="1" x14ac:dyDescent="0.25">
      <c r="A104" s="8" t="s">
        <v>434</v>
      </c>
      <c r="B104" s="8" t="s">
        <v>474</v>
      </c>
      <c r="C104" s="8" t="s">
        <v>436</v>
      </c>
      <c r="D104" s="8">
        <v>510</v>
      </c>
      <c r="E104" s="8" t="s">
        <v>437</v>
      </c>
    </row>
    <row r="105" spans="1:5" ht="11.25" customHeight="1" x14ac:dyDescent="0.25">
      <c r="A105" s="8" t="s">
        <v>434</v>
      </c>
      <c r="B105" s="8" t="s">
        <v>474</v>
      </c>
      <c r="C105" s="8" t="s">
        <v>436</v>
      </c>
      <c r="D105" s="8">
        <v>511</v>
      </c>
      <c r="E105" s="8" t="s">
        <v>437</v>
      </c>
    </row>
    <row r="106" spans="1:5" ht="11.25" customHeight="1" x14ac:dyDescent="0.25">
      <c r="A106" s="8" t="s">
        <v>434</v>
      </c>
      <c r="B106" s="8" t="s">
        <v>474</v>
      </c>
      <c r="C106" s="8" t="s">
        <v>436</v>
      </c>
      <c r="D106" s="8">
        <v>512</v>
      </c>
      <c r="E106" s="8" t="s">
        <v>437</v>
      </c>
    </row>
    <row r="107" spans="1:5" ht="11.25" customHeight="1" x14ac:dyDescent="0.25">
      <c r="A107" s="8" t="s">
        <v>434</v>
      </c>
      <c r="B107" s="8" t="s">
        <v>474</v>
      </c>
      <c r="C107" s="8" t="s">
        <v>436</v>
      </c>
      <c r="D107" s="8">
        <v>513</v>
      </c>
      <c r="E107" s="8" t="s">
        <v>437</v>
      </c>
    </row>
    <row r="108" spans="1:5" ht="11.25" customHeight="1" x14ac:dyDescent="0.25">
      <c r="A108" s="8" t="s">
        <v>434</v>
      </c>
      <c r="B108" s="8" t="s">
        <v>474</v>
      </c>
      <c r="C108" s="8" t="s">
        <v>436</v>
      </c>
      <c r="D108" s="8">
        <v>514</v>
      </c>
      <c r="E108" s="8" t="s">
        <v>437</v>
      </c>
    </row>
    <row r="109" spans="1:5" ht="11.25" customHeight="1" x14ac:dyDescent="0.25">
      <c r="A109" s="8" t="s">
        <v>434</v>
      </c>
      <c r="B109" s="8" t="s">
        <v>474</v>
      </c>
      <c r="C109" s="8" t="s">
        <v>436</v>
      </c>
      <c r="D109" s="8">
        <v>515</v>
      </c>
      <c r="E109" s="8" t="s">
        <v>437</v>
      </c>
    </row>
    <row r="110" spans="1:5" ht="11.25" customHeight="1" x14ac:dyDescent="0.25">
      <c r="A110" s="8" t="s">
        <v>434</v>
      </c>
      <c r="B110" s="8" t="s">
        <v>474</v>
      </c>
      <c r="C110" s="8" t="s">
        <v>436</v>
      </c>
      <c r="D110" s="8">
        <v>516</v>
      </c>
      <c r="E110" s="8" t="s">
        <v>437</v>
      </c>
    </row>
    <row r="111" spans="1:5" ht="11.25" customHeight="1" x14ac:dyDescent="0.25">
      <c r="A111" s="8" t="s">
        <v>434</v>
      </c>
      <c r="B111" s="8" t="s">
        <v>474</v>
      </c>
      <c r="C111" s="8" t="s">
        <v>436</v>
      </c>
      <c r="D111" s="8">
        <v>517</v>
      </c>
      <c r="E111" s="8" t="s">
        <v>437</v>
      </c>
    </row>
    <row r="112" spans="1:5" ht="11.25" customHeight="1" x14ac:dyDescent="0.25">
      <c r="A112" s="8" t="s">
        <v>434</v>
      </c>
      <c r="B112" s="8" t="s">
        <v>474</v>
      </c>
      <c r="C112" s="8" t="s">
        <v>436</v>
      </c>
      <c r="D112" s="8">
        <v>518</v>
      </c>
      <c r="E112" s="8" t="s">
        <v>437</v>
      </c>
    </row>
    <row r="113" spans="1:5" ht="11.25" customHeight="1" x14ac:dyDescent="0.25">
      <c r="A113" s="8" t="s">
        <v>434</v>
      </c>
      <c r="B113" s="8" t="s">
        <v>474</v>
      </c>
      <c r="C113" s="8" t="s">
        <v>436</v>
      </c>
      <c r="D113" s="8">
        <v>519</v>
      </c>
      <c r="E113" s="8" t="s">
        <v>437</v>
      </c>
    </row>
    <row r="114" spans="1:5" ht="11.25" customHeight="1" x14ac:dyDescent="0.25">
      <c r="A114" s="8" t="s">
        <v>434</v>
      </c>
      <c r="B114" s="8" t="s">
        <v>474</v>
      </c>
      <c r="C114" s="8" t="s">
        <v>436</v>
      </c>
      <c r="D114" s="8">
        <v>520</v>
      </c>
      <c r="E114" s="8" t="s">
        <v>437</v>
      </c>
    </row>
    <row r="115" spans="1:5" ht="11.25" customHeight="1" x14ac:dyDescent="0.25">
      <c r="A115" s="8" t="s">
        <v>434</v>
      </c>
      <c r="B115" s="8" t="s">
        <v>474</v>
      </c>
      <c r="C115" s="8" t="s">
        <v>436</v>
      </c>
      <c r="D115" s="8">
        <v>567</v>
      </c>
      <c r="E115" s="8" t="s">
        <v>437</v>
      </c>
    </row>
    <row r="116" spans="1:5" ht="11.25" customHeight="1" x14ac:dyDescent="0.25">
      <c r="A116" s="8" t="s">
        <v>434</v>
      </c>
      <c r="B116" s="8" t="s">
        <v>474</v>
      </c>
      <c r="C116" s="8" t="s">
        <v>436</v>
      </c>
      <c r="D116" s="8">
        <v>568</v>
      </c>
      <c r="E116" s="8" t="s">
        <v>437</v>
      </c>
    </row>
    <row r="117" spans="1:5" ht="11.25" customHeight="1" x14ac:dyDescent="0.25">
      <c r="A117" s="8" t="s">
        <v>434</v>
      </c>
      <c r="B117" s="8" t="s">
        <v>474</v>
      </c>
      <c r="C117" s="8" t="s">
        <v>436</v>
      </c>
      <c r="D117" s="8">
        <v>569</v>
      </c>
      <c r="E117" s="8" t="s">
        <v>437</v>
      </c>
    </row>
    <row r="118" spans="1:5" ht="11.25" customHeight="1" x14ac:dyDescent="0.25">
      <c r="A118" s="8" t="s">
        <v>434</v>
      </c>
      <c r="B118" s="8" t="s">
        <v>474</v>
      </c>
      <c r="C118" s="8" t="s">
        <v>436</v>
      </c>
      <c r="D118" s="8">
        <v>570</v>
      </c>
      <c r="E118" s="8" t="s">
        <v>437</v>
      </c>
    </row>
    <row r="119" spans="1:5" ht="11.25" customHeight="1" x14ac:dyDescent="0.25">
      <c r="A119" s="8" t="s">
        <v>434</v>
      </c>
      <c r="B119" s="8" t="s">
        <v>474</v>
      </c>
      <c r="C119" s="8" t="s">
        <v>436</v>
      </c>
      <c r="D119" s="8">
        <v>571</v>
      </c>
      <c r="E119" s="8" t="s">
        <v>437</v>
      </c>
    </row>
    <row r="120" spans="1:5" ht="11.25" customHeight="1" x14ac:dyDescent="0.25">
      <c r="A120" s="8" t="s">
        <v>434</v>
      </c>
      <c r="B120" s="8" t="s">
        <v>474</v>
      </c>
      <c r="C120" s="8" t="s">
        <v>436</v>
      </c>
      <c r="D120" s="8">
        <v>572</v>
      </c>
      <c r="E120" s="8" t="s">
        <v>437</v>
      </c>
    </row>
    <row r="121" spans="1:5" ht="11.25" customHeight="1" x14ac:dyDescent="0.25">
      <c r="A121" s="8" t="s">
        <v>434</v>
      </c>
      <c r="B121" s="8" t="s">
        <v>474</v>
      </c>
      <c r="C121" s="8" t="s">
        <v>436</v>
      </c>
      <c r="D121" s="8">
        <v>573</v>
      </c>
      <c r="E121" s="8" t="s">
        <v>437</v>
      </c>
    </row>
    <row r="122" spans="1:5" ht="11.25" customHeight="1" x14ac:dyDescent="0.25">
      <c r="A122" s="8" t="s">
        <v>434</v>
      </c>
      <c r="B122" s="8" t="s">
        <v>474</v>
      </c>
      <c r="C122" s="8" t="s">
        <v>436</v>
      </c>
      <c r="D122" s="8">
        <v>574</v>
      </c>
      <c r="E122" s="8" t="s">
        <v>437</v>
      </c>
    </row>
    <row r="123" spans="1:5" ht="11.25" customHeight="1" x14ac:dyDescent="0.25">
      <c r="A123" s="8" t="s">
        <v>434</v>
      </c>
      <c r="B123" s="8" t="s">
        <v>474</v>
      </c>
      <c r="C123" s="8" t="s">
        <v>436</v>
      </c>
      <c r="D123" s="8">
        <v>575</v>
      </c>
      <c r="E123" s="8" t="s">
        <v>437</v>
      </c>
    </row>
    <row r="124" spans="1:5" ht="11.25" customHeight="1" x14ac:dyDescent="0.25">
      <c r="A124" s="8" t="s">
        <v>434</v>
      </c>
      <c r="B124" s="8" t="s">
        <v>474</v>
      </c>
      <c r="C124" s="8" t="s">
        <v>436</v>
      </c>
      <c r="D124" s="8">
        <v>576</v>
      </c>
      <c r="E124" s="8" t="s">
        <v>437</v>
      </c>
    </row>
    <row r="125" spans="1:5" ht="11.25" customHeight="1" x14ac:dyDescent="0.25">
      <c r="A125" s="8" t="s">
        <v>434</v>
      </c>
      <c r="B125" s="8" t="s">
        <v>474</v>
      </c>
      <c r="C125" s="8" t="s">
        <v>436</v>
      </c>
      <c r="D125" s="8">
        <v>577</v>
      </c>
      <c r="E125" s="8" t="s">
        <v>437</v>
      </c>
    </row>
    <row r="126" spans="1:5" ht="11.25" customHeight="1" x14ac:dyDescent="0.25">
      <c r="A126" s="8" t="s">
        <v>434</v>
      </c>
      <c r="B126" s="8" t="s">
        <v>474</v>
      </c>
      <c r="C126" s="8" t="s">
        <v>436</v>
      </c>
      <c r="D126" s="8">
        <v>578</v>
      </c>
      <c r="E126" s="8" t="s">
        <v>437</v>
      </c>
    </row>
    <row r="127" spans="1:5" ht="11.25" customHeight="1" x14ac:dyDescent="0.25">
      <c r="A127" s="8" t="s">
        <v>434</v>
      </c>
      <c r="B127" s="8" t="s">
        <v>474</v>
      </c>
      <c r="C127" s="8" t="s">
        <v>436</v>
      </c>
      <c r="D127" s="8">
        <v>579</v>
      </c>
      <c r="E127" s="8" t="s">
        <v>437</v>
      </c>
    </row>
    <row r="128" spans="1:5" ht="11.25" customHeight="1" x14ac:dyDescent="0.25">
      <c r="A128" s="8" t="s">
        <v>434</v>
      </c>
      <c r="B128" s="8" t="s">
        <v>474</v>
      </c>
      <c r="C128" s="8" t="s">
        <v>436</v>
      </c>
      <c r="D128" s="8">
        <v>580</v>
      </c>
      <c r="E128" s="8" t="s">
        <v>437</v>
      </c>
    </row>
    <row r="129" spans="1:5" ht="11.25" customHeight="1" x14ac:dyDescent="0.25">
      <c r="A129" s="8" t="s">
        <v>434</v>
      </c>
      <c r="C129" s="8" t="s">
        <v>732</v>
      </c>
      <c r="D129" s="8">
        <v>40</v>
      </c>
      <c r="E129" s="8" t="s">
        <v>9</v>
      </c>
    </row>
    <row r="130" spans="1:5" ht="11.25" customHeight="1" x14ac:dyDescent="0.25">
      <c r="A130" s="8" t="s">
        <v>434</v>
      </c>
      <c r="C130" s="8" t="s">
        <v>732</v>
      </c>
      <c r="D130" s="8">
        <v>40</v>
      </c>
      <c r="E130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260D-DF39-46F9-AA3D-43AB8284CFED}">
  <sheetPr codeName="Planilha3"/>
  <dimension ref="A1:AX108"/>
  <sheetViews>
    <sheetView showGridLines="0" workbookViewId="0"/>
  </sheetViews>
  <sheetFormatPr defaultRowHeight="11.25" x14ac:dyDescent="0.25"/>
  <cols>
    <col min="1" max="1" width="4.7109375" style="47" bestFit="1" customWidth="1"/>
    <col min="2" max="2" width="8.85546875" style="47" bestFit="1" customWidth="1"/>
    <col min="3" max="3" width="8.7109375" style="47" bestFit="1" customWidth="1"/>
    <col min="4" max="4" width="27.140625" style="47" bestFit="1" customWidth="1"/>
    <col min="5" max="5" width="13.5703125" style="47" bestFit="1" customWidth="1"/>
    <col min="6" max="6" width="25.140625" style="47" bestFit="1" customWidth="1"/>
    <col min="7" max="7" width="10.28515625" style="47" bestFit="1" customWidth="1"/>
    <col min="8" max="8" width="17.42578125" style="47" bestFit="1" customWidth="1"/>
    <col min="9" max="9" width="10.28515625" style="47" bestFit="1" customWidth="1"/>
    <col min="10" max="10" width="6.85546875" style="47" bestFit="1" customWidth="1"/>
    <col min="11" max="11" width="4.5703125" style="47" bestFit="1" customWidth="1"/>
    <col min="12" max="12" width="4.42578125" style="47" bestFit="1" customWidth="1"/>
    <col min="13" max="13" width="6.7109375" style="47" bestFit="1" customWidth="1"/>
    <col min="14" max="14" width="6.28515625" style="47" bestFit="1" customWidth="1"/>
    <col min="15" max="15" width="11.140625" style="47" bestFit="1" customWidth="1"/>
    <col min="16" max="16" width="10.42578125" style="47" bestFit="1" customWidth="1"/>
    <col min="17" max="16384" width="9.140625" style="47"/>
  </cols>
  <sheetData>
    <row r="1" spans="1:50" ht="11.25" customHeight="1" x14ac:dyDescent="0.25">
      <c r="A1" s="48" t="s">
        <v>788</v>
      </c>
      <c r="B1" s="48" t="s">
        <v>779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780</v>
      </c>
      <c r="K1" s="48" t="s">
        <v>781</v>
      </c>
      <c r="L1" s="48" t="s">
        <v>782</v>
      </c>
      <c r="M1" s="48" t="s">
        <v>783</v>
      </c>
      <c r="N1" s="48" t="s">
        <v>784</v>
      </c>
      <c r="O1" s="48" t="s">
        <v>664</v>
      </c>
      <c r="P1" s="48" t="s">
        <v>650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9">
        <v>1</v>
      </c>
      <c r="B2" s="49" t="s">
        <v>644</v>
      </c>
      <c r="C2" s="49" t="s">
        <v>57</v>
      </c>
      <c r="D2" s="49" t="s">
        <v>58</v>
      </c>
      <c r="E2" s="49" t="s">
        <v>25</v>
      </c>
      <c r="F2" s="49" t="s">
        <v>25</v>
      </c>
      <c r="G2" s="49" t="s">
        <v>25</v>
      </c>
      <c r="H2" s="49" t="s">
        <v>59</v>
      </c>
      <c r="I2" s="49" t="s">
        <v>25</v>
      </c>
      <c r="J2" s="49" t="s">
        <v>785</v>
      </c>
      <c r="K2" s="49" t="s">
        <v>786</v>
      </c>
      <c r="L2" s="49" t="s">
        <v>76</v>
      </c>
      <c r="M2" s="49">
        <v>2021</v>
      </c>
      <c r="N2" s="49">
        <v>1</v>
      </c>
      <c r="O2" s="49">
        <v>6.92</v>
      </c>
      <c r="P2" s="49">
        <v>0</v>
      </c>
    </row>
    <row r="3" spans="1:50" ht="11.25" customHeight="1" x14ac:dyDescent="0.25">
      <c r="A3" s="49">
        <v>2</v>
      </c>
      <c r="B3" s="49" t="s">
        <v>644</v>
      </c>
      <c r="C3" s="49" t="s">
        <v>41</v>
      </c>
      <c r="D3" s="49" t="s">
        <v>43</v>
      </c>
      <c r="E3" s="49" t="s">
        <v>25</v>
      </c>
      <c r="F3" s="49" t="s">
        <v>25</v>
      </c>
      <c r="G3" s="49" t="s">
        <v>25</v>
      </c>
      <c r="H3" s="49" t="s">
        <v>25</v>
      </c>
      <c r="I3" s="49" t="s">
        <v>25</v>
      </c>
      <c r="J3" s="49" t="s">
        <v>785</v>
      </c>
      <c r="K3" s="49" t="s">
        <v>786</v>
      </c>
      <c r="L3" s="49" t="s">
        <v>76</v>
      </c>
      <c r="M3" s="49">
        <v>2021</v>
      </c>
      <c r="N3" s="49">
        <v>1</v>
      </c>
      <c r="O3" s="49">
        <v>21.38</v>
      </c>
      <c r="P3" s="49">
        <v>0</v>
      </c>
    </row>
    <row r="4" spans="1:50" ht="11.25" customHeight="1" x14ac:dyDescent="0.25">
      <c r="A4" s="49">
        <v>3</v>
      </c>
      <c r="B4" s="49" t="s">
        <v>672</v>
      </c>
      <c r="C4" s="49" t="s">
        <v>37</v>
      </c>
      <c r="D4" s="49" t="s">
        <v>86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25</v>
      </c>
      <c r="J4" s="49" t="s">
        <v>787</v>
      </c>
      <c r="K4" s="49" t="s">
        <v>786</v>
      </c>
      <c r="L4" s="49" t="s">
        <v>79</v>
      </c>
      <c r="M4" s="49">
        <v>2021</v>
      </c>
      <c r="N4" s="49">
        <v>1</v>
      </c>
      <c r="O4" s="49">
        <v>107.79</v>
      </c>
      <c r="P4" s="49"/>
    </row>
    <row r="5" spans="1:50" ht="11.25" customHeight="1" x14ac:dyDescent="0.25">
      <c r="A5" s="49">
        <v>4</v>
      </c>
      <c r="B5" s="49" t="s">
        <v>644</v>
      </c>
      <c r="C5" s="49" t="s">
        <v>57</v>
      </c>
      <c r="D5" s="49" t="s">
        <v>58</v>
      </c>
      <c r="E5" s="49" t="s">
        <v>25</v>
      </c>
      <c r="F5" s="49" t="s">
        <v>25</v>
      </c>
      <c r="G5" s="49" t="s">
        <v>25</v>
      </c>
      <c r="H5" s="49" t="s">
        <v>77</v>
      </c>
      <c r="I5" s="49" t="s">
        <v>25</v>
      </c>
      <c r="J5" s="49" t="s">
        <v>785</v>
      </c>
      <c r="K5" s="49" t="s">
        <v>786</v>
      </c>
      <c r="L5" s="49" t="s">
        <v>76</v>
      </c>
      <c r="M5" s="49">
        <v>2021</v>
      </c>
      <c r="N5" s="49">
        <v>1</v>
      </c>
      <c r="O5" s="49">
        <v>1.33</v>
      </c>
      <c r="P5" s="49">
        <v>0</v>
      </c>
    </row>
    <row r="6" spans="1:50" ht="11.25" customHeight="1" x14ac:dyDescent="0.25">
      <c r="A6" s="49">
        <v>5</v>
      </c>
      <c r="B6" s="49" t="s">
        <v>644</v>
      </c>
      <c r="C6" s="49" t="s">
        <v>41</v>
      </c>
      <c r="D6" s="49" t="s">
        <v>43</v>
      </c>
      <c r="E6" s="49" t="s">
        <v>25</v>
      </c>
      <c r="F6" s="49" t="s">
        <v>25</v>
      </c>
      <c r="G6" s="49" t="s">
        <v>25</v>
      </c>
      <c r="H6" s="49" t="s">
        <v>25</v>
      </c>
      <c r="I6" s="49" t="s">
        <v>34</v>
      </c>
      <c r="J6" s="49" t="s">
        <v>787</v>
      </c>
      <c r="K6" s="49" t="s">
        <v>786</v>
      </c>
      <c r="L6" s="49" t="s">
        <v>79</v>
      </c>
      <c r="M6" s="49">
        <v>2021</v>
      </c>
      <c r="N6" s="49">
        <v>1</v>
      </c>
      <c r="O6" s="49">
        <v>1454.96</v>
      </c>
      <c r="P6" s="49">
        <v>19.880876967424399</v>
      </c>
    </row>
    <row r="7" spans="1:50" ht="11.25" customHeight="1" x14ac:dyDescent="0.25">
      <c r="A7" s="49">
        <v>6</v>
      </c>
      <c r="B7" s="49" t="s">
        <v>672</v>
      </c>
      <c r="C7" s="49" t="s">
        <v>37</v>
      </c>
      <c r="D7" s="49" t="s">
        <v>91</v>
      </c>
      <c r="E7" s="49" t="s">
        <v>25</v>
      </c>
      <c r="F7" s="49" t="s">
        <v>25</v>
      </c>
      <c r="G7" s="49" t="s">
        <v>25</v>
      </c>
      <c r="H7" s="49" t="s">
        <v>25</v>
      </c>
      <c r="I7" s="49" t="s">
        <v>25</v>
      </c>
      <c r="J7" s="49" t="s">
        <v>787</v>
      </c>
      <c r="K7" s="49" t="s">
        <v>786</v>
      </c>
      <c r="L7" s="49" t="s">
        <v>79</v>
      </c>
      <c r="M7" s="49">
        <v>2021</v>
      </c>
      <c r="N7" s="49">
        <v>1</v>
      </c>
      <c r="O7" s="49">
        <v>107.79</v>
      </c>
      <c r="P7" s="49"/>
    </row>
    <row r="8" spans="1:50" ht="11.25" customHeight="1" x14ac:dyDescent="0.25">
      <c r="A8" s="49">
        <v>7</v>
      </c>
      <c r="B8" s="49" t="s">
        <v>644</v>
      </c>
      <c r="C8" s="49" t="s">
        <v>41</v>
      </c>
      <c r="D8" s="49" t="s">
        <v>43</v>
      </c>
      <c r="E8" s="49" t="s">
        <v>25</v>
      </c>
      <c r="F8" s="49" t="s">
        <v>25</v>
      </c>
      <c r="G8" s="49" t="s">
        <v>25</v>
      </c>
      <c r="H8" s="49" t="s">
        <v>25</v>
      </c>
      <c r="I8" s="49" t="s">
        <v>35</v>
      </c>
      <c r="J8" s="49" t="s">
        <v>787</v>
      </c>
      <c r="K8" s="49" t="s">
        <v>786</v>
      </c>
      <c r="L8" s="49" t="s">
        <v>79</v>
      </c>
      <c r="M8" s="49">
        <v>2021</v>
      </c>
      <c r="N8" s="49">
        <v>1</v>
      </c>
      <c r="O8" s="49">
        <v>102.62</v>
      </c>
      <c r="P8" s="49">
        <v>19.880876967424399</v>
      </c>
    </row>
    <row r="9" spans="1:50" ht="11.25" customHeight="1" x14ac:dyDescent="0.25">
      <c r="A9" s="49">
        <v>8</v>
      </c>
      <c r="B9" s="49" t="s">
        <v>672</v>
      </c>
      <c r="C9" s="49" t="s">
        <v>48</v>
      </c>
      <c r="D9" s="49" t="s">
        <v>86</v>
      </c>
      <c r="E9" s="49" t="s">
        <v>49</v>
      </c>
      <c r="F9" s="49" t="s">
        <v>50</v>
      </c>
      <c r="G9" s="49" t="s">
        <v>25</v>
      </c>
      <c r="H9" s="49" t="s">
        <v>25</v>
      </c>
      <c r="I9" s="49" t="s">
        <v>25</v>
      </c>
      <c r="J9" s="49" t="s">
        <v>787</v>
      </c>
      <c r="K9" s="49" t="s">
        <v>786</v>
      </c>
      <c r="L9" s="49" t="s">
        <v>79</v>
      </c>
      <c r="M9" s="49">
        <v>2021</v>
      </c>
      <c r="N9" s="49">
        <v>1</v>
      </c>
      <c r="O9" s="49">
        <v>59.28</v>
      </c>
      <c r="P9" s="49"/>
    </row>
    <row r="10" spans="1:50" ht="11.25" customHeight="1" x14ac:dyDescent="0.25">
      <c r="A10" s="49">
        <v>9</v>
      </c>
      <c r="B10" s="49" t="s">
        <v>644</v>
      </c>
      <c r="C10" s="49" t="s">
        <v>39</v>
      </c>
      <c r="D10" s="49" t="s">
        <v>40</v>
      </c>
      <c r="E10" s="49" t="s">
        <v>25</v>
      </c>
      <c r="F10" s="49" t="s">
        <v>25</v>
      </c>
      <c r="G10" s="49" t="s">
        <v>25</v>
      </c>
      <c r="H10" s="49" t="s">
        <v>25</v>
      </c>
      <c r="I10" s="49" t="s">
        <v>34</v>
      </c>
      <c r="J10" s="49" t="s">
        <v>785</v>
      </c>
      <c r="K10" s="49" t="s">
        <v>786</v>
      </c>
      <c r="L10" s="49" t="s">
        <v>76</v>
      </c>
      <c r="M10" s="49">
        <v>2021</v>
      </c>
      <c r="N10" s="49">
        <v>1</v>
      </c>
      <c r="O10" s="49">
        <v>47.32</v>
      </c>
      <c r="P10" s="49">
        <v>0</v>
      </c>
    </row>
    <row r="11" spans="1:50" ht="11.25" customHeight="1" x14ac:dyDescent="0.25">
      <c r="A11" s="49">
        <v>10</v>
      </c>
      <c r="B11" s="49" t="s">
        <v>644</v>
      </c>
      <c r="C11" s="49" t="s">
        <v>39</v>
      </c>
      <c r="D11" s="49" t="s">
        <v>40</v>
      </c>
      <c r="E11" s="49" t="s">
        <v>25</v>
      </c>
      <c r="F11" s="49" t="s">
        <v>25</v>
      </c>
      <c r="G11" s="49" t="s">
        <v>25</v>
      </c>
      <c r="H11" s="49" t="s">
        <v>25</v>
      </c>
      <c r="I11" s="49" t="s">
        <v>35</v>
      </c>
      <c r="J11" s="49" t="s">
        <v>785</v>
      </c>
      <c r="K11" s="49" t="s">
        <v>786</v>
      </c>
      <c r="L11" s="49" t="s">
        <v>76</v>
      </c>
      <c r="M11" s="49">
        <v>2021</v>
      </c>
      <c r="N11" s="49">
        <v>1</v>
      </c>
      <c r="O11" s="49">
        <v>13.73</v>
      </c>
      <c r="P11" s="49">
        <v>0</v>
      </c>
    </row>
    <row r="12" spans="1:50" ht="11.25" customHeight="1" x14ac:dyDescent="0.25">
      <c r="A12" s="49">
        <v>11</v>
      </c>
      <c r="B12" s="49" t="s">
        <v>644</v>
      </c>
      <c r="C12" s="49" t="s">
        <v>41</v>
      </c>
      <c r="D12" s="49" t="s">
        <v>43</v>
      </c>
      <c r="E12" s="49" t="s">
        <v>25</v>
      </c>
      <c r="F12" s="49" t="s">
        <v>25</v>
      </c>
      <c r="G12" s="49" t="s">
        <v>85</v>
      </c>
      <c r="H12" s="49" t="s">
        <v>25</v>
      </c>
      <c r="I12" s="49" t="s">
        <v>34</v>
      </c>
      <c r="J12" s="49" t="s">
        <v>787</v>
      </c>
      <c r="K12" s="49" t="s">
        <v>786</v>
      </c>
      <c r="L12" s="49" t="s">
        <v>79</v>
      </c>
      <c r="M12" s="49">
        <v>2021</v>
      </c>
      <c r="N12" s="49">
        <v>1</v>
      </c>
      <c r="O12" s="49">
        <v>1405.95</v>
      </c>
      <c r="P12" s="49">
        <v>0</v>
      </c>
    </row>
    <row r="13" spans="1:50" ht="11.25" customHeight="1" x14ac:dyDescent="0.25">
      <c r="A13" s="49">
        <v>12</v>
      </c>
      <c r="B13" s="49" t="s">
        <v>644</v>
      </c>
      <c r="C13" s="49" t="s">
        <v>41</v>
      </c>
      <c r="D13" s="49" t="s">
        <v>43</v>
      </c>
      <c r="E13" s="49" t="s">
        <v>25</v>
      </c>
      <c r="F13" s="49" t="s">
        <v>25</v>
      </c>
      <c r="G13" s="49" t="s">
        <v>85</v>
      </c>
      <c r="H13" s="49" t="s">
        <v>25</v>
      </c>
      <c r="I13" s="49" t="s">
        <v>35</v>
      </c>
      <c r="J13" s="49" t="s">
        <v>787</v>
      </c>
      <c r="K13" s="49" t="s">
        <v>786</v>
      </c>
      <c r="L13" s="49" t="s">
        <v>79</v>
      </c>
      <c r="M13" s="49">
        <v>2021</v>
      </c>
      <c r="N13" s="49">
        <v>1</v>
      </c>
      <c r="O13" s="49">
        <v>53.62</v>
      </c>
      <c r="P13" s="49">
        <v>0</v>
      </c>
    </row>
    <row r="14" spans="1:50" ht="11.25" customHeight="1" x14ac:dyDescent="0.25">
      <c r="A14" s="49">
        <v>13</v>
      </c>
      <c r="B14" s="49" t="s">
        <v>644</v>
      </c>
      <c r="C14" s="49" t="s">
        <v>39</v>
      </c>
      <c r="D14" s="49" t="s">
        <v>40</v>
      </c>
      <c r="E14" s="49" t="s">
        <v>25</v>
      </c>
      <c r="F14" s="49" t="s">
        <v>25</v>
      </c>
      <c r="G14" s="49" t="s">
        <v>25</v>
      </c>
      <c r="H14" s="49" t="s">
        <v>25</v>
      </c>
      <c r="I14" s="49" t="s">
        <v>25</v>
      </c>
      <c r="J14" s="49" t="s">
        <v>787</v>
      </c>
      <c r="K14" s="49" t="s">
        <v>786</v>
      </c>
      <c r="L14" s="49" t="s">
        <v>79</v>
      </c>
      <c r="M14" s="49">
        <v>2021</v>
      </c>
      <c r="N14" s="49">
        <v>1</v>
      </c>
      <c r="O14" s="49">
        <v>78.44</v>
      </c>
      <c r="P14" s="49">
        <v>15.3105604231889</v>
      </c>
    </row>
    <row r="15" spans="1:50" ht="11.25" customHeight="1" x14ac:dyDescent="0.25">
      <c r="A15" s="49">
        <v>14</v>
      </c>
      <c r="B15" s="49" t="s">
        <v>644</v>
      </c>
      <c r="C15" s="49" t="s">
        <v>39</v>
      </c>
      <c r="D15" s="49" t="s">
        <v>40</v>
      </c>
      <c r="E15" s="49" t="s">
        <v>25</v>
      </c>
      <c r="F15" s="49" t="s">
        <v>25</v>
      </c>
      <c r="G15" s="49" t="s">
        <v>85</v>
      </c>
      <c r="H15" s="49" t="s">
        <v>25</v>
      </c>
      <c r="I15" s="49" t="s">
        <v>25</v>
      </c>
      <c r="J15" s="49" t="s">
        <v>787</v>
      </c>
      <c r="K15" s="49" t="s">
        <v>786</v>
      </c>
      <c r="L15" s="49" t="s">
        <v>79</v>
      </c>
      <c r="M15" s="49">
        <v>2021</v>
      </c>
      <c r="N15" s="49">
        <v>1</v>
      </c>
      <c r="O15" s="49">
        <v>38.409999999999997</v>
      </c>
      <c r="P15" s="49">
        <v>0</v>
      </c>
    </row>
    <row r="16" spans="1:50" ht="11.25" customHeight="1" x14ac:dyDescent="0.25">
      <c r="A16" s="49">
        <v>15</v>
      </c>
      <c r="B16" s="49" t="s">
        <v>644</v>
      </c>
      <c r="C16" s="49" t="s">
        <v>87</v>
      </c>
      <c r="D16" s="49" t="s">
        <v>58</v>
      </c>
      <c r="E16" s="49" t="s">
        <v>25</v>
      </c>
      <c r="F16" s="49" t="s">
        <v>25</v>
      </c>
      <c r="G16" s="49" t="s">
        <v>88</v>
      </c>
      <c r="H16" s="49" t="s">
        <v>25</v>
      </c>
      <c r="I16" s="49" t="s">
        <v>25</v>
      </c>
      <c r="J16" s="49" t="s">
        <v>785</v>
      </c>
      <c r="K16" s="49" t="s">
        <v>786</v>
      </c>
      <c r="L16" s="49" t="s">
        <v>76</v>
      </c>
      <c r="M16" s="49">
        <v>2021</v>
      </c>
      <c r="N16" s="49">
        <v>1</v>
      </c>
      <c r="O16" s="49">
        <v>11.09</v>
      </c>
      <c r="P16" s="49">
        <v>0</v>
      </c>
    </row>
    <row r="17" spans="1:16" ht="11.25" customHeight="1" x14ac:dyDescent="0.25">
      <c r="A17" s="49">
        <v>16</v>
      </c>
      <c r="B17" s="49" t="s">
        <v>672</v>
      </c>
      <c r="C17" s="49" t="s">
        <v>48</v>
      </c>
      <c r="D17" s="49" t="s">
        <v>86</v>
      </c>
      <c r="E17" s="49" t="s">
        <v>49</v>
      </c>
      <c r="F17" s="49" t="s">
        <v>95</v>
      </c>
      <c r="G17" s="49" t="s">
        <v>25</v>
      </c>
      <c r="H17" s="49" t="s">
        <v>25</v>
      </c>
      <c r="I17" s="49" t="s">
        <v>25</v>
      </c>
      <c r="J17" s="49" t="s">
        <v>787</v>
      </c>
      <c r="K17" s="49" t="s">
        <v>786</v>
      </c>
      <c r="L17" s="49" t="s">
        <v>79</v>
      </c>
      <c r="M17" s="49">
        <v>2021</v>
      </c>
      <c r="N17" s="49">
        <v>1</v>
      </c>
      <c r="O17" s="49">
        <v>64.67</v>
      </c>
      <c r="P17" s="49"/>
    </row>
    <row r="18" spans="1:16" ht="11.25" customHeight="1" x14ac:dyDescent="0.25">
      <c r="A18" s="49">
        <v>17</v>
      </c>
      <c r="B18" s="49" t="s">
        <v>644</v>
      </c>
      <c r="C18" s="49" t="s">
        <v>87</v>
      </c>
      <c r="D18" s="49" t="s">
        <v>58</v>
      </c>
      <c r="E18" s="49" t="s">
        <v>25</v>
      </c>
      <c r="F18" s="49" t="s">
        <v>25</v>
      </c>
      <c r="G18" s="49" t="s">
        <v>89</v>
      </c>
      <c r="H18" s="49" t="s">
        <v>25</v>
      </c>
      <c r="I18" s="49" t="s">
        <v>25</v>
      </c>
      <c r="J18" s="49" t="s">
        <v>785</v>
      </c>
      <c r="K18" s="49" t="s">
        <v>786</v>
      </c>
      <c r="L18" s="49" t="s">
        <v>76</v>
      </c>
      <c r="M18" s="49">
        <v>2021</v>
      </c>
      <c r="N18" s="49">
        <v>1</v>
      </c>
      <c r="O18" s="49">
        <v>25.15</v>
      </c>
      <c r="P18" s="49">
        <v>0</v>
      </c>
    </row>
    <row r="19" spans="1:16" ht="11.25" customHeight="1" x14ac:dyDescent="0.25">
      <c r="A19" s="49">
        <v>18</v>
      </c>
      <c r="B19" s="49" t="s">
        <v>644</v>
      </c>
      <c r="C19" s="49" t="s">
        <v>42</v>
      </c>
      <c r="D19" s="49" t="s">
        <v>40</v>
      </c>
      <c r="E19" s="49" t="s">
        <v>25</v>
      </c>
      <c r="F19" s="49" t="s">
        <v>25</v>
      </c>
      <c r="G19" s="49" t="s">
        <v>25</v>
      </c>
      <c r="H19" s="49" t="s">
        <v>25</v>
      </c>
      <c r="I19" s="49" t="s">
        <v>34</v>
      </c>
      <c r="J19" s="49" t="s">
        <v>785</v>
      </c>
      <c r="K19" s="49" t="s">
        <v>786</v>
      </c>
      <c r="L19" s="49" t="s">
        <v>76</v>
      </c>
      <c r="M19" s="49">
        <v>2021</v>
      </c>
      <c r="N19" s="49">
        <v>1</v>
      </c>
      <c r="O19" s="49">
        <v>55.8</v>
      </c>
      <c r="P19" s="49">
        <v>0</v>
      </c>
    </row>
    <row r="20" spans="1:16" ht="11.25" customHeight="1" x14ac:dyDescent="0.25">
      <c r="A20" s="49">
        <v>19</v>
      </c>
      <c r="B20" s="49" t="s">
        <v>644</v>
      </c>
      <c r="C20" s="49" t="s">
        <v>42</v>
      </c>
      <c r="D20" s="49" t="s">
        <v>40</v>
      </c>
      <c r="E20" s="49" t="s">
        <v>25</v>
      </c>
      <c r="F20" s="49" t="s">
        <v>25</v>
      </c>
      <c r="G20" s="49" t="s">
        <v>25</v>
      </c>
      <c r="H20" s="49" t="s">
        <v>25</v>
      </c>
      <c r="I20" s="49" t="s">
        <v>35</v>
      </c>
      <c r="J20" s="49" t="s">
        <v>785</v>
      </c>
      <c r="K20" s="49" t="s">
        <v>786</v>
      </c>
      <c r="L20" s="49" t="s">
        <v>76</v>
      </c>
      <c r="M20" s="49">
        <v>2021</v>
      </c>
      <c r="N20" s="49">
        <v>1</v>
      </c>
      <c r="O20" s="49">
        <v>21.38</v>
      </c>
      <c r="P20" s="49">
        <v>0</v>
      </c>
    </row>
    <row r="21" spans="1:16" ht="11.25" customHeight="1" x14ac:dyDescent="0.25">
      <c r="A21" s="49">
        <v>20</v>
      </c>
      <c r="B21" s="49" t="s">
        <v>644</v>
      </c>
      <c r="C21" s="49" t="s">
        <v>22</v>
      </c>
      <c r="D21" s="49" t="s">
        <v>33</v>
      </c>
      <c r="E21" s="49" t="s">
        <v>24</v>
      </c>
      <c r="F21" s="49" t="s">
        <v>24</v>
      </c>
      <c r="G21" s="49" t="s">
        <v>25</v>
      </c>
      <c r="H21" s="49" t="s">
        <v>25</v>
      </c>
      <c r="I21" s="49" t="s">
        <v>34</v>
      </c>
      <c r="J21" s="49" t="s">
        <v>787</v>
      </c>
      <c r="K21" s="49" t="s">
        <v>786</v>
      </c>
      <c r="L21" s="49" t="s">
        <v>79</v>
      </c>
      <c r="M21" s="49">
        <v>2021</v>
      </c>
      <c r="N21" s="49">
        <v>1</v>
      </c>
      <c r="O21" s="49">
        <v>1133.28</v>
      </c>
      <c r="P21" s="49">
        <v>22.8515827211775</v>
      </c>
    </row>
    <row r="22" spans="1:16" ht="11.25" customHeight="1" x14ac:dyDescent="0.25">
      <c r="A22" s="49">
        <v>21</v>
      </c>
      <c r="B22" s="49" t="s">
        <v>644</v>
      </c>
      <c r="C22" s="49" t="s">
        <v>22</v>
      </c>
      <c r="D22" s="49" t="s">
        <v>33</v>
      </c>
      <c r="E22" s="49" t="s">
        <v>24</v>
      </c>
      <c r="F22" s="49" t="s">
        <v>24</v>
      </c>
      <c r="G22" s="49" t="s">
        <v>25</v>
      </c>
      <c r="H22" s="49" t="s">
        <v>25</v>
      </c>
      <c r="I22" s="49" t="s">
        <v>36</v>
      </c>
      <c r="J22" s="49" t="s">
        <v>787</v>
      </c>
      <c r="K22" s="49" t="s">
        <v>786</v>
      </c>
      <c r="L22" s="49" t="s">
        <v>79</v>
      </c>
      <c r="M22" s="49">
        <v>2021</v>
      </c>
      <c r="N22" s="49">
        <v>1</v>
      </c>
      <c r="O22" s="49">
        <v>728.11</v>
      </c>
      <c r="P22" s="49">
        <v>22.8515827211775</v>
      </c>
    </row>
    <row r="23" spans="1:16" ht="11.25" customHeight="1" x14ac:dyDescent="0.25">
      <c r="A23" s="49">
        <v>22</v>
      </c>
      <c r="B23" s="49" t="s">
        <v>644</v>
      </c>
      <c r="C23" s="49" t="s">
        <v>42</v>
      </c>
      <c r="D23" s="49" t="s">
        <v>40</v>
      </c>
      <c r="E23" s="49" t="s">
        <v>25</v>
      </c>
      <c r="F23" s="49" t="s">
        <v>25</v>
      </c>
      <c r="G23" s="49" t="s">
        <v>25</v>
      </c>
      <c r="H23" s="49" t="s">
        <v>25</v>
      </c>
      <c r="I23" s="49" t="s">
        <v>25</v>
      </c>
      <c r="J23" s="49" t="s">
        <v>787</v>
      </c>
      <c r="K23" s="49" t="s">
        <v>786</v>
      </c>
      <c r="L23" s="49" t="s">
        <v>79</v>
      </c>
      <c r="M23" s="49">
        <v>2021</v>
      </c>
      <c r="N23" s="49">
        <v>1</v>
      </c>
      <c r="O23" s="49">
        <v>102.62</v>
      </c>
      <c r="P23" s="49">
        <v>19.880876967424399</v>
      </c>
    </row>
    <row r="24" spans="1:16" ht="11.25" customHeight="1" x14ac:dyDescent="0.25">
      <c r="A24" s="49">
        <v>23</v>
      </c>
      <c r="B24" s="49" t="s">
        <v>644</v>
      </c>
      <c r="C24" s="49" t="s">
        <v>42</v>
      </c>
      <c r="D24" s="49" t="s">
        <v>40</v>
      </c>
      <c r="E24" s="49" t="s">
        <v>25</v>
      </c>
      <c r="F24" s="49" t="s">
        <v>25</v>
      </c>
      <c r="G24" s="49" t="s">
        <v>85</v>
      </c>
      <c r="H24" s="49" t="s">
        <v>25</v>
      </c>
      <c r="I24" s="49" t="s">
        <v>25</v>
      </c>
      <c r="J24" s="49" t="s">
        <v>787</v>
      </c>
      <c r="K24" s="49" t="s">
        <v>786</v>
      </c>
      <c r="L24" s="49" t="s">
        <v>79</v>
      </c>
      <c r="M24" s="49">
        <v>2021</v>
      </c>
      <c r="N24" s="49">
        <v>1</v>
      </c>
      <c r="O24" s="49">
        <v>53.62</v>
      </c>
      <c r="P24" s="49">
        <v>0</v>
      </c>
    </row>
    <row r="25" spans="1:16" ht="11.25" customHeight="1" x14ac:dyDescent="0.25">
      <c r="A25" s="49">
        <v>24</v>
      </c>
      <c r="B25" s="49" t="s">
        <v>644</v>
      </c>
      <c r="C25" s="49" t="s">
        <v>22</v>
      </c>
      <c r="D25" s="49" t="s">
        <v>33</v>
      </c>
      <c r="E25" s="49" t="s">
        <v>24</v>
      </c>
      <c r="F25" s="49" t="s">
        <v>24</v>
      </c>
      <c r="G25" s="49" t="s">
        <v>25</v>
      </c>
      <c r="H25" s="49" t="s">
        <v>25</v>
      </c>
      <c r="I25" s="49" t="s">
        <v>35</v>
      </c>
      <c r="J25" s="49" t="s">
        <v>787</v>
      </c>
      <c r="K25" s="49" t="s">
        <v>786</v>
      </c>
      <c r="L25" s="49" t="s">
        <v>79</v>
      </c>
      <c r="M25" s="49">
        <v>2021</v>
      </c>
      <c r="N25" s="49">
        <v>1</v>
      </c>
      <c r="O25" s="49">
        <v>322.94</v>
      </c>
      <c r="P25" s="49">
        <v>22.8515827211775</v>
      </c>
    </row>
    <row r="26" spans="1:16" ht="11.25" customHeight="1" x14ac:dyDescent="0.25">
      <c r="A26" s="49">
        <v>25</v>
      </c>
      <c r="B26" s="49" t="s">
        <v>644</v>
      </c>
      <c r="C26" s="49" t="s">
        <v>22</v>
      </c>
      <c r="D26" s="49" t="s">
        <v>23</v>
      </c>
      <c r="E26" s="49" t="s">
        <v>24</v>
      </c>
      <c r="F26" s="49" t="s">
        <v>24</v>
      </c>
      <c r="G26" s="49" t="s">
        <v>25</v>
      </c>
      <c r="H26" s="49" t="s">
        <v>25</v>
      </c>
      <c r="I26" s="49" t="s">
        <v>25</v>
      </c>
      <c r="J26" s="49" t="s">
        <v>787</v>
      </c>
      <c r="K26" s="49" t="s">
        <v>786</v>
      </c>
      <c r="L26" s="49" t="s">
        <v>79</v>
      </c>
      <c r="M26" s="49">
        <v>2021</v>
      </c>
      <c r="N26" s="49">
        <v>1</v>
      </c>
      <c r="O26" s="49">
        <v>432.02</v>
      </c>
      <c r="P26" s="49">
        <v>22.8515827211775</v>
      </c>
    </row>
    <row r="27" spans="1:16" ht="11.25" customHeight="1" x14ac:dyDescent="0.25">
      <c r="A27" s="49">
        <v>26</v>
      </c>
      <c r="B27" s="49" t="s">
        <v>644</v>
      </c>
      <c r="C27" s="49" t="s">
        <v>42</v>
      </c>
      <c r="D27" s="49" t="s">
        <v>58</v>
      </c>
      <c r="E27" s="49" t="s">
        <v>25</v>
      </c>
      <c r="F27" s="49" t="s">
        <v>25</v>
      </c>
      <c r="G27" s="49" t="s">
        <v>25</v>
      </c>
      <c r="H27" s="49" t="s">
        <v>25</v>
      </c>
      <c r="I27" s="49" t="s">
        <v>25</v>
      </c>
      <c r="J27" s="49" t="s">
        <v>785</v>
      </c>
      <c r="K27" s="49" t="s">
        <v>786</v>
      </c>
      <c r="L27" s="49" t="s">
        <v>76</v>
      </c>
      <c r="M27" s="49">
        <v>2021</v>
      </c>
      <c r="N27" s="49">
        <v>1</v>
      </c>
      <c r="O27" s="49">
        <v>11.2</v>
      </c>
      <c r="P27" s="49">
        <v>0</v>
      </c>
    </row>
    <row r="28" spans="1:16" ht="11.25" customHeight="1" x14ac:dyDescent="0.25">
      <c r="A28" s="49">
        <v>27</v>
      </c>
      <c r="B28" s="49" t="s">
        <v>644</v>
      </c>
      <c r="C28" s="49" t="s">
        <v>42</v>
      </c>
      <c r="D28" s="49" t="s">
        <v>43</v>
      </c>
      <c r="E28" s="49" t="s">
        <v>25</v>
      </c>
      <c r="F28" s="49" t="s">
        <v>25</v>
      </c>
      <c r="G28" s="49" t="s">
        <v>25</v>
      </c>
      <c r="H28" s="49" t="s">
        <v>25</v>
      </c>
      <c r="I28" s="49" t="s">
        <v>25</v>
      </c>
      <c r="J28" s="49" t="s">
        <v>785</v>
      </c>
      <c r="K28" s="49" t="s">
        <v>786</v>
      </c>
      <c r="L28" s="49" t="s">
        <v>76</v>
      </c>
      <c r="M28" s="49">
        <v>2021</v>
      </c>
      <c r="N28" s="49">
        <v>1</v>
      </c>
      <c r="O28" s="49">
        <v>21.38</v>
      </c>
      <c r="P28" s="49">
        <v>0</v>
      </c>
    </row>
    <row r="29" spans="1:16" ht="11.25" customHeight="1" x14ac:dyDescent="0.25">
      <c r="A29" s="49">
        <v>28</v>
      </c>
      <c r="B29" s="49" t="s">
        <v>644</v>
      </c>
      <c r="C29" s="49" t="s">
        <v>22</v>
      </c>
      <c r="D29" s="49" t="s">
        <v>23</v>
      </c>
      <c r="E29" s="49" t="s">
        <v>24</v>
      </c>
      <c r="F29" s="49" t="s">
        <v>29</v>
      </c>
      <c r="G29" s="49" t="s">
        <v>25</v>
      </c>
      <c r="H29" s="49" t="s">
        <v>25</v>
      </c>
      <c r="I29" s="49" t="s">
        <v>25</v>
      </c>
      <c r="J29" s="49" t="s">
        <v>787</v>
      </c>
      <c r="K29" s="49" t="s">
        <v>786</v>
      </c>
      <c r="L29" s="49" t="s">
        <v>79</v>
      </c>
      <c r="M29" s="49">
        <v>2021</v>
      </c>
      <c r="N29" s="49">
        <v>1</v>
      </c>
      <c r="O29" s="49">
        <v>132.01</v>
      </c>
      <c r="P29" s="49">
        <v>0</v>
      </c>
    </row>
    <row r="30" spans="1:16" ht="11.25" customHeight="1" x14ac:dyDescent="0.25">
      <c r="A30" s="49">
        <v>29</v>
      </c>
      <c r="B30" s="49" t="s">
        <v>644</v>
      </c>
      <c r="C30" s="49" t="s">
        <v>22</v>
      </c>
      <c r="D30" s="49" t="s">
        <v>23</v>
      </c>
      <c r="E30" s="49" t="s">
        <v>24</v>
      </c>
      <c r="F30" s="49" t="s">
        <v>30</v>
      </c>
      <c r="G30" s="49" t="s">
        <v>25</v>
      </c>
      <c r="H30" s="49" t="s">
        <v>25</v>
      </c>
      <c r="I30" s="49" t="s">
        <v>25</v>
      </c>
      <c r="J30" s="49" t="s">
        <v>787</v>
      </c>
      <c r="K30" s="49" t="s">
        <v>786</v>
      </c>
      <c r="L30" s="49" t="s">
        <v>79</v>
      </c>
      <c r="M30" s="49">
        <v>2021</v>
      </c>
      <c r="N30" s="49">
        <v>1</v>
      </c>
      <c r="O30" s="49">
        <v>226.31</v>
      </c>
      <c r="P30" s="49">
        <v>0</v>
      </c>
    </row>
    <row r="31" spans="1:16" ht="11.25" customHeight="1" x14ac:dyDescent="0.25">
      <c r="A31" s="49">
        <v>30</v>
      </c>
      <c r="B31" s="49" t="s">
        <v>644</v>
      </c>
      <c r="C31" s="49" t="s">
        <v>42</v>
      </c>
      <c r="D31" s="49" t="s">
        <v>43</v>
      </c>
      <c r="E31" s="49" t="s">
        <v>25</v>
      </c>
      <c r="F31" s="49" t="s">
        <v>25</v>
      </c>
      <c r="G31" s="49" t="s">
        <v>25</v>
      </c>
      <c r="H31" s="49" t="s">
        <v>25</v>
      </c>
      <c r="I31" s="49" t="s">
        <v>34</v>
      </c>
      <c r="J31" s="49" t="s">
        <v>787</v>
      </c>
      <c r="K31" s="49" t="s">
        <v>786</v>
      </c>
      <c r="L31" s="49" t="s">
        <v>79</v>
      </c>
      <c r="M31" s="49">
        <v>2021</v>
      </c>
      <c r="N31" s="49">
        <v>1</v>
      </c>
      <c r="O31" s="49">
        <v>1454.96</v>
      </c>
      <c r="P31" s="49">
        <v>19.880876967424399</v>
      </c>
    </row>
    <row r="32" spans="1:16" ht="11.25" customHeight="1" x14ac:dyDescent="0.25">
      <c r="A32" s="49">
        <v>31</v>
      </c>
      <c r="B32" s="49" t="s">
        <v>644</v>
      </c>
      <c r="C32" s="49" t="s">
        <v>42</v>
      </c>
      <c r="D32" s="49" t="s">
        <v>43</v>
      </c>
      <c r="E32" s="49" t="s">
        <v>25</v>
      </c>
      <c r="F32" s="49" t="s">
        <v>25</v>
      </c>
      <c r="G32" s="49" t="s">
        <v>25</v>
      </c>
      <c r="H32" s="49" t="s">
        <v>25</v>
      </c>
      <c r="I32" s="49" t="s">
        <v>35</v>
      </c>
      <c r="J32" s="49" t="s">
        <v>787</v>
      </c>
      <c r="K32" s="49" t="s">
        <v>786</v>
      </c>
      <c r="L32" s="49" t="s">
        <v>79</v>
      </c>
      <c r="M32" s="49">
        <v>2021</v>
      </c>
      <c r="N32" s="49">
        <v>1</v>
      </c>
      <c r="O32" s="49">
        <v>102.62</v>
      </c>
      <c r="P32" s="49">
        <v>19.880876967424399</v>
      </c>
    </row>
    <row r="33" spans="1:16" ht="11.25" customHeight="1" x14ac:dyDescent="0.25">
      <c r="A33" s="49">
        <v>32</v>
      </c>
      <c r="B33" s="49" t="s">
        <v>644</v>
      </c>
      <c r="C33" s="49" t="s">
        <v>22</v>
      </c>
      <c r="D33" s="49" t="s">
        <v>23</v>
      </c>
      <c r="E33" s="49" t="s">
        <v>24</v>
      </c>
      <c r="F33" s="49" t="s">
        <v>31</v>
      </c>
      <c r="G33" s="49" t="s">
        <v>25</v>
      </c>
      <c r="H33" s="49" t="s">
        <v>25</v>
      </c>
      <c r="I33" s="49" t="s">
        <v>25</v>
      </c>
      <c r="J33" s="49" t="s">
        <v>787</v>
      </c>
      <c r="K33" s="49" t="s">
        <v>786</v>
      </c>
      <c r="L33" s="49" t="s">
        <v>79</v>
      </c>
      <c r="M33" s="49">
        <v>2021</v>
      </c>
      <c r="N33" s="49">
        <v>1</v>
      </c>
      <c r="O33" s="49">
        <v>339.46</v>
      </c>
      <c r="P33" s="49">
        <v>0</v>
      </c>
    </row>
    <row r="34" spans="1:16" ht="11.25" customHeight="1" x14ac:dyDescent="0.25">
      <c r="A34" s="49">
        <v>33</v>
      </c>
      <c r="B34" s="49" t="s">
        <v>644</v>
      </c>
      <c r="C34" s="49" t="s">
        <v>22</v>
      </c>
      <c r="D34" s="49" t="s">
        <v>23</v>
      </c>
      <c r="E34" s="49" t="s">
        <v>24</v>
      </c>
      <c r="F34" s="49" t="s">
        <v>32</v>
      </c>
      <c r="G34" s="49" t="s">
        <v>25</v>
      </c>
      <c r="H34" s="49" t="s">
        <v>25</v>
      </c>
      <c r="I34" s="49" t="s">
        <v>25</v>
      </c>
      <c r="J34" s="49" t="s">
        <v>787</v>
      </c>
      <c r="K34" s="49" t="s">
        <v>786</v>
      </c>
      <c r="L34" s="49" t="s">
        <v>79</v>
      </c>
      <c r="M34" s="49">
        <v>2021</v>
      </c>
      <c r="N34" s="49">
        <v>1</v>
      </c>
      <c r="O34" s="49">
        <v>377.18</v>
      </c>
      <c r="P34" s="49">
        <v>0</v>
      </c>
    </row>
    <row r="35" spans="1:16" ht="11.25" customHeight="1" x14ac:dyDescent="0.25">
      <c r="A35" s="49">
        <v>34</v>
      </c>
      <c r="B35" s="49" t="s">
        <v>644</v>
      </c>
      <c r="C35" s="49" t="s">
        <v>42</v>
      </c>
      <c r="D35" s="49" t="s">
        <v>43</v>
      </c>
      <c r="E35" s="49" t="s">
        <v>25</v>
      </c>
      <c r="F35" s="49" t="s">
        <v>25</v>
      </c>
      <c r="G35" s="49" t="s">
        <v>85</v>
      </c>
      <c r="H35" s="49" t="s">
        <v>25</v>
      </c>
      <c r="I35" s="49" t="s">
        <v>34</v>
      </c>
      <c r="J35" s="49" t="s">
        <v>787</v>
      </c>
      <c r="K35" s="49" t="s">
        <v>786</v>
      </c>
      <c r="L35" s="49" t="s">
        <v>79</v>
      </c>
      <c r="M35" s="49">
        <v>2021</v>
      </c>
      <c r="N35" s="49">
        <v>1</v>
      </c>
      <c r="O35" s="49">
        <v>1405.95</v>
      </c>
      <c r="P35" s="49">
        <v>0</v>
      </c>
    </row>
    <row r="36" spans="1:16" ht="11.25" customHeight="1" x14ac:dyDescent="0.25">
      <c r="A36" s="49">
        <v>35</v>
      </c>
      <c r="B36" s="49" t="s">
        <v>644</v>
      </c>
      <c r="C36" s="49" t="s">
        <v>42</v>
      </c>
      <c r="D36" s="49" t="s">
        <v>43</v>
      </c>
      <c r="E36" s="49" t="s">
        <v>25</v>
      </c>
      <c r="F36" s="49" t="s">
        <v>25</v>
      </c>
      <c r="G36" s="49" t="s">
        <v>85</v>
      </c>
      <c r="H36" s="49" t="s">
        <v>25</v>
      </c>
      <c r="I36" s="49" t="s">
        <v>35</v>
      </c>
      <c r="J36" s="49" t="s">
        <v>787</v>
      </c>
      <c r="K36" s="49" t="s">
        <v>786</v>
      </c>
      <c r="L36" s="49" t="s">
        <v>79</v>
      </c>
      <c r="M36" s="49">
        <v>2021</v>
      </c>
      <c r="N36" s="49">
        <v>1</v>
      </c>
      <c r="O36" s="49">
        <v>53.62</v>
      </c>
      <c r="P36" s="49">
        <v>0</v>
      </c>
    </row>
    <row r="37" spans="1:16" ht="11.25" customHeight="1" x14ac:dyDescent="0.25">
      <c r="A37" s="49">
        <v>36</v>
      </c>
      <c r="B37" s="49" t="s">
        <v>644</v>
      </c>
      <c r="C37" s="49" t="s">
        <v>22</v>
      </c>
      <c r="D37" s="49" t="s">
        <v>92</v>
      </c>
      <c r="E37" s="49" t="s">
        <v>24</v>
      </c>
      <c r="F37" s="49" t="s">
        <v>24</v>
      </c>
      <c r="G37" s="49" t="s">
        <v>25</v>
      </c>
      <c r="H37" s="49" t="s">
        <v>25</v>
      </c>
      <c r="I37" s="49" t="s">
        <v>25</v>
      </c>
      <c r="J37" s="49" t="s">
        <v>787</v>
      </c>
      <c r="K37" s="49" t="s">
        <v>786</v>
      </c>
      <c r="L37" s="49" t="s">
        <v>79</v>
      </c>
      <c r="M37" s="49">
        <v>2021</v>
      </c>
      <c r="N37" s="49">
        <v>1</v>
      </c>
      <c r="O37" s="49">
        <v>432.02</v>
      </c>
      <c r="P37" s="49">
        <v>22.8515827211775</v>
      </c>
    </row>
    <row r="38" spans="1:16" ht="11.25" customHeight="1" x14ac:dyDescent="0.25">
      <c r="A38" s="49">
        <v>37</v>
      </c>
      <c r="B38" s="49" t="s">
        <v>644</v>
      </c>
      <c r="C38" s="49" t="s">
        <v>22</v>
      </c>
      <c r="D38" s="49" t="s">
        <v>92</v>
      </c>
      <c r="E38" s="49" t="s">
        <v>24</v>
      </c>
      <c r="F38" s="49" t="s">
        <v>29</v>
      </c>
      <c r="G38" s="49" t="s">
        <v>25</v>
      </c>
      <c r="H38" s="49" t="s">
        <v>25</v>
      </c>
      <c r="I38" s="49" t="s">
        <v>25</v>
      </c>
      <c r="J38" s="49" t="s">
        <v>787</v>
      </c>
      <c r="K38" s="49" t="s">
        <v>786</v>
      </c>
      <c r="L38" s="49" t="s">
        <v>79</v>
      </c>
      <c r="M38" s="49">
        <v>2021</v>
      </c>
      <c r="N38" s="49">
        <v>1</v>
      </c>
      <c r="O38" s="49">
        <v>132.01</v>
      </c>
      <c r="P38" s="49">
        <v>0</v>
      </c>
    </row>
    <row r="39" spans="1:16" ht="11.25" customHeight="1" x14ac:dyDescent="0.25">
      <c r="A39" s="49">
        <v>38</v>
      </c>
      <c r="B39" s="49" t="s">
        <v>644</v>
      </c>
      <c r="C39" s="49" t="s">
        <v>42</v>
      </c>
      <c r="D39" s="49" t="s">
        <v>23</v>
      </c>
      <c r="E39" s="49" t="s">
        <v>25</v>
      </c>
      <c r="F39" s="49" t="s">
        <v>25</v>
      </c>
      <c r="G39" s="49" t="s">
        <v>25</v>
      </c>
      <c r="H39" s="49" t="s">
        <v>25</v>
      </c>
      <c r="I39" s="49" t="s">
        <v>25</v>
      </c>
      <c r="J39" s="49" t="s">
        <v>785</v>
      </c>
      <c r="K39" s="49" t="s">
        <v>786</v>
      </c>
      <c r="L39" s="49" t="s">
        <v>76</v>
      </c>
      <c r="M39" s="49">
        <v>2021</v>
      </c>
      <c r="N39" s="49">
        <v>1</v>
      </c>
      <c r="O39" s="49">
        <v>61.56</v>
      </c>
      <c r="P39" s="49">
        <v>0</v>
      </c>
    </row>
    <row r="40" spans="1:16" ht="11.25" customHeight="1" x14ac:dyDescent="0.25">
      <c r="A40" s="49">
        <v>39</v>
      </c>
      <c r="B40" s="49" t="s">
        <v>644</v>
      </c>
      <c r="C40" s="49" t="s">
        <v>42</v>
      </c>
      <c r="D40" s="49" t="s">
        <v>23</v>
      </c>
      <c r="E40" s="49" t="s">
        <v>25</v>
      </c>
      <c r="F40" s="49" t="s">
        <v>25</v>
      </c>
      <c r="G40" s="49" t="s">
        <v>25</v>
      </c>
      <c r="H40" s="49" t="s">
        <v>25</v>
      </c>
      <c r="I40" s="49" t="s">
        <v>25</v>
      </c>
      <c r="J40" s="49" t="s">
        <v>787</v>
      </c>
      <c r="K40" s="49" t="s">
        <v>786</v>
      </c>
      <c r="L40" s="49" t="s">
        <v>79</v>
      </c>
      <c r="M40" s="49">
        <v>2021</v>
      </c>
      <c r="N40" s="49">
        <v>1</v>
      </c>
      <c r="O40" s="49">
        <v>102.62</v>
      </c>
      <c r="P40" s="49">
        <v>19.880876967424399</v>
      </c>
    </row>
    <row r="41" spans="1:16" ht="11.25" customHeight="1" x14ac:dyDescent="0.25">
      <c r="A41" s="49">
        <v>40</v>
      </c>
      <c r="B41" s="49" t="s">
        <v>644</v>
      </c>
      <c r="C41" s="49" t="s">
        <v>22</v>
      </c>
      <c r="D41" s="49" t="s">
        <v>92</v>
      </c>
      <c r="E41" s="49" t="s">
        <v>24</v>
      </c>
      <c r="F41" s="49" t="s">
        <v>30</v>
      </c>
      <c r="G41" s="49" t="s">
        <v>25</v>
      </c>
      <c r="H41" s="49" t="s">
        <v>25</v>
      </c>
      <c r="I41" s="49" t="s">
        <v>25</v>
      </c>
      <c r="J41" s="49" t="s">
        <v>787</v>
      </c>
      <c r="K41" s="49" t="s">
        <v>786</v>
      </c>
      <c r="L41" s="49" t="s">
        <v>79</v>
      </c>
      <c r="M41" s="49">
        <v>2021</v>
      </c>
      <c r="N41" s="49">
        <v>1</v>
      </c>
      <c r="O41" s="49">
        <v>226.31</v>
      </c>
      <c r="P41" s="49">
        <v>0</v>
      </c>
    </row>
    <row r="42" spans="1:16" ht="11.25" customHeight="1" x14ac:dyDescent="0.25">
      <c r="A42" s="49">
        <v>41</v>
      </c>
      <c r="B42" s="49" t="s">
        <v>644</v>
      </c>
      <c r="C42" s="49" t="s">
        <v>22</v>
      </c>
      <c r="D42" s="49" t="s">
        <v>92</v>
      </c>
      <c r="E42" s="49" t="s">
        <v>24</v>
      </c>
      <c r="F42" s="49" t="s">
        <v>31</v>
      </c>
      <c r="G42" s="49" t="s">
        <v>25</v>
      </c>
      <c r="H42" s="49" t="s">
        <v>25</v>
      </c>
      <c r="I42" s="49" t="s">
        <v>25</v>
      </c>
      <c r="J42" s="49" t="s">
        <v>787</v>
      </c>
      <c r="K42" s="49" t="s">
        <v>786</v>
      </c>
      <c r="L42" s="49" t="s">
        <v>79</v>
      </c>
      <c r="M42" s="49">
        <v>2021</v>
      </c>
      <c r="N42" s="49">
        <v>1</v>
      </c>
      <c r="O42" s="49">
        <v>339.46</v>
      </c>
      <c r="P42" s="49">
        <v>0</v>
      </c>
    </row>
    <row r="43" spans="1:16" ht="11.25" customHeight="1" x14ac:dyDescent="0.25">
      <c r="A43" s="49">
        <v>42</v>
      </c>
      <c r="B43" s="49" t="s">
        <v>644</v>
      </c>
      <c r="C43" s="49" t="s">
        <v>41</v>
      </c>
      <c r="D43" s="49" t="s">
        <v>40</v>
      </c>
      <c r="E43" s="49" t="s">
        <v>25</v>
      </c>
      <c r="F43" s="49" t="s">
        <v>25</v>
      </c>
      <c r="G43" s="49" t="s">
        <v>25</v>
      </c>
      <c r="H43" s="49" t="s">
        <v>25</v>
      </c>
      <c r="I43" s="49" t="s">
        <v>34</v>
      </c>
      <c r="J43" s="49" t="s">
        <v>785</v>
      </c>
      <c r="K43" s="49" t="s">
        <v>786</v>
      </c>
      <c r="L43" s="49" t="s">
        <v>76</v>
      </c>
      <c r="M43" s="49">
        <v>2021</v>
      </c>
      <c r="N43" s="49">
        <v>1</v>
      </c>
      <c r="O43" s="49">
        <v>55.8</v>
      </c>
      <c r="P43" s="49">
        <v>0</v>
      </c>
    </row>
    <row r="44" spans="1:16" ht="11.25" customHeight="1" x14ac:dyDescent="0.25">
      <c r="A44" s="49">
        <v>43</v>
      </c>
      <c r="B44" s="49" t="s">
        <v>644</v>
      </c>
      <c r="C44" s="49" t="s">
        <v>41</v>
      </c>
      <c r="D44" s="49" t="s">
        <v>40</v>
      </c>
      <c r="E44" s="49" t="s">
        <v>25</v>
      </c>
      <c r="F44" s="49" t="s">
        <v>25</v>
      </c>
      <c r="G44" s="49" t="s">
        <v>25</v>
      </c>
      <c r="H44" s="49" t="s">
        <v>25</v>
      </c>
      <c r="I44" s="49" t="s">
        <v>35</v>
      </c>
      <c r="J44" s="49" t="s">
        <v>785</v>
      </c>
      <c r="K44" s="49" t="s">
        <v>786</v>
      </c>
      <c r="L44" s="49" t="s">
        <v>76</v>
      </c>
      <c r="M44" s="49">
        <v>2021</v>
      </c>
      <c r="N44" s="49">
        <v>1</v>
      </c>
      <c r="O44" s="49">
        <v>21.38</v>
      </c>
      <c r="P44" s="49">
        <v>0</v>
      </c>
    </row>
    <row r="45" spans="1:16" ht="11.25" customHeight="1" x14ac:dyDescent="0.25">
      <c r="A45" s="49">
        <v>44</v>
      </c>
      <c r="B45" s="49" t="s">
        <v>644</v>
      </c>
      <c r="C45" s="49" t="s">
        <v>22</v>
      </c>
      <c r="D45" s="49" t="s">
        <v>92</v>
      </c>
      <c r="E45" s="49" t="s">
        <v>24</v>
      </c>
      <c r="F45" s="49" t="s">
        <v>32</v>
      </c>
      <c r="G45" s="49" t="s">
        <v>25</v>
      </c>
      <c r="H45" s="49" t="s">
        <v>25</v>
      </c>
      <c r="I45" s="49" t="s">
        <v>25</v>
      </c>
      <c r="J45" s="49" t="s">
        <v>787</v>
      </c>
      <c r="K45" s="49" t="s">
        <v>786</v>
      </c>
      <c r="L45" s="49" t="s">
        <v>79</v>
      </c>
      <c r="M45" s="49">
        <v>2021</v>
      </c>
      <c r="N45" s="49">
        <v>1</v>
      </c>
      <c r="O45" s="49">
        <v>377.18</v>
      </c>
      <c r="P45" s="49">
        <v>0</v>
      </c>
    </row>
    <row r="46" spans="1:16" ht="11.25" customHeight="1" x14ac:dyDescent="0.25">
      <c r="A46" s="49">
        <v>45</v>
      </c>
      <c r="B46" s="49" t="s">
        <v>644</v>
      </c>
      <c r="C46" s="49" t="s">
        <v>45</v>
      </c>
      <c r="D46" s="49" t="s">
        <v>33</v>
      </c>
      <c r="E46" s="49" t="s">
        <v>46</v>
      </c>
      <c r="F46" s="49" t="s">
        <v>25</v>
      </c>
      <c r="G46" s="49" t="s">
        <v>25</v>
      </c>
      <c r="H46" s="49" t="s">
        <v>25</v>
      </c>
      <c r="I46" s="49" t="s">
        <v>34</v>
      </c>
      <c r="J46" s="49" t="s">
        <v>787</v>
      </c>
      <c r="K46" s="49" t="s">
        <v>786</v>
      </c>
      <c r="L46" s="49" t="s">
        <v>79</v>
      </c>
      <c r="M46" s="49">
        <v>2021</v>
      </c>
      <c r="N46" s="49">
        <v>1</v>
      </c>
      <c r="O46" s="49">
        <v>997.28</v>
      </c>
      <c r="P46" s="49">
        <v>20.1093927946362</v>
      </c>
    </row>
    <row r="47" spans="1:16" ht="11.25" customHeight="1" x14ac:dyDescent="0.25">
      <c r="A47" s="49">
        <v>46</v>
      </c>
      <c r="B47" s="49" t="s">
        <v>644</v>
      </c>
      <c r="C47" s="49" t="s">
        <v>41</v>
      </c>
      <c r="D47" s="49" t="s">
        <v>40</v>
      </c>
      <c r="E47" s="49" t="s">
        <v>25</v>
      </c>
      <c r="F47" s="49" t="s">
        <v>25</v>
      </c>
      <c r="G47" s="49" t="s">
        <v>25</v>
      </c>
      <c r="H47" s="49" t="s">
        <v>25</v>
      </c>
      <c r="I47" s="49" t="s">
        <v>25</v>
      </c>
      <c r="J47" s="49" t="s">
        <v>787</v>
      </c>
      <c r="K47" s="49" t="s">
        <v>786</v>
      </c>
      <c r="L47" s="49" t="s">
        <v>79</v>
      </c>
      <c r="M47" s="49">
        <v>2021</v>
      </c>
      <c r="N47" s="49">
        <v>1</v>
      </c>
      <c r="O47" s="49">
        <v>102.62</v>
      </c>
      <c r="P47" s="49">
        <v>19.880876967424399</v>
      </c>
    </row>
    <row r="48" spans="1:16" ht="11.25" customHeight="1" x14ac:dyDescent="0.25">
      <c r="A48" s="49">
        <v>47</v>
      </c>
      <c r="B48" s="49" t="s">
        <v>644</v>
      </c>
      <c r="C48" s="49" t="s">
        <v>41</v>
      </c>
      <c r="D48" s="49" t="s">
        <v>40</v>
      </c>
      <c r="E48" s="49" t="s">
        <v>25</v>
      </c>
      <c r="F48" s="49" t="s">
        <v>25</v>
      </c>
      <c r="G48" s="49" t="s">
        <v>85</v>
      </c>
      <c r="H48" s="49" t="s">
        <v>25</v>
      </c>
      <c r="I48" s="49" t="s">
        <v>25</v>
      </c>
      <c r="J48" s="49" t="s">
        <v>787</v>
      </c>
      <c r="K48" s="49" t="s">
        <v>786</v>
      </c>
      <c r="L48" s="49" t="s">
        <v>79</v>
      </c>
      <c r="M48" s="49">
        <v>2021</v>
      </c>
      <c r="N48" s="49">
        <v>1</v>
      </c>
      <c r="O48" s="49">
        <v>53.62</v>
      </c>
      <c r="P48" s="49">
        <v>0</v>
      </c>
    </row>
    <row r="49" spans="1:16" ht="11.25" customHeight="1" x14ac:dyDescent="0.25">
      <c r="A49" s="49">
        <v>48</v>
      </c>
      <c r="B49" s="49" t="s">
        <v>644</v>
      </c>
      <c r="C49" s="49" t="s">
        <v>45</v>
      </c>
      <c r="D49" s="49" t="s">
        <v>33</v>
      </c>
      <c r="E49" s="49" t="s">
        <v>46</v>
      </c>
      <c r="F49" s="49" t="s">
        <v>25</v>
      </c>
      <c r="G49" s="49" t="s">
        <v>25</v>
      </c>
      <c r="H49" s="49" t="s">
        <v>25</v>
      </c>
      <c r="I49" s="49" t="s">
        <v>36</v>
      </c>
      <c r="J49" s="49" t="s">
        <v>787</v>
      </c>
      <c r="K49" s="49" t="s">
        <v>786</v>
      </c>
      <c r="L49" s="49" t="s">
        <v>79</v>
      </c>
      <c r="M49" s="49">
        <v>2021</v>
      </c>
      <c r="N49" s="49">
        <v>1</v>
      </c>
      <c r="O49" s="49">
        <v>640.74</v>
      </c>
      <c r="P49" s="49">
        <v>20.1093927946362</v>
      </c>
    </row>
    <row r="50" spans="1:16" ht="11.25" customHeight="1" x14ac:dyDescent="0.25">
      <c r="A50" s="49">
        <v>49</v>
      </c>
      <c r="B50" s="49" t="s">
        <v>644</v>
      </c>
      <c r="C50" s="49" t="s">
        <v>45</v>
      </c>
      <c r="D50" s="49" t="s">
        <v>33</v>
      </c>
      <c r="E50" s="49" t="s">
        <v>46</v>
      </c>
      <c r="F50" s="49" t="s">
        <v>25</v>
      </c>
      <c r="G50" s="49" t="s">
        <v>25</v>
      </c>
      <c r="H50" s="49" t="s">
        <v>25</v>
      </c>
      <c r="I50" s="49" t="s">
        <v>35</v>
      </c>
      <c r="J50" s="49" t="s">
        <v>787</v>
      </c>
      <c r="K50" s="49" t="s">
        <v>786</v>
      </c>
      <c r="L50" s="49" t="s">
        <v>79</v>
      </c>
      <c r="M50" s="49">
        <v>2021</v>
      </c>
      <c r="N50" s="49">
        <v>1</v>
      </c>
      <c r="O50" s="49">
        <v>284.19</v>
      </c>
      <c r="P50" s="49">
        <v>20.1093927946362</v>
      </c>
    </row>
    <row r="51" spans="1:16" ht="11.25" customHeight="1" x14ac:dyDescent="0.25">
      <c r="A51" s="49">
        <v>50</v>
      </c>
      <c r="B51" s="49" t="s">
        <v>644</v>
      </c>
      <c r="C51" s="49" t="s">
        <v>41</v>
      </c>
      <c r="D51" s="49" t="s">
        <v>58</v>
      </c>
      <c r="E51" s="49" t="s">
        <v>25</v>
      </c>
      <c r="F51" s="49" t="s">
        <v>25</v>
      </c>
      <c r="G51" s="49" t="s">
        <v>25</v>
      </c>
      <c r="H51" s="49" t="s">
        <v>25</v>
      </c>
      <c r="I51" s="49" t="s">
        <v>25</v>
      </c>
      <c r="J51" s="49" t="s">
        <v>785</v>
      </c>
      <c r="K51" s="49" t="s">
        <v>786</v>
      </c>
      <c r="L51" s="49" t="s">
        <v>76</v>
      </c>
      <c r="M51" s="49">
        <v>2021</v>
      </c>
      <c r="N51" s="49">
        <v>1</v>
      </c>
      <c r="O51" s="49">
        <v>11.2</v>
      </c>
      <c r="P51" s="49">
        <v>0</v>
      </c>
    </row>
    <row r="52" spans="1:16" ht="11.25" customHeight="1" x14ac:dyDescent="0.25">
      <c r="A52" s="49">
        <v>51</v>
      </c>
      <c r="B52" s="49" t="s">
        <v>644</v>
      </c>
      <c r="C52" s="49" t="s">
        <v>45</v>
      </c>
      <c r="D52" s="49" t="s">
        <v>23</v>
      </c>
      <c r="E52" s="49" t="s">
        <v>46</v>
      </c>
      <c r="F52" s="49" t="s">
        <v>25</v>
      </c>
      <c r="G52" s="49" t="s">
        <v>25</v>
      </c>
      <c r="H52" s="49" t="s">
        <v>25</v>
      </c>
      <c r="I52" s="49" t="s">
        <v>25</v>
      </c>
      <c r="J52" s="49" t="s">
        <v>787</v>
      </c>
      <c r="K52" s="49" t="s">
        <v>786</v>
      </c>
      <c r="L52" s="49" t="s">
        <v>79</v>
      </c>
      <c r="M52" s="49">
        <v>2021</v>
      </c>
      <c r="N52" s="49">
        <v>1</v>
      </c>
      <c r="O52" s="49">
        <v>380.18</v>
      </c>
      <c r="P52" s="49">
        <v>20.1093927946362</v>
      </c>
    </row>
    <row r="53" spans="1:16" ht="11.25" customHeight="1" x14ac:dyDescent="0.25">
      <c r="A53" s="49">
        <v>52</v>
      </c>
      <c r="B53" s="49" t="s">
        <v>644</v>
      </c>
      <c r="C53" s="49" t="s">
        <v>45</v>
      </c>
      <c r="D53" s="49" t="s">
        <v>33</v>
      </c>
      <c r="E53" s="49" t="s">
        <v>46</v>
      </c>
      <c r="F53" s="49" t="s">
        <v>93</v>
      </c>
      <c r="G53" s="49" t="s">
        <v>25</v>
      </c>
      <c r="H53" s="49" t="s">
        <v>25</v>
      </c>
      <c r="I53" s="49" t="s">
        <v>34</v>
      </c>
      <c r="J53" s="49" t="s">
        <v>787</v>
      </c>
      <c r="K53" s="49" t="s">
        <v>786</v>
      </c>
      <c r="L53" s="49" t="s">
        <v>79</v>
      </c>
      <c r="M53" s="49">
        <v>2021</v>
      </c>
      <c r="N53" s="49">
        <v>1</v>
      </c>
      <c r="O53" s="49">
        <v>997.28</v>
      </c>
      <c r="P53" s="49">
        <v>20.1093927946362</v>
      </c>
    </row>
    <row r="54" spans="1:16" ht="11.25" customHeight="1" x14ac:dyDescent="0.25">
      <c r="A54" s="49">
        <v>53</v>
      </c>
      <c r="B54" s="49" t="s">
        <v>644</v>
      </c>
      <c r="C54" s="49" t="s">
        <v>45</v>
      </c>
      <c r="D54" s="49" t="s">
        <v>33</v>
      </c>
      <c r="E54" s="49" t="s">
        <v>46</v>
      </c>
      <c r="F54" s="49" t="s">
        <v>93</v>
      </c>
      <c r="G54" s="49" t="s">
        <v>25</v>
      </c>
      <c r="H54" s="49" t="s">
        <v>25</v>
      </c>
      <c r="I54" s="49" t="s">
        <v>36</v>
      </c>
      <c r="J54" s="49" t="s">
        <v>787</v>
      </c>
      <c r="K54" s="49" t="s">
        <v>786</v>
      </c>
      <c r="L54" s="49" t="s">
        <v>79</v>
      </c>
      <c r="M54" s="49">
        <v>2021</v>
      </c>
      <c r="N54" s="49">
        <v>1</v>
      </c>
      <c r="O54" s="49">
        <v>640.74</v>
      </c>
      <c r="P54" s="49">
        <v>20.1093927946362</v>
      </c>
    </row>
    <row r="55" spans="1:16" ht="11.25" customHeight="1" x14ac:dyDescent="0.25">
      <c r="A55" s="49">
        <v>54</v>
      </c>
      <c r="B55" s="49" t="s">
        <v>644</v>
      </c>
      <c r="C55" s="49" t="s">
        <v>45</v>
      </c>
      <c r="D55" s="49" t="s">
        <v>33</v>
      </c>
      <c r="E55" s="49" t="s">
        <v>46</v>
      </c>
      <c r="F55" s="49" t="s">
        <v>93</v>
      </c>
      <c r="G55" s="49" t="s">
        <v>25</v>
      </c>
      <c r="H55" s="49" t="s">
        <v>25</v>
      </c>
      <c r="I55" s="49" t="s">
        <v>35</v>
      </c>
      <c r="J55" s="49" t="s">
        <v>787</v>
      </c>
      <c r="K55" s="49" t="s">
        <v>786</v>
      </c>
      <c r="L55" s="49" t="s">
        <v>79</v>
      </c>
      <c r="M55" s="49">
        <v>2021</v>
      </c>
      <c r="N55" s="49">
        <v>1</v>
      </c>
      <c r="O55" s="49">
        <v>284.19</v>
      </c>
      <c r="P55" s="49">
        <v>20.1093927946362</v>
      </c>
    </row>
    <row r="56" spans="1:16" ht="11.25" customHeight="1" x14ac:dyDescent="0.25">
      <c r="A56" s="49">
        <v>55</v>
      </c>
      <c r="B56" s="49" t="s">
        <v>644</v>
      </c>
      <c r="C56" s="49" t="s">
        <v>45</v>
      </c>
      <c r="D56" s="49" t="s">
        <v>23</v>
      </c>
      <c r="E56" s="49" t="s">
        <v>46</v>
      </c>
      <c r="F56" s="49" t="s">
        <v>93</v>
      </c>
      <c r="G56" s="49" t="s">
        <v>25</v>
      </c>
      <c r="H56" s="49" t="s">
        <v>25</v>
      </c>
      <c r="I56" s="49" t="s">
        <v>25</v>
      </c>
      <c r="J56" s="49" t="s">
        <v>787</v>
      </c>
      <c r="K56" s="49" t="s">
        <v>786</v>
      </c>
      <c r="L56" s="49" t="s">
        <v>79</v>
      </c>
      <c r="M56" s="49">
        <v>2021</v>
      </c>
      <c r="N56" s="49">
        <v>1</v>
      </c>
      <c r="O56" s="49">
        <v>380.18</v>
      </c>
      <c r="P56" s="49">
        <v>20.1093927946362</v>
      </c>
    </row>
    <row r="57" spans="1:16" ht="11.25" customHeight="1" x14ac:dyDescent="0.25">
      <c r="A57" s="49">
        <v>56</v>
      </c>
      <c r="B57" s="49" t="s">
        <v>644</v>
      </c>
      <c r="C57" s="49" t="s">
        <v>45</v>
      </c>
      <c r="D57" s="49" t="s">
        <v>33</v>
      </c>
      <c r="E57" s="49" t="s">
        <v>46</v>
      </c>
      <c r="F57" s="49" t="s">
        <v>94</v>
      </c>
      <c r="G57" s="49" t="s">
        <v>25</v>
      </c>
      <c r="H57" s="49" t="s">
        <v>25</v>
      </c>
      <c r="I57" s="49" t="s">
        <v>34</v>
      </c>
      <c r="J57" s="49" t="s">
        <v>787</v>
      </c>
      <c r="K57" s="49" t="s">
        <v>786</v>
      </c>
      <c r="L57" s="49" t="s">
        <v>79</v>
      </c>
      <c r="M57" s="49">
        <v>2021</v>
      </c>
      <c r="N57" s="49">
        <v>1</v>
      </c>
      <c r="O57" s="49">
        <v>951.95</v>
      </c>
      <c r="P57" s="49">
        <v>19.195329485789099</v>
      </c>
    </row>
    <row r="58" spans="1:16" ht="11.25" customHeight="1" x14ac:dyDescent="0.25">
      <c r="A58" s="49">
        <v>57</v>
      </c>
      <c r="B58" s="49" t="s">
        <v>644</v>
      </c>
      <c r="C58" s="49" t="s">
        <v>45</v>
      </c>
      <c r="D58" s="49" t="s">
        <v>33</v>
      </c>
      <c r="E58" s="49" t="s">
        <v>46</v>
      </c>
      <c r="F58" s="49" t="s">
        <v>94</v>
      </c>
      <c r="G58" s="49" t="s">
        <v>25</v>
      </c>
      <c r="H58" s="49" t="s">
        <v>25</v>
      </c>
      <c r="I58" s="49" t="s">
        <v>36</v>
      </c>
      <c r="J58" s="49" t="s">
        <v>787</v>
      </c>
      <c r="K58" s="49" t="s">
        <v>786</v>
      </c>
      <c r="L58" s="49" t="s">
        <v>79</v>
      </c>
      <c r="M58" s="49">
        <v>2021</v>
      </c>
      <c r="N58" s="49">
        <v>1</v>
      </c>
      <c r="O58" s="49">
        <v>611.61</v>
      </c>
      <c r="P58" s="49">
        <v>19.195329485789099</v>
      </c>
    </row>
    <row r="59" spans="1:16" ht="11.25" customHeight="1" x14ac:dyDescent="0.25">
      <c r="A59" s="49">
        <v>58</v>
      </c>
      <c r="B59" s="49" t="s">
        <v>644</v>
      </c>
      <c r="C59" s="49" t="s">
        <v>45</v>
      </c>
      <c r="D59" s="49" t="s">
        <v>33</v>
      </c>
      <c r="E59" s="49" t="s">
        <v>46</v>
      </c>
      <c r="F59" s="49" t="s">
        <v>94</v>
      </c>
      <c r="G59" s="49" t="s">
        <v>25</v>
      </c>
      <c r="H59" s="49" t="s">
        <v>25</v>
      </c>
      <c r="I59" s="49" t="s">
        <v>35</v>
      </c>
      <c r="J59" s="49" t="s">
        <v>787</v>
      </c>
      <c r="K59" s="49" t="s">
        <v>786</v>
      </c>
      <c r="L59" s="49" t="s">
        <v>79</v>
      </c>
      <c r="M59" s="49">
        <v>2021</v>
      </c>
      <c r="N59" s="49">
        <v>1</v>
      </c>
      <c r="O59" s="49">
        <v>271.27</v>
      </c>
      <c r="P59" s="49">
        <v>19.195329485789099</v>
      </c>
    </row>
    <row r="60" spans="1:16" ht="11.25" customHeight="1" x14ac:dyDescent="0.25">
      <c r="A60" s="49">
        <v>59</v>
      </c>
      <c r="B60" s="49" t="s">
        <v>644</v>
      </c>
      <c r="C60" s="49" t="s">
        <v>45</v>
      </c>
      <c r="D60" s="49" t="s">
        <v>23</v>
      </c>
      <c r="E60" s="49" t="s">
        <v>46</v>
      </c>
      <c r="F60" s="49" t="s">
        <v>94</v>
      </c>
      <c r="G60" s="49" t="s">
        <v>25</v>
      </c>
      <c r="H60" s="49" t="s">
        <v>25</v>
      </c>
      <c r="I60" s="49" t="s">
        <v>25</v>
      </c>
      <c r="J60" s="49" t="s">
        <v>787</v>
      </c>
      <c r="K60" s="49" t="s">
        <v>786</v>
      </c>
      <c r="L60" s="49" t="s">
        <v>79</v>
      </c>
      <c r="M60" s="49">
        <v>2021</v>
      </c>
      <c r="N60" s="49">
        <v>1</v>
      </c>
      <c r="O60" s="49">
        <v>362.9</v>
      </c>
      <c r="P60" s="49">
        <v>19.195329485789099</v>
      </c>
    </row>
    <row r="61" spans="1:16" ht="11.25" customHeight="1" x14ac:dyDescent="0.25">
      <c r="A61" s="49">
        <v>60</v>
      </c>
      <c r="B61" s="49" t="s">
        <v>644</v>
      </c>
      <c r="C61" s="49" t="s">
        <v>45</v>
      </c>
      <c r="D61" s="49" t="s">
        <v>92</v>
      </c>
      <c r="E61" s="49" t="s">
        <v>46</v>
      </c>
      <c r="F61" s="49" t="s">
        <v>25</v>
      </c>
      <c r="G61" s="49" t="s">
        <v>25</v>
      </c>
      <c r="H61" s="49" t="s">
        <v>25</v>
      </c>
      <c r="I61" s="49" t="s">
        <v>25</v>
      </c>
      <c r="J61" s="49" t="s">
        <v>787</v>
      </c>
      <c r="K61" s="49" t="s">
        <v>786</v>
      </c>
      <c r="L61" s="49" t="s">
        <v>79</v>
      </c>
      <c r="M61" s="49">
        <v>2021</v>
      </c>
      <c r="N61" s="49">
        <v>1</v>
      </c>
      <c r="O61" s="49">
        <v>380.18</v>
      </c>
      <c r="P61" s="49">
        <v>20.1093927946362</v>
      </c>
    </row>
    <row r="62" spans="1:16" ht="11.25" customHeight="1" x14ac:dyDescent="0.25">
      <c r="A62" s="49">
        <v>61</v>
      </c>
      <c r="B62" s="49" t="s">
        <v>644</v>
      </c>
      <c r="C62" s="49" t="s">
        <v>45</v>
      </c>
      <c r="D62" s="49" t="s">
        <v>92</v>
      </c>
      <c r="E62" s="49" t="s">
        <v>46</v>
      </c>
      <c r="F62" s="49" t="s">
        <v>93</v>
      </c>
      <c r="G62" s="49" t="s">
        <v>25</v>
      </c>
      <c r="H62" s="49" t="s">
        <v>25</v>
      </c>
      <c r="I62" s="49" t="s">
        <v>25</v>
      </c>
      <c r="J62" s="49" t="s">
        <v>787</v>
      </c>
      <c r="K62" s="49" t="s">
        <v>786</v>
      </c>
      <c r="L62" s="49" t="s">
        <v>79</v>
      </c>
      <c r="M62" s="49">
        <v>2021</v>
      </c>
      <c r="N62" s="49">
        <v>1</v>
      </c>
      <c r="O62" s="49">
        <v>380.18</v>
      </c>
      <c r="P62" s="49">
        <v>20.1093927946362</v>
      </c>
    </row>
    <row r="63" spans="1:16" ht="11.25" customHeight="1" x14ac:dyDescent="0.25">
      <c r="A63" s="49">
        <v>62</v>
      </c>
      <c r="B63" s="49" t="s">
        <v>644</v>
      </c>
      <c r="C63" s="49" t="s">
        <v>45</v>
      </c>
      <c r="D63" s="49" t="s">
        <v>92</v>
      </c>
      <c r="E63" s="49" t="s">
        <v>46</v>
      </c>
      <c r="F63" s="49" t="s">
        <v>94</v>
      </c>
      <c r="G63" s="49" t="s">
        <v>25</v>
      </c>
      <c r="H63" s="49" t="s">
        <v>25</v>
      </c>
      <c r="I63" s="49" t="s">
        <v>25</v>
      </c>
      <c r="J63" s="49" t="s">
        <v>787</v>
      </c>
      <c r="K63" s="49" t="s">
        <v>786</v>
      </c>
      <c r="L63" s="49" t="s">
        <v>79</v>
      </c>
      <c r="M63" s="49">
        <v>2021</v>
      </c>
      <c r="N63" s="49">
        <v>1</v>
      </c>
      <c r="O63" s="49">
        <v>362.9</v>
      </c>
      <c r="P63" s="49">
        <v>19.195329485789099</v>
      </c>
    </row>
    <row r="64" spans="1:16" ht="11.25" customHeight="1" x14ac:dyDescent="0.25">
      <c r="A64" s="49">
        <v>63</v>
      </c>
      <c r="B64" s="49" t="s">
        <v>644</v>
      </c>
      <c r="C64" s="49" t="s">
        <v>37</v>
      </c>
      <c r="D64" s="49" t="s">
        <v>33</v>
      </c>
      <c r="E64" s="49" t="s">
        <v>25</v>
      </c>
      <c r="F64" s="49" t="s">
        <v>25</v>
      </c>
      <c r="G64" s="49" t="s">
        <v>25</v>
      </c>
      <c r="H64" s="49" t="s">
        <v>25</v>
      </c>
      <c r="I64" s="49" t="s">
        <v>34</v>
      </c>
      <c r="J64" s="49" t="s">
        <v>787</v>
      </c>
      <c r="K64" s="49" t="s">
        <v>786</v>
      </c>
      <c r="L64" s="49" t="s">
        <v>79</v>
      </c>
      <c r="M64" s="49">
        <v>2021</v>
      </c>
      <c r="N64" s="49">
        <v>1</v>
      </c>
      <c r="O64" s="49">
        <v>1133.28</v>
      </c>
      <c r="P64" s="49">
        <v>22.8515827211775</v>
      </c>
    </row>
    <row r="65" spans="1:16" ht="11.25" customHeight="1" x14ac:dyDescent="0.25">
      <c r="A65" s="49">
        <v>64</v>
      </c>
      <c r="B65" s="49" t="s">
        <v>644</v>
      </c>
      <c r="C65" s="49" t="s">
        <v>37</v>
      </c>
      <c r="D65" s="49" t="s">
        <v>33</v>
      </c>
      <c r="E65" s="49" t="s">
        <v>25</v>
      </c>
      <c r="F65" s="49" t="s">
        <v>25</v>
      </c>
      <c r="G65" s="49" t="s">
        <v>25</v>
      </c>
      <c r="H65" s="49" t="s">
        <v>25</v>
      </c>
      <c r="I65" s="49" t="s">
        <v>36</v>
      </c>
      <c r="J65" s="49" t="s">
        <v>787</v>
      </c>
      <c r="K65" s="49" t="s">
        <v>786</v>
      </c>
      <c r="L65" s="49" t="s">
        <v>79</v>
      </c>
      <c r="M65" s="49">
        <v>2021</v>
      </c>
      <c r="N65" s="49">
        <v>1</v>
      </c>
      <c r="O65" s="49">
        <v>728.11</v>
      </c>
      <c r="P65" s="49">
        <v>22.8515827211775</v>
      </c>
    </row>
    <row r="66" spans="1:16" ht="11.25" customHeight="1" x14ac:dyDescent="0.25">
      <c r="A66" s="49">
        <v>65</v>
      </c>
      <c r="B66" s="49" t="s">
        <v>644</v>
      </c>
      <c r="C66" s="49" t="s">
        <v>37</v>
      </c>
      <c r="D66" s="49" t="s">
        <v>33</v>
      </c>
      <c r="E66" s="49" t="s">
        <v>25</v>
      </c>
      <c r="F66" s="49" t="s">
        <v>25</v>
      </c>
      <c r="G66" s="49" t="s">
        <v>25</v>
      </c>
      <c r="H66" s="49" t="s">
        <v>25</v>
      </c>
      <c r="I66" s="49" t="s">
        <v>35</v>
      </c>
      <c r="J66" s="49" t="s">
        <v>787</v>
      </c>
      <c r="K66" s="49" t="s">
        <v>786</v>
      </c>
      <c r="L66" s="49" t="s">
        <v>79</v>
      </c>
      <c r="M66" s="49">
        <v>2021</v>
      </c>
      <c r="N66" s="49">
        <v>1</v>
      </c>
      <c r="O66" s="49">
        <v>322.94</v>
      </c>
      <c r="P66" s="49">
        <v>22.8515827211775</v>
      </c>
    </row>
    <row r="67" spans="1:16" ht="11.25" customHeight="1" x14ac:dyDescent="0.25">
      <c r="A67" s="49">
        <v>66</v>
      </c>
      <c r="B67" s="49" t="s">
        <v>644</v>
      </c>
      <c r="C67" s="49" t="s">
        <v>37</v>
      </c>
      <c r="D67" s="49" t="s">
        <v>23</v>
      </c>
      <c r="E67" s="49" t="s">
        <v>25</v>
      </c>
      <c r="F67" s="49" t="s">
        <v>25</v>
      </c>
      <c r="G67" s="49" t="s">
        <v>25</v>
      </c>
      <c r="H67" s="49" t="s">
        <v>25</v>
      </c>
      <c r="I67" s="49" t="s">
        <v>25</v>
      </c>
      <c r="J67" s="49" t="s">
        <v>787</v>
      </c>
      <c r="K67" s="49" t="s">
        <v>786</v>
      </c>
      <c r="L67" s="49" t="s">
        <v>79</v>
      </c>
      <c r="M67" s="49">
        <v>2021</v>
      </c>
      <c r="N67" s="49">
        <v>1</v>
      </c>
      <c r="O67" s="49">
        <v>432.02</v>
      </c>
      <c r="P67" s="49">
        <v>22.8515827211775</v>
      </c>
    </row>
    <row r="68" spans="1:16" ht="11.25" customHeight="1" x14ac:dyDescent="0.25">
      <c r="A68" s="49">
        <v>67</v>
      </c>
      <c r="B68" s="49" t="s">
        <v>644</v>
      </c>
      <c r="C68" s="49" t="s">
        <v>37</v>
      </c>
      <c r="D68" s="49" t="s">
        <v>92</v>
      </c>
      <c r="E68" s="49" t="s">
        <v>25</v>
      </c>
      <c r="F68" s="49" t="s">
        <v>25</v>
      </c>
      <c r="G68" s="49" t="s">
        <v>25</v>
      </c>
      <c r="H68" s="49" t="s">
        <v>25</v>
      </c>
      <c r="I68" s="49" t="s">
        <v>25</v>
      </c>
      <c r="J68" s="49" t="s">
        <v>787</v>
      </c>
      <c r="K68" s="49" t="s">
        <v>786</v>
      </c>
      <c r="L68" s="49" t="s">
        <v>79</v>
      </c>
      <c r="M68" s="49">
        <v>2021</v>
      </c>
      <c r="N68" s="49">
        <v>1</v>
      </c>
      <c r="O68" s="49">
        <v>432.02</v>
      </c>
      <c r="P68" s="49">
        <v>22.8515827211775</v>
      </c>
    </row>
    <row r="69" spans="1:16" ht="11.25" customHeight="1" x14ac:dyDescent="0.25">
      <c r="A69" s="49">
        <v>68</v>
      </c>
      <c r="B69" s="49" t="s">
        <v>644</v>
      </c>
      <c r="C69" s="49" t="s">
        <v>48</v>
      </c>
      <c r="D69" s="49" t="s">
        <v>23</v>
      </c>
      <c r="E69" s="49" t="s">
        <v>49</v>
      </c>
      <c r="F69" s="49" t="s">
        <v>50</v>
      </c>
      <c r="G69" s="49" t="s">
        <v>25</v>
      </c>
      <c r="H69" s="49" t="s">
        <v>25</v>
      </c>
      <c r="I69" s="49" t="s">
        <v>25</v>
      </c>
      <c r="J69" s="49" t="s">
        <v>787</v>
      </c>
      <c r="K69" s="49" t="s">
        <v>786</v>
      </c>
      <c r="L69" s="49" t="s">
        <v>79</v>
      </c>
      <c r="M69" s="49">
        <v>2021</v>
      </c>
      <c r="N69" s="49">
        <v>1</v>
      </c>
      <c r="O69" s="49">
        <v>237.61</v>
      </c>
      <c r="P69" s="49">
        <v>12.568370496647599</v>
      </c>
    </row>
    <row r="70" spans="1:16" ht="11.25" customHeight="1" x14ac:dyDescent="0.25">
      <c r="A70" s="49">
        <v>69</v>
      </c>
      <c r="B70" s="49" t="s">
        <v>644</v>
      </c>
      <c r="C70" s="49" t="s">
        <v>48</v>
      </c>
      <c r="D70" s="49" t="s">
        <v>23</v>
      </c>
      <c r="E70" s="49" t="s">
        <v>49</v>
      </c>
      <c r="F70" s="49" t="s">
        <v>95</v>
      </c>
      <c r="G70" s="49" t="s">
        <v>25</v>
      </c>
      <c r="H70" s="49" t="s">
        <v>25</v>
      </c>
      <c r="I70" s="49" t="s">
        <v>25</v>
      </c>
      <c r="J70" s="49" t="s">
        <v>787</v>
      </c>
      <c r="K70" s="49" t="s">
        <v>786</v>
      </c>
      <c r="L70" s="49" t="s">
        <v>79</v>
      </c>
      <c r="M70" s="49">
        <v>2021</v>
      </c>
      <c r="N70" s="49">
        <v>1</v>
      </c>
      <c r="O70" s="49">
        <v>259.20999999999998</v>
      </c>
      <c r="P70" s="49">
        <v>13.7109496327065</v>
      </c>
    </row>
    <row r="71" spans="1:16" ht="11.25" customHeight="1" x14ac:dyDescent="0.25">
      <c r="A71" s="49">
        <v>70</v>
      </c>
      <c r="B71" s="49" t="s">
        <v>672</v>
      </c>
      <c r="C71" s="49" t="s">
        <v>39</v>
      </c>
      <c r="D71" s="49" t="s">
        <v>78</v>
      </c>
      <c r="E71" s="49" t="s">
        <v>25</v>
      </c>
      <c r="F71" s="49" t="s">
        <v>25</v>
      </c>
      <c r="G71" s="49" t="s">
        <v>25</v>
      </c>
      <c r="H71" s="49" t="s">
        <v>25</v>
      </c>
      <c r="I71" s="49" t="s">
        <v>34</v>
      </c>
      <c r="J71" s="49" t="s">
        <v>787</v>
      </c>
      <c r="K71" s="49" t="s">
        <v>786</v>
      </c>
      <c r="L71" s="49" t="s">
        <v>79</v>
      </c>
      <c r="M71" s="49">
        <v>2021</v>
      </c>
      <c r="N71" s="49">
        <v>1</v>
      </c>
      <c r="O71" s="49">
        <v>159.43</v>
      </c>
      <c r="P71" s="49"/>
    </row>
    <row r="72" spans="1:16" ht="11.25" customHeight="1" x14ac:dyDescent="0.25">
      <c r="A72" s="49">
        <v>71</v>
      </c>
      <c r="B72" s="49" t="s">
        <v>672</v>
      </c>
      <c r="C72" s="49" t="s">
        <v>39</v>
      </c>
      <c r="D72" s="49" t="s">
        <v>78</v>
      </c>
      <c r="E72" s="49" t="s">
        <v>25</v>
      </c>
      <c r="F72" s="49" t="s">
        <v>25</v>
      </c>
      <c r="G72" s="49" t="s">
        <v>25</v>
      </c>
      <c r="H72" s="49" t="s">
        <v>25</v>
      </c>
      <c r="I72" s="49" t="s">
        <v>35</v>
      </c>
      <c r="J72" s="49" t="s">
        <v>787</v>
      </c>
      <c r="K72" s="49" t="s">
        <v>786</v>
      </c>
      <c r="L72" s="49" t="s">
        <v>79</v>
      </c>
      <c r="M72" s="49">
        <v>2021</v>
      </c>
      <c r="N72" s="49">
        <v>1</v>
      </c>
      <c r="O72" s="49">
        <v>103.1</v>
      </c>
      <c r="P72" s="49"/>
    </row>
    <row r="73" spans="1:16" ht="11.25" customHeight="1" x14ac:dyDescent="0.25">
      <c r="A73" s="49">
        <v>72</v>
      </c>
      <c r="B73" s="49" t="s">
        <v>672</v>
      </c>
      <c r="C73" s="49" t="s">
        <v>42</v>
      </c>
      <c r="D73" s="49" t="s">
        <v>78</v>
      </c>
      <c r="E73" s="49" t="s">
        <v>25</v>
      </c>
      <c r="F73" s="49" t="s">
        <v>25</v>
      </c>
      <c r="G73" s="49" t="s">
        <v>25</v>
      </c>
      <c r="H73" s="49" t="s">
        <v>25</v>
      </c>
      <c r="I73" s="49" t="s">
        <v>34</v>
      </c>
      <c r="J73" s="49" t="s">
        <v>787</v>
      </c>
      <c r="K73" s="49" t="s">
        <v>786</v>
      </c>
      <c r="L73" s="49" t="s">
        <v>79</v>
      </c>
      <c r="M73" s="49">
        <v>2021</v>
      </c>
      <c r="N73" s="49">
        <v>1</v>
      </c>
      <c r="O73" s="49">
        <v>159.43</v>
      </c>
      <c r="P73" s="49"/>
    </row>
    <row r="74" spans="1:16" ht="11.25" customHeight="1" x14ac:dyDescent="0.25">
      <c r="A74" s="49">
        <v>73</v>
      </c>
      <c r="B74" s="49" t="s">
        <v>672</v>
      </c>
      <c r="C74" s="49" t="s">
        <v>42</v>
      </c>
      <c r="D74" s="49" t="s">
        <v>78</v>
      </c>
      <c r="E74" s="49" t="s">
        <v>25</v>
      </c>
      <c r="F74" s="49" t="s">
        <v>25</v>
      </c>
      <c r="G74" s="49" t="s">
        <v>25</v>
      </c>
      <c r="H74" s="49" t="s">
        <v>25</v>
      </c>
      <c r="I74" s="49" t="s">
        <v>35</v>
      </c>
      <c r="J74" s="49" t="s">
        <v>787</v>
      </c>
      <c r="K74" s="49" t="s">
        <v>786</v>
      </c>
      <c r="L74" s="49" t="s">
        <v>79</v>
      </c>
      <c r="M74" s="49">
        <v>2021</v>
      </c>
      <c r="N74" s="49">
        <v>1</v>
      </c>
      <c r="O74" s="49">
        <v>103.1</v>
      </c>
      <c r="P74" s="49"/>
    </row>
    <row r="75" spans="1:16" ht="11.25" customHeight="1" x14ac:dyDescent="0.25">
      <c r="A75" s="49">
        <v>74</v>
      </c>
      <c r="B75" s="49" t="s">
        <v>672</v>
      </c>
      <c r="C75" s="49" t="s">
        <v>42</v>
      </c>
      <c r="D75" s="49" t="s">
        <v>86</v>
      </c>
      <c r="E75" s="49" t="s">
        <v>25</v>
      </c>
      <c r="F75" s="49" t="s">
        <v>25</v>
      </c>
      <c r="G75" s="49" t="s">
        <v>25</v>
      </c>
      <c r="H75" s="49" t="s">
        <v>25</v>
      </c>
      <c r="I75" s="49" t="s">
        <v>25</v>
      </c>
      <c r="J75" s="49" t="s">
        <v>787</v>
      </c>
      <c r="K75" s="49" t="s">
        <v>786</v>
      </c>
      <c r="L75" s="49" t="s">
        <v>79</v>
      </c>
      <c r="M75" s="49">
        <v>2021</v>
      </c>
      <c r="N75" s="49">
        <v>1</v>
      </c>
      <c r="O75" s="49">
        <v>107.79</v>
      </c>
      <c r="P75" s="49"/>
    </row>
    <row r="76" spans="1:16" ht="11.25" customHeight="1" x14ac:dyDescent="0.25">
      <c r="A76" s="49">
        <v>75</v>
      </c>
      <c r="B76" s="49" t="s">
        <v>672</v>
      </c>
      <c r="C76" s="49" t="s">
        <v>41</v>
      </c>
      <c r="D76" s="49" t="s">
        <v>78</v>
      </c>
      <c r="E76" s="49" t="s">
        <v>25</v>
      </c>
      <c r="F76" s="49" t="s">
        <v>25</v>
      </c>
      <c r="G76" s="49" t="s">
        <v>25</v>
      </c>
      <c r="H76" s="49" t="s">
        <v>25</v>
      </c>
      <c r="I76" s="49" t="s">
        <v>34</v>
      </c>
      <c r="J76" s="49" t="s">
        <v>787</v>
      </c>
      <c r="K76" s="49" t="s">
        <v>786</v>
      </c>
      <c r="L76" s="49" t="s">
        <v>79</v>
      </c>
      <c r="M76" s="49">
        <v>2021</v>
      </c>
      <c r="N76" s="49">
        <v>1</v>
      </c>
      <c r="O76" s="49">
        <v>159.43</v>
      </c>
      <c r="P76" s="49"/>
    </row>
    <row r="77" spans="1:16" ht="11.25" customHeight="1" x14ac:dyDescent="0.25">
      <c r="A77" s="49">
        <v>76</v>
      </c>
      <c r="B77" s="49" t="s">
        <v>672</v>
      </c>
      <c r="C77" s="49" t="s">
        <v>41</v>
      </c>
      <c r="D77" s="49" t="s">
        <v>78</v>
      </c>
      <c r="E77" s="49" t="s">
        <v>25</v>
      </c>
      <c r="F77" s="49" t="s">
        <v>25</v>
      </c>
      <c r="G77" s="49" t="s">
        <v>25</v>
      </c>
      <c r="H77" s="49" t="s">
        <v>25</v>
      </c>
      <c r="I77" s="49" t="s">
        <v>35</v>
      </c>
      <c r="J77" s="49" t="s">
        <v>787</v>
      </c>
      <c r="K77" s="49" t="s">
        <v>786</v>
      </c>
      <c r="L77" s="49" t="s">
        <v>79</v>
      </c>
      <c r="M77" s="49">
        <v>2021</v>
      </c>
      <c r="N77" s="49">
        <v>1</v>
      </c>
      <c r="O77" s="49">
        <v>103.1</v>
      </c>
      <c r="P77" s="49"/>
    </row>
    <row r="78" spans="1:16" ht="11.25" customHeight="1" x14ac:dyDescent="0.25">
      <c r="A78" s="49">
        <v>77</v>
      </c>
      <c r="B78" s="49" t="s">
        <v>672</v>
      </c>
      <c r="C78" s="49" t="s">
        <v>22</v>
      </c>
      <c r="D78" s="49" t="s">
        <v>78</v>
      </c>
      <c r="E78" s="49" t="s">
        <v>24</v>
      </c>
      <c r="F78" s="49" t="s">
        <v>24</v>
      </c>
      <c r="G78" s="49" t="s">
        <v>25</v>
      </c>
      <c r="H78" s="49" t="s">
        <v>25</v>
      </c>
      <c r="I78" s="49" t="s">
        <v>34</v>
      </c>
      <c r="J78" s="49" t="s">
        <v>787</v>
      </c>
      <c r="K78" s="49" t="s">
        <v>786</v>
      </c>
      <c r="L78" s="49" t="s">
        <v>79</v>
      </c>
      <c r="M78" s="49">
        <v>2021</v>
      </c>
      <c r="N78" s="49">
        <v>1</v>
      </c>
      <c r="O78" s="49">
        <v>159.43</v>
      </c>
      <c r="P78" s="49"/>
    </row>
    <row r="79" spans="1:16" ht="11.25" customHeight="1" x14ac:dyDescent="0.25">
      <c r="A79" s="49">
        <v>78</v>
      </c>
      <c r="B79" s="49" t="s">
        <v>672</v>
      </c>
      <c r="C79" s="49" t="s">
        <v>22</v>
      </c>
      <c r="D79" s="49" t="s">
        <v>78</v>
      </c>
      <c r="E79" s="49" t="s">
        <v>24</v>
      </c>
      <c r="F79" s="49" t="s">
        <v>24</v>
      </c>
      <c r="G79" s="49" t="s">
        <v>25</v>
      </c>
      <c r="H79" s="49" t="s">
        <v>25</v>
      </c>
      <c r="I79" s="49" t="s">
        <v>36</v>
      </c>
      <c r="J79" s="49" t="s">
        <v>787</v>
      </c>
      <c r="K79" s="49" t="s">
        <v>786</v>
      </c>
      <c r="L79" s="49" t="s">
        <v>79</v>
      </c>
      <c r="M79" s="49">
        <v>2021</v>
      </c>
      <c r="N79" s="49">
        <v>1</v>
      </c>
      <c r="O79" s="49">
        <v>103.1</v>
      </c>
      <c r="P79" s="49"/>
    </row>
    <row r="80" spans="1:16" ht="11.25" customHeight="1" x14ac:dyDescent="0.25">
      <c r="A80" s="49">
        <v>79</v>
      </c>
      <c r="B80" s="49" t="s">
        <v>672</v>
      </c>
      <c r="C80" s="49" t="s">
        <v>22</v>
      </c>
      <c r="D80" s="49" t="s">
        <v>78</v>
      </c>
      <c r="E80" s="49" t="s">
        <v>24</v>
      </c>
      <c r="F80" s="49" t="s">
        <v>24</v>
      </c>
      <c r="G80" s="49" t="s">
        <v>25</v>
      </c>
      <c r="H80" s="49" t="s">
        <v>25</v>
      </c>
      <c r="I80" s="49" t="s">
        <v>35</v>
      </c>
      <c r="J80" s="49" t="s">
        <v>787</v>
      </c>
      <c r="K80" s="49" t="s">
        <v>786</v>
      </c>
      <c r="L80" s="49" t="s">
        <v>79</v>
      </c>
      <c r="M80" s="49">
        <v>2021</v>
      </c>
      <c r="N80" s="49">
        <v>1</v>
      </c>
      <c r="O80" s="49">
        <v>103.1</v>
      </c>
      <c r="P80" s="49"/>
    </row>
    <row r="81" spans="1:16" ht="11.25" customHeight="1" x14ac:dyDescent="0.25">
      <c r="A81" s="49">
        <v>80</v>
      </c>
      <c r="B81" s="49" t="s">
        <v>672</v>
      </c>
      <c r="C81" s="49" t="s">
        <v>22</v>
      </c>
      <c r="D81" s="49" t="s">
        <v>86</v>
      </c>
      <c r="E81" s="49" t="s">
        <v>24</v>
      </c>
      <c r="F81" s="49" t="s">
        <v>24</v>
      </c>
      <c r="G81" s="49" t="s">
        <v>25</v>
      </c>
      <c r="H81" s="49" t="s">
        <v>25</v>
      </c>
      <c r="I81" s="49" t="s">
        <v>25</v>
      </c>
      <c r="J81" s="49" t="s">
        <v>787</v>
      </c>
      <c r="K81" s="49" t="s">
        <v>786</v>
      </c>
      <c r="L81" s="49" t="s">
        <v>79</v>
      </c>
      <c r="M81" s="49">
        <v>2021</v>
      </c>
      <c r="N81" s="49">
        <v>1</v>
      </c>
      <c r="O81" s="49">
        <v>107.79</v>
      </c>
      <c r="P81" s="49"/>
    </row>
    <row r="82" spans="1:16" ht="11.25" customHeight="1" x14ac:dyDescent="0.25">
      <c r="A82" s="49">
        <v>81</v>
      </c>
      <c r="B82" s="49" t="s">
        <v>672</v>
      </c>
      <c r="C82" s="49" t="s">
        <v>22</v>
      </c>
      <c r="D82" s="49" t="s">
        <v>86</v>
      </c>
      <c r="E82" s="49" t="s">
        <v>24</v>
      </c>
      <c r="F82" s="49" t="s">
        <v>29</v>
      </c>
      <c r="G82" s="49" t="s">
        <v>25</v>
      </c>
      <c r="H82" s="49" t="s">
        <v>25</v>
      </c>
      <c r="I82" s="49" t="s">
        <v>25</v>
      </c>
      <c r="J82" s="49" t="s">
        <v>787</v>
      </c>
      <c r="K82" s="49" t="s">
        <v>786</v>
      </c>
      <c r="L82" s="49" t="s">
        <v>79</v>
      </c>
      <c r="M82" s="49">
        <v>2021</v>
      </c>
      <c r="N82" s="49">
        <v>1</v>
      </c>
      <c r="O82" s="49">
        <v>37.729999999999997</v>
      </c>
      <c r="P82" s="49"/>
    </row>
    <row r="83" spans="1:16" ht="11.25" customHeight="1" x14ac:dyDescent="0.25">
      <c r="A83" s="49">
        <v>82</v>
      </c>
      <c r="B83" s="49" t="s">
        <v>672</v>
      </c>
      <c r="C83" s="49" t="s">
        <v>22</v>
      </c>
      <c r="D83" s="49" t="s">
        <v>86</v>
      </c>
      <c r="E83" s="49" t="s">
        <v>24</v>
      </c>
      <c r="F83" s="49" t="s">
        <v>30</v>
      </c>
      <c r="G83" s="49" t="s">
        <v>25</v>
      </c>
      <c r="H83" s="49" t="s">
        <v>25</v>
      </c>
      <c r="I83" s="49" t="s">
        <v>25</v>
      </c>
      <c r="J83" s="49" t="s">
        <v>787</v>
      </c>
      <c r="K83" s="49" t="s">
        <v>786</v>
      </c>
      <c r="L83" s="49" t="s">
        <v>79</v>
      </c>
      <c r="M83" s="49">
        <v>2021</v>
      </c>
      <c r="N83" s="49">
        <v>1</v>
      </c>
      <c r="O83" s="49">
        <v>64.67</v>
      </c>
      <c r="P83" s="49"/>
    </row>
    <row r="84" spans="1:16" ht="11.25" customHeight="1" x14ac:dyDescent="0.25">
      <c r="A84" s="49">
        <v>83</v>
      </c>
      <c r="B84" s="49" t="s">
        <v>672</v>
      </c>
      <c r="C84" s="49" t="s">
        <v>22</v>
      </c>
      <c r="D84" s="49" t="s">
        <v>86</v>
      </c>
      <c r="E84" s="49" t="s">
        <v>24</v>
      </c>
      <c r="F84" s="49" t="s">
        <v>31</v>
      </c>
      <c r="G84" s="49" t="s">
        <v>25</v>
      </c>
      <c r="H84" s="49" t="s">
        <v>25</v>
      </c>
      <c r="I84" s="49" t="s">
        <v>25</v>
      </c>
      <c r="J84" s="49" t="s">
        <v>787</v>
      </c>
      <c r="K84" s="49" t="s">
        <v>786</v>
      </c>
      <c r="L84" s="49" t="s">
        <v>79</v>
      </c>
      <c r="M84" s="49">
        <v>2021</v>
      </c>
      <c r="N84" s="49">
        <v>1</v>
      </c>
      <c r="O84" s="49">
        <v>97.01</v>
      </c>
      <c r="P84" s="49"/>
    </row>
    <row r="85" spans="1:16" ht="11.25" customHeight="1" x14ac:dyDescent="0.25">
      <c r="A85" s="49">
        <v>84</v>
      </c>
      <c r="B85" s="49" t="s">
        <v>672</v>
      </c>
      <c r="C85" s="49" t="s">
        <v>22</v>
      </c>
      <c r="D85" s="49" t="s">
        <v>86</v>
      </c>
      <c r="E85" s="49" t="s">
        <v>24</v>
      </c>
      <c r="F85" s="49" t="s">
        <v>32</v>
      </c>
      <c r="G85" s="49" t="s">
        <v>25</v>
      </c>
      <c r="H85" s="49" t="s">
        <v>25</v>
      </c>
      <c r="I85" s="49" t="s">
        <v>25</v>
      </c>
      <c r="J85" s="49" t="s">
        <v>787</v>
      </c>
      <c r="K85" s="49" t="s">
        <v>786</v>
      </c>
      <c r="L85" s="49" t="s">
        <v>79</v>
      </c>
      <c r="M85" s="49">
        <v>2021</v>
      </c>
      <c r="N85" s="49">
        <v>1</v>
      </c>
      <c r="O85" s="49">
        <v>107.79</v>
      </c>
      <c r="P85" s="49"/>
    </row>
    <row r="86" spans="1:16" ht="11.25" customHeight="1" x14ac:dyDescent="0.25">
      <c r="A86" s="49">
        <v>85</v>
      </c>
      <c r="B86" s="49" t="s">
        <v>672</v>
      </c>
      <c r="C86" s="49" t="s">
        <v>22</v>
      </c>
      <c r="D86" s="49" t="s">
        <v>91</v>
      </c>
      <c r="E86" s="49" t="s">
        <v>24</v>
      </c>
      <c r="F86" s="49" t="s">
        <v>24</v>
      </c>
      <c r="G86" s="49" t="s">
        <v>25</v>
      </c>
      <c r="H86" s="49" t="s">
        <v>25</v>
      </c>
      <c r="I86" s="49" t="s">
        <v>25</v>
      </c>
      <c r="J86" s="49" t="s">
        <v>787</v>
      </c>
      <c r="K86" s="49" t="s">
        <v>786</v>
      </c>
      <c r="L86" s="49" t="s">
        <v>79</v>
      </c>
      <c r="M86" s="49">
        <v>2021</v>
      </c>
      <c r="N86" s="49">
        <v>1</v>
      </c>
      <c r="O86" s="49">
        <v>107.79</v>
      </c>
      <c r="P86" s="49"/>
    </row>
    <row r="87" spans="1:16" ht="11.25" customHeight="1" x14ac:dyDescent="0.25">
      <c r="A87" s="49">
        <v>86</v>
      </c>
      <c r="B87" s="49" t="s">
        <v>672</v>
      </c>
      <c r="C87" s="49" t="s">
        <v>22</v>
      </c>
      <c r="D87" s="49" t="s">
        <v>91</v>
      </c>
      <c r="E87" s="49" t="s">
        <v>24</v>
      </c>
      <c r="F87" s="49" t="s">
        <v>29</v>
      </c>
      <c r="G87" s="49" t="s">
        <v>25</v>
      </c>
      <c r="H87" s="49" t="s">
        <v>25</v>
      </c>
      <c r="I87" s="49" t="s">
        <v>25</v>
      </c>
      <c r="J87" s="49" t="s">
        <v>787</v>
      </c>
      <c r="K87" s="49" t="s">
        <v>786</v>
      </c>
      <c r="L87" s="49" t="s">
        <v>79</v>
      </c>
      <c r="M87" s="49">
        <v>2021</v>
      </c>
      <c r="N87" s="49">
        <v>1</v>
      </c>
      <c r="O87" s="49">
        <v>37.729999999999997</v>
      </c>
      <c r="P87" s="49"/>
    </row>
    <row r="88" spans="1:16" ht="11.25" customHeight="1" x14ac:dyDescent="0.25">
      <c r="A88" s="49">
        <v>87</v>
      </c>
      <c r="B88" s="49" t="s">
        <v>672</v>
      </c>
      <c r="C88" s="49" t="s">
        <v>22</v>
      </c>
      <c r="D88" s="49" t="s">
        <v>91</v>
      </c>
      <c r="E88" s="49" t="s">
        <v>24</v>
      </c>
      <c r="F88" s="49" t="s">
        <v>30</v>
      </c>
      <c r="G88" s="49" t="s">
        <v>25</v>
      </c>
      <c r="H88" s="49" t="s">
        <v>25</v>
      </c>
      <c r="I88" s="49" t="s">
        <v>25</v>
      </c>
      <c r="J88" s="49" t="s">
        <v>787</v>
      </c>
      <c r="K88" s="49" t="s">
        <v>786</v>
      </c>
      <c r="L88" s="49" t="s">
        <v>79</v>
      </c>
      <c r="M88" s="49">
        <v>2021</v>
      </c>
      <c r="N88" s="49">
        <v>1</v>
      </c>
      <c r="O88" s="49">
        <v>64.67</v>
      </c>
      <c r="P88" s="49"/>
    </row>
    <row r="89" spans="1:16" ht="11.25" customHeight="1" x14ac:dyDescent="0.25">
      <c r="A89" s="49">
        <v>88</v>
      </c>
      <c r="B89" s="49" t="s">
        <v>672</v>
      </c>
      <c r="C89" s="49" t="s">
        <v>22</v>
      </c>
      <c r="D89" s="49" t="s">
        <v>91</v>
      </c>
      <c r="E89" s="49" t="s">
        <v>24</v>
      </c>
      <c r="F89" s="49" t="s">
        <v>31</v>
      </c>
      <c r="G89" s="49" t="s">
        <v>25</v>
      </c>
      <c r="H89" s="49" t="s">
        <v>25</v>
      </c>
      <c r="I89" s="49" t="s">
        <v>25</v>
      </c>
      <c r="J89" s="49" t="s">
        <v>787</v>
      </c>
      <c r="K89" s="49" t="s">
        <v>786</v>
      </c>
      <c r="L89" s="49" t="s">
        <v>79</v>
      </c>
      <c r="M89" s="49">
        <v>2021</v>
      </c>
      <c r="N89" s="49">
        <v>1</v>
      </c>
      <c r="O89" s="49">
        <v>97.01</v>
      </c>
      <c r="P89" s="49"/>
    </row>
    <row r="90" spans="1:16" ht="11.25" customHeight="1" x14ac:dyDescent="0.25">
      <c r="A90" s="49">
        <v>89</v>
      </c>
      <c r="B90" s="49" t="s">
        <v>672</v>
      </c>
      <c r="C90" s="49" t="s">
        <v>22</v>
      </c>
      <c r="D90" s="49" t="s">
        <v>91</v>
      </c>
      <c r="E90" s="49" t="s">
        <v>24</v>
      </c>
      <c r="F90" s="49" t="s">
        <v>32</v>
      </c>
      <c r="G90" s="49" t="s">
        <v>25</v>
      </c>
      <c r="H90" s="49" t="s">
        <v>25</v>
      </c>
      <c r="I90" s="49" t="s">
        <v>25</v>
      </c>
      <c r="J90" s="49" t="s">
        <v>787</v>
      </c>
      <c r="K90" s="49" t="s">
        <v>786</v>
      </c>
      <c r="L90" s="49" t="s">
        <v>79</v>
      </c>
      <c r="M90" s="49">
        <v>2021</v>
      </c>
      <c r="N90" s="49">
        <v>1</v>
      </c>
      <c r="O90" s="49">
        <v>107.79</v>
      </c>
      <c r="P90" s="49"/>
    </row>
    <row r="91" spans="1:16" ht="11.25" customHeight="1" x14ac:dyDescent="0.25">
      <c r="A91" s="49">
        <v>90</v>
      </c>
      <c r="B91" s="49" t="s">
        <v>672</v>
      </c>
      <c r="C91" s="49" t="s">
        <v>45</v>
      </c>
      <c r="D91" s="49" t="s">
        <v>78</v>
      </c>
      <c r="E91" s="49" t="s">
        <v>46</v>
      </c>
      <c r="F91" s="49" t="s">
        <v>25</v>
      </c>
      <c r="G91" s="49" t="s">
        <v>25</v>
      </c>
      <c r="H91" s="49" t="s">
        <v>25</v>
      </c>
      <c r="I91" s="49" t="s">
        <v>34</v>
      </c>
      <c r="J91" s="49" t="s">
        <v>787</v>
      </c>
      <c r="K91" s="49" t="s">
        <v>786</v>
      </c>
      <c r="L91" s="49" t="s">
        <v>79</v>
      </c>
      <c r="M91" s="49">
        <v>2021</v>
      </c>
      <c r="N91" s="49">
        <v>1</v>
      </c>
      <c r="O91" s="49">
        <v>140.29</v>
      </c>
      <c r="P91" s="49"/>
    </row>
    <row r="92" spans="1:16" ht="11.25" customHeight="1" x14ac:dyDescent="0.25">
      <c r="A92" s="49">
        <v>91</v>
      </c>
      <c r="B92" s="49" t="s">
        <v>672</v>
      </c>
      <c r="C92" s="49" t="s">
        <v>45</v>
      </c>
      <c r="D92" s="49" t="s">
        <v>78</v>
      </c>
      <c r="E92" s="49" t="s">
        <v>46</v>
      </c>
      <c r="F92" s="49" t="s">
        <v>25</v>
      </c>
      <c r="G92" s="49" t="s">
        <v>25</v>
      </c>
      <c r="H92" s="49" t="s">
        <v>25</v>
      </c>
      <c r="I92" s="49" t="s">
        <v>36</v>
      </c>
      <c r="J92" s="49" t="s">
        <v>787</v>
      </c>
      <c r="K92" s="49" t="s">
        <v>786</v>
      </c>
      <c r="L92" s="49" t="s">
        <v>79</v>
      </c>
      <c r="M92" s="49">
        <v>2021</v>
      </c>
      <c r="N92" s="49">
        <v>1</v>
      </c>
      <c r="O92" s="49">
        <v>90.73</v>
      </c>
      <c r="P92" s="49"/>
    </row>
    <row r="93" spans="1:16" ht="11.25" customHeight="1" x14ac:dyDescent="0.25">
      <c r="A93" s="49">
        <v>92</v>
      </c>
      <c r="B93" s="49" t="s">
        <v>672</v>
      </c>
      <c r="C93" s="49" t="s">
        <v>45</v>
      </c>
      <c r="D93" s="49" t="s">
        <v>78</v>
      </c>
      <c r="E93" s="49" t="s">
        <v>46</v>
      </c>
      <c r="F93" s="49" t="s">
        <v>25</v>
      </c>
      <c r="G93" s="49" t="s">
        <v>25</v>
      </c>
      <c r="H93" s="49" t="s">
        <v>25</v>
      </c>
      <c r="I93" s="49" t="s">
        <v>35</v>
      </c>
      <c r="J93" s="49" t="s">
        <v>787</v>
      </c>
      <c r="K93" s="49" t="s">
        <v>786</v>
      </c>
      <c r="L93" s="49" t="s">
        <v>79</v>
      </c>
      <c r="M93" s="49">
        <v>2021</v>
      </c>
      <c r="N93" s="49">
        <v>1</v>
      </c>
      <c r="O93" s="49">
        <v>90.73</v>
      </c>
      <c r="P93" s="49"/>
    </row>
    <row r="94" spans="1:16" ht="11.25" customHeight="1" x14ac:dyDescent="0.25">
      <c r="A94" s="49">
        <v>93</v>
      </c>
      <c r="B94" s="49" t="s">
        <v>672</v>
      </c>
      <c r="C94" s="49" t="s">
        <v>45</v>
      </c>
      <c r="D94" s="49" t="s">
        <v>86</v>
      </c>
      <c r="E94" s="49" t="s">
        <v>46</v>
      </c>
      <c r="F94" s="49" t="s">
        <v>25</v>
      </c>
      <c r="G94" s="49" t="s">
        <v>25</v>
      </c>
      <c r="H94" s="49" t="s">
        <v>25</v>
      </c>
      <c r="I94" s="49" t="s">
        <v>25</v>
      </c>
      <c r="J94" s="49" t="s">
        <v>787</v>
      </c>
      <c r="K94" s="49" t="s">
        <v>786</v>
      </c>
      <c r="L94" s="49" t="s">
        <v>79</v>
      </c>
      <c r="M94" s="49">
        <v>2021</v>
      </c>
      <c r="N94" s="49">
        <v>1</v>
      </c>
      <c r="O94" s="49">
        <v>94.86</v>
      </c>
      <c r="P94" s="49"/>
    </row>
    <row r="95" spans="1:16" ht="11.25" customHeight="1" x14ac:dyDescent="0.25">
      <c r="A95" s="49">
        <v>94</v>
      </c>
      <c r="B95" s="49" t="s">
        <v>672</v>
      </c>
      <c r="C95" s="49" t="s">
        <v>45</v>
      </c>
      <c r="D95" s="49" t="s">
        <v>78</v>
      </c>
      <c r="E95" s="49" t="s">
        <v>46</v>
      </c>
      <c r="F95" s="49" t="s">
        <v>93</v>
      </c>
      <c r="G95" s="49" t="s">
        <v>25</v>
      </c>
      <c r="H95" s="49" t="s">
        <v>25</v>
      </c>
      <c r="I95" s="49" t="s">
        <v>34</v>
      </c>
      <c r="J95" s="49" t="s">
        <v>787</v>
      </c>
      <c r="K95" s="49" t="s">
        <v>786</v>
      </c>
      <c r="L95" s="49" t="s">
        <v>79</v>
      </c>
      <c r="M95" s="49">
        <v>2021</v>
      </c>
      <c r="N95" s="49">
        <v>1</v>
      </c>
      <c r="O95" s="49">
        <v>140.29</v>
      </c>
      <c r="P95" s="49"/>
    </row>
    <row r="96" spans="1:16" ht="11.25" customHeight="1" x14ac:dyDescent="0.25">
      <c r="A96" s="49">
        <v>95</v>
      </c>
      <c r="B96" s="49" t="s">
        <v>672</v>
      </c>
      <c r="C96" s="49" t="s">
        <v>45</v>
      </c>
      <c r="D96" s="49" t="s">
        <v>78</v>
      </c>
      <c r="E96" s="49" t="s">
        <v>46</v>
      </c>
      <c r="F96" s="49" t="s">
        <v>93</v>
      </c>
      <c r="G96" s="49" t="s">
        <v>25</v>
      </c>
      <c r="H96" s="49" t="s">
        <v>25</v>
      </c>
      <c r="I96" s="49" t="s">
        <v>36</v>
      </c>
      <c r="J96" s="49" t="s">
        <v>787</v>
      </c>
      <c r="K96" s="49" t="s">
        <v>786</v>
      </c>
      <c r="L96" s="49" t="s">
        <v>79</v>
      </c>
      <c r="M96" s="49">
        <v>2021</v>
      </c>
      <c r="N96" s="49">
        <v>1</v>
      </c>
      <c r="O96" s="49">
        <v>90.73</v>
      </c>
      <c r="P96" s="49"/>
    </row>
    <row r="97" spans="1:16" ht="11.25" customHeight="1" x14ac:dyDescent="0.25">
      <c r="A97" s="49">
        <v>96</v>
      </c>
      <c r="B97" s="49" t="s">
        <v>672</v>
      </c>
      <c r="C97" s="49" t="s">
        <v>45</v>
      </c>
      <c r="D97" s="49" t="s">
        <v>78</v>
      </c>
      <c r="E97" s="49" t="s">
        <v>46</v>
      </c>
      <c r="F97" s="49" t="s">
        <v>93</v>
      </c>
      <c r="G97" s="49" t="s">
        <v>25</v>
      </c>
      <c r="H97" s="49" t="s">
        <v>25</v>
      </c>
      <c r="I97" s="49" t="s">
        <v>35</v>
      </c>
      <c r="J97" s="49" t="s">
        <v>787</v>
      </c>
      <c r="K97" s="49" t="s">
        <v>786</v>
      </c>
      <c r="L97" s="49" t="s">
        <v>79</v>
      </c>
      <c r="M97" s="49">
        <v>2021</v>
      </c>
      <c r="N97" s="49">
        <v>1</v>
      </c>
      <c r="O97" s="49">
        <v>90.73</v>
      </c>
      <c r="P97" s="49"/>
    </row>
    <row r="98" spans="1:16" ht="11.25" customHeight="1" x14ac:dyDescent="0.25">
      <c r="A98" s="49">
        <v>97</v>
      </c>
      <c r="B98" s="49" t="s">
        <v>672</v>
      </c>
      <c r="C98" s="49" t="s">
        <v>45</v>
      </c>
      <c r="D98" s="49" t="s">
        <v>86</v>
      </c>
      <c r="E98" s="49" t="s">
        <v>46</v>
      </c>
      <c r="F98" s="49" t="s">
        <v>93</v>
      </c>
      <c r="G98" s="49" t="s">
        <v>25</v>
      </c>
      <c r="H98" s="49" t="s">
        <v>25</v>
      </c>
      <c r="I98" s="49" t="s">
        <v>25</v>
      </c>
      <c r="J98" s="49" t="s">
        <v>787</v>
      </c>
      <c r="K98" s="49" t="s">
        <v>786</v>
      </c>
      <c r="L98" s="49" t="s">
        <v>79</v>
      </c>
      <c r="M98" s="49">
        <v>2021</v>
      </c>
      <c r="N98" s="49">
        <v>1</v>
      </c>
      <c r="O98" s="49">
        <v>94.86</v>
      </c>
      <c r="P98" s="49"/>
    </row>
    <row r="99" spans="1:16" ht="11.25" customHeight="1" x14ac:dyDescent="0.25">
      <c r="A99" s="49">
        <v>98</v>
      </c>
      <c r="B99" s="49" t="s">
        <v>672</v>
      </c>
      <c r="C99" s="49" t="s">
        <v>45</v>
      </c>
      <c r="D99" s="49" t="s">
        <v>78</v>
      </c>
      <c r="E99" s="49" t="s">
        <v>46</v>
      </c>
      <c r="F99" s="49" t="s">
        <v>94</v>
      </c>
      <c r="G99" s="49" t="s">
        <v>25</v>
      </c>
      <c r="H99" s="49" t="s">
        <v>25</v>
      </c>
      <c r="I99" s="49" t="s">
        <v>34</v>
      </c>
      <c r="J99" s="49" t="s">
        <v>787</v>
      </c>
      <c r="K99" s="49" t="s">
        <v>786</v>
      </c>
      <c r="L99" s="49" t="s">
        <v>79</v>
      </c>
      <c r="M99" s="49">
        <v>2021</v>
      </c>
      <c r="N99" s="49">
        <v>1</v>
      </c>
      <c r="O99" s="49">
        <v>133.91999999999999</v>
      </c>
      <c r="P99" s="49"/>
    </row>
    <row r="100" spans="1:16" ht="11.25" customHeight="1" x14ac:dyDescent="0.25">
      <c r="A100" s="49">
        <v>99</v>
      </c>
      <c r="B100" s="49" t="s">
        <v>672</v>
      </c>
      <c r="C100" s="49" t="s">
        <v>45</v>
      </c>
      <c r="D100" s="49" t="s">
        <v>78</v>
      </c>
      <c r="E100" s="49" t="s">
        <v>46</v>
      </c>
      <c r="F100" s="49" t="s">
        <v>94</v>
      </c>
      <c r="G100" s="49" t="s">
        <v>25</v>
      </c>
      <c r="H100" s="49" t="s">
        <v>25</v>
      </c>
      <c r="I100" s="49" t="s">
        <v>36</v>
      </c>
      <c r="J100" s="49" t="s">
        <v>787</v>
      </c>
      <c r="K100" s="49" t="s">
        <v>786</v>
      </c>
      <c r="L100" s="49" t="s">
        <v>79</v>
      </c>
      <c r="M100" s="49">
        <v>2021</v>
      </c>
      <c r="N100" s="49">
        <v>1</v>
      </c>
      <c r="O100" s="49">
        <v>86.6</v>
      </c>
      <c r="P100" s="49"/>
    </row>
    <row r="101" spans="1:16" ht="11.25" customHeight="1" x14ac:dyDescent="0.25">
      <c r="A101" s="49">
        <v>100</v>
      </c>
      <c r="B101" s="49" t="s">
        <v>672</v>
      </c>
      <c r="C101" s="49" t="s">
        <v>45</v>
      </c>
      <c r="D101" s="49" t="s">
        <v>78</v>
      </c>
      <c r="E101" s="49" t="s">
        <v>46</v>
      </c>
      <c r="F101" s="49" t="s">
        <v>94</v>
      </c>
      <c r="G101" s="49" t="s">
        <v>25</v>
      </c>
      <c r="H101" s="49" t="s">
        <v>25</v>
      </c>
      <c r="I101" s="49" t="s">
        <v>35</v>
      </c>
      <c r="J101" s="49" t="s">
        <v>787</v>
      </c>
      <c r="K101" s="49" t="s">
        <v>786</v>
      </c>
      <c r="L101" s="49" t="s">
        <v>79</v>
      </c>
      <c r="M101" s="49">
        <v>2021</v>
      </c>
      <c r="N101" s="49">
        <v>1</v>
      </c>
      <c r="O101" s="49">
        <v>86.6</v>
      </c>
      <c r="P101" s="49"/>
    </row>
    <row r="102" spans="1:16" ht="11.25" customHeight="1" x14ac:dyDescent="0.25">
      <c r="A102" s="49">
        <v>101</v>
      </c>
      <c r="B102" s="49" t="s">
        <v>672</v>
      </c>
      <c r="C102" s="49" t="s">
        <v>45</v>
      </c>
      <c r="D102" s="49" t="s">
        <v>86</v>
      </c>
      <c r="E102" s="49" t="s">
        <v>46</v>
      </c>
      <c r="F102" s="49" t="s">
        <v>94</v>
      </c>
      <c r="G102" s="49" t="s">
        <v>25</v>
      </c>
      <c r="H102" s="49" t="s">
        <v>25</v>
      </c>
      <c r="I102" s="49" t="s">
        <v>25</v>
      </c>
      <c r="J102" s="49" t="s">
        <v>787</v>
      </c>
      <c r="K102" s="49" t="s">
        <v>786</v>
      </c>
      <c r="L102" s="49" t="s">
        <v>79</v>
      </c>
      <c r="M102" s="49">
        <v>2021</v>
      </c>
      <c r="N102" s="49">
        <v>1</v>
      </c>
      <c r="O102" s="49">
        <v>90.54</v>
      </c>
      <c r="P102" s="49"/>
    </row>
    <row r="103" spans="1:16" ht="11.25" customHeight="1" x14ac:dyDescent="0.25">
      <c r="A103" s="49">
        <v>102</v>
      </c>
      <c r="B103" s="49" t="s">
        <v>672</v>
      </c>
      <c r="C103" s="49" t="s">
        <v>45</v>
      </c>
      <c r="D103" s="49" t="s">
        <v>91</v>
      </c>
      <c r="E103" s="49" t="s">
        <v>46</v>
      </c>
      <c r="F103" s="49" t="s">
        <v>25</v>
      </c>
      <c r="G103" s="49" t="s">
        <v>25</v>
      </c>
      <c r="H103" s="49" t="s">
        <v>25</v>
      </c>
      <c r="I103" s="49" t="s">
        <v>25</v>
      </c>
      <c r="J103" s="49" t="s">
        <v>787</v>
      </c>
      <c r="K103" s="49" t="s">
        <v>786</v>
      </c>
      <c r="L103" s="49" t="s">
        <v>79</v>
      </c>
      <c r="M103" s="49">
        <v>2021</v>
      </c>
      <c r="N103" s="49">
        <v>1</v>
      </c>
      <c r="O103" s="49">
        <v>94.86</v>
      </c>
      <c r="P103" s="49"/>
    </row>
    <row r="104" spans="1:16" ht="11.25" customHeight="1" x14ac:dyDescent="0.25">
      <c r="A104" s="49">
        <v>103</v>
      </c>
      <c r="B104" s="49" t="s">
        <v>672</v>
      </c>
      <c r="C104" s="49" t="s">
        <v>45</v>
      </c>
      <c r="D104" s="49" t="s">
        <v>91</v>
      </c>
      <c r="E104" s="49" t="s">
        <v>46</v>
      </c>
      <c r="F104" s="49" t="s">
        <v>93</v>
      </c>
      <c r="G104" s="49" t="s">
        <v>25</v>
      </c>
      <c r="H104" s="49" t="s">
        <v>25</v>
      </c>
      <c r="I104" s="49" t="s">
        <v>25</v>
      </c>
      <c r="J104" s="49" t="s">
        <v>787</v>
      </c>
      <c r="K104" s="49" t="s">
        <v>786</v>
      </c>
      <c r="L104" s="49" t="s">
        <v>79</v>
      </c>
      <c r="M104" s="49">
        <v>2021</v>
      </c>
      <c r="N104" s="49">
        <v>1</v>
      </c>
      <c r="O104" s="49">
        <v>94.86</v>
      </c>
      <c r="P104" s="49"/>
    </row>
    <row r="105" spans="1:16" ht="11.25" customHeight="1" x14ac:dyDescent="0.25">
      <c r="A105" s="49">
        <v>104</v>
      </c>
      <c r="B105" s="49" t="s">
        <v>672</v>
      </c>
      <c r="C105" s="49" t="s">
        <v>45</v>
      </c>
      <c r="D105" s="49" t="s">
        <v>91</v>
      </c>
      <c r="E105" s="49" t="s">
        <v>46</v>
      </c>
      <c r="F105" s="49" t="s">
        <v>94</v>
      </c>
      <c r="G105" s="49" t="s">
        <v>25</v>
      </c>
      <c r="H105" s="49" t="s">
        <v>25</v>
      </c>
      <c r="I105" s="49" t="s">
        <v>25</v>
      </c>
      <c r="J105" s="49" t="s">
        <v>787</v>
      </c>
      <c r="K105" s="49" t="s">
        <v>786</v>
      </c>
      <c r="L105" s="49" t="s">
        <v>79</v>
      </c>
      <c r="M105" s="49">
        <v>2021</v>
      </c>
      <c r="N105" s="49">
        <v>1</v>
      </c>
      <c r="O105" s="49">
        <v>90.54</v>
      </c>
      <c r="P105" s="49"/>
    </row>
    <row r="106" spans="1:16" ht="11.25" customHeight="1" x14ac:dyDescent="0.25">
      <c r="A106" s="49">
        <v>105</v>
      </c>
      <c r="B106" s="49" t="s">
        <v>672</v>
      </c>
      <c r="C106" s="49" t="s">
        <v>37</v>
      </c>
      <c r="D106" s="49" t="s">
        <v>78</v>
      </c>
      <c r="E106" s="49" t="s">
        <v>25</v>
      </c>
      <c r="F106" s="49" t="s">
        <v>25</v>
      </c>
      <c r="G106" s="49" t="s">
        <v>25</v>
      </c>
      <c r="H106" s="49" t="s">
        <v>25</v>
      </c>
      <c r="I106" s="49" t="s">
        <v>34</v>
      </c>
      <c r="J106" s="49" t="s">
        <v>787</v>
      </c>
      <c r="K106" s="49" t="s">
        <v>786</v>
      </c>
      <c r="L106" s="49" t="s">
        <v>79</v>
      </c>
      <c r="M106" s="49">
        <v>2021</v>
      </c>
      <c r="N106" s="49">
        <v>1</v>
      </c>
      <c r="O106" s="49">
        <v>159.43</v>
      </c>
      <c r="P106" s="49"/>
    </row>
    <row r="107" spans="1:16" ht="11.25" customHeight="1" x14ac:dyDescent="0.25">
      <c r="A107" s="49">
        <v>106</v>
      </c>
      <c r="B107" s="49" t="s">
        <v>672</v>
      </c>
      <c r="C107" s="49" t="s">
        <v>37</v>
      </c>
      <c r="D107" s="49" t="s">
        <v>78</v>
      </c>
      <c r="E107" s="49" t="s">
        <v>25</v>
      </c>
      <c r="F107" s="49" t="s">
        <v>25</v>
      </c>
      <c r="G107" s="49" t="s">
        <v>25</v>
      </c>
      <c r="H107" s="49" t="s">
        <v>25</v>
      </c>
      <c r="I107" s="49" t="s">
        <v>36</v>
      </c>
      <c r="J107" s="49" t="s">
        <v>787</v>
      </c>
      <c r="K107" s="49" t="s">
        <v>786</v>
      </c>
      <c r="L107" s="49" t="s">
        <v>79</v>
      </c>
      <c r="M107" s="49">
        <v>2021</v>
      </c>
      <c r="N107" s="49">
        <v>1</v>
      </c>
      <c r="O107" s="49">
        <v>103.1</v>
      </c>
      <c r="P107" s="49"/>
    </row>
    <row r="108" spans="1:16" ht="11.25" customHeight="1" x14ac:dyDescent="0.25">
      <c r="A108" s="49">
        <v>107</v>
      </c>
      <c r="B108" s="49" t="s">
        <v>672</v>
      </c>
      <c r="C108" s="49" t="s">
        <v>37</v>
      </c>
      <c r="D108" s="49" t="s">
        <v>78</v>
      </c>
      <c r="E108" s="49" t="s">
        <v>25</v>
      </c>
      <c r="F108" s="49" t="s">
        <v>25</v>
      </c>
      <c r="G108" s="49" t="s">
        <v>25</v>
      </c>
      <c r="H108" s="49" t="s">
        <v>25</v>
      </c>
      <c r="I108" s="49" t="s">
        <v>35</v>
      </c>
      <c r="J108" s="49" t="s">
        <v>787</v>
      </c>
      <c r="K108" s="49" t="s">
        <v>786</v>
      </c>
      <c r="L108" s="49" t="s">
        <v>79</v>
      </c>
      <c r="M108" s="49">
        <v>2021</v>
      </c>
      <c r="N108" s="49">
        <v>1</v>
      </c>
      <c r="O108" s="49">
        <v>103.1</v>
      </c>
      <c r="P108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8DCD-372A-4600-99C1-EB5F11996BEF}">
  <sheetPr codeName="Planilha4"/>
  <dimension ref="A1:AD65"/>
  <sheetViews>
    <sheetView showGridLines="0" workbookViewId="0">
      <selection sqref="A1:W6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67</v>
      </c>
      <c r="B1" s="10" t="s">
        <v>68</v>
      </c>
      <c r="C1" s="10" t="s">
        <v>69</v>
      </c>
      <c r="D1" s="10" t="s">
        <v>70</v>
      </c>
      <c r="E1" s="10" t="s">
        <v>71</v>
      </c>
      <c r="F1" s="10" t="s">
        <v>72</v>
      </c>
      <c r="G1" s="10" t="s">
        <v>73</v>
      </c>
      <c r="H1" s="10" t="s">
        <v>74</v>
      </c>
      <c r="I1" s="11">
        <v>44531</v>
      </c>
      <c r="J1" s="11">
        <v>44562</v>
      </c>
      <c r="K1" s="11">
        <v>44593</v>
      </c>
      <c r="L1" s="11">
        <v>44621</v>
      </c>
      <c r="M1" s="11">
        <v>44652</v>
      </c>
      <c r="N1" s="11">
        <v>44682</v>
      </c>
      <c r="O1" s="11">
        <v>44713</v>
      </c>
      <c r="P1" s="11">
        <v>44743</v>
      </c>
      <c r="Q1" s="11">
        <v>44774</v>
      </c>
      <c r="R1" s="11">
        <v>44805</v>
      </c>
      <c r="S1" s="11">
        <v>44835</v>
      </c>
      <c r="T1" s="11">
        <v>44866</v>
      </c>
      <c r="U1" s="10" t="s">
        <v>75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57</v>
      </c>
      <c r="B2" s="103" t="s">
        <v>58</v>
      </c>
      <c r="C2" s="103" t="s">
        <v>25</v>
      </c>
      <c r="D2" s="103" t="s">
        <v>25</v>
      </c>
      <c r="E2" s="103" t="s">
        <v>25</v>
      </c>
      <c r="F2" s="12" t="s">
        <v>59</v>
      </c>
      <c r="G2" s="13" t="s">
        <v>9</v>
      </c>
      <c r="H2" s="13" t="s">
        <v>76</v>
      </c>
      <c r="I2" s="13">
        <f>SUMIF(Mercado_Receita!$S$2:$S$1039,"44531A2GeraçãoNão se aplicaNão se aplicaNão se aplicaUHE COARACY NUNESNão se aplica",Mercado_Receita!$J$2:$J$1039)+SUMIF(Mercado_Receita!$S$2:$S$1039,"44531A2GeraçãoNão se aplicaNão se aplicaAPEUHE COARACY NUNESNão se aplica",Mercado_Receita!$J$2:$J$1039)</f>
        <v>77720</v>
      </c>
      <c r="J2" s="13">
        <f>SUMIF(Mercado_Receita!$S$2:$S$1039,"44562A2GeraçãoNão se aplicaNão se aplicaNão se aplicaUHE COARACY NUNESNão se aplica",Mercado_Receita!$J$2:$J$1039)+SUMIF(Mercado_Receita!$S$2:$S$1039,"44562A2GeraçãoNão se aplicaNão se aplicaAPEUHE COARACY NUNESNão se aplica",Mercado_Receita!$J$2:$J$1039)</f>
        <v>77720</v>
      </c>
      <c r="K2" s="13">
        <f>SUMIF(Mercado_Receita!$S$2:$S$1039,"44593A2GeraçãoNão se aplicaNão se aplicaNão se aplicaUHE COARACY NUNESNão se aplica",Mercado_Receita!$J$2:$J$1039)+SUMIF(Mercado_Receita!$S$2:$S$1039,"44593A2GeraçãoNão se aplicaNão se aplicaAPEUHE COARACY NUNESNão se aplica",Mercado_Receita!$J$2:$J$1039)</f>
        <v>77720</v>
      </c>
      <c r="L2" s="13">
        <f>SUMIF(Mercado_Receita!$S$2:$S$1039,"44621A2GeraçãoNão se aplicaNão se aplicaNão se aplicaUHE COARACY NUNESNão se aplica",Mercado_Receita!$J$2:$J$1039)+SUMIF(Mercado_Receita!$S$2:$S$1039,"44621A2GeraçãoNão se aplicaNão se aplicaAPEUHE COARACY NUNESNão se aplica",Mercado_Receita!$J$2:$J$1039)</f>
        <v>77720</v>
      </c>
      <c r="M2" s="13">
        <f>SUMIF(Mercado_Receita!$S$2:$S$1039,"44652A2GeraçãoNão se aplicaNão se aplicaNão se aplicaUHE COARACY NUNESNão se aplica",Mercado_Receita!$J$2:$J$1039)+SUMIF(Mercado_Receita!$S$2:$S$1039,"44652A2GeraçãoNão se aplicaNão se aplicaAPEUHE COARACY NUNESNão se aplica",Mercado_Receita!$J$2:$J$1039)</f>
        <v>77720</v>
      </c>
      <c r="N2" s="13">
        <f>SUMIF(Mercado_Receita!$S$2:$S$1039,"44682A2GeraçãoNão se aplicaNão se aplicaNão se aplicaUHE COARACY NUNESNão se aplica",Mercado_Receita!$J$2:$J$1039)+SUMIF(Mercado_Receita!$S$2:$S$1039,"44682A2GeraçãoNão se aplicaNão se aplicaAPEUHE COARACY NUNESNão se aplica",Mercado_Receita!$J$2:$J$1039)</f>
        <v>77720</v>
      </c>
      <c r="O2" s="13">
        <f>SUMIF(Mercado_Receita!$S$2:$S$1039,"44713A2GeraçãoNão se aplicaNão se aplicaNão se aplicaUHE COARACY NUNESNão se aplica",Mercado_Receita!$J$2:$J$1039)+SUMIF(Mercado_Receita!$S$2:$S$1039,"44713A2GeraçãoNão se aplicaNão se aplicaAPEUHE COARACY NUNESNão se aplica",Mercado_Receita!$J$2:$J$1039)</f>
        <v>77720</v>
      </c>
      <c r="P2" s="13">
        <f>SUMIF(Mercado_Receita!$S$2:$S$1039,"44743A2GeraçãoNão se aplicaNão se aplicaNão se aplicaUHE COARACY NUNESNão se aplica",Mercado_Receita!$J$2:$J$1039)+SUMIF(Mercado_Receita!$S$2:$S$1039,"44743A2GeraçãoNão se aplicaNão se aplicaAPEUHE COARACY NUNESNão se aplica",Mercado_Receita!$J$2:$J$1039)</f>
        <v>77720</v>
      </c>
      <c r="Q2" s="13">
        <f>SUMIF(Mercado_Receita!$S$2:$S$1039,"44774A2GeraçãoNão se aplicaNão se aplicaNão se aplicaUHE COARACY NUNESNão se aplica",Mercado_Receita!$J$2:$J$1039)+SUMIF(Mercado_Receita!$S$2:$S$1039,"44774A2GeraçãoNão se aplicaNão se aplicaAPEUHE COARACY NUNESNão se aplica",Mercado_Receita!$J$2:$J$1039)</f>
        <v>77720</v>
      </c>
      <c r="R2" s="13">
        <f>SUMIF(Mercado_Receita!$S$2:$S$1039,"44805A2GeraçãoNão se aplicaNão se aplicaNão se aplicaUHE COARACY NUNESNão se aplica",Mercado_Receita!$J$2:$J$1039)+SUMIF(Mercado_Receita!$S$2:$S$1039,"44805A2GeraçãoNão se aplicaNão se aplicaAPEUHE COARACY NUNESNão se aplica",Mercado_Receita!$J$2:$J$1039)</f>
        <v>77720</v>
      </c>
      <c r="S2" s="13">
        <f>SUMIF(Mercado_Receita!$S$2:$S$1039,"44835A2GeraçãoNão se aplicaNão se aplicaNão se aplicaUHE COARACY NUNESNão se aplica",Mercado_Receita!$J$2:$J$1039)+SUMIF(Mercado_Receita!$S$2:$S$1039,"44835A2GeraçãoNão se aplicaNão se aplicaAPEUHE COARACY NUNESNão se aplica",Mercado_Receita!$J$2:$J$1039)</f>
        <v>77720</v>
      </c>
      <c r="T2" s="13">
        <f>SUMIF(Mercado_Receita!$S$2:$S$1039,"44866A2GeraçãoNão se aplicaNão se aplicaNão se aplicaUHE COARACY NUNESNão se aplica",Mercado_Receita!$J$2:$J$1039)+SUMIF(Mercado_Receita!$S$2:$S$1039,"44866A2GeraçãoNão se aplicaNão se aplicaAPEUHE COARACY NUNESNão se aplica",Mercado_Receita!$J$2:$J$1039)</f>
        <v>77720</v>
      </c>
      <c r="U2" s="13">
        <f t="shared" ref="U2:U33" si="0">SUM(I2:T2)</f>
        <v>932640</v>
      </c>
      <c r="V2" s="13"/>
      <c r="W2" s="13"/>
    </row>
    <row r="3" spans="1:30" ht="11.25" customHeight="1" x14ac:dyDescent="0.25">
      <c r="A3" s="104"/>
      <c r="B3" s="104"/>
      <c r="C3" s="104"/>
      <c r="D3" s="104"/>
      <c r="E3" s="104"/>
      <c r="F3" s="12" t="s">
        <v>77</v>
      </c>
      <c r="G3" s="13" t="s">
        <v>9</v>
      </c>
      <c r="H3" s="13" t="s">
        <v>76</v>
      </c>
      <c r="I3" s="13">
        <f>SUMIF(Mercado_Receita!$S$2:$S$1039,"44531A2GeraçãoNão se aplicaNão se aplicaNão se aplicaNOVO GERADORNão se aplica",Mercado_Receita!$J$2:$J$1039)+SUMIF(Mercado_Receita!$S$2:$S$1039,"44531A2GeraçãoNão se aplicaNão se aplicaAPENOVO GERADORNão se aplica",Mercado_Receita!$J$2:$J$1039)</f>
        <v>0</v>
      </c>
      <c r="J3" s="13">
        <f>SUMIF(Mercado_Receita!$S$2:$S$1039,"44562A2GeraçãoNão se aplicaNão se aplicaNão se aplicaNOVO GERADORNão se aplica",Mercado_Receita!$J$2:$J$1039)+SUMIF(Mercado_Receita!$S$2:$S$1039,"44562A2GeraçãoNão se aplicaNão se aplicaAPENOVO GERADORNão se aplica",Mercado_Receita!$J$2:$J$1039)</f>
        <v>0</v>
      </c>
      <c r="K3" s="13">
        <f>SUMIF(Mercado_Receita!$S$2:$S$1039,"44593A2GeraçãoNão se aplicaNão se aplicaNão se aplicaNOVO GERADORNão se aplica",Mercado_Receita!$J$2:$J$1039)+SUMIF(Mercado_Receita!$S$2:$S$1039,"44593A2GeraçãoNão se aplicaNão se aplicaAPENOVO GERADORNão se aplica",Mercado_Receita!$J$2:$J$1039)</f>
        <v>0</v>
      </c>
      <c r="L3" s="13">
        <f>SUMIF(Mercado_Receita!$S$2:$S$1039,"44621A2GeraçãoNão se aplicaNão se aplicaNão se aplicaNOVO GERADORNão se aplica",Mercado_Receita!$J$2:$J$1039)+SUMIF(Mercado_Receita!$S$2:$S$1039,"44621A2GeraçãoNão se aplicaNão se aplicaAPENOVO GERADORNão se aplica",Mercado_Receita!$J$2:$J$1039)</f>
        <v>0</v>
      </c>
      <c r="M3" s="13">
        <f>SUMIF(Mercado_Receita!$S$2:$S$1039,"44652A2GeraçãoNão se aplicaNão se aplicaNão se aplicaNOVO GERADORNão se aplica",Mercado_Receita!$J$2:$J$1039)+SUMIF(Mercado_Receita!$S$2:$S$1039,"44652A2GeraçãoNão se aplicaNão se aplicaAPENOVO GERADORNão se aplica",Mercado_Receita!$J$2:$J$1039)</f>
        <v>0</v>
      </c>
      <c r="N3" s="13">
        <f>SUMIF(Mercado_Receita!$S$2:$S$1039,"44682A2GeraçãoNão se aplicaNão se aplicaNão se aplicaNOVO GERADORNão se aplica",Mercado_Receita!$J$2:$J$1039)+SUMIF(Mercado_Receita!$S$2:$S$1039,"44682A2GeraçãoNão se aplicaNão se aplicaAPENOVO GERADORNão se aplica",Mercado_Receita!$J$2:$J$1039)</f>
        <v>0</v>
      </c>
      <c r="O3" s="13">
        <f>SUMIF(Mercado_Receita!$S$2:$S$1039,"44713A2GeraçãoNão se aplicaNão se aplicaNão se aplicaNOVO GERADORNão se aplica",Mercado_Receita!$J$2:$J$1039)+SUMIF(Mercado_Receita!$S$2:$S$1039,"44713A2GeraçãoNão se aplicaNão se aplicaAPENOVO GERADORNão se aplica",Mercado_Receita!$J$2:$J$1039)</f>
        <v>0</v>
      </c>
      <c r="P3" s="13">
        <f>SUMIF(Mercado_Receita!$S$2:$S$1039,"44743A2GeraçãoNão se aplicaNão se aplicaNão se aplicaNOVO GERADORNão se aplica",Mercado_Receita!$J$2:$J$1039)+SUMIF(Mercado_Receita!$S$2:$S$1039,"44743A2GeraçãoNão se aplicaNão se aplicaAPENOVO GERADORNão se aplica",Mercado_Receita!$J$2:$J$1039)</f>
        <v>0</v>
      </c>
      <c r="Q3" s="13">
        <f>SUMIF(Mercado_Receita!$S$2:$S$1039,"44774A2GeraçãoNão se aplicaNão se aplicaNão se aplicaNOVO GERADORNão se aplica",Mercado_Receita!$J$2:$J$1039)+SUMIF(Mercado_Receita!$S$2:$S$1039,"44774A2GeraçãoNão se aplicaNão se aplicaAPENOVO GERADORNão se aplica",Mercado_Receita!$J$2:$J$1039)</f>
        <v>0</v>
      </c>
      <c r="R3" s="13">
        <f>SUMIF(Mercado_Receita!$S$2:$S$1039,"44805A2GeraçãoNão se aplicaNão se aplicaNão se aplicaNOVO GERADORNão se aplica",Mercado_Receita!$J$2:$J$1039)+SUMIF(Mercado_Receita!$S$2:$S$1039,"44805A2GeraçãoNão se aplicaNão se aplicaAPENOVO GERADORNão se aplica",Mercado_Receita!$J$2:$J$1039)</f>
        <v>0</v>
      </c>
      <c r="S3" s="13">
        <f>SUMIF(Mercado_Receita!$S$2:$S$1039,"44835A2GeraçãoNão se aplicaNão se aplicaNão se aplicaNOVO GERADORNão se aplica",Mercado_Receita!$J$2:$J$1039)+SUMIF(Mercado_Receita!$S$2:$S$1039,"44835A2GeraçãoNão se aplicaNão se aplicaAPENOVO GERADORNão se aplica",Mercado_Receita!$J$2:$J$1039)</f>
        <v>0</v>
      </c>
      <c r="T3" s="13">
        <f>SUMIF(Mercado_Receita!$S$2:$S$1039,"44866A2GeraçãoNão se aplicaNão se aplicaNão se aplicaNOVO GERADORNão se aplica",Mercado_Receita!$J$2:$J$1039)+SUMIF(Mercado_Receita!$S$2:$S$1039,"44866A2GeraçãoNão se aplicaNão se aplicaAPENOVO GERADORNão se aplica",Mercado_Receita!$J$2:$J$1039)</f>
        <v>0</v>
      </c>
      <c r="U3" s="13">
        <f t="shared" si="0"/>
        <v>0</v>
      </c>
      <c r="V3" s="13"/>
      <c r="W3" s="13"/>
    </row>
    <row r="4" spans="1:30" ht="11.25" customHeight="1" x14ac:dyDescent="0.25">
      <c r="A4" s="103" t="s">
        <v>39</v>
      </c>
      <c r="B4" s="103" t="s">
        <v>40</v>
      </c>
      <c r="C4" s="103" t="s">
        <v>25</v>
      </c>
      <c r="D4" s="103" t="s">
        <v>25</v>
      </c>
      <c r="E4" s="103" t="s">
        <v>25</v>
      </c>
      <c r="F4" s="103" t="s">
        <v>25</v>
      </c>
      <c r="G4" s="13" t="s">
        <v>82</v>
      </c>
      <c r="H4" s="13" t="s">
        <v>76</v>
      </c>
      <c r="I4" s="13">
        <f>SUMIF(Mercado_Receita!$S$2:$S$1039,"44531A3AzulNão se aplicaNão se aplicaNão se aplicaNão se aplicaPonta",Mercado_Receita!$J$2:$J$1039)+SUMIF(Mercado_Receita!$S$2:$S$1039,"44531A3AzulNão se aplicaNão se aplicaAPENão se aplicaPonta",Mercado_Receita!$J$2:$J$1039)+SUMIF(Mercado_Receita!$S$2:$S$1039,"44531A3ConvencionalNão se aplicaNão se aplicaNão se aplicaNão se aplicaNão se aplica",Mercado_Receita!$J$2:$J$1039)*0.72</f>
        <v>10500</v>
      </c>
      <c r="J4" s="13">
        <f>SUMIF(Mercado_Receita!$S$2:$S$1039,"44562A3AzulNão se aplicaNão se aplicaNão se aplicaNão se aplicaPonta",Mercado_Receita!$J$2:$J$1039)+SUMIF(Mercado_Receita!$S$2:$S$1039,"44562A3AzulNão se aplicaNão se aplicaAPENão se aplicaPonta",Mercado_Receita!$J$2:$J$1039)+SUMIF(Mercado_Receita!$S$2:$S$1039,"44562A3ConvencionalNão se aplicaNão se aplicaNão se aplicaNão se aplicaNão se aplica",Mercado_Receita!$J$2:$J$1039)*0.72</f>
        <v>10500</v>
      </c>
      <c r="K4" s="13">
        <f>SUMIF(Mercado_Receita!$S$2:$S$1039,"44593A3AzulNão se aplicaNão se aplicaNão se aplicaNão se aplicaPonta",Mercado_Receita!$J$2:$J$1039)+SUMIF(Mercado_Receita!$S$2:$S$1039,"44593A3AzulNão se aplicaNão se aplicaAPENão se aplicaPonta",Mercado_Receita!$J$2:$J$1039)+SUMIF(Mercado_Receita!$S$2:$S$1039,"44593A3ConvencionalNão se aplicaNão se aplicaNão se aplicaNão se aplicaNão se aplica",Mercado_Receita!$J$2:$J$1039)*0.72</f>
        <v>10773</v>
      </c>
      <c r="L4" s="13">
        <f>SUMIF(Mercado_Receita!$S$2:$S$1039,"44621A3AzulNão se aplicaNão se aplicaNão se aplicaNão se aplicaPonta",Mercado_Receita!$J$2:$J$1039)+SUMIF(Mercado_Receita!$S$2:$S$1039,"44621A3AzulNão se aplicaNão se aplicaAPENão se aplicaPonta",Mercado_Receita!$J$2:$J$1039)+SUMIF(Mercado_Receita!$S$2:$S$1039,"44621A3ConvencionalNão se aplicaNão se aplicaNão se aplicaNão se aplicaNão se aplica",Mercado_Receita!$J$2:$J$1039)*0.72</f>
        <v>10500</v>
      </c>
      <c r="M4" s="13">
        <f>SUMIF(Mercado_Receita!$S$2:$S$1039,"44652A3AzulNão se aplicaNão se aplicaNão se aplicaNão se aplicaPonta",Mercado_Receita!$J$2:$J$1039)+SUMIF(Mercado_Receita!$S$2:$S$1039,"44652A3AzulNão se aplicaNão se aplicaAPENão se aplicaPonta",Mercado_Receita!$J$2:$J$1039)+SUMIF(Mercado_Receita!$S$2:$S$1039,"44652A3ConvencionalNão se aplicaNão se aplicaNão se aplicaNão se aplicaNão se aplica",Mercado_Receita!$J$2:$J$1039)*0.72</f>
        <v>10500</v>
      </c>
      <c r="N4" s="13">
        <f>SUMIF(Mercado_Receita!$S$2:$S$1039,"44682A3AzulNão se aplicaNão se aplicaNão se aplicaNão se aplicaPonta",Mercado_Receita!$J$2:$J$1039)+SUMIF(Mercado_Receita!$S$2:$S$1039,"44682A3AzulNão se aplicaNão se aplicaAPENão se aplicaPonta",Mercado_Receita!$J$2:$J$1039)+SUMIF(Mercado_Receita!$S$2:$S$1039,"44682A3ConvencionalNão se aplicaNão se aplicaNão se aplicaNão se aplicaNão se aplica",Mercado_Receita!$J$2:$J$1039)*0.72</f>
        <v>10605</v>
      </c>
      <c r="O4" s="13">
        <f>SUMIF(Mercado_Receita!$S$2:$S$1039,"44713A3AzulNão se aplicaNão se aplicaNão se aplicaNão se aplicaPonta",Mercado_Receita!$J$2:$J$1039)+SUMIF(Mercado_Receita!$S$2:$S$1039,"44713A3AzulNão se aplicaNão se aplicaAPENão se aplicaPonta",Mercado_Receita!$J$2:$J$1039)+SUMIF(Mercado_Receita!$S$2:$S$1039,"44713A3ConvencionalNão se aplicaNão se aplicaNão se aplicaNão se aplicaNão se aplica",Mercado_Receita!$J$2:$J$1039)*0.72</f>
        <v>10500</v>
      </c>
      <c r="P4" s="13">
        <f>SUMIF(Mercado_Receita!$S$2:$S$1039,"44743A3AzulNão se aplicaNão se aplicaNão se aplicaNão se aplicaPonta",Mercado_Receita!$J$2:$J$1039)+SUMIF(Mercado_Receita!$S$2:$S$1039,"44743A3AzulNão se aplicaNão se aplicaAPENão se aplicaPonta",Mercado_Receita!$J$2:$J$1039)+SUMIF(Mercado_Receita!$S$2:$S$1039,"44743A3ConvencionalNão se aplicaNão se aplicaNão se aplicaNão se aplicaNão se aplica",Mercado_Receita!$J$2:$J$1039)*0.72</f>
        <v>10500</v>
      </c>
      <c r="Q4" s="13">
        <f>SUMIF(Mercado_Receita!$S$2:$S$1039,"44774A3AzulNão se aplicaNão se aplicaNão se aplicaNão se aplicaPonta",Mercado_Receita!$J$2:$J$1039)+SUMIF(Mercado_Receita!$S$2:$S$1039,"44774A3AzulNão se aplicaNão se aplicaAPENão se aplicaPonta",Mercado_Receita!$J$2:$J$1039)+SUMIF(Mercado_Receita!$S$2:$S$1039,"44774A3ConvencionalNão se aplicaNão se aplicaNão se aplicaNão se aplicaNão se aplica",Mercado_Receita!$J$2:$J$1039)*0.72</f>
        <v>10500</v>
      </c>
      <c r="R4" s="13">
        <f>SUMIF(Mercado_Receita!$S$2:$S$1039,"44805A3AzulNão se aplicaNão se aplicaNão se aplicaNão se aplicaPonta",Mercado_Receita!$J$2:$J$1039)+SUMIF(Mercado_Receita!$S$2:$S$1039,"44805A3AzulNão se aplicaNão se aplicaAPENão se aplicaPonta",Mercado_Receita!$J$2:$J$1039)+SUMIF(Mercado_Receita!$S$2:$S$1039,"44805A3ConvencionalNão se aplicaNão se aplicaNão se aplicaNão se aplicaNão se aplica",Mercado_Receita!$J$2:$J$1039)*0.72</f>
        <v>10500</v>
      </c>
      <c r="S4" s="13">
        <f>SUMIF(Mercado_Receita!$S$2:$S$1039,"44835A3AzulNão se aplicaNão se aplicaNão se aplicaNão se aplicaPonta",Mercado_Receita!$J$2:$J$1039)+SUMIF(Mercado_Receita!$S$2:$S$1039,"44835A3AzulNão se aplicaNão se aplicaAPENão se aplicaPonta",Mercado_Receita!$J$2:$J$1039)+SUMIF(Mercado_Receita!$S$2:$S$1039,"44835A3ConvencionalNão se aplicaNão se aplicaNão se aplicaNão se aplicaNão se aplica",Mercado_Receita!$J$2:$J$1039)*0.72</f>
        <v>10500</v>
      </c>
      <c r="T4" s="13">
        <f>SUMIF(Mercado_Receita!$S$2:$S$1039,"44866A3AzulNão se aplicaNão se aplicaNão se aplicaNão se aplicaPonta",Mercado_Receita!$J$2:$J$1039)+SUMIF(Mercado_Receita!$S$2:$S$1039,"44866A3AzulNão se aplicaNão se aplicaAPENão se aplicaPonta",Mercado_Receita!$J$2:$J$1039)+SUMIF(Mercado_Receita!$S$2:$S$1039,"44866A3ConvencionalNão se aplicaNão se aplicaNão se aplicaNão se aplicaNão se aplica",Mercado_Receita!$J$2:$J$1039)*0.72</f>
        <v>10500</v>
      </c>
      <c r="U4" s="13">
        <f t="shared" si="0"/>
        <v>126378</v>
      </c>
      <c r="V4" s="13"/>
      <c r="W4" s="13"/>
    </row>
    <row r="5" spans="1:30" ht="11.25" customHeight="1" x14ac:dyDescent="0.25">
      <c r="A5" s="104"/>
      <c r="B5" s="104"/>
      <c r="C5" s="104"/>
      <c r="D5" s="104"/>
      <c r="E5" s="104"/>
      <c r="F5" s="104"/>
      <c r="G5" s="13" t="s">
        <v>83</v>
      </c>
      <c r="H5" s="13" t="s">
        <v>76</v>
      </c>
      <c r="I5" s="13">
        <f>SUMIF(Mercado_Receita!$S$2:$S$1039,"44531A3AzulNão se aplicaNão se aplicaNão se aplicaNão se aplicaFora ponta",Mercado_Receita!$J$2:$J$1039)+SUMIF(Mercado_Receita!$S$2:$S$1039,"44531A3AzulNão se aplicaNão se aplicaAPENão se aplicaFora ponta",Mercado_Receita!$J$2:$J$1039)+SUMIF(Mercado_Receita!$S$2:$S$1039,"44531A3ConvencionalNão se aplicaNão se aplicaNão se aplicaNão se aplicaNão se aplica",Mercado_Receita!$J$2:$J$1039)*1</f>
        <v>10500</v>
      </c>
      <c r="J5" s="13">
        <f>SUMIF(Mercado_Receita!$S$2:$S$1039,"44562A3AzulNão se aplicaNão se aplicaNão se aplicaNão se aplicaFora ponta",Mercado_Receita!$J$2:$J$1039)+SUMIF(Mercado_Receita!$S$2:$S$1039,"44562A3AzulNão se aplicaNão se aplicaAPENão se aplicaFora ponta",Mercado_Receita!$J$2:$J$1039)+SUMIF(Mercado_Receita!$S$2:$S$1039,"44562A3ConvencionalNão se aplicaNão se aplicaNão se aplicaNão se aplicaNão se aplica",Mercado_Receita!$J$2:$J$1039)*1</f>
        <v>10920</v>
      </c>
      <c r="K5" s="13">
        <f>SUMIF(Mercado_Receita!$S$2:$S$1039,"44593A3AzulNão se aplicaNão se aplicaNão se aplicaNão se aplicaFora ponta",Mercado_Receita!$J$2:$J$1039)+SUMIF(Mercado_Receita!$S$2:$S$1039,"44593A3AzulNão se aplicaNão se aplicaAPENão se aplicaFora ponta",Mercado_Receita!$J$2:$J$1039)+SUMIF(Mercado_Receita!$S$2:$S$1039,"44593A3ConvencionalNão se aplicaNão se aplicaNão se aplicaNão se aplicaNão se aplica",Mercado_Receita!$J$2:$J$1039)*1</f>
        <v>11088</v>
      </c>
      <c r="L5" s="13">
        <f>SUMIF(Mercado_Receita!$S$2:$S$1039,"44621A3AzulNão se aplicaNão se aplicaNão se aplicaNão se aplicaFora ponta",Mercado_Receita!$J$2:$J$1039)+SUMIF(Mercado_Receita!$S$2:$S$1039,"44621A3AzulNão se aplicaNão se aplicaAPENão se aplicaFora ponta",Mercado_Receita!$J$2:$J$1039)+SUMIF(Mercado_Receita!$S$2:$S$1039,"44621A3ConvencionalNão se aplicaNão se aplicaNão se aplicaNão se aplicaNão se aplica",Mercado_Receita!$J$2:$J$1039)*1</f>
        <v>10941</v>
      </c>
      <c r="M5" s="13">
        <f>SUMIF(Mercado_Receita!$S$2:$S$1039,"44652A3AzulNão se aplicaNão se aplicaNão se aplicaNão se aplicaFora ponta",Mercado_Receita!$J$2:$J$1039)+SUMIF(Mercado_Receita!$S$2:$S$1039,"44652A3AzulNão se aplicaNão se aplicaAPENão se aplicaFora ponta",Mercado_Receita!$J$2:$J$1039)+SUMIF(Mercado_Receita!$S$2:$S$1039,"44652A3ConvencionalNão se aplicaNão se aplicaNão se aplicaNão se aplicaNão se aplica",Mercado_Receita!$J$2:$J$1039)*1</f>
        <v>10983</v>
      </c>
      <c r="N5" s="13">
        <f>SUMIF(Mercado_Receita!$S$2:$S$1039,"44682A3AzulNão se aplicaNão se aplicaNão se aplicaNão se aplicaFora ponta",Mercado_Receita!$J$2:$J$1039)+SUMIF(Mercado_Receita!$S$2:$S$1039,"44682A3AzulNão se aplicaNão se aplicaAPENão se aplicaFora ponta",Mercado_Receita!$J$2:$J$1039)+SUMIF(Mercado_Receita!$S$2:$S$1039,"44682A3ConvencionalNão se aplicaNão se aplicaNão se aplicaNão se aplicaNão se aplica",Mercado_Receita!$J$2:$J$1039)*1</f>
        <v>11130</v>
      </c>
      <c r="O5" s="13">
        <f>SUMIF(Mercado_Receita!$S$2:$S$1039,"44713A3AzulNão se aplicaNão se aplicaNão se aplicaNão se aplicaFora ponta",Mercado_Receita!$J$2:$J$1039)+SUMIF(Mercado_Receita!$S$2:$S$1039,"44713A3AzulNão se aplicaNão se aplicaAPENão se aplicaFora ponta",Mercado_Receita!$J$2:$J$1039)+SUMIF(Mercado_Receita!$S$2:$S$1039,"44713A3ConvencionalNão se aplicaNão se aplicaNão se aplicaNão se aplicaNão se aplica",Mercado_Receita!$J$2:$J$1039)*1</f>
        <v>11004</v>
      </c>
      <c r="P5" s="13">
        <f>SUMIF(Mercado_Receita!$S$2:$S$1039,"44743A3AzulNão se aplicaNão se aplicaNão se aplicaNão se aplicaFora ponta",Mercado_Receita!$J$2:$J$1039)+SUMIF(Mercado_Receita!$S$2:$S$1039,"44743A3AzulNão se aplicaNão se aplicaAPENão se aplicaFora ponta",Mercado_Receita!$J$2:$J$1039)+SUMIF(Mercado_Receita!$S$2:$S$1039,"44743A3ConvencionalNão se aplicaNão se aplicaNão se aplicaNão se aplicaNão se aplica",Mercado_Receita!$J$2:$J$1039)*1</f>
        <v>10640</v>
      </c>
      <c r="Q5" s="13">
        <f>SUMIF(Mercado_Receita!$S$2:$S$1039,"44774A3AzulNão se aplicaNão se aplicaNão se aplicaNão se aplicaFora ponta",Mercado_Receita!$J$2:$J$1039)+SUMIF(Mercado_Receita!$S$2:$S$1039,"44774A3AzulNão se aplicaNão se aplicaAPENão se aplicaFora ponta",Mercado_Receita!$J$2:$J$1039)+SUMIF(Mercado_Receita!$S$2:$S$1039,"44774A3ConvencionalNão se aplicaNão se aplicaNão se aplicaNão se aplicaNão se aplica",Mercado_Receita!$J$2:$J$1039)*1</f>
        <v>10500</v>
      </c>
      <c r="R5" s="13">
        <f>SUMIF(Mercado_Receita!$S$2:$S$1039,"44805A3AzulNão se aplicaNão se aplicaNão se aplicaNão se aplicaFora ponta",Mercado_Receita!$J$2:$J$1039)+SUMIF(Mercado_Receita!$S$2:$S$1039,"44805A3AzulNão se aplicaNão se aplicaAPENão se aplicaFora ponta",Mercado_Receita!$J$2:$J$1039)+SUMIF(Mercado_Receita!$S$2:$S$1039,"44805A3ConvencionalNão se aplicaNão se aplicaNão se aplicaNão se aplicaNão se aplica",Mercado_Receita!$J$2:$J$1039)*1</f>
        <v>10500</v>
      </c>
      <c r="S5" s="13">
        <f>SUMIF(Mercado_Receita!$S$2:$S$1039,"44835A3AzulNão se aplicaNão se aplicaNão se aplicaNão se aplicaFora ponta",Mercado_Receita!$J$2:$J$1039)+SUMIF(Mercado_Receita!$S$2:$S$1039,"44835A3AzulNão se aplicaNão se aplicaAPENão se aplicaFora ponta",Mercado_Receita!$J$2:$J$1039)+SUMIF(Mercado_Receita!$S$2:$S$1039,"44835A3ConvencionalNão se aplicaNão se aplicaNão se aplicaNão se aplicaNão se aplica",Mercado_Receita!$J$2:$J$1039)*1</f>
        <v>10570</v>
      </c>
      <c r="T5" s="13">
        <f>SUMIF(Mercado_Receita!$S$2:$S$1039,"44866A3AzulNão se aplicaNão se aplicaNão se aplicaNão se aplicaFora ponta",Mercado_Receita!$J$2:$J$1039)+SUMIF(Mercado_Receita!$S$2:$S$1039,"44866A3AzulNão se aplicaNão se aplicaAPENão se aplicaFora ponta",Mercado_Receita!$J$2:$J$1039)+SUMIF(Mercado_Receita!$S$2:$S$1039,"44866A3ConvencionalNão se aplicaNão se aplicaNão se aplicaNão se aplicaNão se aplica",Mercado_Receita!$J$2:$J$1039)*1</f>
        <v>10570</v>
      </c>
      <c r="U5" s="13">
        <f t="shared" si="0"/>
        <v>129346</v>
      </c>
      <c r="V5" s="13"/>
      <c r="W5" s="13"/>
    </row>
    <row r="6" spans="1:30" ht="11.25" customHeight="1" x14ac:dyDescent="0.25">
      <c r="A6" s="104"/>
      <c r="B6" s="104"/>
      <c r="C6" s="104"/>
      <c r="D6" s="104"/>
      <c r="E6" s="104"/>
      <c r="F6" s="104"/>
      <c r="G6" s="13" t="s">
        <v>84</v>
      </c>
      <c r="H6" s="13" t="s">
        <v>79</v>
      </c>
      <c r="I6" s="13">
        <f>SUMIF(Mercado_Receita!$S$2:$S$1039,"44531A3AzulNão se aplicaNão se aplicaNão se aplicaNão se aplicaPonta",Mercado_Receita!$L$2:$L$1039)+SUMIF(Mercado_Receita!$S$2:$S$1039,"44531A3AzulNão se aplicaNão se aplicaNão se aplicaNão se aplicaFora ponta",Mercado_Receita!$L$2:$L$1039)+SUMIF(Mercado_Receita!$S$2:$S$1039,"44531A3AzulNão se aplicaNão se aplicaNão se aplicaNão se aplicaIntermediário",Mercado_Receita!$L$2:$L$1039)+SUMIF(Mercado_Receita!$S$2:$S$1039,"44531A3AzulNão se aplicaNão se aplicaNão se aplicaNão se aplicaNão se aplica",Mercado_Receita!$L$2:$L$1039)+SUMIF(Mercado_Receita!$S$2:$S$1039,"44531A3ConvencionalNão se aplicaNão se aplicaNão se aplicaNão se aplicaNão se aplica",Mercado_Receita!$L$2:$L$1039)</f>
        <v>6405</v>
      </c>
      <c r="J6" s="13">
        <f>SUMIF(Mercado_Receita!$S$2:$S$1039,"44562A3AzulNão se aplicaNão se aplicaNão se aplicaNão se aplicaPonta",Mercado_Receita!$L$2:$L$1039)+SUMIF(Mercado_Receita!$S$2:$S$1039,"44562A3AzulNão se aplicaNão se aplicaNão se aplicaNão se aplicaFora ponta",Mercado_Receita!$L$2:$L$1039)+SUMIF(Mercado_Receita!$S$2:$S$1039,"44562A3AzulNão se aplicaNão se aplicaNão se aplicaNão se aplicaIntermediário",Mercado_Receita!$L$2:$L$1039)+SUMIF(Mercado_Receita!$S$2:$S$1039,"44562A3AzulNão se aplicaNão se aplicaNão se aplicaNão se aplicaNão se aplica",Mercado_Receita!$L$2:$L$1039)+SUMIF(Mercado_Receita!$S$2:$S$1039,"44562A3ConvencionalNão se aplicaNão se aplicaNão se aplicaNão se aplicaNão se aplica",Mercado_Receita!$L$2:$L$1039)</f>
        <v>6601.9619999999995</v>
      </c>
      <c r="K6" s="13">
        <f>SUMIF(Mercado_Receita!$S$2:$S$1039,"44593A3AzulNão se aplicaNão se aplicaNão se aplicaNão se aplicaPonta",Mercado_Receita!$L$2:$L$1039)+SUMIF(Mercado_Receita!$S$2:$S$1039,"44593A3AzulNão se aplicaNão se aplicaNão se aplicaNão se aplicaFora ponta",Mercado_Receita!$L$2:$L$1039)+SUMIF(Mercado_Receita!$S$2:$S$1039,"44593A3AzulNão se aplicaNão se aplicaNão se aplicaNão se aplicaIntermediário",Mercado_Receita!$L$2:$L$1039)+SUMIF(Mercado_Receita!$S$2:$S$1039,"44593A3AzulNão se aplicaNão se aplicaNão se aplicaNão se aplicaNão se aplica",Mercado_Receita!$L$2:$L$1039)+SUMIF(Mercado_Receita!$S$2:$S$1039,"44593A3ConvencionalNão se aplicaNão se aplicaNão se aplicaNão se aplicaNão se aplica",Mercado_Receita!$L$2:$L$1039)</f>
        <v>6164.8379999999997</v>
      </c>
      <c r="L6" s="13">
        <f>SUMIF(Mercado_Receita!$S$2:$S$1039,"44621A3AzulNão se aplicaNão se aplicaNão se aplicaNão se aplicaPonta",Mercado_Receita!$L$2:$L$1039)+SUMIF(Mercado_Receita!$S$2:$S$1039,"44621A3AzulNão se aplicaNão se aplicaNão se aplicaNão se aplicaFora ponta",Mercado_Receita!$L$2:$L$1039)+SUMIF(Mercado_Receita!$S$2:$S$1039,"44621A3AzulNão se aplicaNão se aplicaNão se aplicaNão se aplicaIntermediário",Mercado_Receita!$L$2:$L$1039)+SUMIF(Mercado_Receita!$S$2:$S$1039,"44621A3AzulNão se aplicaNão se aplicaNão se aplicaNão se aplicaNão se aplica",Mercado_Receita!$L$2:$L$1039)+SUMIF(Mercado_Receita!$S$2:$S$1039,"44621A3ConvencionalNão se aplicaNão se aplicaNão se aplicaNão se aplicaNão se aplica",Mercado_Receita!$L$2:$L$1039)</f>
        <v>3851.5730000000003</v>
      </c>
      <c r="M6" s="13">
        <f>SUMIF(Mercado_Receita!$S$2:$S$1039,"44652A3AzulNão se aplicaNão se aplicaNão se aplicaNão se aplicaPonta",Mercado_Receita!$L$2:$L$1039)+SUMIF(Mercado_Receita!$S$2:$S$1039,"44652A3AzulNão se aplicaNão se aplicaNão se aplicaNão se aplicaFora ponta",Mercado_Receita!$L$2:$L$1039)+SUMIF(Mercado_Receita!$S$2:$S$1039,"44652A3AzulNão se aplicaNão se aplicaNão se aplicaNão se aplicaIntermediário",Mercado_Receita!$L$2:$L$1039)+SUMIF(Mercado_Receita!$S$2:$S$1039,"44652A3AzulNão se aplicaNão se aplicaNão se aplicaNão se aplicaNão se aplica",Mercado_Receita!$L$2:$L$1039)+SUMIF(Mercado_Receita!$S$2:$S$1039,"44652A3ConvencionalNão se aplicaNão se aplicaNão se aplicaNão se aplicaNão se aplica",Mercado_Receita!$L$2:$L$1039)</f>
        <v>9139.4929999999986</v>
      </c>
      <c r="N6" s="13">
        <f>SUMIF(Mercado_Receita!$S$2:$S$1039,"44682A3AzulNão se aplicaNão se aplicaNão se aplicaNão se aplicaPonta",Mercado_Receita!$L$2:$L$1039)+SUMIF(Mercado_Receita!$S$2:$S$1039,"44682A3AzulNão se aplicaNão se aplicaNão se aplicaNão se aplicaFora ponta",Mercado_Receita!$L$2:$L$1039)+SUMIF(Mercado_Receita!$S$2:$S$1039,"44682A3AzulNão se aplicaNão se aplicaNão se aplicaNão se aplicaIntermediário",Mercado_Receita!$L$2:$L$1039)+SUMIF(Mercado_Receita!$S$2:$S$1039,"44682A3AzulNão se aplicaNão se aplicaNão se aplicaNão se aplicaNão se aplica",Mercado_Receita!$L$2:$L$1039)+SUMIF(Mercado_Receita!$S$2:$S$1039,"44682A3ConvencionalNão se aplicaNão se aplicaNão se aplicaNão se aplicaNão se aplica",Mercado_Receita!$L$2:$L$1039)</f>
        <v>7060.5879999999997</v>
      </c>
      <c r="O6" s="13">
        <f>SUMIF(Mercado_Receita!$S$2:$S$1039,"44713A3AzulNão se aplicaNão se aplicaNão se aplicaNão se aplicaPonta",Mercado_Receita!$L$2:$L$1039)+SUMIF(Mercado_Receita!$S$2:$S$1039,"44713A3AzulNão se aplicaNão se aplicaNão se aplicaNão se aplicaFora ponta",Mercado_Receita!$L$2:$L$1039)+SUMIF(Mercado_Receita!$S$2:$S$1039,"44713A3AzulNão se aplicaNão se aplicaNão se aplicaNão se aplicaIntermediário",Mercado_Receita!$L$2:$L$1039)+SUMIF(Mercado_Receita!$S$2:$S$1039,"44713A3AzulNão se aplicaNão se aplicaNão se aplicaNão se aplicaNão se aplica",Mercado_Receita!$L$2:$L$1039)+SUMIF(Mercado_Receita!$S$2:$S$1039,"44713A3ConvencionalNão se aplicaNão se aplicaNão se aplicaNão se aplicaNão se aplica",Mercado_Receita!$L$2:$L$1039)</f>
        <v>6700.1009999999997</v>
      </c>
      <c r="P6" s="13">
        <f>SUMIF(Mercado_Receita!$S$2:$S$1039,"44743A3AzulNão se aplicaNão se aplicaNão se aplicaNão se aplicaPonta",Mercado_Receita!$L$2:$L$1039)+SUMIF(Mercado_Receita!$S$2:$S$1039,"44743A3AzulNão se aplicaNão se aplicaNão se aplicaNão se aplicaFora ponta",Mercado_Receita!$L$2:$L$1039)+SUMIF(Mercado_Receita!$S$2:$S$1039,"44743A3AzulNão se aplicaNão se aplicaNão se aplicaNão se aplicaIntermediário",Mercado_Receita!$L$2:$L$1039)+SUMIF(Mercado_Receita!$S$2:$S$1039,"44743A3AzulNão se aplicaNão se aplicaNão se aplicaNão se aplicaNão se aplica",Mercado_Receita!$L$2:$L$1039)+SUMIF(Mercado_Receita!$S$2:$S$1039,"44743A3ConvencionalNão se aplicaNão se aplicaNão se aplicaNão se aplicaNão se aplica",Mercado_Receita!$L$2:$L$1039)</f>
        <v>6389.9809999999998</v>
      </c>
      <c r="Q6" s="13">
        <f>SUMIF(Mercado_Receita!$S$2:$S$1039,"44774A3AzulNão se aplicaNão se aplicaNão se aplicaNão se aplicaPonta",Mercado_Receita!$L$2:$L$1039)+SUMIF(Mercado_Receita!$S$2:$S$1039,"44774A3AzulNão se aplicaNão se aplicaNão se aplicaNão se aplicaFora ponta",Mercado_Receita!$L$2:$L$1039)+SUMIF(Mercado_Receita!$S$2:$S$1039,"44774A3AzulNão se aplicaNão se aplicaNão se aplicaNão se aplicaIntermediário",Mercado_Receita!$L$2:$L$1039)+SUMIF(Mercado_Receita!$S$2:$S$1039,"44774A3AzulNão se aplicaNão se aplicaNão se aplicaNão se aplicaNão se aplica",Mercado_Receita!$L$2:$L$1039)+SUMIF(Mercado_Receita!$S$2:$S$1039,"44774A3ConvencionalNão se aplicaNão se aplicaNão se aplicaNão se aplicaNão se aplica",Mercado_Receita!$L$2:$L$1039)</f>
        <v>6295.5889999999999</v>
      </c>
      <c r="R6" s="13">
        <f>SUMIF(Mercado_Receita!$S$2:$S$1039,"44805A3AzulNão se aplicaNão se aplicaNão se aplicaNão se aplicaPonta",Mercado_Receita!$L$2:$L$1039)+SUMIF(Mercado_Receita!$S$2:$S$1039,"44805A3AzulNão se aplicaNão se aplicaNão se aplicaNão se aplicaFora ponta",Mercado_Receita!$L$2:$L$1039)+SUMIF(Mercado_Receita!$S$2:$S$1039,"44805A3AzulNão se aplicaNão se aplicaNão se aplicaNão se aplicaIntermediário",Mercado_Receita!$L$2:$L$1039)+SUMIF(Mercado_Receita!$S$2:$S$1039,"44805A3AzulNão se aplicaNão se aplicaNão se aplicaNão se aplicaNão se aplica",Mercado_Receita!$L$2:$L$1039)+SUMIF(Mercado_Receita!$S$2:$S$1039,"44805A3ConvencionalNão se aplicaNão se aplicaNão se aplicaNão se aplicaNão se aplica",Mercado_Receita!$L$2:$L$1039)</f>
        <v>2492.63</v>
      </c>
      <c r="S6" s="13">
        <f>SUMIF(Mercado_Receita!$S$2:$S$1039,"44835A3AzulNão se aplicaNão se aplicaNão se aplicaNão se aplicaPonta",Mercado_Receita!$L$2:$L$1039)+SUMIF(Mercado_Receita!$S$2:$S$1039,"44835A3AzulNão se aplicaNão se aplicaNão se aplicaNão se aplicaFora ponta",Mercado_Receita!$L$2:$L$1039)+SUMIF(Mercado_Receita!$S$2:$S$1039,"44835A3AzulNão se aplicaNão se aplicaNão se aplicaNão se aplicaIntermediário",Mercado_Receita!$L$2:$L$1039)+SUMIF(Mercado_Receita!$S$2:$S$1039,"44835A3AzulNão se aplicaNão se aplicaNão se aplicaNão se aplicaNão se aplica",Mercado_Receita!$L$2:$L$1039)+SUMIF(Mercado_Receita!$S$2:$S$1039,"44835A3ConvencionalNão se aplicaNão se aplicaNão se aplicaNão se aplicaNão se aplica",Mercado_Receita!$L$2:$L$1039)</f>
        <v>6016.482</v>
      </c>
      <c r="T6" s="13">
        <f>SUMIF(Mercado_Receita!$S$2:$S$1039,"44866A3AzulNão se aplicaNão se aplicaNão se aplicaNão se aplicaPonta",Mercado_Receita!$L$2:$L$1039)+SUMIF(Mercado_Receita!$S$2:$S$1039,"44866A3AzulNão se aplicaNão se aplicaNão se aplicaNão se aplicaFora ponta",Mercado_Receita!$L$2:$L$1039)+SUMIF(Mercado_Receita!$S$2:$S$1039,"44866A3AzulNão se aplicaNão se aplicaNão se aplicaNão se aplicaIntermediário",Mercado_Receita!$L$2:$L$1039)+SUMIF(Mercado_Receita!$S$2:$S$1039,"44866A3AzulNão se aplicaNão se aplicaNão se aplicaNão se aplicaNão se aplica",Mercado_Receita!$L$2:$L$1039)+SUMIF(Mercado_Receita!$S$2:$S$1039,"44866A3ConvencionalNão se aplicaNão se aplicaNão se aplicaNão se aplicaNão se aplica",Mercado_Receita!$L$2:$L$1039)</f>
        <v>6016.482</v>
      </c>
      <c r="U6" s="13">
        <f t="shared" si="0"/>
        <v>73134.718999999997</v>
      </c>
      <c r="V6" s="13"/>
      <c r="W6" s="13"/>
    </row>
    <row r="7" spans="1:30" ht="11.25" customHeight="1" x14ac:dyDescent="0.25">
      <c r="A7" s="104"/>
      <c r="B7" s="104"/>
      <c r="C7" s="104"/>
      <c r="D7" s="104"/>
      <c r="E7" s="12" t="s">
        <v>85</v>
      </c>
      <c r="F7" s="12" t="s">
        <v>25</v>
      </c>
      <c r="G7" s="13" t="s">
        <v>84</v>
      </c>
      <c r="H7" s="13" t="s">
        <v>79</v>
      </c>
      <c r="I7" s="13">
        <f>SUMIF(Mercado_Receita!$S$2:$S$1039,"44531A3AzulNão se aplicaNão se aplicaAPENão se aplicaPonta",Mercado_Receita!$L$2:$L$1039)+SUMIF(Mercado_Receita!$S$2:$S$1039,"44531A3AzulNão se aplicaNão se aplicaAPENão se aplicaFora ponta",Mercado_Receita!$L$2:$L$1039)+SUMIF(Mercado_Receita!$S$2:$S$1039,"44531A3AzulNão se aplicaNão se aplicaAPENão se aplicaIntermediário",Mercado_Receita!$L$2:$L$1039)+SUMIF(Mercado_Receita!$S$2:$S$1039,"44531A3AzulNão se aplicaNão se aplicaAPENão se aplicaNão se aplica",Mercado_Receita!$L$2:$L$1039)+SUMIF(Mercado_Receita!$S$2:$S$1039,"44531A3ConvencionalNão se aplicaNão se aplicaAPENão se aplicaNão se aplica",Mercado_Receita!$L$2:$L$1039)</f>
        <v>0</v>
      </c>
      <c r="J7" s="13">
        <f>SUMIF(Mercado_Receita!$S$2:$S$1039,"44562A3AzulNão se aplicaNão se aplicaAPENão se aplicaPonta",Mercado_Receita!$L$2:$L$1039)+SUMIF(Mercado_Receita!$S$2:$S$1039,"44562A3AzulNão se aplicaNão se aplicaAPENão se aplicaFora ponta",Mercado_Receita!$L$2:$L$1039)+SUMIF(Mercado_Receita!$S$2:$S$1039,"44562A3AzulNão se aplicaNão se aplicaAPENão se aplicaIntermediário",Mercado_Receita!$L$2:$L$1039)+SUMIF(Mercado_Receita!$S$2:$S$1039,"44562A3AzulNão se aplicaNão se aplicaAPENão se aplicaNão se aplica",Mercado_Receita!$L$2:$L$1039)+SUMIF(Mercado_Receita!$S$2:$S$1039,"44562A3ConvencionalNão se aplicaNão se aplicaAPENão se aplicaNão se aplica",Mercado_Receita!$L$2:$L$1039)</f>
        <v>0</v>
      </c>
      <c r="K7" s="13">
        <f>SUMIF(Mercado_Receita!$S$2:$S$1039,"44593A3AzulNão se aplicaNão se aplicaAPENão se aplicaPonta",Mercado_Receita!$L$2:$L$1039)+SUMIF(Mercado_Receita!$S$2:$S$1039,"44593A3AzulNão se aplicaNão se aplicaAPENão se aplicaFora ponta",Mercado_Receita!$L$2:$L$1039)+SUMIF(Mercado_Receita!$S$2:$S$1039,"44593A3AzulNão se aplicaNão se aplicaAPENão se aplicaIntermediário",Mercado_Receita!$L$2:$L$1039)+SUMIF(Mercado_Receita!$S$2:$S$1039,"44593A3AzulNão se aplicaNão se aplicaAPENão se aplicaNão se aplica",Mercado_Receita!$L$2:$L$1039)+SUMIF(Mercado_Receita!$S$2:$S$1039,"44593A3ConvencionalNão se aplicaNão se aplicaAPENão se aplicaNão se aplica",Mercado_Receita!$L$2:$L$1039)</f>
        <v>0</v>
      </c>
      <c r="L7" s="13">
        <f>SUMIF(Mercado_Receita!$S$2:$S$1039,"44621A3AzulNão se aplicaNão se aplicaAPENão se aplicaPonta",Mercado_Receita!$L$2:$L$1039)+SUMIF(Mercado_Receita!$S$2:$S$1039,"44621A3AzulNão se aplicaNão se aplicaAPENão se aplicaFora ponta",Mercado_Receita!$L$2:$L$1039)+SUMIF(Mercado_Receita!$S$2:$S$1039,"44621A3AzulNão se aplicaNão se aplicaAPENão se aplicaIntermediário",Mercado_Receita!$L$2:$L$1039)+SUMIF(Mercado_Receita!$S$2:$S$1039,"44621A3AzulNão se aplicaNão se aplicaAPENão se aplicaNão se aplica",Mercado_Receita!$L$2:$L$1039)+SUMIF(Mercado_Receita!$S$2:$S$1039,"44621A3ConvencionalNão se aplicaNão se aplicaAPENão se aplicaNão se aplica",Mercado_Receita!$L$2:$L$1039)</f>
        <v>0</v>
      </c>
      <c r="M7" s="13">
        <f>SUMIF(Mercado_Receita!$S$2:$S$1039,"44652A3AzulNão se aplicaNão se aplicaAPENão se aplicaPonta",Mercado_Receita!$L$2:$L$1039)+SUMIF(Mercado_Receita!$S$2:$S$1039,"44652A3AzulNão se aplicaNão se aplicaAPENão se aplicaFora ponta",Mercado_Receita!$L$2:$L$1039)+SUMIF(Mercado_Receita!$S$2:$S$1039,"44652A3AzulNão se aplicaNão se aplicaAPENão se aplicaIntermediário",Mercado_Receita!$L$2:$L$1039)+SUMIF(Mercado_Receita!$S$2:$S$1039,"44652A3AzulNão se aplicaNão se aplicaAPENão se aplicaNão se aplica",Mercado_Receita!$L$2:$L$1039)+SUMIF(Mercado_Receita!$S$2:$S$1039,"44652A3ConvencionalNão se aplicaNão se aplicaAPENão se aplicaNão se aplica",Mercado_Receita!$L$2:$L$1039)</f>
        <v>0</v>
      </c>
      <c r="N7" s="13">
        <f>SUMIF(Mercado_Receita!$S$2:$S$1039,"44682A3AzulNão se aplicaNão se aplicaAPENão se aplicaPonta",Mercado_Receita!$L$2:$L$1039)+SUMIF(Mercado_Receita!$S$2:$S$1039,"44682A3AzulNão se aplicaNão se aplicaAPENão se aplicaFora ponta",Mercado_Receita!$L$2:$L$1039)+SUMIF(Mercado_Receita!$S$2:$S$1039,"44682A3AzulNão se aplicaNão se aplicaAPENão se aplicaIntermediário",Mercado_Receita!$L$2:$L$1039)+SUMIF(Mercado_Receita!$S$2:$S$1039,"44682A3AzulNão se aplicaNão se aplicaAPENão se aplicaNão se aplica",Mercado_Receita!$L$2:$L$1039)+SUMIF(Mercado_Receita!$S$2:$S$1039,"44682A3ConvencionalNão se aplicaNão se aplicaAPENão se aplicaNão se aplica",Mercado_Receita!$L$2:$L$1039)</f>
        <v>0</v>
      </c>
      <c r="O7" s="13">
        <f>SUMIF(Mercado_Receita!$S$2:$S$1039,"44713A3AzulNão se aplicaNão se aplicaAPENão se aplicaPonta",Mercado_Receita!$L$2:$L$1039)+SUMIF(Mercado_Receita!$S$2:$S$1039,"44713A3AzulNão se aplicaNão se aplicaAPENão se aplicaFora ponta",Mercado_Receita!$L$2:$L$1039)+SUMIF(Mercado_Receita!$S$2:$S$1039,"44713A3AzulNão se aplicaNão se aplicaAPENão se aplicaIntermediário",Mercado_Receita!$L$2:$L$1039)+SUMIF(Mercado_Receita!$S$2:$S$1039,"44713A3AzulNão se aplicaNão se aplicaAPENão se aplicaNão se aplica",Mercado_Receita!$L$2:$L$1039)+SUMIF(Mercado_Receita!$S$2:$S$1039,"44713A3ConvencionalNão se aplicaNão se aplicaAPENão se aplicaNão se aplica",Mercado_Receita!$L$2:$L$1039)</f>
        <v>0</v>
      </c>
      <c r="P7" s="13">
        <f>SUMIF(Mercado_Receita!$S$2:$S$1039,"44743A3AzulNão se aplicaNão se aplicaAPENão se aplicaPonta",Mercado_Receita!$L$2:$L$1039)+SUMIF(Mercado_Receita!$S$2:$S$1039,"44743A3AzulNão se aplicaNão se aplicaAPENão se aplicaFora ponta",Mercado_Receita!$L$2:$L$1039)+SUMIF(Mercado_Receita!$S$2:$S$1039,"44743A3AzulNão se aplicaNão se aplicaAPENão se aplicaIntermediário",Mercado_Receita!$L$2:$L$1039)+SUMIF(Mercado_Receita!$S$2:$S$1039,"44743A3AzulNão se aplicaNão se aplicaAPENão se aplicaNão se aplica",Mercado_Receita!$L$2:$L$1039)+SUMIF(Mercado_Receita!$S$2:$S$1039,"44743A3ConvencionalNão se aplicaNão se aplicaAPENão se aplicaNão se aplica",Mercado_Receita!$L$2:$L$1039)</f>
        <v>0</v>
      </c>
      <c r="Q7" s="13">
        <f>SUMIF(Mercado_Receita!$S$2:$S$1039,"44774A3AzulNão se aplicaNão se aplicaAPENão se aplicaPonta",Mercado_Receita!$L$2:$L$1039)+SUMIF(Mercado_Receita!$S$2:$S$1039,"44774A3AzulNão se aplicaNão se aplicaAPENão se aplicaFora ponta",Mercado_Receita!$L$2:$L$1039)+SUMIF(Mercado_Receita!$S$2:$S$1039,"44774A3AzulNão se aplicaNão se aplicaAPENão se aplicaIntermediário",Mercado_Receita!$L$2:$L$1039)+SUMIF(Mercado_Receita!$S$2:$S$1039,"44774A3AzulNão se aplicaNão se aplicaAPENão se aplicaNão se aplica",Mercado_Receita!$L$2:$L$1039)+SUMIF(Mercado_Receita!$S$2:$S$1039,"44774A3ConvencionalNão se aplicaNão se aplicaAPENão se aplicaNão se aplica",Mercado_Receita!$L$2:$L$1039)</f>
        <v>0</v>
      </c>
      <c r="R7" s="13">
        <f>SUMIF(Mercado_Receita!$S$2:$S$1039,"44805A3AzulNão se aplicaNão se aplicaAPENão se aplicaPonta",Mercado_Receita!$L$2:$L$1039)+SUMIF(Mercado_Receita!$S$2:$S$1039,"44805A3AzulNão se aplicaNão se aplicaAPENão se aplicaFora ponta",Mercado_Receita!$L$2:$L$1039)+SUMIF(Mercado_Receita!$S$2:$S$1039,"44805A3AzulNão se aplicaNão se aplicaAPENão se aplicaIntermediário",Mercado_Receita!$L$2:$L$1039)+SUMIF(Mercado_Receita!$S$2:$S$1039,"44805A3AzulNão se aplicaNão se aplicaAPENão se aplicaNão se aplica",Mercado_Receita!$L$2:$L$1039)+SUMIF(Mercado_Receita!$S$2:$S$1039,"44805A3ConvencionalNão se aplicaNão se aplicaAPENão se aplicaNão se aplica",Mercado_Receita!$L$2:$L$1039)</f>
        <v>0</v>
      </c>
      <c r="S7" s="13">
        <f>SUMIF(Mercado_Receita!$S$2:$S$1039,"44835A3AzulNão se aplicaNão se aplicaAPENão se aplicaPonta",Mercado_Receita!$L$2:$L$1039)+SUMIF(Mercado_Receita!$S$2:$S$1039,"44835A3AzulNão se aplicaNão se aplicaAPENão se aplicaFora ponta",Mercado_Receita!$L$2:$L$1039)+SUMIF(Mercado_Receita!$S$2:$S$1039,"44835A3AzulNão se aplicaNão se aplicaAPENão se aplicaIntermediário",Mercado_Receita!$L$2:$L$1039)+SUMIF(Mercado_Receita!$S$2:$S$1039,"44835A3AzulNão se aplicaNão se aplicaAPENão se aplicaNão se aplica",Mercado_Receita!$L$2:$L$1039)+SUMIF(Mercado_Receita!$S$2:$S$1039,"44835A3ConvencionalNão se aplicaNão se aplicaAPENão se aplicaNão se aplica",Mercado_Receita!$L$2:$L$1039)</f>
        <v>0</v>
      </c>
      <c r="T7" s="13">
        <f>SUMIF(Mercado_Receita!$S$2:$S$1039,"44866A3AzulNão se aplicaNão se aplicaAPENão se aplicaPonta",Mercado_Receita!$L$2:$L$1039)+SUMIF(Mercado_Receita!$S$2:$S$1039,"44866A3AzulNão se aplicaNão se aplicaAPENão se aplicaFora ponta",Mercado_Receita!$L$2:$L$1039)+SUMIF(Mercado_Receita!$S$2:$S$1039,"44866A3AzulNão se aplicaNão se aplicaAPENão se aplicaIntermediário",Mercado_Receita!$L$2:$L$1039)+SUMIF(Mercado_Receita!$S$2:$S$1039,"44866A3AzulNão se aplicaNão se aplicaAPENão se aplicaNão se aplica",Mercado_Receita!$L$2:$L$1039)+SUMIF(Mercado_Receita!$S$2:$S$1039,"44866A3ConvencionalNão se aplicaNão se aplicaAPENão se aplicaNão se aplica",Mercado_Receita!$L$2:$L$1039)</f>
        <v>0</v>
      </c>
      <c r="U7" s="13">
        <f t="shared" si="0"/>
        <v>0</v>
      </c>
      <c r="V7" s="13"/>
      <c r="W7" s="13"/>
    </row>
    <row r="8" spans="1:30" ht="11.25" customHeight="1" x14ac:dyDescent="0.25">
      <c r="A8" s="103" t="s">
        <v>42</v>
      </c>
      <c r="B8" s="103" t="s">
        <v>40</v>
      </c>
      <c r="C8" s="103" t="s">
        <v>25</v>
      </c>
      <c r="D8" s="103" t="s">
        <v>25</v>
      </c>
      <c r="E8" s="103" t="s">
        <v>25</v>
      </c>
      <c r="F8" s="103" t="s">
        <v>25</v>
      </c>
      <c r="G8" s="13" t="s">
        <v>82</v>
      </c>
      <c r="H8" s="13" t="s">
        <v>76</v>
      </c>
      <c r="I8" s="13">
        <f>SUMIF(Mercado_Receita!$S$2:$S$1039,"44531A3aAzulNão se aplicaNão se aplicaNão se aplicaNão se aplicaPonta",Mercado_Receita!$J$2:$J$1039)+SUMIF(Mercado_Receita!$S$2:$S$1039,"44531A3aAzulNão se aplicaNão se aplicaAPENão se aplicaPonta",Mercado_Receita!$J$2:$J$1039)</f>
        <v>0</v>
      </c>
      <c r="J8" s="13">
        <f>SUMIF(Mercado_Receita!$S$2:$S$1039,"44562A3aAzulNão se aplicaNão se aplicaNão se aplicaNão se aplicaPonta",Mercado_Receita!$J$2:$J$1039)+SUMIF(Mercado_Receita!$S$2:$S$1039,"44562A3aAzulNão se aplicaNão se aplicaAPENão se aplicaPonta",Mercado_Receita!$J$2:$J$1039)</f>
        <v>0</v>
      </c>
      <c r="K8" s="13">
        <f>SUMIF(Mercado_Receita!$S$2:$S$1039,"44593A3aAzulNão se aplicaNão se aplicaNão se aplicaNão se aplicaPonta",Mercado_Receita!$J$2:$J$1039)+SUMIF(Mercado_Receita!$S$2:$S$1039,"44593A3aAzulNão se aplicaNão se aplicaAPENão se aplicaPonta",Mercado_Receita!$J$2:$J$1039)</f>
        <v>0</v>
      </c>
      <c r="L8" s="13">
        <f>SUMIF(Mercado_Receita!$S$2:$S$1039,"44621A3aAzulNão se aplicaNão se aplicaNão se aplicaNão se aplicaPonta",Mercado_Receita!$J$2:$J$1039)+SUMIF(Mercado_Receita!$S$2:$S$1039,"44621A3aAzulNão se aplicaNão se aplicaAPENão se aplicaPonta",Mercado_Receita!$J$2:$J$1039)</f>
        <v>0</v>
      </c>
      <c r="M8" s="13">
        <f>SUMIF(Mercado_Receita!$S$2:$S$1039,"44652A3aAzulNão se aplicaNão se aplicaNão se aplicaNão se aplicaPonta",Mercado_Receita!$J$2:$J$1039)+SUMIF(Mercado_Receita!$S$2:$S$1039,"44652A3aAzulNão se aplicaNão se aplicaAPENão se aplicaPonta",Mercado_Receita!$J$2:$J$1039)</f>
        <v>0</v>
      </c>
      <c r="N8" s="13">
        <f>SUMIF(Mercado_Receita!$S$2:$S$1039,"44682A3aAzulNão se aplicaNão se aplicaNão se aplicaNão se aplicaPonta",Mercado_Receita!$J$2:$J$1039)+SUMIF(Mercado_Receita!$S$2:$S$1039,"44682A3aAzulNão se aplicaNão se aplicaAPENão se aplicaPonta",Mercado_Receita!$J$2:$J$1039)</f>
        <v>0</v>
      </c>
      <c r="O8" s="13">
        <f>SUMIF(Mercado_Receita!$S$2:$S$1039,"44713A3aAzulNão se aplicaNão se aplicaNão se aplicaNão se aplicaPonta",Mercado_Receita!$J$2:$J$1039)+SUMIF(Mercado_Receita!$S$2:$S$1039,"44713A3aAzulNão se aplicaNão se aplicaAPENão se aplicaPonta",Mercado_Receita!$J$2:$J$1039)</f>
        <v>0</v>
      </c>
      <c r="P8" s="13">
        <f>SUMIF(Mercado_Receita!$S$2:$S$1039,"44743A3aAzulNão se aplicaNão se aplicaNão se aplicaNão se aplicaPonta",Mercado_Receita!$J$2:$J$1039)+SUMIF(Mercado_Receita!$S$2:$S$1039,"44743A3aAzulNão se aplicaNão se aplicaAPENão se aplicaPonta",Mercado_Receita!$J$2:$J$1039)</f>
        <v>0</v>
      </c>
      <c r="Q8" s="13">
        <f>SUMIF(Mercado_Receita!$S$2:$S$1039,"44774A3aAzulNão se aplicaNão se aplicaNão se aplicaNão se aplicaPonta",Mercado_Receita!$J$2:$J$1039)+SUMIF(Mercado_Receita!$S$2:$S$1039,"44774A3aAzulNão se aplicaNão se aplicaAPENão se aplicaPonta",Mercado_Receita!$J$2:$J$1039)</f>
        <v>0</v>
      </c>
      <c r="R8" s="13">
        <f>SUMIF(Mercado_Receita!$S$2:$S$1039,"44805A3aAzulNão se aplicaNão se aplicaNão se aplicaNão se aplicaPonta",Mercado_Receita!$J$2:$J$1039)+SUMIF(Mercado_Receita!$S$2:$S$1039,"44805A3aAzulNão se aplicaNão se aplicaAPENão se aplicaPonta",Mercado_Receita!$J$2:$J$1039)</f>
        <v>0</v>
      </c>
      <c r="S8" s="13">
        <f>SUMIF(Mercado_Receita!$S$2:$S$1039,"44835A3aAzulNão se aplicaNão se aplicaNão se aplicaNão se aplicaPonta",Mercado_Receita!$J$2:$J$1039)+SUMIF(Mercado_Receita!$S$2:$S$1039,"44835A3aAzulNão se aplicaNão se aplicaAPENão se aplicaPonta",Mercado_Receita!$J$2:$J$1039)</f>
        <v>0</v>
      </c>
      <c r="T8" s="13">
        <f>SUMIF(Mercado_Receita!$S$2:$S$1039,"44866A3aAzulNão se aplicaNão se aplicaNão se aplicaNão se aplicaPonta",Mercado_Receita!$J$2:$J$1039)+SUMIF(Mercado_Receita!$S$2:$S$1039,"44866A3aAzulNão se aplicaNão se aplicaAPENão se aplicaPonta",Mercado_Receita!$J$2:$J$1039)</f>
        <v>0</v>
      </c>
      <c r="U8" s="13">
        <f t="shared" si="0"/>
        <v>0</v>
      </c>
      <c r="V8" s="13"/>
      <c r="W8" s="13"/>
    </row>
    <row r="9" spans="1:30" ht="11.25" customHeight="1" x14ac:dyDescent="0.25">
      <c r="A9" s="104"/>
      <c r="B9" s="104"/>
      <c r="C9" s="104"/>
      <c r="D9" s="104"/>
      <c r="E9" s="104"/>
      <c r="F9" s="104"/>
      <c r="G9" s="13" t="s">
        <v>83</v>
      </c>
      <c r="H9" s="13" t="s">
        <v>76</v>
      </c>
      <c r="I9" s="13">
        <f>SUMIF(Mercado_Receita!$S$2:$S$1039,"44531A3aAzulNão se aplicaNão se aplicaNão se aplicaNão se aplicaFora ponta",Mercado_Receita!$J$2:$J$1039)+SUMIF(Mercado_Receita!$S$2:$S$1039,"44531A3aAzulNão se aplicaNão se aplicaAPENão se aplicaFora ponta",Mercado_Receita!$J$2:$J$1039)</f>
        <v>0</v>
      </c>
      <c r="J9" s="13">
        <f>SUMIF(Mercado_Receita!$S$2:$S$1039,"44562A3aAzulNão se aplicaNão se aplicaNão se aplicaNão se aplicaFora ponta",Mercado_Receita!$J$2:$J$1039)+SUMIF(Mercado_Receita!$S$2:$S$1039,"44562A3aAzulNão se aplicaNão se aplicaAPENão se aplicaFora ponta",Mercado_Receita!$J$2:$J$1039)</f>
        <v>0</v>
      </c>
      <c r="K9" s="13">
        <f>SUMIF(Mercado_Receita!$S$2:$S$1039,"44593A3aAzulNão se aplicaNão se aplicaNão se aplicaNão se aplicaFora ponta",Mercado_Receita!$J$2:$J$1039)+SUMIF(Mercado_Receita!$S$2:$S$1039,"44593A3aAzulNão se aplicaNão se aplicaAPENão se aplicaFora ponta",Mercado_Receita!$J$2:$J$1039)</f>
        <v>0</v>
      </c>
      <c r="L9" s="13">
        <f>SUMIF(Mercado_Receita!$S$2:$S$1039,"44621A3aAzulNão se aplicaNão se aplicaNão se aplicaNão se aplicaFora ponta",Mercado_Receita!$J$2:$J$1039)+SUMIF(Mercado_Receita!$S$2:$S$1039,"44621A3aAzulNão se aplicaNão se aplicaAPENão se aplicaFora ponta",Mercado_Receita!$J$2:$J$1039)</f>
        <v>0</v>
      </c>
      <c r="M9" s="13">
        <f>SUMIF(Mercado_Receita!$S$2:$S$1039,"44652A3aAzulNão se aplicaNão se aplicaNão se aplicaNão se aplicaFora ponta",Mercado_Receita!$J$2:$J$1039)+SUMIF(Mercado_Receita!$S$2:$S$1039,"44652A3aAzulNão se aplicaNão se aplicaAPENão se aplicaFora ponta",Mercado_Receita!$J$2:$J$1039)</f>
        <v>0</v>
      </c>
      <c r="N9" s="13">
        <f>SUMIF(Mercado_Receita!$S$2:$S$1039,"44682A3aAzulNão se aplicaNão se aplicaNão se aplicaNão se aplicaFora ponta",Mercado_Receita!$J$2:$J$1039)+SUMIF(Mercado_Receita!$S$2:$S$1039,"44682A3aAzulNão se aplicaNão se aplicaAPENão se aplicaFora ponta",Mercado_Receita!$J$2:$J$1039)</f>
        <v>0</v>
      </c>
      <c r="O9" s="13">
        <f>SUMIF(Mercado_Receita!$S$2:$S$1039,"44713A3aAzulNão se aplicaNão se aplicaNão se aplicaNão se aplicaFora ponta",Mercado_Receita!$J$2:$J$1039)+SUMIF(Mercado_Receita!$S$2:$S$1039,"44713A3aAzulNão se aplicaNão se aplicaAPENão se aplicaFora ponta",Mercado_Receita!$J$2:$J$1039)</f>
        <v>0</v>
      </c>
      <c r="P9" s="13">
        <f>SUMIF(Mercado_Receita!$S$2:$S$1039,"44743A3aAzulNão se aplicaNão se aplicaNão se aplicaNão se aplicaFora ponta",Mercado_Receita!$J$2:$J$1039)+SUMIF(Mercado_Receita!$S$2:$S$1039,"44743A3aAzulNão se aplicaNão se aplicaAPENão se aplicaFora ponta",Mercado_Receita!$J$2:$J$1039)</f>
        <v>0</v>
      </c>
      <c r="Q9" s="13">
        <f>SUMIF(Mercado_Receita!$S$2:$S$1039,"44774A3aAzulNão se aplicaNão se aplicaNão se aplicaNão se aplicaFora ponta",Mercado_Receita!$J$2:$J$1039)+SUMIF(Mercado_Receita!$S$2:$S$1039,"44774A3aAzulNão se aplicaNão se aplicaAPENão se aplicaFora ponta",Mercado_Receita!$J$2:$J$1039)</f>
        <v>0</v>
      </c>
      <c r="R9" s="13">
        <f>SUMIF(Mercado_Receita!$S$2:$S$1039,"44805A3aAzulNão se aplicaNão se aplicaNão se aplicaNão se aplicaFora ponta",Mercado_Receita!$J$2:$J$1039)+SUMIF(Mercado_Receita!$S$2:$S$1039,"44805A3aAzulNão se aplicaNão se aplicaAPENão se aplicaFora ponta",Mercado_Receita!$J$2:$J$1039)</f>
        <v>0</v>
      </c>
      <c r="S9" s="13">
        <f>SUMIF(Mercado_Receita!$S$2:$S$1039,"44835A3aAzulNão se aplicaNão se aplicaNão se aplicaNão se aplicaFora ponta",Mercado_Receita!$J$2:$J$1039)+SUMIF(Mercado_Receita!$S$2:$S$1039,"44835A3aAzulNão se aplicaNão se aplicaAPENão se aplicaFora ponta",Mercado_Receita!$J$2:$J$1039)</f>
        <v>0</v>
      </c>
      <c r="T9" s="13">
        <f>SUMIF(Mercado_Receita!$S$2:$S$1039,"44866A3aAzulNão se aplicaNão se aplicaNão se aplicaNão se aplicaFora ponta",Mercado_Receita!$J$2:$J$1039)+SUMIF(Mercado_Receita!$S$2:$S$1039,"44866A3aAzulNão se aplicaNão se aplicaAPENão se aplicaFora ponta",Mercado_Receita!$J$2:$J$1039)</f>
        <v>0</v>
      </c>
      <c r="U9" s="13">
        <f t="shared" si="0"/>
        <v>0</v>
      </c>
      <c r="V9" s="13"/>
      <c r="W9" s="13"/>
    </row>
    <row r="10" spans="1:30" ht="11.25" customHeight="1" x14ac:dyDescent="0.25">
      <c r="A10" s="104"/>
      <c r="B10" s="104"/>
      <c r="C10" s="104"/>
      <c r="D10" s="104"/>
      <c r="E10" s="104"/>
      <c r="F10" s="104"/>
      <c r="G10" s="13" t="s">
        <v>84</v>
      </c>
      <c r="H10" s="13" t="s">
        <v>79</v>
      </c>
      <c r="I10" s="13">
        <f>SUMIF(Mercado_Receita!$S$2:$S$1039,"44531A3aAzulNão se aplicaNão se aplicaNão se aplicaNão se aplicaPonta",Mercado_Receita!$L$2:$L$1039)+SUMIF(Mercado_Receita!$S$2:$S$1039,"44531A3aAzulNão se aplicaNão se aplicaNão se aplicaNão se aplicaFora ponta",Mercado_Receita!$L$2:$L$1039)+SUMIF(Mercado_Receita!$S$2:$S$1039,"44531A3aAzulNão se aplicaNão se aplicaNão se aplicaNão se aplicaIntermediário",Mercado_Receita!$L$2:$L$1039)+SUMIF(Mercado_Receita!$S$2:$S$1039,"44531A3aAzulNão se aplicaNão se aplicaNão se aplicaNão se aplicaNão se aplica",Mercado_Receita!$L$2:$L$1039)</f>
        <v>0</v>
      </c>
      <c r="J10" s="13">
        <f>SUMIF(Mercado_Receita!$S$2:$S$1039,"44562A3aAzulNão se aplicaNão se aplicaNão se aplicaNão se aplicaPonta",Mercado_Receita!$L$2:$L$1039)+SUMIF(Mercado_Receita!$S$2:$S$1039,"44562A3aAzulNão se aplicaNão se aplicaNão se aplicaNão se aplicaFora ponta",Mercado_Receita!$L$2:$L$1039)+SUMIF(Mercado_Receita!$S$2:$S$1039,"44562A3aAzulNão se aplicaNão se aplicaNão se aplicaNão se aplicaIntermediário",Mercado_Receita!$L$2:$L$1039)+SUMIF(Mercado_Receita!$S$2:$S$1039,"44562A3aAzulNão se aplicaNão se aplicaNão se aplicaNão se aplicaNão se aplica",Mercado_Receita!$L$2:$L$1039)</f>
        <v>0</v>
      </c>
      <c r="K10" s="13">
        <f>SUMIF(Mercado_Receita!$S$2:$S$1039,"44593A3aAzulNão se aplicaNão se aplicaNão se aplicaNão se aplicaPonta",Mercado_Receita!$L$2:$L$1039)+SUMIF(Mercado_Receita!$S$2:$S$1039,"44593A3aAzulNão se aplicaNão se aplicaNão se aplicaNão se aplicaFora ponta",Mercado_Receita!$L$2:$L$1039)+SUMIF(Mercado_Receita!$S$2:$S$1039,"44593A3aAzulNão se aplicaNão se aplicaNão se aplicaNão se aplicaIntermediário",Mercado_Receita!$L$2:$L$1039)+SUMIF(Mercado_Receita!$S$2:$S$1039,"44593A3aAzulNão se aplicaNão se aplicaNão se aplicaNão se aplicaNão se aplica",Mercado_Receita!$L$2:$L$1039)</f>
        <v>0</v>
      </c>
      <c r="L10" s="13">
        <f>SUMIF(Mercado_Receita!$S$2:$S$1039,"44621A3aAzulNão se aplicaNão se aplicaNão se aplicaNão se aplicaPonta",Mercado_Receita!$L$2:$L$1039)+SUMIF(Mercado_Receita!$S$2:$S$1039,"44621A3aAzulNão se aplicaNão se aplicaNão se aplicaNão se aplicaFora ponta",Mercado_Receita!$L$2:$L$1039)+SUMIF(Mercado_Receita!$S$2:$S$1039,"44621A3aAzulNão se aplicaNão se aplicaNão se aplicaNão se aplicaIntermediário",Mercado_Receita!$L$2:$L$1039)+SUMIF(Mercado_Receita!$S$2:$S$1039,"44621A3aAzulNão se aplicaNão se aplicaNão se aplicaNão se aplicaNão se aplica",Mercado_Receita!$L$2:$L$1039)</f>
        <v>0</v>
      </c>
      <c r="M10" s="13">
        <f>SUMIF(Mercado_Receita!$S$2:$S$1039,"44652A3aAzulNão se aplicaNão se aplicaNão se aplicaNão se aplicaPonta",Mercado_Receita!$L$2:$L$1039)+SUMIF(Mercado_Receita!$S$2:$S$1039,"44652A3aAzulNão se aplicaNão se aplicaNão se aplicaNão se aplicaFora ponta",Mercado_Receita!$L$2:$L$1039)+SUMIF(Mercado_Receita!$S$2:$S$1039,"44652A3aAzulNão se aplicaNão se aplicaNão se aplicaNão se aplicaIntermediário",Mercado_Receita!$L$2:$L$1039)+SUMIF(Mercado_Receita!$S$2:$S$1039,"44652A3aAzulNão se aplicaNão se aplicaNão se aplicaNão se aplicaNão se aplica",Mercado_Receita!$L$2:$L$1039)</f>
        <v>0</v>
      </c>
      <c r="N10" s="13">
        <f>SUMIF(Mercado_Receita!$S$2:$S$1039,"44682A3aAzulNão se aplicaNão se aplicaNão se aplicaNão se aplicaPonta",Mercado_Receita!$L$2:$L$1039)+SUMIF(Mercado_Receita!$S$2:$S$1039,"44682A3aAzulNão se aplicaNão se aplicaNão se aplicaNão se aplicaFora ponta",Mercado_Receita!$L$2:$L$1039)+SUMIF(Mercado_Receita!$S$2:$S$1039,"44682A3aAzulNão se aplicaNão se aplicaNão se aplicaNão se aplicaIntermediário",Mercado_Receita!$L$2:$L$1039)+SUMIF(Mercado_Receita!$S$2:$S$1039,"44682A3aAzulNão se aplicaNão se aplicaNão se aplicaNão se aplicaNão se aplica",Mercado_Receita!$L$2:$L$1039)</f>
        <v>0</v>
      </c>
      <c r="O10" s="13">
        <f>SUMIF(Mercado_Receita!$S$2:$S$1039,"44713A3aAzulNão se aplicaNão se aplicaNão se aplicaNão se aplicaPonta",Mercado_Receita!$L$2:$L$1039)+SUMIF(Mercado_Receita!$S$2:$S$1039,"44713A3aAzulNão se aplicaNão se aplicaNão se aplicaNão se aplicaFora ponta",Mercado_Receita!$L$2:$L$1039)+SUMIF(Mercado_Receita!$S$2:$S$1039,"44713A3aAzulNão se aplicaNão se aplicaNão se aplicaNão se aplicaIntermediário",Mercado_Receita!$L$2:$L$1039)+SUMIF(Mercado_Receita!$S$2:$S$1039,"44713A3aAzulNão se aplicaNão se aplicaNão se aplicaNão se aplicaNão se aplica",Mercado_Receita!$L$2:$L$1039)</f>
        <v>0</v>
      </c>
      <c r="P10" s="13">
        <f>SUMIF(Mercado_Receita!$S$2:$S$1039,"44743A3aAzulNão se aplicaNão se aplicaNão se aplicaNão se aplicaPonta",Mercado_Receita!$L$2:$L$1039)+SUMIF(Mercado_Receita!$S$2:$S$1039,"44743A3aAzulNão se aplicaNão se aplicaNão se aplicaNão se aplicaFora ponta",Mercado_Receita!$L$2:$L$1039)+SUMIF(Mercado_Receita!$S$2:$S$1039,"44743A3aAzulNão se aplicaNão se aplicaNão se aplicaNão se aplicaIntermediário",Mercado_Receita!$L$2:$L$1039)+SUMIF(Mercado_Receita!$S$2:$S$1039,"44743A3aAzulNão se aplicaNão se aplicaNão se aplicaNão se aplicaNão se aplica",Mercado_Receita!$L$2:$L$1039)</f>
        <v>0</v>
      </c>
      <c r="Q10" s="13">
        <f>SUMIF(Mercado_Receita!$S$2:$S$1039,"44774A3aAzulNão se aplicaNão se aplicaNão se aplicaNão se aplicaPonta",Mercado_Receita!$L$2:$L$1039)+SUMIF(Mercado_Receita!$S$2:$S$1039,"44774A3aAzulNão se aplicaNão se aplicaNão se aplicaNão se aplicaFora ponta",Mercado_Receita!$L$2:$L$1039)+SUMIF(Mercado_Receita!$S$2:$S$1039,"44774A3aAzulNão se aplicaNão se aplicaNão se aplicaNão se aplicaIntermediário",Mercado_Receita!$L$2:$L$1039)+SUMIF(Mercado_Receita!$S$2:$S$1039,"44774A3aAzulNão se aplicaNão se aplicaNão se aplicaNão se aplicaNão se aplica",Mercado_Receita!$L$2:$L$1039)</f>
        <v>0</v>
      </c>
      <c r="R10" s="13">
        <f>SUMIF(Mercado_Receita!$S$2:$S$1039,"44805A3aAzulNão se aplicaNão se aplicaNão se aplicaNão se aplicaPonta",Mercado_Receita!$L$2:$L$1039)+SUMIF(Mercado_Receita!$S$2:$S$1039,"44805A3aAzulNão se aplicaNão se aplicaNão se aplicaNão se aplicaFora ponta",Mercado_Receita!$L$2:$L$1039)+SUMIF(Mercado_Receita!$S$2:$S$1039,"44805A3aAzulNão se aplicaNão se aplicaNão se aplicaNão se aplicaIntermediário",Mercado_Receita!$L$2:$L$1039)+SUMIF(Mercado_Receita!$S$2:$S$1039,"44805A3aAzulNão se aplicaNão se aplicaNão se aplicaNão se aplicaNão se aplica",Mercado_Receita!$L$2:$L$1039)</f>
        <v>0</v>
      </c>
      <c r="S10" s="13">
        <f>SUMIF(Mercado_Receita!$S$2:$S$1039,"44835A3aAzulNão se aplicaNão se aplicaNão se aplicaNão se aplicaPonta",Mercado_Receita!$L$2:$L$1039)+SUMIF(Mercado_Receita!$S$2:$S$1039,"44835A3aAzulNão se aplicaNão se aplicaNão se aplicaNão se aplicaFora ponta",Mercado_Receita!$L$2:$L$1039)+SUMIF(Mercado_Receita!$S$2:$S$1039,"44835A3aAzulNão se aplicaNão se aplicaNão se aplicaNão se aplicaIntermediário",Mercado_Receita!$L$2:$L$1039)+SUMIF(Mercado_Receita!$S$2:$S$1039,"44835A3aAzulNão se aplicaNão se aplicaNão se aplicaNão se aplicaNão se aplica",Mercado_Receita!$L$2:$L$1039)</f>
        <v>0</v>
      </c>
      <c r="T10" s="13">
        <f>SUMIF(Mercado_Receita!$S$2:$S$1039,"44866A3aAzulNão se aplicaNão se aplicaNão se aplicaNão se aplicaPonta",Mercado_Receita!$L$2:$L$1039)+SUMIF(Mercado_Receita!$S$2:$S$1039,"44866A3aAzulNão se aplicaNão se aplicaNão se aplicaNão se aplicaFora ponta",Mercado_Receita!$L$2:$L$1039)+SUMIF(Mercado_Receita!$S$2:$S$1039,"44866A3aAzulNão se aplicaNão se aplicaNão se aplicaNão se aplicaIntermediário",Mercado_Receita!$L$2:$L$1039)+SUMIF(Mercado_Receita!$S$2:$S$1039,"44866A3aAzulNão se aplicaNão se aplicaNão se aplicaNão se aplicaNão se aplica",Mercado_Receita!$L$2:$L$1039)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104"/>
      <c r="B11" s="104"/>
      <c r="C11" s="104"/>
      <c r="D11" s="104"/>
      <c r="E11" s="12" t="s">
        <v>85</v>
      </c>
      <c r="F11" s="12" t="s">
        <v>25</v>
      </c>
      <c r="G11" s="13" t="s">
        <v>84</v>
      </c>
      <c r="H11" s="13" t="s">
        <v>79</v>
      </c>
      <c r="I11" s="13">
        <f>SUMIF(Mercado_Receita!$S$2:$S$1039,"44531A3aAzulNão se aplicaNão se aplicaAPENão se aplicaPonta",Mercado_Receita!$L$2:$L$1039)+SUMIF(Mercado_Receita!$S$2:$S$1039,"44531A3aAzulNão se aplicaNão se aplicaAPENão se aplicaFora ponta",Mercado_Receita!$L$2:$L$1039)+SUMIF(Mercado_Receita!$S$2:$S$1039,"44531A3aAzulNão se aplicaNão se aplicaAPENão se aplicaIntermediário",Mercado_Receita!$L$2:$L$1039)+SUMIF(Mercado_Receita!$S$2:$S$1039,"44531A3aAzulNão se aplicaNão se aplicaAPENão se aplicaNão se aplica",Mercado_Receita!$L$2:$L$1039)</f>
        <v>0</v>
      </c>
      <c r="J11" s="13">
        <f>SUMIF(Mercado_Receita!$S$2:$S$1039,"44562A3aAzulNão se aplicaNão se aplicaAPENão se aplicaPonta",Mercado_Receita!$L$2:$L$1039)+SUMIF(Mercado_Receita!$S$2:$S$1039,"44562A3aAzulNão se aplicaNão se aplicaAPENão se aplicaFora ponta",Mercado_Receita!$L$2:$L$1039)+SUMIF(Mercado_Receita!$S$2:$S$1039,"44562A3aAzulNão se aplicaNão se aplicaAPENão se aplicaIntermediário",Mercado_Receita!$L$2:$L$1039)+SUMIF(Mercado_Receita!$S$2:$S$1039,"44562A3aAzulNão se aplicaNão se aplicaAPENão se aplicaNão se aplica",Mercado_Receita!$L$2:$L$1039)</f>
        <v>0</v>
      </c>
      <c r="K11" s="13">
        <f>SUMIF(Mercado_Receita!$S$2:$S$1039,"44593A3aAzulNão se aplicaNão se aplicaAPENão se aplicaPonta",Mercado_Receita!$L$2:$L$1039)+SUMIF(Mercado_Receita!$S$2:$S$1039,"44593A3aAzulNão se aplicaNão se aplicaAPENão se aplicaFora ponta",Mercado_Receita!$L$2:$L$1039)+SUMIF(Mercado_Receita!$S$2:$S$1039,"44593A3aAzulNão se aplicaNão se aplicaAPENão se aplicaIntermediário",Mercado_Receita!$L$2:$L$1039)+SUMIF(Mercado_Receita!$S$2:$S$1039,"44593A3aAzulNão se aplicaNão se aplicaAPENão se aplicaNão se aplica",Mercado_Receita!$L$2:$L$1039)</f>
        <v>0</v>
      </c>
      <c r="L11" s="13">
        <f>SUMIF(Mercado_Receita!$S$2:$S$1039,"44621A3aAzulNão se aplicaNão se aplicaAPENão se aplicaPonta",Mercado_Receita!$L$2:$L$1039)+SUMIF(Mercado_Receita!$S$2:$S$1039,"44621A3aAzulNão se aplicaNão se aplicaAPENão se aplicaFora ponta",Mercado_Receita!$L$2:$L$1039)+SUMIF(Mercado_Receita!$S$2:$S$1039,"44621A3aAzulNão se aplicaNão se aplicaAPENão se aplicaIntermediário",Mercado_Receita!$L$2:$L$1039)+SUMIF(Mercado_Receita!$S$2:$S$1039,"44621A3aAzulNão se aplicaNão se aplicaAPENão se aplicaNão se aplica",Mercado_Receita!$L$2:$L$1039)</f>
        <v>0</v>
      </c>
      <c r="M11" s="13">
        <f>SUMIF(Mercado_Receita!$S$2:$S$1039,"44652A3aAzulNão se aplicaNão se aplicaAPENão se aplicaPonta",Mercado_Receita!$L$2:$L$1039)+SUMIF(Mercado_Receita!$S$2:$S$1039,"44652A3aAzulNão se aplicaNão se aplicaAPENão se aplicaFora ponta",Mercado_Receita!$L$2:$L$1039)+SUMIF(Mercado_Receita!$S$2:$S$1039,"44652A3aAzulNão se aplicaNão se aplicaAPENão se aplicaIntermediário",Mercado_Receita!$L$2:$L$1039)+SUMIF(Mercado_Receita!$S$2:$S$1039,"44652A3aAzulNão se aplicaNão se aplicaAPENão se aplicaNão se aplica",Mercado_Receita!$L$2:$L$1039)</f>
        <v>0</v>
      </c>
      <c r="N11" s="13">
        <f>SUMIF(Mercado_Receita!$S$2:$S$1039,"44682A3aAzulNão se aplicaNão se aplicaAPENão se aplicaPonta",Mercado_Receita!$L$2:$L$1039)+SUMIF(Mercado_Receita!$S$2:$S$1039,"44682A3aAzulNão se aplicaNão se aplicaAPENão se aplicaFora ponta",Mercado_Receita!$L$2:$L$1039)+SUMIF(Mercado_Receita!$S$2:$S$1039,"44682A3aAzulNão se aplicaNão se aplicaAPENão se aplicaIntermediário",Mercado_Receita!$L$2:$L$1039)+SUMIF(Mercado_Receita!$S$2:$S$1039,"44682A3aAzulNão se aplicaNão se aplicaAPENão se aplicaNão se aplica",Mercado_Receita!$L$2:$L$1039)</f>
        <v>0</v>
      </c>
      <c r="O11" s="13">
        <f>SUMIF(Mercado_Receita!$S$2:$S$1039,"44713A3aAzulNão se aplicaNão se aplicaAPENão se aplicaPonta",Mercado_Receita!$L$2:$L$1039)+SUMIF(Mercado_Receita!$S$2:$S$1039,"44713A3aAzulNão se aplicaNão se aplicaAPENão se aplicaFora ponta",Mercado_Receita!$L$2:$L$1039)+SUMIF(Mercado_Receita!$S$2:$S$1039,"44713A3aAzulNão se aplicaNão se aplicaAPENão se aplicaIntermediário",Mercado_Receita!$L$2:$L$1039)+SUMIF(Mercado_Receita!$S$2:$S$1039,"44713A3aAzulNão se aplicaNão se aplicaAPENão se aplicaNão se aplica",Mercado_Receita!$L$2:$L$1039)</f>
        <v>0</v>
      </c>
      <c r="P11" s="13">
        <f>SUMIF(Mercado_Receita!$S$2:$S$1039,"44743A3aAzulNão se aplicaNão se aplicaAPENão se aplicaPonta",Mercado_Receita!$L$2:$L$1039)+SUMIF(Mercado_Receita!$S$2:$S$1039,"44743A3aAzulNão se aplicaNão se aplicaAPENão se aplicaFora ponta",Mercado_Receita!$L$2:$L$1039)+SUMIF(Mercado_Receita!$S$2:$S$1039,"44743A3aAzulNão se aplicaNão se aplicaAPENão se aplicaIntermediário",Mercado_Receita!$L$2:$L$1039)+SUMIF(Mercado_Receita!$S$2:$S$1039,"44743A3aAzulNão se aplicaNão se aplicaAPENão se aplicaNão se aplica",Mercado_Receita!$L$2:$L$1039)</f>
        <v>0</v>
      </c>
      <c r="Q11" s="13">
        <f>SUMIF(Mercado_Receita!$S$2:$S$1039,"44774A3aAzulNão se aplicaNão se aplicaAPENão se aplicaPonta",Mercado_Receita!$L$2:$L$1039)+SUMIF(Mercado_Receita!$S$2:$S$1039,"44774A3aAzulNão se aplicaNão se aplicaAPENão se aplicaFora ponta",Mercado_Receita!$L$2:$L$1039)+SUMIF(Mercado_Receita!$S$2:$S$1039,"44774A3aAzulNão se aplicaNão se aplicaAPENão se aplicaIntermediário",Mercado_Receita!$L$2:$L$1039)+SUMIF(Mercado_Receita!$S$2:$S$1039,"44774A3aAzulNão se aplicaNão se aplicaAPENão se aplicaNão se aplica",Mercado_Receita!$L$2:$L$1039)</f>
        <v>0</v>
      </c>
      <c r="R11" s="13">
        <f>SUMIF(Mercado_Receita!$S$2:$S$1039,"44805A3aAzulNão se aplicaNão se aplicaAPENão se aplicaPonta",Mercado_Receita!$L$2:$L$1039)+SUMIF(Mercado_Receita!$S$2:$S$1039,"44805A3aAzulNão se aplicaNão se aplicaAPENão se aplicaFora ponta",Mercado_Receita!$L$2:$L$1039)+SUMIF(Mercado_Receita!$S$2:$S$1039,"44805A3aAzulNão se aplicaNão se aplicaAPENão se aplicaIntermediário",Mercado_Receita!$L$2:$L$1039)+SUMIF(Mercado_Receita!$S$2:$S$1039,"44805A3aAzulNão se aplicaNão se aplicaAPENão se aplicaNão se aplica",Mercado_Receita!$L$2:$L$1039)</f>
        <v>0</v>
      </c>
      <c r="S11" s="13">
        <f>SUMIF(Mercado_Receita!$S$2:$S$1039,"44835A3aAzulNão se aplicaNão se aplicaAPENão se aplicaPonta",Mercado_Receita!$L$2:$L$1039)+SUMIF(Mercado_Receita!$S$2:$S$1039,"44835A3aAzulNão se aplicaNão se aplicaAPENão se aplicaFora ponta",Mercado_Receita!$L$2:$L$1039)+SUMIF(Mercado_Receita!$S$2:$S$1039,"44835A3aAzulNão se aplicaNão se aplicaAPENão se aplicaIntermediário",Mercado_Receita!$L$2:$L$1039)+SUMIF(Mercado_Receita!$S$2:$S$1039,"44835A3aAzulNão se aplicaNão se aplicaAPENão se aplicaNão se aplica",Mercado_Receita!$L$2:$L$1039)</f>
        <v>0</v>
      </c>
      <c r="T11" s="13">
        <f>SUMIF(Mercado_Receita!$S$2:$S$1039,"44866A3aAzulNão se aplicaNão se aplicaAPENão se aplicaPonta",Mercado_Receita!$L$2:$L$1039)+SUMIF(Mercado_Receita!$S$2:$S$1039,"44866A3aAzulNão se aplicaNão se aplicaAPENão se aplicaFora ponta",Mercado_Receita!$L$2:$L$1039)+SUMIF(Mercado_Receita!$S$2:$S$1039,"44866A3aAzulNão se aplicaNão se aplicaAPENão se aplicaIntermediário",Mercado_Receita!$L$2:$L$1039)+SUMIF(Mercado_Receita!$S$2:$S$1039,"44866A3aAzulNão se aplicaNão se aplicaAPENão se aplicaNão se aplica",Mercado_Receita!$L$2:$L$1039)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104"/>
      <c r="B12" s="12" t="s">
        <v>58</v>
      </c>
      <c r="C12" s="12" t="s">
        <v>25</v>
      </c>
      <c r="D12" s="12" t="s">
        <v>25</v>
      </c>
      <c r="E12" s="12" t="s">
        <v>25</v>
      </c>
      <c r="F12" s="12" t="s">
        <v>25</v>
      </c>
      <c r="G12" s="13" t="s">
        <v>9</v>
      </c>
      <c r="H12" s="13" t="s">
        <v>76</v>
      </c>
      <c r="I12" s="13">
        <f>SUMIF(Mercado_Receita!$S$2:$S$1039,"44531A3aGeraçãoNão se aplicaNão se aplicaNão se aplicaNão se aplicaNão se aplica",Mercado_Receita!$J$2:$J$1039)+SUMIF(Mercado_Receita!$S$2:$S$1039,"44531A3aGeraçãoNão se aplicaNão se aplicaAPENão se aplicaNão se aplica",Mercado_Receita!$J$2:$J$1039)</f>
        <v>0</v>
      </c>
      <c r="J12" s="13">
        <f>SUMIF(Mercado_Receita!$S$2:$S$1039,"44562A3aGeraçãoNão se aplicaNão se aplicaNão se aplicaNão se aplicaNão se aplica",Mercado_Receita!$J$2:$J$1039)+SUMIF(Mercado_Receita!$S$2:$S$1039,"44562A3aGeraçãoNão se aplicaNão se aplicaAPENão se aplicaNão se aplica",Mercado_Receita!$J$2:$J$1039)</f>
        <v>0</v>
      </c>
      <c r="K12" s="13">
        <f>SUMIF(Mercado_Receita!$S$2:$S$1039,"44593A3aGeraçãoNão se aplicaNão se aplicaNão se aplicaNão se aplicaNão se aplica",Mercado_Receita!$J$2:$J$1039)+SUMIF(Mercado_Receita!$S$2:$S$1039,"44593A3aGeraçãoNão se aplicaNão se aplicaAPENão se aplicaNão se aplica",Mercado_Receita!$J$2:$J$1039)</f>
        <v>0</v>
      </c>
      <c r="L12" s="13">
        <f>SUMIF(Mercado_Receita!$S$2:$S$1039,"44621A3aGeraçãoNão se aplicaNão se aplicaNão se aplicaNão se aplicaNão se aplica",Mercado_Receita!$J$2:$J$1039)+SUMIF(Mercado_Receita!$S$2:$S$1039,"44621A3aGeraçãoNão se aplicaNão se aplicaAPENão se aplicaNão se aplica",Mercado_Receita!$J$2:$J$1039)</f>
        <v>0</v>
      </c>
      <c r="M12" s="13">
        <f>SUMIF(Mercado_Receita!$S$2:$S$1039,"44652A3aGeraçãoNão se aplicaNão se aplicaNão se aplicaNão se aplicaNão se aplica",Mercado_Receita!$J$2:$J$1039)+SUMIF(Mercado_Receita!$S$2:$S$1039,"44652A3aGeraçãoNão se aplicaNão se aplicaAPENão se aplicaNão se aplica",Mercado_Receita!$J$2:$J$1039)</f>
        <v>0</v>
      </c>
      <c r="N12" s="13">
        <f>SUMIF(Mercado_Receita!$S$2:$S$1039,"44682A3aGeraçãoNão se aplicaNão se aplicaNão se aplicaNão se aplicaNão se aplica",Mercado_Receita!$J$2:$J$1039)+SUMIF(Mercado_Receita!$S$2:$S$1039,"44682A3aGeraçãoNão se aplicaNão se aplicaAPENão se aplicaNão se aplica",Mercado_Receita!$J$2:$J$1039)</f>
        <v>0</v>
      </c>
      <c r="O12" s="13">
        <f>SUMIF(Mercado_Receita!$S$2:$S$1039,"44713A3aGeraçãoNão se aplicaNão se aplicaNão se aplicaNão se aplicaNão se aplica",Mercado_Receita!$J$2:$J$1039)+SUMIF(Mercado_Receita!$S$2:$S$1039,"44713A3aGeraçãoNão se aplicaNão se aplicaAPENão se aplicaNão se aplica",Mercado_Receita!$J$2:$J$1039)</f>
        <v>0</v>
      </c>
      <c r="P12" s="13">
        <f>SUMIF(Mercado_Receita!$S$2:$S$1039,"44743A3aGeraçãoNão se aplicaNão se aplicaNão se aplicaNão se aplicaNão se aplica",Mercado_Receita!$J$2:$J$1039)+SUMIF(Mercado_Receita!$S$2:$S$1039,"44743A3aGeraçãoNão se aplicaNão se aplicaAPENão se aplicaNão se aplica",Mercado_Receita!$J$2:$J$1039)</f>
        <v>0</v>
      </c>
      <c r="Q12" s="13">
        <f>SUMIF(Mercado_Receita!$S$2:$S$1039,"44774A3aGeraçãoNão se aplicaNão se aplicaNão se aplicaNão se aplicaNão se aplica",Mercado_Receita!$J$2:$J$1039)+SUMIF(Mercado_Receita!$S$2:$S$1039,"44774A3aGeraçãoNão se aplicaNão se aplicaAPENão se aplicaNão se aplica",Mercado_Receita!$J$2:$J$1039)</f>
        <v>0</v>
      </c>
      <c r="R12" s="13">
        <f>SUMIF(Mercado_Receita!$S$2:$S$1039,"44805A3aGeraçãoNão se aplicaNão se aplicaNão se aplicaNão se aplicaNão se aplica",Mercado_Receita!$J$2:$J$1039)+SUMIF(Mercado_Receita!$S$2:$S$1039,"44805A3aGeraçãoNão se aplicaNão se aplicaAPENão se aplicaNão se aplica",Mercado_Receita!$J$2:$J$1039)</f>
        <v>0</v>
      </c>
      <c r="S12" s="13">
        <f>SUMIF(Mercado_Receita!$S$2:$S$1039,"44835A3aGeraçãoNão se aplicaNão se aplicaNão se aplicaNão se aplicaNão se aplica",Mercado_Receita!$J$2:$J$1039)+SUMIF(Mercado_Receita!$S$2:$S$1039,"44835A3aGeraçãoNão se aplicaNão se aplicaAPENão se aplicaNão se aplica",Mercado_Receita!$J$2:$J$1039)</f>
        <v>0</v>
      </c>
      <c r="T12" s="13">
        <f>SUMIF(Mercado_Receita!$S$2:$S$1039,"44866A3aGeraçãoNão se aplicaNão se aplicaNão se aplicaNão se aplicaNão se aplica",Mercado_Receita!$J$2:$J$1039)+SUMIF(Mercado_Receita!$S$2:$S$1039,"44866A3aGeraçãoNão se aplicaNão se aplicaAPENão se aplicaNão se aplica",Mercado_Receita!$J$2:$J$1039)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104"/>
      <c r="B13" s="103" t="s">
        <v>43</v>
      </c>
      <c r="C13" s="103" t="s">
        <v>25</v>
      </c>
      <c r="D13" s="103" t="s">
        <v>25</v>
      </c>
      <c r="E13" s="103" t="s">
        <v>25</v>
      </c>
      <c r="F13" s="103" t="s">
        <v>25</v>
      </c>
      <c r="G13" s="13" t="s">
        <v>9</v>
      </c>
      <c r="H13" s="13" t="s">
        <v>76</v>
      </c>
      <c r="I13" s="13">
        <f>SUMIF(Mercado_Receita!$S$2:$S$1039,"44531A3aVerdeNão se aplicaNão se aplicaNão se aplicaNão se aplicaNão se aplica",Mercado_Receita!$J$2:$J$1039)+SUMIF(Mercado_Receita!$S$2:$S$1039,"44531A3aVerdeNão se aplicaNão se aplicaAPENão se aplicaNão se aplica",Mercado_Receita!$J$2:$J$1039)</f>
        <v>155</v>
      </c>
      <c r="J13" s="13">
        <f>SUMIF(Mercado_Receita!$S$2:$S$1039,"44562A3aVerdeNão se aplicaNão se aplicaNão se aplicaNão se aplicaNão se aplica",Mercado_Receita!$J$2:$J$1039)+SUMIF(Mercado_Receita!$S$2:$S$1039,"44562A3aVerdeNão se aplicaNão se aplicaAPENão se aplicaNão se aplica",Mercado_Receita!$J$2:$J$1039)</f>
        <v>155</v>
      </c>
      <c r="K13" s="13">
        <f>SUMIF(Mercado_Receita!$S$2:$S$1039,"44593A3aVerdeNão se aplicaNão se aplicaNão se aplicaNão se aplicaNão se aplica",Mercado_Receita!$J$2:$J$1039)+SUMIF(Mercado_Receita!$S$2:$S$1039,"44593A3aVerdeNão se aplicaNão se aplicaAPENão se aplicaNão se aplica",Mercado_Receita!$J$2:$J$1039)</f>
        <v>155</v>
      </c>
      <c r="L13" s="13">
        <f>SUMIF(Mercado_Receita!$S$2:$S$1039,"44621A3aVerdeNão se aplicaNão se aplicaNão se aplicaNão se aplicaNão se aplica",Mercado_Receita!$J$2:$J$1039)+SUMIF(Mercado_Receita!$S$2:$S$1039,"44621A3aVerdeNão se aplicaNão se aplicaAPENão se aplicaNão se aplica",Mercado_Receita!$J$2:$J$1039)</f>
        <v>155</v>
      </c>
      <c r="M13" s="13">
        <f>SUMIF(Mercado_Receita!$S$2:$S$1039,"44652A3aVerdeNão se aplicaNão se aplicaNão se aplicaNão se aplicaNão se aplica",Mercado_Receita!$J$2:$J$1039)+SUMIF(Mercado_Receita!$S$2:$S$1039,"44652A3aVerdeNão se aplicaNão se aplicaAPENão se aplicaNão se aplica",Mercado_Receita!$J$2:$J$1039)</f>
        <v>155</v>
      </c>
      <c r="N13" s="13">
        <f>SUMIF(Mercado_Receita!$S$2:$S$1039,"44682A3aVerdeNão se aplicaNão se aplicaNão se aplicaNão se aplicaNão se aplica",Mercado_Receita!$J$2:$J$1039)+SUMIF(Mercado_Receita!$S$2:$S$1039,"44682A3aVerdeNão se aplicaNão se aplicaAPENão se aplicaNão se aplica",Mercado_Receita!$J$2:$J$1039)</f>
        <v>155</v>
      </c>
      <c r="O13" s="13">
        <f>SUMIF(Mercado_Receita!$S$2:$S$1039,"44713A3aVerdeNão se aplicaNão se aplicaNão se aplicaNão se aplicaNão se aplica",Mercado_Receita!$J$2:$J$1039)+SUMIF(Mercado_Receita!$S$2:$S$1039,"44713A3aVerdeNão se aplicaNão se aplicaAPENão se aplicaNão se aplica",Mercado_Receita!$J$2:$J$1039)</f>
        <v>155</v>
      </c>
      <c r="P13" s="13">
        <f>SUMIF(Mercado_Receita!$S$2:$S$1039,"44743A3aVerdeNão se aplicaNão se aplicaNão se aplicaNão se aplicaNão se aplica",Mercado_Receita!$J$2:$J$1039)+SUMIF(Mercado_Receita!$S$2:$S$1039,"44743A3aVerdeNão se aplicaNão se aplicaAPENão se aplicaNão se aplica",Mercado_Receita!$J$2:$J$1039)</f>
        <v>155</v>
      </c>
      <c r="Q13" s="13">
        <f>SUMIF(Mercado_Receita!$S$2:$S$1039,"44774A3aVerdeNão se aplicaNão se aplicaNão se aplicaNão se aplicaNão se aplica",Mercado_Receita!$J$2:$J$1039)+SUMIF(Mercado_Receita!$S$2:$S$1039,"44774A3aVerdeNão se aplicaNão se aplicaAPENão se aplicaNão se aplica",Mercado_Receita!$J$2:$J$1039)</f>
        <v>155</v>
      </c>
      <c r="R13" s="13">
        <f>SUMIF(Mercado_Receita!$S$2:$S$1039,"44805A3aVerdeNão se aplicaNão se aplicaNão se aplicaNão se aplicaNão se aplica",Mercado_Receita!$J$2:$J$1039)+SUMIF(Mercado_Receita!$S$2:$S$1039,"44805A3aVerdeNão se aplicaNão se aplicaAPENão se aplicaNão se aplica",Mercado_Receita!$J$2:$J$1039)</f>
        <v>155</v>
      </c>
      <c r="S13" s="13">
        <f>SUMIF(Mercado_Receita!$S$2:$S$1039,"44835A3aVerdeNão se aplicaNão se aplicaNão se aplicaNão se aplicaNão se aplica",Mercado_Receita!$J$2:$J$1039)+SUMIF(Mercado_Receita!$S$2:$S$1039,"44835A3aVerdeNão se aplicaNão se aplicaAPENão se aplicaNão se aplica",Mercado_Receita!$J$2:$J$1039)</f>
        <v>155</v>
      </c>
      <c r="T13" s="13">
        <f>SUMIF(Mercado_Receita!$S$2:$S$1039,"44866A3aVerdeNão se aplicaNão se aplicaNão se aplicaNão se aplicaNão se aplica",Mercado_Receita!$J$2:$J$1039)+SUMIF(Mercado_Receita!$S$2:$S$1039,"44866A3aVerdeNão se aplicaNão se aplicaAPENão se aplicaNão se aplica",Mercado_Receita!$J$2:$J$1039)</f>
        <v>155</v>
      </c>
      <c r="U13" s="13">
        <f t="shared" si="0"/>
        <v>1860</v>
      </c>
      <c r="V13" s="13"/>
      <c r="W13" s="13"/>
    </row>
    <row r="14" spans="1:30" ht="11.25" customHeight="1" x14ac:dyDescent="0.25">
      <c r="A14" s="104"/>
      <c r="B14" s="104"/>
      <c r="C14" s="104"/>
      <c r="D14" s="104"/>
      <c r="E14" s="104"/>
      <c r="F14" s="104"/>
      <c r="G14" s="13" t="s">
        <v>80</v>
      </c>
      <c r="H14" s="13" t="s">
        <v>79</v>
      </c>
      <c r="I14" s="13">
        <f>SUMIF(Mercado_Receita!$S$2:$S$1039,"44531A3aVerdeNão se aplicaNão se aplicaNão se aplicaNão se aplicaPonta",Mercado_Receita!$L$2:$L$1039)</f>
        <v>3.15</v>
      </c>
      <c r="J14" s="13">
        <f>SUMIF(Mercado_Receita!$S$2:$S$1039,"44562A3aVerdeNão se aplicaNão se aplicaNão se aplicaNão se aplicaPonta",Mercado_Receita!$L$2:$L$1039)</f>
        <v>2.625</v>
      </c>
      <c r="K14" s="13">
        <f>SUMIF(Mercado_Receita!$S$2:$S$1039,"44593A3aVerdeNão se aplicaNão se aplicaNão se aplicaNão se aplicaPonta",Mercado_Receita!$L$2:$L$1039)</f>
        <v>2.6240000000000001</v>
      </c>
      <c r="L14" s="13">
        <f>SUMIF(Mercado_Receita!$S$2:$S$1039,"44621A3aVerdeNão se aplicaNão se aplicaNão se aplicaNão se aplicaPonta",Mercado_Receita!$L$2:$L$1039)</f>
        <v>2.625</v>
      </c>
      <c r="M14" s="13">
        <f>SUMIF(Mercado_Receita!$S$2:$S$1039,"44652A3aVerdeNão se aplicaNão se aplicaNão se aplicaNão se aplicaPonta",Mercado_Receita!$L$2:$L$1039)</f>
        <v>2.0990000000000002</v>
      </c>
      <c r="N14" s="13">
        <f>SUMIF(Mercado_Receita!$S$2:$S$1039,"44682A3aVerdeNão se aplicaNão se aplicaNão se aplicaNão se aplicaPonta",Mercado_Receita!$L$2:$L$1039)</f>
        <v>2.625</v>
      </c>
      <c r="O14" s="13">
        <f>SUMIF(Mercado_Receita!$S$2:$S$1039,"44713A3aVerdeNão se aplicaNão se aplicaNão se aplicaNão se aplicaPonta",Mercado_Receita!$L$2:$L$1039)</f>
        <v>3.15</v>
      </c>
      <c r="P14" s="13">
        <f>SUMIF(Mercado_Receita!$S$2:$S$1039,"44743A3aVerdeNão se aplicaNão se aplicaNão se aplicaNão se aplicaPonta",Mercado_Receita!$L$2:$L$1039)</f>
        <v>2.625</v>
      </c>
      <c r="Q14" s="13">
        <f>SUMIF(Mercado_Receita!$S$2:$S$1039,"44774A3aVerdeNão se aplicaNão se aplicaNão se aplicaNão se aplicaPonta",Mercado_Receita!$L$2:$L$1039)</f>
        <v>2.625</v>
      </c>
      <c r="R14" s="13">
        <f>SUMIF(Mercado_Receita!$S$2:$S$1039,"44805A3aVerdeNão se aplicaNão se aplicaNão se aplicaNão se aplicaPonta",Mercado_Receita!$L$2:$L$1039)</f>
        <v>2.0990000000000002</v>
      </c>
      <c r="S14" s="13">
        <f>SUMIF(Mercado_Receita!$S$2:$S$1039,"44835A3aVerdeNão se aplicaNão se aplicaNão se aplicaNão se aplicaPonta",Mercado_Receita!$L$2:$L$1039)</f>
        <v>2.3090000000000002</v>
      </c>
      <c r="T14" s="13">
        <f>SUMIF(Mercado_Receita!$S$2:$S$1039,"44866A3aVerdeNão se aplicaNão se aplicaNão se aplicaNão se aplicaPonta",Mercado_Receita!$L$2:$L$1039)</f>
        <v>2.3090000000000002</v>
      </c>
      <c r="U14" s="13">
        <f t="shared" si="0"/>
        <v>30.865000000000002</v>
      </c>
      <c r="V14" s="13"/>
      <c r="W14" s="13"/>
    </row>
    <row r="15" spans="1:30" ht="11.25" customHeight="1" x14ac:dyDescent="0.25">
      <c r="A15" s="104"/>
      <c r="B15" s="104"/>
      <c r="C15" s="104"/>
      <c r="D15" s="104"/>
      <c r="E15" s="104"/>
      <c r="F15" s="104"/>
      <c r="G15" s="13" t="s">
        <v>81</v>
      </c>
      <c r="H15" s="13" t="s">
        <v>79</v>
      </c>
      <c r="I15" s="13">
        <f>SUMIF(Mercado_Receita!$S$2:$S$1039,"44531A3aVerdeNão se aplicaNão se aplicaNão se aplicaNão se aplicaFora ponta",Mercado_Receita!$L$2:$L$1039)</f>
        <v>23.1</v>
      </c>
      <c r="J15" s="13">
        <f>SUMIF(Mercado_Receita!$S$2:$S$1039,"44562A3aVerdeNão se aplicaNão se aplicaNão se aplicaNão se aplicaFora ponta",Mercado_Receita!$L$2:$L$1039)</f>
        <v>15.75</v>
      </c>
      <c r="K15" s="13">
        <f>SUMIF(Mercado_Receita!$S$2:$S$1039,"44593A3aVerdeNão se aplicaNão se aplicaNão se aplicaNão se aplicaFora ponta",Mercado_Receita!$L$2:$L$1039)</f>
        <v>13.124000000000001</v>
      </c>
      <c r="L15" s="13">
        <f>SUMIF(Mercado_Receita!$S$2:$S$1039,"44621A3aVerdeNão se aplicaNão se aplicaNão se aplicaNão se aplicaFora ponta",Mercado_Receita!$L$2:$L$1039)</f>
        <v>15.225</v>
      </c>
      <c r="M15" s="13">
        <f>SUMIF(Mercado_Receita!$S$2:$S$1039,"44652A3aVerdeNão se aplicaNão se aplicaNão se aplicaNão se aplicaFora ponta",Mercado_Receita!$L$2:$L$1039)</f>
        <v>12.074</v>
      </c>
      <c r="N15" s="13">
        <f>SUMIF(Mercado_Receita!$S$2:$S$1039,"44682A3aVerdeNão se aplicaNão se aplicaNão se aplicaNão se aplicaFora ponta",Mercado_Receita!$L$2:$L$1039)</f>
        <v>18.375</v>
      </c>
      <c r="O15" s="13">
        <f>SUMIF(Mercado_Receita!$S$2:$S$1039,"44713A3aVerdeNão se aplicaNão se aplicaNão se aplicaNão se aplicaFora ponta",Mercado_Receita!$L$2:$L$1039)</f>
        <v>15.797000000000001</v>
      </c>
      <c r="P15" s="13">
        <f>SUMIF(Mercado_Receita!$S$2:$S$1039,"44743A3aVerdeNão se aplicaNão se aplicaNão se aplicaNão se aplicaFora ponta",Mercado_Receita!$L$2:$L$1039)</f>
        <v>18.327000000000002</v>
      </c>
      <c r="Q15" s="13">
        <f>SUMIF(Mercado_Receita!$S$2:$S$1039,"44774A3aVerdeNão se aplicaNão se aplicaNão se aplicaNão se aplicaFora ponta",Mercado_Receita!$L$2:$L$1039)</f>
        <v>17.324999999999999</v>
      </c>
      <c r="R15" s="13">
        <f>SUMIF(Mercado_Receita!$S$2:$S$1039,"44805A3aVerdeNão se aplicaNão se aplicaNão se aplicaNão se aplicaFora ponta",Mercado_Receita!$L$2:$L$1039)</f>
        <v>14.699</v>
      </c>
      <c r="S15" s="13">
        <f>SUMIF(Mercado_Receita!$S$2:$S$1039,"44835A3aVerdeNão se aplicaNão se aplicaNão se aplicaNão se aplicaFora ponta",Mercado_Receita!$L$2:$L$1039)</f>
        <v>13.042</v>
      </c>
      <c r="T15" s="13">
        <f>SUMIF(Mercado_Receita!$S$2:$S$1039,"44866A3aVerdeNão se aplicaNão se aplicaNão se aplicaNão se aplicaFora ponta",Mercado_Receita!$L$2:$L$1039)</f>
        <v>13.042</v>
      </c>
      <c r="U15" s="13">
        <f t="shared" si="0"/>
        <v>189.88</v>
      </c>
      <c r="V15" s="13"/>
      <c r="W15" s="13"/>
    </row>
    <row r="16" spans="1:30" ht="11.25" customHeight="1" x14ac:dyDescent="0.25">
      <c r="A16" s="104"/>
      <c r="B16" s="104"/>
      <c r="C16" s="104"/>
      <c r="D16" s="104"/>
      <c r="E16" s="103" t="s">
        <v>85</v>
      </c>
      <c r="F16" s="103" t="s">
        <v>25</v>
      </c>
      <c r="G16" s="13" t="s">
        <v>80</v>
      </c>
      <c r="H16" s="13" t="s">
        <v>79</v>
      </c>
      <c r="I16" s="13">
        <f>SUMIF(Mercado_Receita!$S$2:$S$1039,"44531A3aVerdeNão se aplicaNão se aplicaAPENão se aplicaPonta",Mercado_Receita!$L$2:$L$1039)</f>
        <v>0</v>
      </c>
      <c r="J16" s="13">
        <f>SUMIF(Mercado_Receita!$S$2:$S$1039,"44562A3aVerdeNão se aplicaNão se aplicaAPENão se aplicaPonta",Mercado_Receita!$L$2:$L$1039)</f>
        <v>0</v>
      </c>
      <c r="K16" s="13">
        <f>SUMIF(Mercado_Receita!$S$2:$S$1039,"44593A3aVerdeNão se aplicaNão se aplicaAPENão se aplicaPonta",Mercado_Receita!$L$2:$L$1039)</f>
        <v>0</v>
      </c>
      <c r="L16" s="13">
        <f>SUMIF(Mercado_Receita!$S$2:$S$1039,"44621A3aVerdeNão se aplicaNão se aplicaAPENão se aplicaPonta",Mercado_Receita!$L$2:$L$1039)</f>
        <v>0</v>
      </c>
      <c r="M16" s="13">
        <f>SUMIF(Mercado_Receita!$S$2:$S$1039,"44652A3aVerdeNão se aplicaNão se aplicaAPENão se aplicaPonta",Mercado_Receita!$L$2:$L$1039)</f>
        <v>0</v>
      </c>
      <c r="N16" s="13">
        <f>SUMIF(Mercado_Receita!$S$2:$S$1039,"44682A3aVerdeNão se aplicaNão se aplicaAPENão se aplicaPonta",Mercado_Receita!$L$2:$L$1039)</f>
        <v>0</v>
      </c>
      <c r="O16" s="13">
        <f>SUMIF(Mercado_Receita!$S$2:$S$1039,"44713A3aVerdeNão se aplicaNão se aplicaAPENão se aplicaPonta",Mercado_Receita!$L$2:$L$1039)</f>
        <v>0</v>
      </c>
      <c r="P16" s="13">
        <f>SUMIF(Mercado_Receita!$S$2:$S$1039,"44743A3aVerdeNão se aplicaNão se aplicaAPENão se aplicaPonta",Mercado_Receita!$L$2:$L$1039)</f>
        <v>0</v>
      </c>
      <c r="Q16" s="13">
        <f>SUMIF(Mercado_Receita!$S$2:$S$1039,"44774A3aVerdeNão se aplicaNão se aplicaAPENão se aplicaPonta",Mercado_Receita!$L$2:$L$1039)</f>
        <v>0</v>
      </c>
      <c r="R16" s="13">
        <f>SUMIF(Mercado_Receita!$S$2:$S$1039,"44805A3aVerdeNão se aplicaNão se aplicaAPENão se aplicaPonta",Mercado_Receita!$L$2:$L$1039)</f>
        <v>0</v>
      </c>
      <c r="S16" s="13">
        <f>SUMIF(Mercado_Receita!$S$2:$S$1039,"44835A3aVerdeNão se aplicaNão se aplicaAPENão se aplicaPonta",Mercado_Receita!$L$2:$L$1039)</f>
        <v>0</v>
      </c>
      <c r="T16" s="13">
        <f>SUMIF(Mercado_Receita!$S$2:$S$1039,"44866A3aVerdeNão se aplicaNão se aplicaAPENão se aplicaPonta",Mercado_Receita!$L$2:$L$1039)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104"/>
      <c r="B17" s="104"/>
      <c r="C17" s="104"/>
      <c r="D17" s="104"/>
      <c r="E17" s="104"/>
      <c r="F17" s="104"/>
      <c r="G17" s="13" t="s">
        <v>81</v>
      </c>
      <c r="H17" s="13" t="s">
        <v>79</v>
      </c>
      <c r="I17" s="13">
        <f>SUMIF(Mercado_Receita!$S$2:$S$1039,"44531A3aVerdeNão se aplicaNão se aplicaAPENão se aplicaFora ponta",Mercado_Receita!$L$2:$L$1039)</f>
        <v>0</v>
      </c>
      <c r="J17" s="13">
        <f>SUMIF(Mercado_Receita!$S$2:$S$1039,"44562A3aVerdeNão se aplicaNão se aplicaAPENão se aplicaFora ponta",Mercado_Receita!$L$2:$L$1039)</f>
        <v>0</v>
      </c>
      <c r="K17" s="13">
        <f>SUMIF(Mercado_Receita!$S$2:$S$1039,"44593A3aVerdeNão se aplicaNão se aplicaAPENão se aplicaFora ponta",Mercado_Receita!$L$2:$L$1039)</f>
        <v>0</v>
      </c>
      <c r="L17" s="13">
        <f>SUMIF(Mercado_Receita!$S$2:$S$1039,"44621A3aVerdeNão se aplicaNão se aplicaAPENão se aplicaFora ponta",Mercado_Receita!$L$2:$L$1039)</f>
        <v>0</v>
      </c>
      <c r="M17" s="13">
        <f>SUMIF(Mercado_Receita!$S$2:$S$1039,"44652A3aVerdeNão se aplicaNão se aplicaAPENão se aplicaFora ponta",Mercado_Receita!$L$2:$L$1039)</f>
        <v>0</v>
      </c>
      <c r="N17" s="13">
        <f>SUMIF(Mercado_Receita!$S$2:$S$1039,"44682A3aVerdeNão se aplicaNão se aplicaAPENão se aplicaFora ponta",Mercado_Receita!$L$2:$L$1039)</f>
        <v>0</v>
      </c>
      <c r="O17" s="13">
        <f>SUMIF(Mercado_Receita!$S$2:$S$1039,"44713A3aVerdeNão se aplicaNão se aplicaAPENão se aplicaFora ponta",Mercado_Receita!$L$2:$L$1039)</f>
        <v>0</v>
      </c>
      <c r="P17" s="13">
        <f>SUMIF(Mercado_Receita!$S$2:$S$1039,"44743A3aVerdeNão se aplicaNão se aplicaAPENão se aplicaFora ponta",Mercado_Receita!$L$2:$L$1039)</f>
        <v>0</v>
      </c>
      <c r="Q17" s="13">
        <f>SUMIF(Mercado_Receita!$S$2:$S$1039,"44774A3aVerdeNão se aplicaNão se aplicaAPENão se aplicaFora ponta",Mercado_Receita!$L$2:$L$1039)</f>
        <v>0</v>
      </c>
      <c r="R17" s="13">
        <f>SUMIF(Mercado_Receita!$S$2:$S$1039,"44805A3aVerdeNão se aplicaNão se aplicaAPENão se aplicaFora ponta",Mercado_Receita!$L$2:$L$1039)</f>
        <v>0</v>
      </c>
      <c r="S17" s="13">
        <f>SUMIF(Mercado_Receita!$S$2:$S$1039,"44835A3aVerdeNão se aplicaNão se aplicaAPENão se aplicaFora ponta",Mercado_Receita!$L$2:$L$1039)</f>
        <v>0</v>
      </c>
      <c r="T17" s="13">
        <f>SUMIF(Mercado_Receita!$S$2:$S$1039,"44866A3aVerdeNão se aplicaNão se aplicaAPENão se aplicaFora ponta",Mercado_Receita!$L$2:$L$1039)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103" t="s">
        <v>41</v>
      </c>
      <c r="B18" s="103" t="s">
        <v>40</v>
      </c>
      <c r="C18" s="103" t="s">
        <v>25</v>
      </c>
      <c r="D18" s="103" t="s">
        <v>25</v>
      </c>
      <c r="E18" s="103" t="s">
        <v>25</v>
      </c>
      <c r="F18" s="103" t="s">
        <v>25</v>
      </c>
      <c r="G18" s="13" t="s">
        <v>82</v>
      </c>
      <c r="H18" s="13" t="s">
        <v>76</v>
      </c>
      <c r="I18" s="13">
        <f>SUMIF(Mercado_Receita!$S$2:$S$1039,"44531A4AzulNão se aplicaNão se aplicaNão se aplicaNão se aplicaPonta",Mercado_Receita!$J$2:$J$1039)+SUMIF(Mercado_Receita!$S$2:$S$1039,"44531A4AzulNão se aplicaNão se aplicaAPENão se aplicaPonta",Mercado_Receita!$J$2:$J$1039)</f>
        <v>10412</v>
      </c>
      <c r="J18" s="13">
        <f>SUMIF(Mercado_Receita!$S$2:$S$1039,"44562A4AzulNão se aplicaNão se aplicaNão se aplicaNão se aplicaPonta",Mercado_Receita!$J$2:$J$1039)+SUMIF(Mercado_Receita!$S$2:$S$1039,"44562A4AzulNão se aplicaNão se aplicaAPENão se aplicaPonta",Mercado_Receita!$J$2:$J$1039)</f>
        <v>10317</v>
      </c>
      <c r="K18" s="13">
        <f>SUMIF(Mercado_Receita!$S$2:$S$1039,"44593A4AzulNão se aplicaNão se aplicaNão se aplicaNão se aplicaPonta",Mercado_Receita!$J$2:$J$1039)+SUMIF(Mercado_Receita!$S$2:$S$1039,"44593A4AzulNão se aplicaNão se aplicaAPENão se aplicaPonta",Mercado_Receita!$J$2:$J$1039)</f>
        <v>10336</v>
      </c>
      <c r="L18" s="13">
        <f>SUMIF(Mercado_Receita!$S$2:$S$1039,"44621A4AzulNão se aplicaNão se aplicaNão se aplicaNão se aplicaPonta",Mercado_Receita!$J$2:$J$1039)+SUMIF(Mercado_Receita!$S$2:$S$1039,"44621A4AzulNão se aplicaNão se aplicaAPENão se aplicaPonta",Mercado_Receita!$J$2:$J$1039)</f>
        <v>10446</v>
      </c>
      <c r="M18" s="13">
        <f>SUMIF(Mercado_Receita!$S$2:$S$1039,"44652A4AzulNão se aplicaNão se aplicaNão se aplicaNão se aplicaPonta",Mercado_Receita!$J$2:$J$1039)+SUMIF(Mercado_Receita!$S$2:$S$1039,"44652A4AzulNão se aplicaNão se aplicaAPENão se aplicaPonta",Mercado_Receita!$J$2:$J$1039)</f>
        <v>10463</v>
      </c>
      <c r="N18" s="13">
        <f>SUMIF(Mercado_Receita!$S$2:$S$1039,"44682A4AzulNão se aplicaNão se aplicaNão se aplicaNão se aplicaPonta",Mercado_Receita!$J$2:$J$1039)+SUMIF(Mercado_Receita!$S$2:$S$1039,"44682A4AzulNão se aplicaNão se aplicaAPENão se aplicaPonta",Mercado_Receita!$J$2:$J$1039)</f>
        <v>10337</v>
      </c>
      <c r="O18" s="13">
        <f>SUMIF(Mercado_Receita!$S$2:$S$1039,"44713A4AzulNão se aplicaNão se aplicaNão se aplicaNão se aplicaPonta",Mercado_Receita!$J$2:$J$1039)+SUMIF(Mercado_Receita!$S$2:$S$1039,"44713A4AzulNão se aplicaNão se aplicaAPENão se aplicaPonta",Mercado_Receita!$J$2:$J$1039)</f>
        <v>10480</v>
      </c>
      <c r="P18" s="13">
        <f>SUMIF(Mercado_Receita!$S$2:$S$1039,"44743A4AzulNão se aplicaNão se aplicaNão se aplicaNão se aplicaPonta",Mercado_Receita!$J$2:$J$1039)+SUMIF(Mercado_Receita!$S$2:$S$1039,"44743A4AzulNão se aplicaNão se aplicaAPENão se aplicaPonta",Mercado_Receita!$J$2:$J$1039)</f>
        <v>11682</v>
      </c>
      <c r="Q18" s="13">
        <f>SUMIF(Mercado_Receita!$S$2:$S$1039,"44774A4AzulNão se aplicaNão se aplicaNão se aplicaNão se aplicaPonta",Mercado_Receita!$J$2:$J$1039)+SUMIF(Mercado_Receita!$S$2:$S$1039,"44774A4AzulNão se aplicaNão se aplicaAPENão se aplicaPonta",Mercado_Receita!$J$2:$J$1039)</f>
        <v>9666</v>
      </c>
      <c r="R18" s="13">
        <f>SUMIF(Mercado_Receita!$S$2:$S$1039,"44805A4AzulNão se aplicaNão se aplicaNão se aplicaNão se aplicaPonta",Mercado_Receita!$J$2:$J$1039)+SUMIF(Mercado_Receita!$S$2:$S$1039,"44805A4AzulNão se aplicaNão se aplicaAPENão se aplicaPonta",Mercado_Receita!$J$2:$J$1039)</f>
        <v>10582</v>
      </c>
      <c r="S18" s="13">
        <f>SUMIF(Mercado_Receita!$S$2:$S$1039,"44835A4AzulNão se aplicaNão se aplicaNão se aplicaNão se aplicaPonta",Mercado_Receita!$J$2:$J$1039)+SUMIF(Mercado_Receita!$S$2:$S$1039,"44835A4AzulNão se aplicaNão se aplicaAPENão se aplicaPonta",Mercado_Receita!$J$2:$J$1039)</f>
        <v>9460</v>
      </c>
      <c r="T18" s="13">
        <f>SUMIF(Mercado_Receita!$S$2:$S$1039,"44866A4AzulNão se aplicaNão se aplicaNão se aplicaNão se aplicaPonta",Mercado_Receita!$J$2:$J$1039)+SUMIF(Mercado_Receita!$S$2:$S$1039,"44866A4AzulNão se aplicaNão se aplicaAPENão se aplicaPonta",Mercado_Receita!$J$2:$J$1039)</f>
        <v>9460</v>
      </c>
      <c r="U18" s="13">
        <f t="shared" si="0"/>
        <v>123641</v>
      </c>
      <c r="V18" s="13"/>
      <c r="W18" s="13"/>
    </row>
    <row r="19" spans="1:23" ht="11.25" customHeight="1" x14ac:dyDescent="0.25">
      <c r="A19" s="104"/>
      <c r="B19" s="104"/>
      <c r="C19" s="104"/>
      <c r="D19" s="104"/>
      <c r="E19" s="104"/>
      <c r="F19" s="104"/>
      <c r="G19" s="13" t="s">
        <v>83</v>
      </c>
      <c r="H19" s="13" t="s">
        <v>76</v>
      </c>
      <c r="I19" s="13">
        <f>SUMIF(Mercado_Receita!$S$2:$S$1039,"44531A4AzulNão se aplicaNão se aplicaNão se aplicaNão se aplicaFora ponta",Mercado_Receita!$J$2:$J$1039)+SUMIF(Mercado_Receita!$S$2:$S$1039,"44531A4AzulNão se aplicaNão se aplicaAPENão se aplicaFora ponta",Mercado_Receita!$J$2:$J$1039)</f>
        <v>14206</v>
      </c>
      <c r="J19" s="13">
        <f>SUMIF(Mercado_Receita!$S$2:$S$1039,"44562A4AzulNão se aplicaNão se aplicaNão se aplicaNão se aplicaFora ponta",Mercado_Receita!$J$2:$J$1039)+SUMIF(Mercado_Receita!$S$2:$S$1039,"44562A4AzulNão se aplicaNão se aplicaAPENão se aplicaFora ponta",Mercado_Receita!$J$2:$J$1039)</f>
        <v>14070</v>
      </c>
      <c r="K19" s="13">
        <f>SUMIF(Mercado_Receita!$S$2:$S$1039,"44593A4AzulNão se aplicaNão se aplicaNão se aplicaNão se aplicaFora ponta",Mercado_Receita!$J$2:$J$1039)+SUMIF(Mercado_Receita!$S$2:$S$1039,"44593A4AzulNão se aplicaNão se aplicaAPENão se aplicaFora ponta",Mercado_Receita!$J$2:$J$1039)</f>
        <v>14114</v>
      </c>
      <c r="L19" s="13">
        <f>SUMIF(Mercado_Receita!$S$2:$S$1039,"44621A4AzulNão se aplicaNão se aplicaNão se aplicaNão se aplicaFora ponta",Mercado_Receita!$J$2:$J$1039)+SUMIF(Mercado_Receita!$S$2:$S$1039,"44621A4AzulNão se aplicaNão se aplicaAPENão se aplicaFora ponta",Mercado_Receita!$J$2:$J$1039)</f>
        <v>14204</v>
      </c>
      <c r="M19" s="13">
        <f>SUMIF(Mercado_Receita!$S$2:$S$1039,"44652A4AzulNão se aplicaNão se aplicaNão se aplicaNão se aplicaFora ponta",Mercado_Receita!$J$2:$J$1039)+SUMIF(Mercado_Receita!$S$2:$S$1039,"44652A4AzulNão se aplicaNão se aplicaAPENão se aplicaFora ponta",Mercado_Receita!$J$2:$J$1039)</f>
        <v>14168</v>
      </c>
      <c r="N19" s="13">
        <f>SUMIF(Mercado_Receita!$S$2:$S$1039,"44682A4AzulNão se aplicaNão se aplicaNão se aplicaNão se aplicaFora ponta",Mercado_Receita!$J$2:$J$1039)+SUMIF(Mercado_Receita!$S$2:$S$1039,"44682A4AzulNão se aplicaNão se aplicaAPENão se aplicaFora ponta",Mercado_Receita!$J$2:$J$1039)</f>
        <v>14002</v>
      </c>
      <c r="O19" s="13">
        <f>SUMIF(Mercado_Receita!$S$2:$S$1039,"44713A4AzulNão se aplicaNão se aplicaNão se aplicaNão se aplicaFora ponta",Mercado_Receita!$J$2:$J$1039)+SUMIF(Mercado_Receita!$S$2:$S$1039,"44713A4AzulNão se aplicaNão se aplicaAPENão se aplicaFora ponta",Mercado_Receita!$J$2:$J$1039)</f>
        <v>14019</v>
      </c>
      <c r="P19" s="13">
        <f>SUMIF(Mercado_Receita!$S$2:$S$1039,"44743A4AzulNão se aplicaNão se aplicaNão se aplicaNão se aplicaFora ponta",Mercado_Receita!$J$2:$J$1039)+SUMIF(Mercado_Receita!$S$2:$S$1039,"44743A4AzulNão se aplicaNão se aplicaAPENão se aplicaFora ponta",Mercado_Receita!$J$2:$J$1039)</f>
        <v>15633</v>
      </c>
      <c r="Q19" s="13">
        <f>SUMIF(Mercado_Receita!$S$2:$S$1039,"44774A4AzulNão se aplicaNão se aplicaNão se aplicaNão se aplicaFora ponta",Mercado_Receita!$J$2:$J$1039)+SUMIF(Mercado_Receita!$S$2:$S$1039,"44774A4AzulNão se aplicaNão se aplicaAPENão se aplicaFora ponta",Mercado_Receita!$J$2:$J$1039)</f>
        <v>12475</v>
      </c>
      <c r="R19" s="13">
        <f>SUMIF(Mercado_Receita!$S$2:$S$1039,"44805A4AzulNão se aplicaNão se aplicaNão se aplicaNão se aplicaFora ponta",Mercado_Receita!$J$2:$J$1039)+SUMIF(Mercado_Receita!$S$2:$S$1039,"44805A4AzulNão se aplicaNão se aplicaAPENão se aplicaFora ponta",Mercado_Receita!$J$2:$J$1039)</f>
        <v>14072</v>
      </c>
      <c r="S19" s="13">
        <f>SUMIF(Mercado_Receita!$S$2:$S$1039,"44835A4AzulNão se aplicaNão se aplicaNão se aplicaNão se aplicaFora ponta",Mercado_Receita!$J$2:$J$1039)+SUMIF(Mercado_Receita!$S$2:$S$1039,"44835A4AzulNão se aplicaNão se aplicaAPENão se aplicaFora ponta",Mercado_Receita!$J$2:$J$1039)</f>
        <v>13382</v>
      </c>
      <c r="T19" s="13">
        <f>SUMIF(Mercado_Receita!$S$2:$S$1039,"44866A4AzulNão se aplicaNão se aplicaNão se aplicaNão se aplicaFora ponta",Mercado_Receita!$J$2:$J$1039)+SUMIF(Mercado_Receita!$S$2:$S$1039,"44866A4AzulNão se aplicaNão se aplicaAPENão se aplicaFora ponta",Mercado_Receita!$J$2:$J$1039)</f>
        <v>13382</v>
      </c>
      <c r="U19" s="13">
        <f t="shared" si="0"/>
        <v>167727</v>
      </c>
      <c r="V19" s="13"/>
      <c r="W19" s="13"/>
    </row>
    <row r="20" spans="1:23" ht="11.25" customHeight="1" x14ac:dyDescent="0.25">
      <c r="A20" s="104"/>
      <c r="B20" s="104"/>
      <c r="C20" s="104"/>
      <c r="D20" s="104"/>
      <c r="E20" s="104"/>
      <c r="F20" s="104"/>
      <c r="G20" s="13" t="s">
        <v>84</v>
      </c>
      <c r="H20" s="13" t="s">
        <v>79</v>
      </c>
      <c r="I20" s="13">
        <f>SUMIF(Mercado_Receita!$S$2:$S$1039,"44531A4AzulNão se aplicaNão se aplicaNão se aplicaNão se aplicaPonta",Mercado_Receita!$L$2:$L$1039)+SUMIF(Mercado_Receita!$S$2:$S$1039,"44531A4AzulNão se aplicaNão se aplicaNão se aplicaNão se aplicaFora ponta",Mercado_Receita!$L$2:$L$1039)+SUMIF(Mercado_Receita!$S$2:$S$1039,"44531A4AzulNão se aplicaNão se aplicaNão se aplicaNão se aplicaIntermediário",Mercado_Receita!$L$2:$L$1039)+SUMIF(Mercado_Receita!$S$2:$S$1039,"44531A4AzulNão se aplicaNão se aplicaNão se aplicaNão se aplicaNão se aplica",Mercado_Receita!$L$2:$L$1039)</f>
        <v>4462.2629999999999</v>
      </c>
      <c r="J20" s="13">
        <f>SUMIF(Mercado_Receita!$S$2:$S$1039,"44562A4AzulNão se aplicaNão se aplicaNão se aplicaNão se aplicaPonta",Mercado_Receita!$L$2:$L$1039)+SUMIF(Mercado_Receita!$S$2:$S$1039,"44562A4AzulNão se aplicaNão se aplicaNão se aplicaNão se aplicaFora ponta",Mercado_Receita!$L$2:$L$1039)+SUMIF(Mercado_Receita!$S$2:$S$1039,"44562A4AzulNão se aplicaNão se aplicaNão se aplicaNão se aplicaIntermediário",Mercado_Receita!$L$2:$L$1039)+SUMIF(Mercado_Receita!$S$2:$S$1039,"44562A4AzulNão se aplicaNão se aplicaNão se aplicaNão se aplicaNão se aplica",Mercado_Receita!$L$2:$L$1039)</f>
        <v>4163.5619999999999</v>
      </c>
      <c r="K20" s="13">
        <f>SUMIF(Mercado_Receita!$S$2:$S$1039,"44593A4AzulNão se aplicaNão se aplicaNão se aplicaNão se aplicaPonta",Mercado_Receita!$L$2:$L$1039)+SUMIF(Mercado_Receita!$S$2:$S$1039,"44593A4AzulNão se aplicaNão se aplicaNão se aplicaNão se aplicaFora ponta",Mercado_Receita!$L$2:$L$1039)+SUMIF(Mercado_Receita!$S$2:$S$1039,"44593A4AzulNão se aplicaNão se aplicaNão se aplicaNão se aplicaIntermediário",Mercado_Receita!$L$2:$L$1039)+SUMIF(Mercado_Receita!$S$2:$S$1039,"44593A4AzulNão se aplicaNão se aplicaNão se aplicaNão se aplicaNão se aplica",Mercado_Receita!$L$2:$L$1039)</f>
        <v>4004.5559999999996</v>
      </c>
      <c r="L20" s="13">
        <f>SUMIF(Mercado_Receita!$S$2:$S$1039,"44621A4AzulNão se aplicaNão se aplicaNão se aplicaNão se aplicaPonta",Mercado_Receita!$L$2:$L$1039)+SUMIF(Mercado_Receita!$S$2:$S$1039,"44621A4AzulNão se aplicaNão se aplicaNão se aplicaNão se aplicaFora ponta",Mercado_Receita!$L$2:$L$1039)+SUMIF(Mercado_Receita!$S$2:$S$1039,"44621A4AzulNão se aplicaNão se aplicaNão se aplicaNão se aplicaIntermediário",Mercado_Receita!$L$2:$L$1039)+SUMIF(Mercado_Receita!$S$2:$S$1039,"44621A4AzulNão se aplicaNão se aplicaNão se aplicaNão se aplicaNão se aplica",Mercado_Receita!$L$2:$L$1039)</f>
        <v>4300.87</v>
      </c>
      <c r="M20" s="13">
        <f>SUMIF(Mercado_Receita!$S$2:$S$1039,"44652A4AzulNão se aplicaNão se aplicaNão se aplicaNão se aplicaPonta",Mercado_Receita!$L$2:$L$1039)+SUMIF(Mercado_Receita!$S$2:$S$1039,"44652A4AzulNão se aplicaNão se aplicaNão se aplicaNão se aplicaFora ponta",Mercado_Receita!$L$2:$L$1039)+SUMIF(Mercado_Receita!$S$2:$S$1039,"44652A4AzulNão se aplicaNão se aplicaNão se aplicaNão se aplicaIntermediário",Mercado_Receita!$L$2:$L$1039)+SUMIF(Mercado_Receita!$S$2:$S$1039,"44652A4AzulNão se aplicaNão se aplicaNão se aplicaNão se aplicaNão se aplica",Mercado_Receita!$L$2:$L$1039)</f>
        <v>4012.1809999999996</v>
      </c>
      <c r="N20" s="13">
        <f>SUMIF(Mercado_Receita!$S$2:$S$1039,"44682A4AzulNão se aplicaNão se aplicaNão se aplicaNão se aplicaPonta",Mercado_Receita!$L$2:$L$1039)+SUMIF(Mercado_Receita!$S$2:$S$1039,"44682A4AzulNão se aplicaNão se aplicaNão se aplicaNão se aplicaFora ponta",Mercado_Receita!$L$2:$L$1039)+SUMIF(Mercado_Receita!$S$2:$S$1039,"44682A4AzulNão se aplicaNão se aplicaNão se aplicaNão se aplicaIntermediário",Mercado_Receita!$L$2:$L$1039)+SUMIF(Mercado_Receita!$S$2:$S$1039,"44682A4AzulNão se aplicaNão se aplicaNão se aplicaNão se aplicaNão se aplica",Mercado_Receita!$L$2:$L$1039)</f>
        <v>4241.7860000000001</v>
      </c>
      <c r="O20" s="13">
        <f>SUMIF(Mercado_Receita!$S$2:$S$1039,"44713A4AzulNão se aplicaNão se aplicaNão se aplicaNão se aplicaPonta",Mercado_Receita!$L$2:$L$1039)+SUMIF(Mercado_Receita!$S$2:$S$1039,"44713A4AzulNão se aplicaNão se aplicaNão se aplicaNão se aplicaFora ponta",Mercado_Receita!$L$2:$L$1039)+SUMIF(Mercado_Receita!$S$2:$S$1039,"44713A4AzulNão se aplicaNão se aplicaNão se aplicaNão se aplicaIntermediário",Mercado_Receita!$L$2:$L$1039)+SUMIF(Mercado_Receita!$S$2:$S$1039,"44713A4AzulNão se aplicaNão se aplicaNão se aplicaNão se aplicaNão se aplica",Mercado_Receita!$L$2:$L$1039)</f>
        <v>4258.3559999999998</v>
      </c>
      <c r="P20" s="13">
        <f>SUMIF(Mercado_Receita!$S$2:$S$1039,"44743A4AzulNão se aplicaNão se aplicaNão se aplicaNão se aplicaPonta",Mercado_Receita!$L$2:$L$1039)+SUMIF(Mercado_Receita!$S$2:$S$1039,"44743A4AzulNão se aplicaNão se aplicaNão se aplicaNão se aplicaFora ponta",Mercado_Receita!$L$2:$L$1039)+SUMIF(Mercado_Receita!$S$2:$S$1039,"44743A4AzulNão se aplicaNão se aplicaNão se aplicaNão se aplicaIntermediário",Mercado_Receita!$L$2:$L$1039)+SUMIF(Mercado_Receita!$S$2:$S$1039,"44743A4AzulNão se aplicaNão se aplicaNão se aplicaNão se aplicaNão se aplica",Mercado_Receita!$L$2:$L$1039)</f>
        <v>3826.8920000000007</v>
      </c>
      <c r="Q20" s="13">
        <f>SUMIF(Mercado_Receita!$S$2:$S$1039,"44774A4AzulNão se aplicaNão se aplicaNão se aplicaNão se aplicaPonta",Mercado_Receita!$L$2:$L$1039)+SUMIF(Mercado_Receita!$S$2:$S$1039,"44774A4AzulNão se aplicaNão se aplicaNão se aplicaNão se aplicaFora ponta",Mercado_Receita!$L$2:$L$1039)+SUMIF(Mercado_Receita!$S$2:$S$1039,"44774A4AzulNão se aplicaNão se aplicaNão se aplicaNão se aplicaIntermediário",Mercado_Receita!$L$2:$L$1039)+SUMIF(Mercado_Receita!$S$2:$S$1039,"44774A4AzulNão se aplicaNão se aplicaNão se aplicaNão se aplicaNão se aplica",Mercado_Receita!$L$2:$L$1039)</f>
        <v>4910.4970000000003</v>
      </c>
      <c r="R20" s="13">
        <f>SUMIF(Mercado_Receita!$S$2:$S$1039,"44805A4AzulNão se aplicaNão se aplicaNão se aplicaNão se aplicaPonta",Mercado_Receita!$L$2:$L$1039)+SUMIF(Mercado_Receita!$S$2:$S$1039,"44805A4AzulNão se aplicaNão se aplicaNão se aplicaNão se aplicaFora ponta",Mercado_Receita!$L$2:$L$1039)+SUMIF(Mercado_Receita!$S$2:$S$1039,"44805A4AzulNão se aplicaNão se aplicaNão se aplicaNão se aplicaIntermediário",Mercado_Receita!$L$2:$L$1039)+SUMIF(Mercado_Receita!$S$2:$S$1039,"44805A4AzulNão se aplicaNão se aplicaNão se aplicaNão se aplicaNão se aplica",Mercado_Receita!$L$2:$L$1039)</f>
        <v>4508.3789999999999</v>
      </c>
      <c r="S20" s="13">
        <f>SUMIF(Mercado_Receita!$S$2:$S$1039,"44835A4AzulNão se aplicaNão se aplicaNão se aplicaNão se aplicaPonta",Mercado_Receita!$L$2:$L$1039)+SUMIF(Mercado_Receita!$S$2:$S$1039,"44835A4AzulNão se aplicaNão se aplicaNão se aplicaNão se aplicaFora ponta",Mercado_Receita!$L$2:$L$1039)+SUMIF(Mercado_Receita!$S$2:$S$1039,"44835A4AzulNão se aplicaNão se aplicaNão se aplicaNão se aplicaIntermediário",Mercado_Receita!$L$2:$L$1039)+SUMIF(Mercado_Receita!$S$2:$S$1039,"44835A4AzulNão se aplicaNão se aplicaNão se aplicaNão se aplicaNão se aplica",Mercado_Receita!$L$2:$L$1039)</f>
        <v>4643.3569999999991</v>
      </c>
      <c r="T20" s="13">
        <f>SUMIF(Mercado_Receita!$S$2:$S$1039,"44866A4AzulNão se aplicaNão se aplicaNão se aplicaNão se aplicaPonta",Mercado_Receita!$L$2:$L$1039)+SUMIF(Mercado_Receita!$S$2:$S$1039,"44866A4AzulNão se aplicaNão se aplicaNão se aplicaNão se aplicaFora ponta",Mercado_Receita!$L$2:$L$1039)+SUMIF(Mercado_Receita!$S$2:$S$1039,"44866A4AzulNão se aplicaNão se aplicaNão se aplicaNão se aplicaIntermediário",Mercado_Receita!$L$2:$L$1039)+SUMIF(Mercado_Receita!$S$2:$S$1039,"44866A4AzulNão se aplicaNão se aplicaNão se aplicaNão se aplicaNão se aplica",Mercado_Receita!$L$2:$L$1039)</f>
        <v>4643.3569999999991</v>
      </c>
      <c r="U20" s="13">
        <f t="shared" si="0"/>
        <v>51976.055999999997</v>
      </c>
      <c r="V20" s="13"/>
      <c r="W20" s="13"/>
    </row>
    <row r="21" spans="1:23" ht="11.25" customHeight="1" x14ac:dyDescent="0.25">
      <c r="A21" s="104"/>
      <c r="B21" s="104"/>
      <c r="C21" s="104"/>
      <c r="D21" s="104"/>
      <c r="E21" s="12" t="s">
        <v>85</v>
      </c>
      <c r="F21" s="12" t="s">
        <v>25</v>
      </c>
      <c r="G21" s="13" t="s">
        <v>84</v>
      </c>
      <c r="H21" s="13" t="s">
        <v>79</v>
      </c>
      <c r="I21" s="13">
        <f>SUMIF(Mercado_Receita!$S$2:$S$1039,"44531A4AzulNão se aplicaNão se aplicaAPENão se aplicaPonta",Mercado_Receita!$L$2:$L$1039)+SUMIF(Mercado_Receita!$S$2:$S$1039,"44531A4AzulNão se aplicaNão se aplicaAPENão se aplicaFora ponta",Mercado_Receita!$L$2:$L$1039)+SUMIF(Mercado_Receita!$S$2:$S$1039,"44531A4AzulNão se aplicaNão se aplicaAPENão se aplicaIntermediário",Mercado_Receita!$L$2:$L$1039)+SUMIF(Mercado_Receita!$S$2:$S$1039,"44531A4AzulNão se aplicaNão se aplicaAPENão se aplicaNão se aplica",Mercado_Receita!$L$2:$L$1039)</f>
        <v>0</v>
      </c>
      <c r="J21" s="13">
        <f>SUMIF(Mercado_Receita!$S$2:$S$1039,"44562A4AzulNão se aplicaNão se aplicaAPENão se aplicaPonta",Mercado_Receita!$L$2:$L$1039)+SUMIF(Mercado_Receita!$S$2:$S$1039,"44562A4AzulNão se aplicaNão se aplicaAPENão se aplicaFora ponta",Mercado_Receita!$L$2:$L$1039)+SUMIF(Mercado_Receita!$S$2:$S$1039,"44562A4AzulNão se aplicaNão se aplicaAPENão se aplicaIntermediário",Mercado_Receita!$L$2:$L$1039)+SUMIF(Mercado_Receita!$S$2:$S$1039,"44562A4AzulNão se aplicaNão se aplicaAPENão se aplicaNão se aplica",Mercado_Receita!$L$2:$L$1039)</f>
        <v>0</v>
      </c>
      <c r="K21" s="13">
        <f>SUMIF(Mercado_Receita!$S$2:$S$1039,"44593A4AzulNão se aplicaNão se aplicaAPENão se aplicaPonta",Mercado_Receita!$L$2:$L$1039)+SUMIF(Mercado_Receita!$S$2:$S$1039,"44593A4AzulNão se aplicaNão se aplicaAPENão se aplicaFora ponta",Mercado_Receita!$L$2:$L$1039)+SUMIF(Mercado_Receita!$S$2:$S$1039,"44593A4AzulNão se aplicaNão se aplicaAPENão se aplicaIntermediário",Mercado_Receita!$L$2:$L$1039)+SUMIF(Mercado_Receita!$S$2:$S$1039,"44593A4AzulNão se aplicaNão se aplicaAPENão se aplicaNão se aplica",Mercado_Receita!$L$2:$L$1039)</f>
        <v>0</v>
      </c>
      <c r="L21" s="13">
        <f>SUMIF(Mercado_Receita!$S$2:$S$1039,"44621A4AzulNão se aplicaNão se aplicaAPENão se aplicaPonta",Mercado_Receita!$L$2:$L$1039)+SUMIF(Mercado_Receita!$S$2:$S$1039,"44621A4AzulNão se aplicaNão se aplicaAPENão se aplicaFora ponta",Mercado_Receita!$L$2:$L$1039)+SUMIF(Mercado_Receita!$S$2:$S$1039,"44621A4AzulNão se aplicaNão se aplicaAPENão se aplicaIntermediário",Mercado_Receita!$L$2:$L$1039)+SUMIF(Mercado_Receita!$S$2:$S$1039,"44621A4AzulNão se aplicaNão se aplicaAPENão se aplicaNão se aplica",Mercado_Receita!$L$2:$L$1039)</f>
        <v>0</v>
      </c>
      <c r="M21" s="13">
        <f>SUMIF(Mercado_Receita!$S$2:$S$1039,"44652A4AzulNão se aplicaNão se aplicaAPENão se aplicaPonta",Mercado_Receita!$L$2:$L$1039)+SUMIF(Mercado_Receita!$S$2:$S$1039,"44652A4AzulNão se aplicaNão se aplicaAPENão se aplicaFora ponta",Mercado_Receita!$L$2:$L$1039)+SUMIF(Mercado_Receita!$S$2:$S$1039,"44652A4AzulNão se aplicaNão se aplicaAPENão se aplicaIntermediário",Mercado_Receita!$L$2:$L$1039)+SUMIF(Mercado_Receita!$S$2:$S$1039,"44652A4AzulNão se aplicaNão se aplicaAPENão se aplicaNão se aplica",Mercado_Receita!$L$2:$L$1039)</f>
        <v>0</v>
      </c>
      <c r="N21" s="13">
        <f>SUMIF(Mercado_Receita!$S$2:$S$1039,"44682A4AzulNão se aplicaNão se aplicaAPENão se aplicaPonta",Mercado_Receita!$L$2:$L$1039)+SUMIF(Mercado_Receita!$S$2:$S$1039,"44682A4AzulNão se aplicaNão se aplicaAPENão se aplicaFora ponta",Mercado_Receita!$L$2:$L$1039)+SUMIF(Mercado_Receita!$S$2:$S$1039,"44682A4AzulNão se aplicaNão se aplicaAPENão se aplicaIntermediário",Mercado_Receita!$L$2:$L$1039)+SUMIF(Mercado_Receita!$S$2:$S$1039,"44682A4AzulNão se aplicaNão se aplicaAPENão se aplicaNão se aplica",Mercado_Receita!$L$2:$L$1039)</f>
        <v>0</v>
      </c>
      <c r="O21" s="13">
        <f>SUMIF(Mercado_Receita!$S$2:$S$1039,"44713A4AzulNão se aplicaNão se aplicaAPENão se aplicaPonta",Mercado_Receita!$L$2:$L$1039)+SUMIF(Mercado_Receita!$S$2:$S$1039,"44713A4AzulNão se aplicaNão se aplicaAPENão se aplicaFora ponta",Mercado_Receita!$L$2:$L$1039)+SUMIF(Mercado_Receita!$S$2:$S$1039,"44713A4AzulNão se aplicaNão se aplicaAPENão se aplicaIntermediário",Mercado_Receita!$L$2:$L$1039)+SUMIF(Mercado_Receita!$S$2:$S$1039,"44713A4AzulNão se aplicaNão se aplicaAPENão se aplicaNão se aplica",Mercado_Receita!$L$2:$L$1039)</f>
        <v>0</v>
      </c>
      <c r="P21" s="13">
        <f>SUMIF(Mercado_Receita!$S$2:$S$1039,"44743A4AzulNão se aplicaNão se aplicaAPENão se aplicaPonta",Mercado_Receita!$L$2:$L$1039)+SUMIF(Mercado_Receita!$S$2:$S$1039,"44743A4AzulNão se aplicaNão se aplicaAPENão se aplicaFora ponta",Mercado_Receita!$L$2:$L$1039)+SUMIF(Mercado_Receita!$S$2:$S$1039,"44743A4AzulNão se aplicaNão se aplicaAPENão se aplicaIntermediário",Mercado_Receita!$L$2:$L$1039)+SUMIF(Mercado_Receita!$S$2:$S$1039,"44743A4AzulNão se aplicaNão se aplicaAPENão se aplicaNão se aplica",Mercado_Receita!$L$2:$L$1039)</f>
        <v>0</v>
      </c>
      <c r="Q21" s="13">
        <f>SUMIF(Mercado_Receita!$S$2:$S$1039,"44774A4AzulNão se aplicaNão se aplicaAPENão se aplicaPonta",Mercado_Receita!$L$2:$L$1039)+SUMIF(Mercado_Receita!$S$2:$S$1039,"44774A4AzulNão se aplicaNão se aplicaAPENão se aplicaFora ponta",Mercado_Receita!$L$2:$L$1039)+SUMIF(Mercado_Receita!$S$2:$S$1039,"44774A4AzulNão se aplicaNão se aplicaAPENão se aplicaIntermediário",Mercado_Receita!$L$2:$L$1039)+SUMIF(Mercado_Receita!$S$2:$S$1039,"44774A4AzulNão se aplicaNão se aplicaAPENão se aplicaNão se aplica",Mercado_Receita!$L$2:$L$1039)</f>
        <v>0</v>
      </c>
      <c r="R21" s="13">
        <f>SUMIF(Mercado_Receita!$S$2:$S$1039,"44805A4AzulNão se aplicaNão se aplicaAPENão se aplicaPonta",Mercado_Receita!$L$2:$L$1039)+SUMIF(Mercado_Receita!$S$2:$S$1039,"44805A4AzulNão se aplicaNão se aplicaAPENão se aplicaFora ponta",Mercado_Receita!$L$2:$L$1039)+SUMIF(Mercado_Receita!$S$2:$S$1039,"44805A4AzulNão se aplicaNão se aplicaAPENão se aplicaIntermediário",Mercado_Receita!$L$2:$L$1039)+SUMIF(Mercado_Receita!$S$2:$S$1039,"44805A4AzulNão se aplicaNão se aplicaAPENão se aplicaNão se aplica",Mercado_Receita!$L$2:$L$1039)</f>
        <v>0</v>
      </c>
      <c r="S21" s="13">
        <f>SUMIF(Mercado_Receita!$S$2:$S$1039,"44835A4AzulNão se aplicaNão se aplicaAPENão se aplicaPonta",Mercado_Receita!$L$2:$L$1039)+SUMIF(Mercado_Receita!$S$2:$S$1039,"44835A4AzulNão se aplicaNão se aplicaAPENão se aplicaFora ponta",Mercado_Receita!$L$2:$L$1039)+SUMIF(Mercado_Receita!$S$2:$S$1039,"44835A4AzulNão se aplicaNão se aplicaAPENão se aplicaIntermediário",Mercado_Receita!$L$2:$L$1039)+SUMIF(Mercado_Receita!$S$2:$S$1039,"44835A4AzulNão se aplicaNão se aplicaAPENão se aplicaNão se aplica",Mercado_Receita!$L$2:$L$1039)</f>
        <v>0</v>
      </c>
      <c r="T21" s="13">
        <f>SUMIF(Mercado_Receita!$S$2:$S$1039,"44866A4AzulNão se aplicaNão se aplicaAPENão se aplicaPonta",Mercado_Receita!$L$2:$L$1039)+SUMIF(Mercado_Receita!$S$2:$S$1039,"44866A4AzulNão se aplicaNão se aplicaAPENão se aplicaFora ponta",Mercado_Receita!$L$2:$L$1039)+SUMIF(Mercado_Receita!$S$2:$S$1039,"44866A4AzulNão se aplicaNão se aplicaAPENão se aplicaIntermediário",Mercado_Receita!$L$2:$L$1039)+SUMIF(Mercado_Receita!$S$2:$S$1039,"44866A4AzulNão se aplicaNão se aplicaAPENão se aplicaNão se aplica",Mercado_Receita!$L$2:$L$1039)</f>
        <v>0</v>
      </c>
      <c r="U21" s="13">
        <f t="shared" si="0"/>
        <v>0</v>
      </c>
      <c r="V21" s="13"/>
      <c r="W21" s="13"/>
    </row>
    <row r="22" spans="1:23" ht="11.25" customHeight="1" x14ac:dyDescent="0.25">
      <c r="A22" s="104"/>
      <c r="B22" s="12" t="s">
        <v>58</v>
      </c>
      <c r="C22" s="12" t="s">
        <v>25</v>
      </c>
      <c r="D22" s="12" t="s">
        <v>25</v>
      </c>
      <c r="E22" s="12" t="s">
        <v>25</v>
      </c>
      <c r="F22" s="12" t="s">
        <v>25</v>
      </c>
      <c r="G22" s="13" t="s">
        <v>9</v>
      </c>
      <c r="H22" s="13" t="s">
        <v>76</v>
      </c>
      <c r="I22" s="13">
        <f>SUMIF(Mercado_Receita!$S$2:$S$1039,"44531A4GeraçãoNão se aplicaNão se aplicaNão se aplicaNão se aplicaNão se aplica",Mercado_Receita!$J$2:$J$1039)+SUMIF(Mercado_Receita!$S$2:$S$1039,"44531A4GeraçãoNão se aplicaNão se aplicaAPENão se aplicaNão se aplica",Mercado_Receita!$J$2:$J$1039)</f>
        <v>0</v>
      </c>
      <c r="J22" s="13">
        <f>SUMIF(Mercado_Receita!$S$2:$S$1039,"44562A4GeraçãoNão se aplicaNão se aplicaNão se aplicaNão se aplicaNão se aplica",Mercado_Receita!$J$2:$J$1039)+SUMIF(Mercado_Receita!$S$2:$S$1039,"44562A4GeraçãoNão se aplicaNão se aplicaAPENão se aplicaNão se aplica",Mercado_Receita!$J$2:$J$1039)</f>
        <v>0</v>
      </c>
      <c r="K22" s="13">
        <f>SUMIF(Mercado_Receita!$S$2:$S$1039,"44593A4GeraçãoNão se aplicaNão se aplicaNão se aplicaNão se aplicaNão se aplica",Mercado_Receita!$J$2:$J$1039)+SUMIF(Mercado_Receita!$S$2:$S$1039,"44593A4GeraçãoNão se aplicaNão se aplicaAPENão se aplicaNão se aplica",Mercado_Receita!$J$2:$J$1039)</f>
        <v>0</v>
      </c>
      <c r="L22" s="13">
        <f>SUMIF(Mercado_Receita!$S$2:$S$1039,"44621A4GeraçãoNão se aplicaNão se aplicaNão se aplicaNão se aplicaNão se aplica",Mercado_Receita!$J$2:$J$1039)+SUMIF(Mercado_Receita!$S$2:$S$1039,"44621A4GeraçãoNão se aplicaNão se aplicaAPENão se aplicaNão se aplica",Mercado_Receita!$J$2:$J$1039)</f>
        <v>0</v>
      </c>
      <c r="M22" s="13">
        <f>SUMIF(Mercado_Receita!$S$2:$S$1039,"44652A4GeraçãoNão se aplicaNão se aplicaNão se aplicaNão se aplicaNão se aplica",Mercado_Receita!$J$2:$J$1039)+SUMIF(Mercado_Receita!$S$2:$S$1039,"44652A4GeraçãoNão se aplicaNão se aplicaAPENão se aplicaNão se aplica",Mercado_Receita!$J$2:$J$1039)</f>
        <v>0</v>
      </c>
      <c r="N22" s="13">
        <f>SUMIF(Mercado_Receita!$S$2:$S$1039,"44682A4GeraçãoNão se aplicaNão se aplicaNão se aplicaNão se aplicaNão se aplica",Mercado_Receita!$J$2:$J$1039)+SUMIF(Mercado_Receita!$S$2:$S$1039,"44682A4GeraçãoNão se aplicaNão se aplicaAPENão se aplicaNão se aplica",Mercado_Receita!$J$2:$J$1039)</f>
        <v>0</v>
      </c>
      <c r="O22" s="13">
        <f>SUMIF(Mercado_Receita!$S$2:$S$1039,"44713A4GeraçãoNão se aplicaNão se aplicaNão se aplicaNão se aplicaNão se aplica",Mercado_Receita!$J$2:$J$1039)+SUMIF(Mercado_Receita!$S$2:$S$1039,"44713A4GeraçãoNão se aplicaNão se aplicaAPENão se aplicaNão se aplica",Mercado_Receita!$J$2:$J$1039)</f>
        <v>0</v>
      </c>
      <c r="P22" s="13">
        <f>SUMIF(Mercado_Receita!$S$2:$S$1039,"44743A4GeraçãoNão se aplicaNão se aplicaNão se aplicaNão se aplicaNão se aplica",Mercado_Receita!$J$2:$J$1039)+SUMIF(Mercado_Receita!$S$2:$S$1039,"44743A4GeraçãoNão se aplicaNão se aplicaAPENão se aplicaNão se aplica",Mercado_Receita!$J$2:$J$1039)</f>
        <v>0</v>
      </c>
      <c r="Q22" s="13">
        <f>SUMIF(Mercado_Receita!$S$2:$S$1039,"44774A4GeraçãoNão se aplicaNão se aplicaNão se aplicaNão se aplicaNão se aplica",Mercado_Receita!$J$2:$J$1039)+SUMIF(Mercado_Receita!$S$2:$S$1039,"44774A4GeraçãoNão se aplicaNão se aplicaAPENão se aplicaNão se aplica",Mercado_Receita!$J$2:$J$1039)</f>
        <v>0</v>
      </c>
      <c r="R22" s="13">
        <f>SUMIF(Mercado_Receita!$S$2:$S$1039,"44805A4GeraçãoNão se aplicaNão se aplicaNão se aplicaNão se aplicaNão se aplica",Mercado_Receita!$J$2:$J$1039)+SUMIF(Mercado_Receita!$S$2:$S$1039,"44805A4GeraçãoNão se aplicaNão se aplicaAPENão se aplicaNão se aplica",Mercado_Receita!$J$2:$J$1039)</f>
        <v>0</v>
      </c>
      <c r="S22" s="13">
        <f>SUMIF(Mercado_Receita!$S$2:$S$1039,"44835A4GeraçãoNão se aplicaNão se aplicaNão se aplicaNão se aplicaNão se aplica",Mercado_Receita!$J$2:$J$1039)+SUMIF(Mercado_Receita!$S$2:$S$1039,"44835A4GeraçãoNão se aplicaNão se aplicaAPENão se aplicaNão se aplica",Mercado_Receita!$J$2:$J$1039)</f>
        <v>0</v>
      </c>
      <c r="T22" s="13">
        <f>SUMIF(Mercado_Receita!$S$2:$S$1039,"44866A4GeraçãoNão se aplicaNão se aplicaNão se aplicaNão se aplicaNão se aplica",Mercado_Receita!$J$2:$J$1039)+SUMIF(Mercado_Receita!$S$2:$S$1039,"44866A4GeraçãoNão se aplicaNão se aplicaAPENão se aplicaNão se aplica",Mercado_Receita!$J$2:$J$1039)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04"/>
      <c r="B23" s="103" t="s">
        <v>43</v>
      </c>
      <c r="C23" s="103" t="s">
        <v>25</v>
      </c>
      <c r="D23" s="103" t="s">
        <v>25</v>
      </c>
      <c r="E23" s="103" t="s">
        <v>25</v>
      </c>
      <c r="F23" s="103" t="s">
        <v>25</v>
      </c>
      <c r="G23" s="13" t="s">
        <v>9</v>
      </c>
      <c r="H23" s="13" t="s">
        <v>76</v>
      </c>
      <c r="I23" s="13">
        <f>SUMIF(Mercado_Receita!$S$2:$S$1039,"44531A4VerdeNão se aplicaNão se aplicaNão se aplicaNão se aplicaNão se aplica",Mercado_Receita!$J$2:$J$1039)+SUMIF(Mercado_Receita!$S$2:$S$1039,"44531A4VerdeNão se aplicaNão se aplicaAPENão se aplicaNão se aplica",Mercado_Receita!$J$2:$J$1039)</f>
        <v>79238</v>
      </c>
      <c r="J23" s="13">
        <f>SUMIF(Mercado_Receita!$S$2:$S$1039,"44562A4VerdeNão se aplicaNão se aplicaNão se aplicaNão se aplicaNão se aplica",Mercado_Receita!$J$2:$J$1039)+SUMIF(Mercado_Receita!$S$2:$S$1039,"44562A4VerdeNão se aplicaNão se aplicaAPENão se aplicaNão se aplica",Mercado_Receita!$J$2:$J$1039)</f>
        <v>69812</v>
      </c>
      <c r="K23" s="13">
        <f>SUMIF(Mercado_Receita!$S$2:$S$1039,"44593A4VerdeNão se aplicaNão se aplicaNão se aplicaNão se aplicaNão se aplica",Mercado_Receita!$J$2:$J$1039)+SUMIF(Mercado_Receita!$S$2:$S$1039,"44593A4VerdeNão se aplicaNão se aplicaAPENão se aplicaNão se aplica",Mercado_Receita!$J$2:$J$1039)</f>
        <v>77692</v>
      </c>
      <c r="L23" s="13">
        <f>SUMIF(Mercado_Receita!$S$2:$S$1039,"44621A4VerdeNão se aplicaNão se aplicaNão se aplicaNão se aplicaNão se aplica",Mercado_Receita!$J$2:$J$1039)+SUMIF(Mercado_Receita!$S$2:$S$1039,"44621A4VerdeNão se aplicaNão se aplicaAPENão se aplicaNão se aplica",Mercado_Receita!$J$2:$J$1039)</f>
        <v>77508</v>
      </c>
      <c r="M23" s="13">
        <f>SUMIF(Mercado_Receita!$S$2:$S$1039,"44652A4VerdeNão se aplicaNão se aplicaNão se aplicaNão se aplicaNão se aplica",Mercado_Receita!$J$2:$J$1039)+SUMIF(Mercado_Receita!$S$2:$S$1039,"44652A4VerdeNão se aplicaNão se aplicaAPENão se aplicaNão se aplica",Mercado_Receita!$J$2:$J$1039)</f>
        <v>78963</v>
      </c>
      <c r="N23" s="13">
        <f>SUMIF(Mercado_Receita!$S$2:$S$1039,"44682A4VerdeNão se aplicaNão se aplicaNão se aplicaNão se aplicaNão se aplica",Mercado_Receita!$J$2:$J$1039)+SUMIF(Mercado_Receita!$S$2:$S$1039,"44682A4VerdeNão se aplicaNão se aplicaAPENão se aplicaNão se aplica",Mercado_Receita!$J$2:$J$1039)</f>
        <v>80830</v>
      </c>
      <c r="O23" s="13">
        <f>SUMIF(Mercado_Receita!$S$2:$S$1039,"44713A4VerdeNão se aplicaNão se aplicaNão se aplicaNão se aplicaNão se aplica",Mercado_Receita!$J$2:$J$1039)+SUMIF(Mercado_Receita!$S$2:$S$1039,"44713A4VerdeNão se aplicaNão se aplicaAPENão se aplicaNão se aplica",Mercado_Receita!$J$2:$J$1039)</f>
        <v>80193</v>
      </c>
      <c r="P23" s="13">
        <f>SUMIF(Mercado_Receita!$S$2:$S$1039,"44743A4VerdeNão se aplicaNão se aplicaNão se aplicaNão se aplicaNão se aplica",Mercado_Receita!$J$2:$J$1039)+SUMIF(Mercado_Receita!$S$2:$S$1039,"44743A4VerdeNão se aplicaNão se aplicaAPENão se aplicaNão se aplica",Mercado_Receita!$J$2:$J$1039)</f>
        <v>84245</v>
      </c>
      <c r="Q23" s="13">
        <f>SUMIF(Mercado_Receita!$S$2:$S$1039,"44774A4VerdeNão se aplicaNão se aplicaNão se aplicaNão se aplicaNão se aplica",Mercado_Receita!$J$2:$J$1039)+SUMIF(Mercado_Receita!$S$2:$S$1039,"44774A4VerdeNão se aplicaNão se aplicaAPENão se aplicaNão se aplica",Mercado_Receita!$J$2:$J$1039)</f>
        <v>72713</v>
      </c>
      <c r="R23" s="13">
        <f>SUMIF(Mercado_Receita!$S$2:$S$1039,"44805A4VerdeNão se aplicaNão se aplicaNão se aplicaNão se aplicaNão se aplica",Mercado_Receita!$J$2:$J$1039)+SUMIF(Mercado_Receita!$S$2:$S$1039,"44805A4VerdeNão se aplicaNão se aplicaAPENão se aplicaNão se aplica",Mercado_Receita!$J$2:$J$1039)</f>
        <v>84878</v>
      </c>
      <c r="S23" s="13">
        <f>SUMIF(Mercado_Receita!$S$2:$S$1039,"44835A4VerdeNão se aplicaNão se aplicaNão se aplicaNão se aplicaNão se aplica",Mercado_Receita!$J$2:$J$1039)+SUMIF(Mercado_Receita!$S$2:$S$1039,"44835A4VerdeNão se aplicaNão se aplicaAPENão se aplicaNão se aplica",Mercado_Receita!$J$2:$J$1039)</f>
        <v>82339</v>
      </c>
      <c r="T23" s="13">
        <f>SUMIF(Mercado_Receita!$S$2:$S$1039,"44866A4VerdeNão se aplicaNão se aplicaNão se aplicaNão se aplicaNão se aplica",Mercado_Receita!$J$2:$J$1039)+SUMIF(Mercado_Receita!$S$2:$S$1039,"44866A4VerdeNão se aplicaNão se aplicaAPENão se aplicaNão se aplica",Mercado_Receita!$J$2:$J$1039)</f>
        <v>82339</v>
      </c>
      <c r="U23" s="13">
        <f t="shared" si="0"/>
        <v>950750</v>
      </c>
      <c r="V23" s="13"/>
      <c r="W23" s="13"/>
    </row>
    <row r="24" spans="1:23" ht="11.25" customHeight="1" x14ac:dyDescent="0.25">
      <c r="A24" s="104"/>
      <c r="B24" s="104"/>
      <c r="C24" s="104"/>
      <c r="D24" s="104"/>
      <c r="E24" s="104"/>
      <c r="F24" s="104"/>
      <c r="G24" s="13" t="s">
        <v>80</v>
      </c>
      <c r="H24" s="13" t="s">
        <v>79</v>
      </c>
      <c r="I24" s="13">
        <f>SUMIF(Mercado_Receita!$S$2:$S$1039,"44531A4VerdeNão se aplicaNão se aplicaNão se aplicaNão se aplicaPonta",Mercado_Receita!$L$2:$L$1039)</f>
        <v>1174.7400000000002</v>
      </c>
      <c r="J24" s="13">
        <f>SUMIF(Mercado_Receita!$S$2:$S$1039,"44562A4VerdeNão se aplicaNão se aplicaNão se aplicaNão se aplicaPonta",Mercado_Receita!$L$2:$L$1039)</f>
        <v>1560.3729999999998</v>
      </c>
      <c r="K24" s="13">
        <f>SUMIF(Mercado_Receita!$S$2:$S$1039,"44593A4VerdeNão se aplicaNão se aplicaNão se aplicaNão se aplicaPonta",Mercado_Receita!$L$2:$L$1039)</f>
        <v>1502.32</v>
      </c>
      <c r="L24" s="13">
        <f>SUMIF(Mercado_Receita!$S$2:$S$1039,"44621A4VerdeNão se aplicaNão se aplicaNão se aplicaNão se aplicaPonta",Mercado_Receita!$L$2:$L$1039)</f>
        <v>1735.8109999999999</v>
      </c>
      <c r="M24" s="13">
        <f>SUMIF(Mercado_Receita!$S$2:$S$1039,"44652A4VerdeNão se aplicaNão se aplicaNão se aplicaNão se aplicaPonta",Mercado_Receita!$L$2:$L$1039)</f>
        <v>1989.577</v>
      </c>
      <c r="N24" s="13">
        <f>SUMIF(Mercado_Receita!$S$2:$S$1039,"44682A4VerdeNão se aplicaNão se aplicaNão se aplicaNão se aplicaPonta",Mercado_Receita!$L$2:$L$1039)</f>
        <v>2196.0169999999998</v>
      </c>
      <c r="O24" s="13">
        <f>SUMIF(Mercado_Receita!$S$2:$S$1039,"44713A4VerdeNão se aplicaNão se aplicaNão se aplicaNão se aplicaPonta",Mercado_Receita!$L$2:$L$1039)</f>
        <v>2492.3730000000005</v>
      </c>
      <c r="P24" s="13">
        <f>SUMIF(Mercado_Receita!$S$2:$S$1039,"44743A4VerdeNão se aplicaNão se aplicaNão se aplicaNão se aplicaPonta",Mercado_Receita!$L$2:$L$1039)</f>
        <v>2266.1999999999994</v>
      </c>
      <c r="Q24" s="13">
        <f>SUMIF(Mercado_Receita!$S$2:$S$1039,"44774A4VerdeNão se aplicaNão se aplicaNão se aplicaNão se aplicaPonta",Mercado_Receita!$L$2:$L$1039)</f>
        <v>2573.3740000000003</v>
      </c>
      <c r="R24" s="13">
        <f>SUMIF(Mercado_Receita!$S$2:$S$1039,"44805A4VerdeNão se aplicaNão se aplicaNão se aplicaNão se aplicaPonta",Mercado_Receita!$L$2:$L$1039)</f>
        <v>2511.7959999999998</v>
      </c>
      <c r="S24" s="13">
        <f>SUMIF(Mercado_Receita!$S$2:$S$1039,"44835A4VerdeNão se aplicaNão se aplicaNão se aplicaNão se aplicaPonta",Mercado_Receita!$L$2:$L$1039)</f>
        <v>2507.39</v>
      </c>
      <c r="T24" s="13">
        <f>SUMIF(Mercado_Receita!$S$2:$S$1039,"44866A4VerdeNão se aplicaNão se aplicaNão se aplicaNão se aplicaPonta",Mercado_Receita!$L$2:$L$1039)</f>
        <v>2507.39</v>
      </c>
      <c r="U24" s="13">
        <f t="shared" si="0"/>
        <v>25017.360999999997</v>
      </c>
      <c r="V24" s="13"/>
      <c r="W24" s="13"/>
    </row>
    <row r="25" spans="1:23" ht="11.25" customHeight="1" x14ac:dyDescent="0.25">
      <c r="A25" s="104"/>
      <c r="B25" s="104"/>
      <c r="C25" s="104"/>
      <c r="D25" s="104"/>
      <c r="E25" s="104"/>
      <c r="F25" s="104"/>
      <c r="G25" s="13" t="s">
        <v>81</v>
      </c>
      <c r="H25" s="13" t="s">
        <v>79</v>
      </c>
      <c r="I25" s="13">
        <f>SUMIF(Mercado_Receita!$S$2:$S$1039,"44531A4VerdeNão se aplicaNão se aplicaNão se aplicaNão se aplicaFora ponta",Mercado_Receita!$L$2:$L$1039)</f>
        <v>13738.994999999999</v>
      </c>
      <c r="J25" s="13">
        <f>SUMIF(Mercado_Receita!$S$2:$S$1039,"44562A4VerdeNão se aplicaNão se aplicaNão se aplicaNão se aplicaFora ponta",Mercado_Receita!$L$2:$L$1039)</f>
        <v>11670.086000000001</v>
      </c>
      <c r="K25" s="13">
        <f>SUMIF(Mercado_Receita!$S$2:$S$1039,"44593A4VerdeNão se aplicaNão se aplicaNão se aplicaNão se aplicaFora ponta",Mercado_Receita!$L$2:$L$1039)</f>
        <v>11152.136999999999</v>
      </c>
      <c r="L25" s="13">
        <f>SUMIF(Mercado_Receita!$S$2:$S$1039,"44621A4VerdeNão se aplicaNão se aplicaNão se aplicaNão se aplicaFora ponta",Mercado_Receita!$L$2:$L$1039)</f>
        <v>13010.848999999998</v>
      </c>
      <c r="M25" s="13">
        <f>SUMIF(Mercado_Receita!$S$2:$S$1039,"44652A4VerdeNão se aplicaNão se aplicaNão se aplicaNão se aplicaFora ponta",Mercado_Receita!$L$2:$L$1039)</f>
        <v>12447.171</v>
      </c>
      <c r="N25" s="13">
        <f>SUMIF(Mercado_Receita!$S$2:$S$1039,"44682A4VerdeNão se aplicaNão se aplicaNão se aplicaNão se aplicaFora ponta",Mercado_Receita!$L$2:$L$1039)</f>
        <v>13433.47</v>
      </c>
      <c r="O25" s="13">
        <f>SUMIF(Mercado_Receita!$S$2:$S$1039,"44713A4VerdeNão se aplicaNão se aplicaNão se aplicaNão se aplicaFora ponta",Mercado_Receita!$L$2:$L$1039)</f>
        <v>13222.789000000002</v>
      </c>
      <c r="P25" s="13">
        <f>SUMIF(Mercado_Receita!$S$2:$S$1039,"44743A4VerdeNão se aplicaNão se aplicaNão se aplicaNão se aplicaFora ponta",Mercado_Receita!$L$2:$L$1039)</f>
        <v>13101.573000000002</v>
      </c>
      <c r="Q25" s="13">
        <f>SUMIF(Mercado_Receita!$S$2:$S$1039,"44774A4VerdeNão se aplicaNão se aplicaNão se aplicaNão se aplicaFora ponta",Mercado_Receita!$L$2:$L$1039)</f>
        <v>14144.785</v>
      </c>
      <c r="R25" s="13">
        <f>SUMIF(Mercado_Receita!$S$2:$S$1039,"44805A4VerdeNão se aplicaNão se aplicaNão se aplicaNão se aplicaFora ponta",Mercado_Receita!$L$2:$L$1039)</f>
        <v>15342.536000000002</v>
      </c>
      <c r="S25" s="13">
        <f>SUMIF(Mercado_Receita!$S$2:$S$1039,"44835A4VerdeNão se aplicaNão se aplicaNão se aplicaNão se aplicaFora ponta",Mercado_Receita!$L$2:$L$1039)</f>
        <v>15490.690000000002</v>
      </c>
      <c r="T25" s="13">
        <f>SUMIF(Mercado_Receita!$S$2:$S$1039,"44866A4VerdeNão se aplicaNão se aplicaNão se aplicaNão se aplicaFora ponta",Mercado_Receita!$L$2:$L$1039)</f>
        <v>15490.690000000002</v>
      </c>
      <c r="U25" s="13">
        <f t="shared" si="0"/>
        <v>162245.77100000001</v>
      </c>
      <c r="V25" s="13"/>
      <c r="W25" s="13"/>
    </row>
    <row r="26" spans="1:23" ht="11.25" customHeight="1" x14ac:dyDescent="0.25">
      <c r="A26" s="104"/>
      <c r="B26" s="104"/>
      <c r="C26" s="104"/>
      <c r="D26" s="104"/>
      <c r="E26" s="103" t="s">
        <v>85</v>
      </c>
      <c r="F26" s="103" t="s">
        <v>25</v>
      </c>
      <c r="G26" s="13" t="s">
        <v>80</v>
      </c>
      <c r="H26" s="13" t="s">
        <v>79</v>
      </c>
      <c r="I26" s="13">
        <f>SUMIF(Mercado_Receita!$S$2:$S$1039,"44531A4VerdeNão se aplicaNão se aplicaAPENão se aplicaPonta",Mercado_Receita!$L$2:$L$1039)</f>
        <v>0</v>
      </c>
      <c r="J26" s="13">
        <f>SUMIF(Mercado_Receita!$S$2:$S$1039,"44562A4VerdeNão se aplicaNão se aplicaAPENão se aplicaPonta",Mercado_Receita!$L$2:$L$1039)</f>
        <v>0</v>
      </c>
      <c r="K26" s="13">
        <f>SUMIF(Mercado_Receita!$S$2:$S$1039,"44593A4VerdeNão se aplicaNão se aplicaAPENão se aplicaPonta",Mercado_Receita!$L$2:$L$1039)</f>
        <v>0</v>
      </c>
      <c r="L26" s="13">
        <f>SUMIF(Mercado_Receita!$S$2:$S$1039,"44621A4VerdeNão se aplicaNão se aplicaAPENão se aplicaPonta",Mercado_Receita!$L$2:$L$1039)</f>
        <v>0</v>
      </c>
      <c r="M26" s="13">
        <f>SUMIF(Mercado_Receita!$S$2:$S$1039,"44652A4VerdeNão se aplicaNão se aplicaAPENão se aplicaPonta",Mercado_Receita!$L$2:$L$1039)</f>
        <v>0</v>
      </c>
      <c r="N26" s="13">
        <f>SUMIF(Mercado_Receita!$S$2:$S$1039,"44682A4VerdeNão se aplicaNão se aplicaAPENão se aplicaPonta",Mercado_Receita!$L$2:$L$1039)</f>
        <v>0</v>
      </c>
      <c r="O26" s="13">
        <f>SUMIF(Mercado_Receita!$S$2:$S$1039,"44713A4VerdeNão se aplicaNão se aplicaAPENão se aplicaPonta",Mercado_Receita!$L$2:$L$1039)</f>
        <v>0</v>
      </c>
      <c r="P26" s="13">
        <f>SUMIF(Mercado_Receita!$S$2:$S$1039,"44743A4VerdeNão se aplicaNão se aplicaAPENão se aplicaPonta",Mercado_Receita!$L$2:$L$1039)</f>
        <v>0</v>
      </c>
      <c r="Q26" s="13">
        <f>SUMIF(Mercado_Receita!$S$2:$S$1039,"44774A4VerdeNão se aplicaNão se aplicaAPENão se aplicaPonta",Mercado_Receita!$L$2:$L$1039)</f>
        <v>0</v>
      </c>
      <c r="R26" s="13">
        <f>SUMIF(Mercado_Receita!$S$2:$S$1039,"44805A4VerdeNão se aplicaNão se aplicaAPENão se aplicaPonta",Mercado_Receita!$L$2:$L$1039)</f>
        <v>0</v>
      </c>
      <c r="S26" s="13">
        <f>SUMIF(Mercado_Receita!$S$2:$S$1039,"44835A4VerdeNão se aplicaNão se aplicaAPENão se aplicaPonta",Mercado_Receita!$L$2:$L$1039)</f>
        <v>0</v>
      </c>
      <c r="T26" s="13">
        <f>SUMIF(Mercado_Receita!$S$2:$S$1039,"44866A4VerdeNão se aplicaNão se aplicaAPENão se aplicaPonta",Mercado_Receita!$L$2:$L$1039)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04"/>
      <c r="B27" s="104"/>
      <c r="C27" s="104"/>
      <c r="D27" s="104"/>
      <c r="E27" s="104"/>
      <c r="F27" s="104"/>
      <c r="G27" s="13" t="s">
        <v>81</v>
      </c>
      <c r="H27" s="13" t="s">
        <v>79</v>
      </c>
      <c r="I27" s="13">
        <f>SUMIF(Mercado_Receita!$S$2:$S$1039,"44531A4VerdeNão se aplicaNão se aplicaAPENão se aplicaFora ponta",Mercado_Receita!$L$2:$L$1039)</f>
        <v>0</v>
      </c>
      <c r="J27" s="13">
        <f>SUMIF(Mercado_Receita!$S$2:$S$1039,"44562A4VerdeNão se aplicaNão se aplicaAPENão se aplicaFora ponta",Mercado_Receita!$L$2:$L$1039)</f>
        <v>0</v>
      </c>
      <c r="K27" s="13">
        <f>SUMIF(Mercado_Receita!$S$2:$S$1039,"44593A4VerdeNão se aplicaNão se aplicaAPENão se aplicaFora ponta",Mercado_Receita!$L$2:$L$1039)</f>
        <v>0</v>
      </c>
      <c r="L27" s="13">
        <f>SUMIF(Mercado_Receita!$S$2:$S$1039,"44621A4VerdeNão se aplicaNão se aplicaAPENão se aplicaFora ponta",Mercado_Receita!$L$2:$L$1039)</f>
        <v>0</v>
      </c>
      <c r="M27" s="13">
        <f>SUMIF(Mercado_Receita!$S$2:$S$1039,"44652A4VerdeNão se aplicaNão se aplicaAPENão se aplicaFora ponta",Mercado_Receita!$L$2:$L$1039)</f>
        <v>0</v>
      </c>
      <c r="N27" s="13">
        <f>SUMIF(Mercado_Receita!$S$2:$S$1039,"44682A4VerdeNão se aplicaNão se aplicaAPENão se aplicaFora ponta",Mercado_Receita!$L$2:$L$1039)</f>
        <v>0</v>
      </c>
      <c r="O27" s="13">
        <f>SUMIF(Mercado_Receita!$S$2:$S$1039,"44713A4VerdeNão se aplicaNão se aplicaAPENão se aplicaFora ponta",Mercado_Receita!$L$2:$L$1039)</f>
        <v>0</v>
      </c>
      <c r="P27" s="13">
        <f>SUMIF(Mercado_Receita!$S$2:$S$1039,"44743A4VerdeNão se aplicaNão se aplicaAPENão se aplicaFora ponta",Mercado_Receita!$L$2:$L$1039)</f>
        <v>0</v>
      </c>
      <c r="Q27" s="13">
        <f>SUMIF(Mercado_Receita!$S$2:$S$1039,"44774A4VerdeNão se aplicaNão se aplicaAPENão se aplicaFora ponta",Mercado_Receita!$L$2:$L$1039)</f>
        <v>0</v>
      </c>
      <c r="R27" s="13">
        <f>SUMIF(Mercado_Receita!$S$2:$S$1039,"44805A4VerdeNão se aplicaNão se aplicaAPENão se aplicaFora ponta",Mercado_Receita!$L$2:$L$1039)</f>
        <v>0</v>
      </c>
      <c r="S27" s="13">
        <f>SUMIF(Mercado_Receita!$S$2:$S$1039,"44835A4VerdeNão se aplicaNão se aplicaAPENão se aplicaFora ponta",Mercado_Receita!$L$2:$L$1039)</f>
        <v>0</v>
      </c>
      <c r="T27" s="13">
        <f>SUMIF(Mercado_Receita!$S$2:$S$1039,"44866A4VerdeNão se aplicaNão se aplicaAPENão se aplicaFora ponta",Mercado_Receita!$L$2:$L$1039)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03" t="s">
        <v>87</v>
      </c>
      <c r="B28" s="103" t="s">
        <v>58</v>
      </c>
      <c r="C28" s="103" t="s">
        <v>25</v>
      </c>
      <c r="D28" s="103" t="s">
        <v>25</v>
      </c>
      <c r="E28" s="12" t="s">
        <v>88</v>
      </c>
      <c r="F28" s="12" t="s">
        <v>25</v>
      </c>
      <c r="G28" s="13" t="s">
        <v>9</v>
      </c>
      <c r="H28" s="13" t="s">
        <v>76</v>
      </c>
      <c r="I28" s="13">
        <f>SUMIF(Mercado_Receita!$S$2:$S$1039,"44531BGeraçãoNão se aplicaNão se aplicaTIPO 01Não se aplicaNão se aplica",Mercado_Receita!$J$2:$J$1039)+SUMIF(Mercado_Receita!$S$2:$S$1039,"44531BGeraçãoNão se aplicaNão se aplicaAPENão se aplicaNão se aplica",Mercado_Receita!$J$2:$J$1039)</f>
        <v>0</v>
      </c>
      <c r="J28" s="13">
        <f>SUMIF(Mercado_Receita!$S$2:$S$1039,"44562BGeraçãoNão se aplicaNão se aplicaTIPO 01Não se aplicaNão se aplica",Mercado_Receita!$J$2:$J$1039)+SUMIF(Mercado_Receita!$S$2:$S$1039,"44562BGeraçãoNão se aplicaNão se aplicaAPENão se aplicaNão se aplica",Mercado_Receita!$J$2:$J$1039)</f>
        <v>0</v>
      </c>
      <c r="K28" s="13">
        <f>SUMIF(Mercado_Receita!$S$2:$S$1039,"44593BGeraçãoNão se aplicaNão se aplicaTIPO 01Não se aplicaNão se aplica",Mercado_Receita!$J$2:$J$1039)+SUMIF(Mercado_Receita!$S$2:$S$1039,"44593BGeraçãoNão se aplicaNão se aplicaAPENão se aplicaNão se aplica",Mercado_Receita!$J$2:$J$1039)</f>
        <v>0</v>
      </c>
      <c r="L28" s="13">
        <f>SUMIF(Mercado_Receita!$S$2:$S$1039,"44621BGeraçãoNão se aplicaNão se aplicaTIPO 01Não se aplicaNão se aplica",Mercado_Receita!$J$2:$J$1039)+SUMIF(Mercado_Receita!$S$2:$S$1039,"44621BGeraçãoNão se aplicaNão se aplicaAPENão se aplicaNão se aplica",Mercado_Receita!$J$2:$J$1039)</f>
        <v>0</v>
      </c>
      <c r="M28" s="13">
        <f>SUMIF(Mercado_Receita!$S$2:$S$1039,"44652BGeraçãoNão se aplicaNão se aplicaTIPO 01Não se aplicaNão se aplica",Mercado_Receita!$J$2:$J$1039)+SUMIF(Mercado_Receita!$S$2:$S$1039,"44652BGeraçãoNão se aplicaNão se aplicaAPENão se aplicaNão se aplica",Mercado_Receita!$J$2:$J$1039)</f>
        <v>0</v>
      </c>
      <c r="N28" s="13">
        <f>SUMIF(Mercado_Receita!$S$2:$S$1039,"44682BGeraçãoNão se aplicaNão se aplicaTIPO 01Não se aplicaNão se aplica",Mercado_Receita!$J$2:$J$1039)+SUMIF(Mercado_Receita!$S$2:$S$1039,"44682BGeraçãoNão se aplicaNão se aplicaAPENão se aplicaNão se aplica",Mercado_Receita!$J$2:$J$1039)</f>
        <v>0</v>
      </c>
      <c r="O28" s="13">
        <f>SUMIF(Mercado_Receita!$S$2:$S$1039,"44713BGeraçãoNão se aplicaNão se aplicaTIPO 01Não se aplicaNão se aplica",Mercado_Receita!$J$2:$J$1039)+SUMIF(Mercado_Receita!$S$2:$S$1039,"44713BGeraçãoNão se aplicaNão se aplicaAPENão se aplicaNão se aplica",Mercado_Receita!$J$2:$J$1039)</f>
        <v>0</v>
      </c>
      <c r="P28" s="13">
        <f>SUMIF(Mercado_Receita!$S$2:$S$1039,"44743BGeraçãoNão se aplicaNão se aplicaTIPO 01Não se aplicaNão se aplica",Mercado_Receita!$J$2:$J$1039)+SUMIF(Mercado_Receita!$S$2:$S$1039,"44743BGeraçãoNão se aplicaNão se aplicaAPENão se aplicaNão se aplica",Mercado_Receita!$J$2:$J$1039)</f>
        <v>0</v>
      </c>
      <c r="Q28" s="13">
        <f>SUMIF(Mercado_Receita!$S$2:$S$1039,"44774BGeraçãoNão se aplicaNão se aplicaTIPO 01Não se aplicaNão se aplica",Mercado_Receita!$J$2:$J$1039)+SUMIF(Mercado_Receita!$S$2:$S$1039,"44774BGeraçãoNão se aplicaNão se aplicaAPENão se aplicaNão se aplica",Mercado_Receita!$J$2:$J$1039)</f>
        <v>0</v>
      </c>
      <c r="R28" s="13">
        <f>SUMIF(Mercado_Receita!$S$2:$S$1039,"44805BGeraçãoNão se aplicaNão se aplicaTIPO 01Não se aplicaNão se aplica",Mercado_Receita!$J$2:$J$1039)+SUMIF(Mercado_Receita!$S$2:$S$1039,"44805BGeraçãoNão se aplicaNão se aplicaAPENão se aplicaNão se aplica",Mercado_Receita!$J$2:$J$1039)</f>
        <v>0</v>
      </c>
      <c r="S28" s="13">
        <f>SUMIF(Mercado_Receita!$S$2:$S$1039,"44835BGeraçãoNão se aplicaNão se aplicaTIPO 01Não se aplicaNão se aplica",Mercado_Receita!$J$2:$J$1039)+SUMIF(Mercado_Receita!$S$2:$S$1039,"44835BGeraçãoNão se aplicaNão se aplicaAPENão se aplicaNão se aplica",Mercado_Receita!$J$2:$J$1039)</f>
        <v>0</v>
      </c>
      <c r="T28" s="13">
        <f>SUMIF(Mercado_Receita!$S$2:$S$1039,"44866BGeraçãoNão se aplicaNão se aplicaTIPO 01Não se aplicaNão se aplica",Mercado_Receita!$J$2:$J$1039)+SUMIF(Mercado_Receita!$S$2:$S$1039,"44866BGeraçãoNão se aplicaNão se aplicaAPENão se aplicaNão se aplica",Mercado_Receita!$J$2:$J$1039)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04"/>
      <c r="B29" s="104"/>
      <c r="C29" s="104"/>
      <c r="D29" s="104"/>
      <c r="E29" s="12" t="s">
        <v>89</v>
      </c>
      <c r="F29" s="12" t="s">
        <v>25</v>
      </c>
      <c r="G29" s="13" t="s">
        <v>9</v>
      </c>
      <c r="H29" s="13" t="s">
        <v>76</v>
      </c>
      <c r="I29" s="13">
        <f>SUMIF(Mercado_Receita!$S$2:$S$1039,"44531BGeraçãoNão se aplicaNão se aplicaTIPO 02Não se aplicaNão se aplica",Mercado_Receita!$J$2:$J$1039)+SUMIF(Mercado_Receita!$S$2:$S$1039,"44531BGeraçãoNão se aplicaNão se aplicaAPENão se aplicaNão se aplica",Mercado_Receita!$J$2:$J$1039)</f>
        <v>0</v>
      </c>
      <c r="J29" s="13">
        <f>SUMIF(Mercado_Receita!$S$2:$S$1039,"44562BGeraçãoNão se aplicaNão se aplicaTIPO 02Não se aplicaNão se aplica",Mercado_Receita!$J$2:$J$1039)+SUMIF(Mercado_Receita!$S$2:$S$1039,"44562BGeraçãoNão se aplicaNão se aplicaAPENão se aplicaNão se aplica",Mercado_Receita!$J$2:$J$1039)</f>
        <v>0</v>
      </c>
      <c r="K29" s="13">
        <f>SUMIF(Mercado_Receita!$S$2:$S$1039,"44593BGeraçãoNão se aplicaNão se aplicaTIPO 02Não se aplicaNão se aplica",Mercado_Receita!$J$2:$J$1039)+SUMIF(Mercado_Receita!$S$2:$S$1039,"44593BGeraçãoNão se aplicaNão se aplicaAPENão se aplicaNão se aplica",Mercado_Receita!$J$2:$J$1039)</f>
        <v>0</v>
      </c>
      <c r="L29" s="13">
        <f>SUMIF(Mercado_Receita!$S$2:$S$1039,"44621BGeraçãoNão se aplicaNão se aplicaTIPO 02Não se aplicaNão se aplica",Mercado_Receita!$J$2:$J$1039)+SUMIF(Mercado_Receita!$S$2:$S$1039,"44621BGeraçãoNão se aplicaNão se aplicaAPENão se aplicaNão se aplica",Mercado_Receita!$J$2:$J$1039)</f>
        <v>0</v>
      </c>
      <c r="M29" s="13">
        <f>SUMIF(Mercado_Receita!$S$2:$S$1039,"44652BGeraçãoNão se aplicaNão se aplicaTIPO 02Não se aplicaNão se aplica",Mercado_Receita!$J$2:$J$1039)+SUMIF(Mercado_Receita!$S$2:$S$1039,"44652BGeraçãoNão se aplicaNão se aplicaAPENão se aplicaNão se aplica",Mercado_Receita!$J$2:$J$1039)</f>
        <v>0</v>
      </c>
      <c r="N29" s="13">
        <f>SUMIF(Mercado_Receita!$S$2:$S$1039,"44682BGeraçãoNão se aplicaNão se aplicaTIPO 02Não se aplicaNão se aplica",Mercado_Receita!$J$2:$J$1039)+SUMIF(Mercado_Receita!$S$2:$S$1039,"44682BGeraçãoNão se aplicaNão se aplicaAPENão se aplicaNão se aplica",Mercado_Receita!$J$2:$J$1039)</f>
        <v>0</v>
      </c>
      <c r="O29" s="13">
        <f>SUMIF(Mercado_Receita!$S$2:$S$1039,"44713BGeraçãoNão se aplicaNão se aplicaTIPO 02Não se aplicaNão se aplica",Mercado_Receita!$J$2:$J$1039)+SUMIF(Mercado_Receita!$S$2:$S$1039,"44713BGeraçãoNão se aplicaNão se aplicaAPENão se aplicaNão se aplica",Mercado_Receita!$J$2:$J$1039)</f>
        <v>0</v>
      </c>
      <c r="P29" s="13">
        <f>SUMIF(Mercado_Receita!$S$2:$S$1039,"44743BGeraçãoNão se aplicaNão se aplicaTIPO 02Não se aplicaNão se aplica",Mercado_Receita!$J$2:$J$1039)+SUMIF(Mercado_Receita!$S$2:$S$1039,"44743BGeraçãoNão se aplicaNão se aplicaAPENão se aplicaNão se aplica",Mercado_Receita!$J$2:$J$1039)</f>
        <v>0</v>
      </c>
      <c r="Q29" s="13">
        <f>SUMIF(Mercado_Receita!$S$2:$S$1039,"44774BGeraçãoNão se aplicaNão se aplicaTIPO 02Não se aplicaNão se aplica",Mercado_Receita!$J$2:$J$1039)+SUMIF(Mercado_Receita!$S$2:$S$1039,"44774BGeraçãoNão se aplicaNão se aplicaAPENão se aplicaNão se aplica",Mercado_Receita!$J$2:$J$1039)</f>
        <v>0</v>
      </c>
      <c r="R29" s="13">
        <f>SUMIF(Mercado_Receita!$S$2:$S$1039,"44805BGeraçãoNão se aplicaNão se aplicaTIPO 02Não se aplicaNão se aplica",Mercado_Receita!$J$2:$J$1039)+SUMIF(Mercado_Receita!$S$2:$S$1039,"44805BGeraçãoNão se aplicaNão se aplicaAPENão se aplicaNão se aplica",Mercado_Receita!$J$2:$J$1039)</f>
        <v>0</v>
      </c>
      <c r="S29" s="13">
        <f>SUMIF(Mercado_Receita!$S$2:$S$1039,"44835BGeraçãoNão se aplicaNão se aplicaTIPO 02Não se aplicaNão se aplica",Mercado_Receita!$J$2:$J$1039)+SUMIF(Mercado_Receita!$S$2:$S$1039,"44835BGeraçãoNão se aplicaNão se aplicaAPENão se aplicaNão se aplica",Mercado_Receita!$J$2:$J$1039)</f>
        <v>0</v>
      </c>
      <c r="T29" s="13">
        <f>SUMIF(Mercado_Receita!$S$2:$S$1039,"44866BGeraçãoNão se aplicaNão se aplicaTIPO 02Não se aplicaNão se aplica",Mercado_Receita!$J$2:$J$1039)+SUMIF(Mercado_Receita!$S$2:$S$1039,"44866BGeraçãoNão se aplicaNão se aplicaAPENão se aplicaNão se aplica",Mercado_Receita!$J$2:$J$1039)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03" t="s">
        <v>22</v>
      </c>
      <c r="B30" s="103" t="s">
        <v>33</v>
      </c>
      <c r="C30" s="103" t="s">
        <v>24</v>
      </c>
      <c r="D30" s="103" t="s">
        <v>24</v>
      </c>
      <c r="E30" s="103" t="s">
        <v>25</v>
      </c>
      <c r="F30" s="103" t="s">
        <v>25</v>
      </c>
      <c r="G30" s="13" t="s">
        <v>80</v>
      </c>
      <c r="H30" s="13" t="s">
        <v>79</v>
      </c>
      <c r="I30" s="13">
        <f>SUMIF(Mercado_Receita!$S$2:$S$1039,"44531B1BrancaResidencialResidencialNão se aplicaNão se aplicaPonta",Mercado_Receita!$L$2:$L$1039)</f>
        <v>1.653</v>
      </c>
      <c r="J30" s="13">
        <f>SUMIF(Mercado_Receita!$S$2:$S$1039,"44562B1BrancaResidencialResidencialNão se aplicaNão se aplicaPonta",Mercado_Receita!$L$2:$L$1039)</f>
        <v>1.2730000000000001</v>
      </c>
      <c r="K30" s="13">
        <f>SUMIF(Mercado_Receita!$S$2:$S$1039,"44593B1BrancaResidencialResidencialNão se aplicaNão se aplicaPonta",Mercado_Receita!$L$2:$L$1039)</f>
        <v>0.83399999999999996</v>
      </c>
      <c r="L30" s="13">
        <f>SUMIF(Mercado_Receita!$S$2:$S$1039,"44621B1BrancaResidencialResidencialNão se aplicaNão se aplicaPonta",Mercado_Receita!$L$2:$L$1039)</f>
        <v>0.80400000000000005</v>
      </c>
      <c r="M30" s="13">
        <f>SUMIF(Mercado_Receita!$S$2:$S$1039,"44652B1BrancaResidencialResidencialNão se aplicaNão se aplicaPonta",Mercado_Receita!$L$2:$L$1039)</f>
        <v>1.206</v>
      </c>
      <c r="N30" s="13">
        <f>SUMIF(Mercado_Receita!$S$2:$S$1039,"44682B1BrancaResidencialResidencialNão se aplicaNão se aplicaPonta",Mercado_Receita!$L$2:$L$1039)</f>
        <v>1.2410000000000001</v>
      </c>
      <c r="O30" s="13">
        <f>SUMIF(Mercado_Receita!$S$2:$S$1039,"44713B1BrancaResidencialResidencialNão se aplicaNão se aplicaPonta",Mercado_Receita!$L$2:$L$1039)</f>
        <v>1.4039999999999999</v>
      </c>
      <c r="P30" s="13">
        <f>SUMIF(Mercado_Receita!$S$2:$S$1039,"44743B1BrancaResidencialResidencialNão se aplicaNão se aplicaPonta",Mercado_Receita!$L$2:$L$1039)</f>
        <v>2.1219999999999999</v>
      </c>
      <c r="Q30" s="13">
        <f>SUMIF(Mercado_Receita!$S$2:$S$1039,"44774B1BrancaResidencialResidencialNão se aplicaNão se aplicaPonta",Mercado_Receita!$L$2:$L$1039)</f>
        <v>0.37500000000000006</v>
      </c>
      <c r="R30" s="13">
        <f>SUMIF(Mercado_Receita!$S$2:$S$1039,"44805B1BrancaResidencialResidencialNão se aplicaNão se aplicaPonta",Mercado_Receita!$L$2:$L$1039)</f>
        <v>1.411</v>
      </c>
      <c r="S30" s="13">
        <f>SUMIF(Mercado_Receita!$S$2:$S$1039,"44835B1BrancaResidencialResidencialNão se aplicaNão se aplicaPonta",Mercado_Receita!$L$2:$L$1039)</f>
        <v>1.337</v>
      </c>
      <c r="T30" s="13">
        <f>SUMIF(Mercado_Receita!$S$2:$S$1039,"44866B1BrancaResidencialResidencialNão se aplicaNão se aplicaPonta",Mercado_Receita!$L$2:$L$1039)</f>
        <v>1.337</v>
      </c>
      <c r="U30" s="13">
        <f t="shared" si="0"/>
        <v>14.996999999999998</v>
      </c>
      <c r="V30" s="13"/>
      <c r="W30" s="13"/>
    </row>
    <row r="31" spans="1:23" ht="11.25" customHeight="1" x14ac:dyDescent="0.25">
      <c r="A31" s="104"/>
      <c r="B31" s="104"/>
      <c r="C31" s="104"/>
      <c r="D31" s="104"/>
      <c r="E31" s="104"/>
      <c r="F31" s="104"/>
      <c r="G31" s="13" t="s">
        <v>90</v>
      </c>
      <c r="H31" s="13" t="s">
        <v>79</v>
      </c>
      <c r="I31" s="13">
        <f>SUMIF(Mercado_Receita!$S$2:$S$1039,"44531B1BrancaResidencialResidencialNão se aplicaNão se aplicaIntermediário",Mercado_Receita!$L$2:$L$1039)</f>
        <v>1.462</v>
      </c>
      <c r="J31" s="13">
        <f>SUMIF(Mercado_Receita!$S$2:$S$1039,"44562B1BrancaResidencialResidencialNão se aplicaNão se aplicaIntermediário",Mercado_Receita!$L$2:$L$1039)</f>
        <v>1.083</v>
      </c>
      <c r="K31" s="13">
        <f>SUMIF(Mercado_Receita!$S$2:$S$1039,"44593B1BrancaResidencialResidencialNão se aplicaNão se aplicaIntermediário",Mercado_Receita!$L$2:$L$1039)</f>
        <v>0.94299999999999995</v>
      </c>
      <c r="L31" s="13">
        <f>SUMIF(Mercado_Receita!$S$2:$S$1039,"44621B1BrancaResidencialResidencialNão se aplicaNão se aplicaIntermediário",Mercado_Receita!$L$2:$L$1039)</f>
        <v>0.83699999999999997</v>
      </c>
      <c r="M31" s="13">
        <f>SUMIF(Mercado_Receita!$S$2:$S$1039,"44652B1BrancaResidencialResidencialNão se aplicaNão se aplicaIntermediário",Mercado_Receita!$L$2:$L$1039)</f>
        <v>1.002</v>
      </c>
      <c r="N31" s="13">
        <f>SUMIF(Mercado_Receita!$S$2:$S$1039,"44682B1BrancaResidencialResidencialNão se aplicaNão se aplicaIntermediário",Mercado_Receita!$L$2:$L$1039)</f>
        <v>0.89700000000000002</v>
      </c>
      <c r="O31" s="13">
        <f>SUMIF(Mercado_Receita!$S$2:$S$1039,"44713B1BrancaResidencialResidencialNão se aplicaNão se aplicaIntermediário",Mercado_Receita!$L$2:$L$1039)</f>
        <v>1.3120000000000001</v>
      </c>
      <c r="P31" s="13">
        <f>SUMIF(Mercado_Receita!$S$2:$S$1039,"44743B1BrancaResidencialResidencialNão se aplicaNão se aplicaIntermediário",Mercado_Receita!$L$2:$L$1039)</f>
        <v>1.679</v>
      </c>
      <c r="Q31" s="13">
        <f>SUMIF(Mercado_Receita!$S$2:$S$1039,"44774B1BrancaResidencialResidencialNão se aplicaNão se aplicaIntermediário",Mercado_Receita!$L$2:$L$1039)</f>
        <v>0.35300000000000009</v>
      </c>
      <c r="R31" s="13">
        <f>SUMIF(Mercado_Receita!$S$2:$S$1039,"44805B1BrancaResidencialResidencialNão se aplicaNão se aplicaIntermediário",Mercado_Receita!$L$2:$L$1039)</f>
        <v>1.2629999999999999</v>
      </c>
      <c r="S31" s="13">
        <f>SUMIF(Mercado_Receita!$S$2:$S$1039,"44835B1BrancaResidencialResidencialNão se aplicaNão se aplicaIntermediário",Mercado_Receita!$L$2:$L$1039)</f>
        <v>1.2230000000000001</v>
      </c>
      <c r="T31" s="13">
        <f>SUMIF(Mercado_Receita!$S$2:$S$1039,"44866B1BrancaResidencialResidencialNão se aplicaNão se aplicaIntermediário",Mercado_Receita!$L$2:$L$1039)</f>
        <v>1.2230000000000001</v>
      </c>
      <c r="U31" s="13">
        <f t="shared" si="0"/>
        <v>13.277000000000001</v>
      </c>
      <c r="V31" s="13"/>
      <c r="W31" s="13"/>
    </row>
    <row r="32" spans="1:23" ht="11.25" customHeight="1" x14ac:dyDescent="0.25">
      <c r="A32" s="104"/>
      <c r="B32" s="104"/>
      <c r="C32" s="104"/>
      <c r="D32" s="104"/>
      <c r="E32" s="104"/>
      <c r="F32" s="104"/>
      <c r="G32" s="13" t="s">
        <v>81</v>
      </c>
      <c r="H32" s="13" t="s">
        <v>79</v>
      </c>
      <c r="I32" s="13">
        <f>SUMIF(Mercado_Receita!$S$2:$S$1039,"44531B1BrancaResidencialResidencialNão se aplicaNão se aplicaFora ponta",Mercado_Receita!$L$2:$L$1039)</f>
        <v>19.745999999999999</v>
      </c>
      <c r="J32" s="13">
        <f>SUMIF(Mercado_Receita!$S$2:$S$1039,"44562B1BrancaResidencialResidencialNão se aplicaNão se aplicaFora ponta",Mercado_Receita!$L$2:$L$1039)</f>
        <v>15.263</v>
      </c>
      <c r="K32" s="13">
        <f>SUMIF(Mercado_Receita!$S$2:$S$1039,"44593B1BrancaResidencialResidencialNão se aplicaNão se aplicaFora ponta",Mercado_Receita!$L$2:$L$1039)</f>
        <v>14.493</v>
      </c>
      <c r="L32" s="13">
        <f>SUMIF(Mercado_Receita!$S$2:$S$1039,"44621B1BrancaResidencialResidencialNão se aplicaNão se aplicaFora ponta",Mercado_Receita!$L$2:$L$1039)</f>
        <v>13.952</v>
      </c>
      <c r="M32" s="13">
        <f>SUMIF(Mercado_Receita!$S$2:$S$1039,"44652B1BrancaResidencialResidencialNão se aplicaNão se aplicaFora ponta",Mercado_Receita!$L$2:$L$1039)</f>
        <v>14.739000000000001</v>
      </c>
      <c r="N32" s="13">
        <f>SUMIF(Mercado_Receita!$S$2:$S$1039,"44682B1BrancaResidencialResidencialNão se aplicaNão se aplicaFora ponta",Mercado_Receita!$L$2:$L$1039)</f>
        <v>13.596</v>
      </c>
      <c r="O32" s="13">
        <f>SUMIF(Mercado_Receita!$S$2:$S$1039,"44713B1BrancaResidencialResidencialNão se aplicaNão se aplicaFora ponta",Mercado_Receita!$L$2:$L$1039)</f>
        <v>19.535</v>
      </c>
      <c r="P32" s="13">
        <f>SUMIF(Mercado_Receita!$S$2:$S$1039,"44743B1BrancaResidencialResidencialNão se aplicaNão se aplicaFora ponta",Mercado_Receita!$L$2:$L$1039)</f>
        <v>26.469000000000001</v>
      </c>
      <c r="Q32" s="13">
        <f>SUMIF(Mercado_Receita!$S$2:$S$1039,"44774B1BrancaResidencialResidencialNão se aplicaNão se aplicaFora ponta",Mercado_Receita!$L$2:$L$1039)</f>
        <v>0.30700000000000038</v>
      </c>
      <c r="R32" s="13">
        <f>SUMIF(Mercado_Receita!$S$2:$S$1039,"44805B1BrancaResidencialResidencialNão se aplicaNão se aplicaFora ponta",Mercado_Receita!$L$2:$L$1039)</f>
        <v>19.670000000000002</v>
      </c>
      <c r="S32" s="13">
        <f>SUMIF(Mercado_Receita!$S$2:$S$1039,"44835B1BrancaResidencialResidencialNão se aplicaNão se aplicaFora ponta",Mercado_Receita!$L$2:$L$1039)</f>
        <v>19.352</v>
      </c>
      <c r="T32" s="13">
        <f>SUMIF(Mercado_Receita!$S$2:$S$1039,"44866B1BrancaResidencialResidencialNão se aplicaNão se aplicaFora ponta",Mercado_Receita!$L$2:$L$1039)</f>
        <v>19.352</v>
      </c>
      <c r="U32" s="13">
        <f t="shared" si="0"/>
        <v>196.47399999999999</v>
      </c>
      <c r="V32" s="13"/>
      <c r="W32" s="13"/>
    </row>
    <row r="33" spans="1:23" ht="11.25" customHeight="1" x14ac:dyDescent="0.25">
      <c r="A33" s="104"/>
      <c r="B33" s="103" t="s">
        <v>23</v>
      </c>
      <c r="C33" s="103" t="s">
        <v>24</v>
      </c>
      <c r="D33" s="12" t="s">
        <v>24</v>
      </c>
      <c r="E33" s="12" t="s">
        <v>25</v>
      </c>
      <c r="F33" s="12" t="s">
        <v>25</v>
      </c>
      <c r="G33" s="13" t="s">
        <v>84</v>
      </c>
      <c r="H33" s="13" t="s">
        <v>79</v>
      </c>
      <c r="I33" s="13">
        <f>SUMIF(Mercado_Receita!$S$2:$S$1039,"44531B1ConvencionalResidencialResidencialNão se aplicaNão se aplicaPonta",Mercado_Receita!$L$2:$L$1039)+SUMIF(Mercado_Receita!$S$2:$S$1039,"44531B1ConvencionalResidencialResidencialNão se aplicaNão se aplicaFora ponta",Mercado_Receita!$L$2:$L$1039)+SUMIF(Mercado_Receita!$S$2:$S$1039,"44531B1ConvencionalResidencialResidencialNão se aplicaNão se aplicaIntermediário",Mercado_Receita!$L$2:$L$1039)+SUMIF(Mercado_Receita!$S$2:$S$1039,"44531B1ConvencionalResidencialResidencialNão se aplicaNão se aplicaNão se aplica",Mercado_Receita!$L$2:$L$1039)</f>
        <v>38912.549000000006</v>
      </c>
      <c r="J33" s="13">
        <f>SUMIF(Mercado_Receita!$S$2:$S$1039,"44562B1ConvencionalResidencialResidencialNão se aplicaNão se aplicaPonta",Mercado_Receita!$L$2:$L$1039)+SUMIF(Mercado_Receita!$S$2:$S$1039,"44562B1ConvencionalResidencialResidencialNão se aplicaNão se aplicaFora ponta",Mercado_Receita!$L$2:$L$1039)+SUMIF(Mercado_Receita!$S$2:$S$1039,"44562B1ConvencionalResidencialResidencialNão se aplicaNão se aplicaIntermediário",Mercado_Receita!$L$2:$L$1039)+SUMIF(Mercado_Receita!$S$2:$S$1039,"44562B1ConvencionalResidencialResidencialNão se aplicaNão se aplicaNão se aplica",Mercado_Receita!$L$2:$L$1039)</f>
        <v>34242.777000000002</v>
      </c>
      <c r="K33" s="13">
        <f>SUMIF(Mercado_Receita!$S$2:$S$1039,"44593B1ConvencionalResidencialResidencialNão se aplicaNão se aplicaPonta",Mercado_Receita!$L$2:$L$1039)+SUMIF(Mercado_Receita!$S$2:$S$1039,"44593B1ConvencionalResidencialResidencialNão se aplicaNão se aplicaFora ponta",Mercado_Receita!$L$2:$L$1039)+SUMIF(Mercado_Receita!$S$2:$S$1039,"44593B1ConvencionalResidencialResidencialNão se aplicaNão se aplicaIntermediário",Mercado_Receita!$L$2:$L$1039)+SUMIF(Mercado_Receita!$S$2:$S$1039,"44593B1ConvencionalResidencialResidencialNão se aplicaNão se aplicaNão se aplica",Mercado_Receita!$L$2:$L$1039)</f>
        <v>29506.952000000005</v>
      </c>
      <c r="L33" s="13">
        <f>SUMIF(Mercado_Receita!$S$2:$S$1039,"44621B1ConvencionalResidencialResidencialNão se aplicaNão se aplicaPonta",Mercado_Receita!$L$2:$L$1039)+SUMIF(Mercado_Receita!$S$2:$S$1039,"44621B1ConvencionalResidencialResidencialNão se aplicaNão se aplicaFora ponta",Mercado_Receita!$L$2:$L$1039)+SUMIF(Mercado_Receita!$S$2:$S$1039,"44621B1ConvencionalResidencialResidencialNão se aplicaNão se aplicaIntermediário",Mercado_Receita!$L$2:$L$1039)+SUMIF(Mercado_Receita!$S$2:$S$1039,"44621B1ConvencionalResidencialResidencialNão se aplicaNão se aplicaNão se aplica",Mercado_Receita!$L$2:$L$1039)</f>
        <v>33351.103000000003</v>
      </c>
      <c r="M33" s="13">
        <f>SUMIF(Mercado_Receita!$S$2:$S$1039,"44652B1ConvencionalResidencialResidencialNão se aplicaNão se aplicaPonta",Mercado_Receita!$L$2:$L$1039)+SUMIF(Mercado_Receita!$S$2:$S$1039,"44652B1ConvencionalResidencialResidencialNão se aplicaNão se aplicaFora ponta",Mercado_Receita!$L$2:$L$1039)+SUMIF(Mercado_Receita!$S$2:$S$1039,"44652B1ConvencionalResidencialResidencialNão se aplicaNão se aplicaIntermediário",Mercado_Receita!$L$2:$L$1039)+SUMIF(Mercado_Receita!$S$2:$S$1039,"44652B1ConvencionalResidencialResidencialNão se aplicaNão se aplicaNão se aplica",Mercado_Receita!$L$2:$L$1039)</f>
        <v>31498.460000000006</v>
      </c>
      <c r="N33" s="13">
        <f>SUMIF(Mercado_Receita!$S$2:$S$1039,"44682B1ConvencionalResidencialResidencialNão se aplicaNão se aplicaPonta",Mercado_Receita!$L$2:$L$1039)+SUMIF(Mercado_Receita!$S$2:$S$1039,"44682B1ConvencionalResidencialResidencialNão se aplicaNão se aplicaFora ponta",Mercado_Receita!$L$2:$L$1039)+SUMIF(Mercado_Receita!$S$2:$S$1039,"44682B1ConvencionalResidencialResidencialNão se aplicaNão se aplicaIntermediário",Mercado_Receita!$L$2:$L$1039)+SUMIF(Mercado_Receita!$S$2:$S$1039,"44682B1ConvencionalResidencialResidencialNão se aplicaNão se aplicaNão se aplica",Mercado_Receita!$L$2:$L$1039)</f>
        <v>37177.412000000004</v>
      </c>
      <c r="O33" s="13">
        <f>SUMIF(Mercado_Receita!$S$2:$S$1039,"44713B1ConvencionalResidencialResidencialNão se aplicaNão se aplicaPonta",Mercado_Receita!$L$2:$L$1039)+SUMIF(Mercado_Receita!$S$2:$S$1039,"44713B1ConvencionalResidencialResidencialNão se aplicaNão se aplicaFora ponta",Mercado_Receita!$L$2:$L$1039)+SUMIF(Mercado_Receita!$S$2:$S$1039,"44713B1ConvencionalResidencialResidencialNão se aplicaNão se aplicaIntermediário",Mercado_Receita!$L$2:$L$1039)+SUMIF(Mercado_Receita!$S$2:$S$1039,"44713B1ConvencionalResidencialResidencialNão se aplicaNão se aplicaNão se aplica",Mercado_Receita!$L$2:$L$1039)</f>
        <v>38328.291999999994</v>
      </c>
      <c r="P33" s="13">
        <f>SUMIF(Mercado_Receita!$S$2:$S$1039,"44743B1ConvencionalResidencialResidencialNão se aplicaNão se aplicaPonta",Mercado_Receita!$L$2:$L$1039)+SUMIF(Mercado_Receita!$S$2:$S$1039,"44743B1ConvencionalResidencialResidencialNão se aplicaNão se aplicaFora ponta",Mercado_Receita!$L$2:$L$1039)+SUMIF(Mercado_Receita!$S$2:$S$1039,"44743B1ConvencionalResidencialResidencialNão se aplicaNão se aplicaIntermediário",Mercado_Receita!$L$2:$L$1039)+SUMIF(Mercado_Receita!$S$2:$S$1039,"44743B1ConvencionalResidencialResidencialNão se aplicaNão se aplicaNão se aplica",Mercado_Receita!$L$2:$L$1039)</f>
        <v>37077.500999999997</v>
      </c>
      <c r="Q33" s="13">
        <f>SUMIF(Mercado_Receita!$S$2:$S$1039,"44774B1ConvencionalResidencialResidencialNão se aplicaNão se aplicaPonta",Mercado_Receita!$L$2:$L$1039)+SUMIF(Mercado_Receita!$S$2:$S$1039,"44774B1ConvencionalResidencialResidencialNão se aplicaNão se aplicaFora ponta",Mercado_Receita!$L$2:$L$1039)+SUMIF(Mercado_Receita!$S$2:$S$1039,"44774B1ConvencionalResidencialResidencialNão se aplicaNão se aplicaIntermediário",Mercado_Receita!$L$2:$L$1039)+SUMIF(Mercado_Receita!$S$2:$S$1039,"44774B1ConvencionalResidencialResidencialNão se aplicaNão se aplicaNão se aplica",Mercado_Receita!$L$2:$L$1039)</f>
        <v>40463.209000000003</v>
      </c>
      <c r="R33" s="13">
        <f>SUMIF(Mercado_Receita!$S$2:$S$1039,"44805B1ConvencionalResidencialResidencialNão se aplicaNão se aplicaPonta",Mercado_Receita!$L$2:$L$1039)+SUMIF(Mercado_Receita!$S$2:$S$1039,"44805B1ConvencionalResidencialResidencialNão se aplicaNão se aplicaFora ponta",Mercado_Receita!$L$2:$L$1039)+SUMIF(Mercado_Receita!$S$2:$S$1039,"44805B1ConvencionalResidencialResidencialNão se aplicaNão se aplicaIntermediário",Mercado_Receita!$L$2:$L$1039)+SUMIF(Mercado_Receita!$S$2:$S$1039,"44805B1ConvencionalResidencialResidencialNão se aplicaNão se aplicaNão se aplica",Mercado_Receita!$L$2:$L$1039)</f>
        <v>42889.721000000005</v>
      </c>
      <c r="S33" s="13">
        <f>SUMIF(Mercado_Receita!$S$2:$S$1039,"44835B1ConvencionalResidencialResidencialNão se aplicaNão se aplicaPonta",Mercado_Receita!$L$2:$L$1039)+SUMIF(Mercado_Receita!$S$2:$S$1039,"44835B1ConvencionalResidencialResidencialNão se aplicaNão se aplicaFora ponta",Mercado_Receita!$L$2:$L$1039)+SUMIF(Mercado_Receita!$S$2:$S$1039,"44835B1ConvencionalResidencialResidencialNão se aplicaNão se aplicaIntermediário",Mercado_Receita!$L$2:$L$1039)+SUMIF(Mercado_Receita!$S$2:$S$1039,"44835B1ConvencionalResidencialResidencialNão se aplicaNão se aplicaNão se aplica",Mercado_Receita!$L$2:$L$1039)</f>
        <v>44137.840000000004</v>
      </c>
      <c r="T33" s="13">
        <f>SUMIF(Mercado_Receita!$S$2:$S$1039,"44866B1ConvencionalResidencialResidencialNão se aplicaNão se aplicaPonta",Mercado_Receita!$L$2:$L$1039)+SUMIF(Mercado_Receita!$S$2:$S$1039,"44866B1ConvencionalResidencialResidencialNão se aplicaNão se aplicaFora ponta",Mercado_Receita!$L$2:$L$1039)+SUMIF(Mercado_Receita!$S$2:$S$1039,"44866B1ConvencionalResidencialResidencialNão se aplicaNão se aplicaIntermediário",Mercado_Receita!$L$2:$L$1039)+SUMIF(Mercado_Receita!$S$2:$S$1039,"44866B1ConvencionalResidencialResidencialNão se aplicaNão se aplicaNão se aplica",Mercado_Receita!$L$2:$L$1039)</f>
        <v>44137.840000000004</v>
      </c>
      <c r="U33" s="13">
        <f t="shared" si="0"/>
        <v>451723.65600000008</v>
      </c>
      <c r="V33" s="13"/>
      <c r="W33" s="13"/>
    </row>
    <row r="34" spans="1:23" ht="11.25" customHeight="1" x14ac:dyDescent="0.25">
      <c r="A34" s="104"/>
      <c r="B34" s="104"/>
      <c r="C34" s="104"/>
      <c r="D34" s="12" t="s">
        <v>29</v>
      </c>
      <c r="E34" s="12" t="s">
        <v>25</v>
      </c>
      <c r="F34" s="12" t="s">
        <v>25</v>
      </c>
      <c r="G34" s="13" t="s">
        <v>84</v>
      </c>
      <c r="H34" s="13" t="s">
        <v>79</v>
      </c>
      <c r="I34" s="13">
        <f>SUMIF(Mercado_Receita!$S$2:$S$1039,"44531B1ConvencionalResidencialResidencial baixa renda – faixa 01Não se aplicaNão se aplicaPonta",Mercado_Receita!$L$2:$L$1039)+SUMIF(Mercado_Receita!$S$2:$S$1039,"44531B1ConvencionalResidencialResidencial baixa renda – faixa 01Não se aplicaNão se aplicaFora ponta",Mercado_Receita!$L$2:$L$1039)+SUMIF(Mercado_Receita!$S$2:$S$1039,"44531B1ConvencionalResidencialResidencial baixa renda – faixa 01Não se aplicaNão se aplicaIntermediário",Mercado_Receita!$L$2:$L$1039)+SUMIF(Mercado_Receita!$S$2:$S$1039,"44531B1ConvencionalResidencialResidencial baixa renda – faixa 01Não se aplicaNão se aplicaNão se aplica",Mercado_Receita!$L$2:$L$1039)</f>
        <v>882.66</v>
      </c>
      <c r="J34" s="13">
        <f>SUMIF(Mercado_Receita!$S$2:$S$1039,"44562B1ConvencionalResidencialResidencial baixa renda – faixa 01Não se aplicaNão se aplicaPonta",Mercado_Receita!$L$2:$L$1039)+SUMIF(Mercado_Receita!$S$2:$S$1039,"44562B1ConvencionalResidencialResidencial baixa renda – faixa 01Não se aplicaNão se aplicaFora ponta",Mercado_Receita!$L$2:$L$1039)+SUMIF(Mercado_Receita!$S$2:$S$1039,"44562B1ConvencionalResidencialResidencial baixa renda – faixa 01Não se aplicaNão se aplicaIntermediário",Mercado_Receita!$L$2:$L$1039)+SUMIF(Mercado_Receita!$S$2:$S$1039,"44562B1ConvencionalResidencialResidencial baixa renda – faixa 01Não se aplicaNão se aplicaNão se aplica",Mercado_Receita!$L$2:$L$1039)</f>
        <v>1002.364</v>
      </c>
      <c r="K34" s="13">
        <f>SUMIF(Mercado_Receita!$S$2:$S$1039,"44593B1ConvencionalResidencialResidencial baixa renda – faixa 01Não se aplicaNão se aplicaPonta",Mercado_Receita!$L$2:$L$1039)+SUMIF(Mercado_Receita!$S$2:$S$1039,"44593B1ConvencionalResidencialResidencial baixa renda – faixa 01Não se aplicaNão se aplicaFora ponta",Mercado_Receita!$L$2:$L$1039)+SUMIF(Mercado_Receita!$S$2:$S$1039,"44593B1ConvencionalResidencialResidencial baixa renda – faixa 01Não se aplicaNão se aplicaIntermediário",Mercado_Receita!$L$2:$L$1039)+SUMIF(Mercado_Receita!$S$2:$S$1039,"44593B1ConvencionalResidencialResidencial baixa renda – faixa 01Não se aplicaNão se aplicaNão se aplica",Mercado_Receita!$L$2:$L$1039)</f>
        <v>981.14300000000003</v>
      </c>
      <c r="L34" s="13">
        <f>SUMIF(Mercado_Receita!$S$2:$S$1039,"44621B1ConvencionalResidencialResidencial baixa renda – faixa 01Não se aplicaNão se aplicaPonta",Mercado_Receita!$L$2:$L$1039)+SUMIF(Mercado_Receita!$S$2:$S$1039,"44621B1ConvencionalResidencialResidencial baixa renda – faixa 01Não se aplicaNão se aplicaFora ponta",Mercado_Receita!$L$2:$L$1039)+SUMIF(Mercado_Receita!$S$2:$S$1039,"44621B1ConvencionalResidencialResidencial baixa renda – faixa 01Não se aplicaNão se aplicaIntermediário",Mercado_Receita!$L$2:$L$1039)+SUMIF(Mercado_Receita!$S$2:$S$1039,"44621B1ConvencionalResidencialResidencial baixa renda – faixa 01Não se aplicaNão se aplicaNão se aplica",Mercado_Receita!$L$2:$L$1039)</f>
        <v>970.12699999999995</v>
      </c>
      <c r="M34" s="13">
        <f>SUMIF(Mercado_Receita!$S$2:$S$1039,"44652B1ConvencionalResidencialResidencial baixa renda – faixa 01Não se aplicaNão se aplicaPonta",Mercado_Receita!$L$2:$L$1039)+SUMIF(Mercado_Receita!$S$2:$S$1039,"44652B1ConvencionalResidencialResidencial baixa renda – faixa 01Não se aplicaNão se aplicaFora ponta",Mercado_Receita!$L$2:$L$1039)+SUMIF(Mercado_Receita!$S$2:$S$1039,"44652B1ConvencionalResidencialResidencial baixa renda – faixa 01Não se aplicaNão se aplicaIntermediário",Mercado_Receita!$L$2:$L$1039)+SUMIF(Mercado_Receita!$S$2:$S$1039,"44652B1ConvencionalResidencialResidencial baixa renda – faixa 01Não se aplicaNão se aplicaNão se aplica",Mercado_Receita!$L$2:$L$1039)</f>
        <v>1028.835</v>
      </c>
      <c r="N34" s="13">
        <f>SUMIF(Mercado_Receita!$S$2:$S$1039,"44682B1ConvencionalResidencialResidencial baixa renda – faixa 01Não se aplicaNão se aplicaPonta",Mercado_Receita!$L$2:$L$1039)+SUMIF(Mercado_Receita!$S$2:$S$1039,"44682B1ConvencionalResidencialResidencial baixa renda – faixa 01Não se aplicaNão se aplicaFora ponta",Mercado_Receita!$L$2:$L$1039)+SUMIF(Mercado_Receita!$S$2:$S$1039,"44682B1ConvencionalResidencialResidencial baixa renda – faixa 01Não se aplicaNão se aplicaIntermediário",Mercado_Receita!$L$2:$L$1039)+SUMIF(Mercado_Receita!$S$2:$S$1039,"44682B1ConvencionalResidencialResidencial baixa renda – faixa 01Não se aplicaNão se aplicaNão se aplica",Mercado_Receita!$L$2:$L$1039)</f>
        <v>1029.931</v>
      </c>
      <c r="O34" s="13">
        <f>SUMIF(Mercado_Receita!$S$2:$S$1039,"44713B1ConvencionalResidencialResidencial baixa renda – faixa 01Não se aplicaNão se aplicaPonta",Mercado_Receita!$L$2:$L$1039)+SUMIF(Mercado_Receita!$S$2:$S$1039,"44713B1ConvencionalResidencialResidencial baixa renda – faixa 01Não se aplicaNão se aplicaFora ponta",Mercado_Receita!$L$2:$L$1039)+SUMIF(Mercado_Receita!$S$2:$S$1039,"44713B1ConvencionalResidencialResidencial baixa renda – faixa 01Não se aplicaNão se aplicaIntermediário",Mercado_Receita!$L$2:$L$1039)+SUMIF(Mercado_Receita!$S$2:$S$1039,"44713B1ConvencionalResidencialResidencial baixa renda – faixa 01Não se aplicaNão se aplicaNão se aplica",Mercado_Receita!$L$2:$L$1039)</f>
        <v>1065.4669999999999</v>
      </c>
      <c r="P34" s="13">
        <f>SUMIF(Mercado_Receita!$S$2:$S$1039,"44743B1ConvencionalResidencialResidencial baixa renda – faixa 01Não se aplicaNão se aplicaPonta",Mercado_Receita!$L$2:$L$1039)+SUMIF(Mercado_Receita!$S$2:$S$1039,"44743B1ConvencionalResidencialResidencial baixa renda – faixa 01Não se aplicaNão se aplicaFora ponta",Mercado_Receita!$L$2:$L$1039)+SUMIF(Mercado_Receita!$S$2:$S$1039,"44743B1ConvencionalResidencialResidencial baixa renda – faixa 01Não se aplicaNão se aplicaIntermediário",Mercado_Receita!$L$2:$L$1039)+SUMIF(Mercado_Receita!$S$2:$S$1039,"44743B1ConvencionalResidencialResidencial baixa renda – faixa 01Não se aplicaNão se aplicaNão se aplica",Mercado_Receita!$L$2:$L$1039)</f>
        <v>1095.454</v>
      </c>
      <c r="Q34" s="13">
        <f>SUMIF(Mercado_Receita!$S$2:$S$1039,"44774B1ConvencionalResidencialResidencial baixa renda – faixa 01Não se aplicaNão se aplicaPonta",Mercado_Receita!$L$2:$L$1039)+SUMIF(Mercado_Receita!$S$2:$S$1039,"44774B1ConvencionalResidencialResidencial baixa renda – faixa 01Não se aplicaNão se aplicaFora ponta",Mercado_Receita!$L$2:$L$1039)+SUMIF(Mercado_Receita!$S$2:$S$1039,"44774B1ConvencionalResidencialResidencial baixa renda – faixa 01Não se aplicaNão se aplicaIntermediário",Mercado_Receita!$L$2:$L$1039)+SUMIF(Mercado_Receita!$S$2:$S$1039,"44774B1ConvencionalResidencialResidencial baixa renda – faixa 01Não se aplicaNão se aplicaNão se aplica",Mercado_Receita!$L$2:$L$1039)</f>
        <v>1130.2730000000001</v>
      </c>
      <c r="R34" s="13">
        <f>SUMIF(Mercado_Receita!$S$2:$S$1039,"44805B1ConvencionalResidencialResidencial baixa renda – faixa 01Não se aplicaNão se aplicaPonta",Mercado_Receita!$L$2:$L$1039)+SUMIF(Mercado_Receita!$S$2:$S$1039,"44805B1ConvencionalResidencialResidencial baixa renda – faixa 01Não se aplicaNão se aplicaFora ponta",Mercado_Receita!$L$2:$L$1039)+SUMIF(Mercado_Receita!$S$2:$S$1039,"44805B1ConvencionalResidencialResidencial baixa renda – faixa 01Não se aplicaNão se aplicaIntermediário",Mercado_Receita!$L$2:$L$1039)+SUMIF(Mercado_Receita!$S$2:$S$1039,"44805B1ConvencionalResidencialResidencial baixa renda – faixa 01Não se aplicaNão se aplicaNão se aplica",Mercado_Receita!$L$2:$L$1039)</f>
        <v>1668.3109999999999</v>
      </c>
      <c r="S34" s="13">
        <f>SUMIF(Mercado_Receita!$S$2:$S$1039,"44835B1ConvencionalResidencialResidencial baixa renda – faixa 01Não se aplicaNão se aplicaPonta",Mercado_Receita!$L$2:$L$1039)+SUMIF(Mercado_Receita!$S$2:$S$1039,"44835B1ConvencionalResidencialResidencial baixa renda – faixa 01Não se aplicaNão se aplicaFora ponta",Mercado_Receita!$L$2:$L$1039)+SUMIF(Mercado_Receita!$S$2:$S$1039,"44835B1ConvencionalResidencialResidencial baixa renda – faixa 01Não se aplicaNão se aplicaIntermediário",Mercado_Receita!$L$2:$L$1039)+SUMIF(Mercado_Receita!$S$2:$S$1039,"44835B1ConvencionalResidencialResidencial baixa renda – faixa 01Não se aplicaNão se aplicaNão se aplica",Mercado_Receita!$L$2:$L$1039)</f>
        <v>2212.0910000000003</v>
      </c>
      <c r="T34" s="13">
        <f>SUMIF(Mercado_Receita!$S$2:$S$1039,"44866B1ConvencionalResidencialResidencial baixa renda – faixa 01Não se aplicaNão se aplicaPonta",Mercado_Receita!$L$2:$L$1039)+SUMIF(Mercado_Receita!$S$2:$S$1039,"44866B1ConvencionalResidencialResidencial baixa renda – faixa 01Não se aplicaNão se aplicaFora ponta",Mercado_Receita!$L$2:$L$1039)+SUMIF(Mercado_Receita!$S$2:$S$1039,"44866B1ConvencionalResidencialResidencial baixa renda – faixa 01Não se aplicaNão se aplicaIntermediário",Mercado_Receita!$L$2:$L$1039)+SUMIF(Mercado_Receita!$S$2:$S$1039,"44866B1ConvencionalResidencialResidencial baixa renda – faixa 01Não se aplicaNão se aplicaNão se aplica",Mercado_Receita!$L$2:$L$1039)</f>
        <v>2212.0910000000003</v>
      </c>
      <c r="U34" s="13">
        <f t="shared" ref="U34:U64" si="1">SUM(I34:T34)</f>
        <v>15278.746999999999</v>
      </c>
      <c r="V34" s="13"/>
      <c r="W34" s="13"/>
    </row>
    <row r="35" spans="1:23" ht="11.25" customHeight="1" x14ac:dyDescent="0.25">
      <c r="A35" s="104"/>
      <c r="B35" s="104"/>
      <c r="C35" s="104"/>
      <c r="D35" s="12" t="s">
        <v>30</v>
      </c>
      <c r="E35" s="12" t="s">
        <v>25</v>
      </c>
      <c r="F35" s="12" t="s">
        <v>25</v>
      </c>
      <c r="G35" s="13" t="s">
        <v>84</v>
      </c>
      <c r="H35" s="13" t="s">
        <v>79</v>
      </c>
      <c r="I35" s="13">
        <f>SUMIF(Mercado_Receita!$S$2:$S$1039,"44531B1ConvencionalResidencialResidencial baixa renda – faixa 02Não se aplicaNão se aplicaPonta",Mercado_Receita!$L$2:$L$1039)+SUMIF(Mercado_Receita!$S$2:$S$1039,"44531B1ConvencionalResidencialResidencial baixa renda – faixa 02Não se aplicaNão se aplicaFora ponta",Mercado_Receita!$L$2:$L$1039)+SUMIF(Mercado_Receita!$S$2:$S$1039,"44531B1ConvencionalResidencialResidencial baixa renda – faixa 02Não se aplicaNão se aplicaIntermediário",Mercado_Receita!$L$2:$L$1039)+SUMIF(Mercado_Receita!$S$2:$S$1039,"44531B1ConvencionalResidencialResidencial baixa renda – faixa 02Não se aplicaNão se aplicaNão se aplica",Mercado_Receita!$L$2:$L$1039)</f>
        <v>1312.615</v>
      </c>
      <c r="J35" s="13">
        <f>SUMIF(Mercado_Receita!$S$2:$S$1039,"44562B1ConvencionalResidencialResidencial baixa renda – faixa 02Não se aplicaNão se aplicaPonta",Mercado_Receita!$L$2:$L$1039)+SUMIF(Mercado_Receita!$S$2:$S$1039,"44562B1ConvencionalResidencialResidencial baixa renda – faixa 02Não se aplicaNão se aplicaFora ponta",Mercado_Receita!$L$2:$L$1039)+SUMIF(Mercado_Receita!$S$2:$S$1039,"44562B1ConvencionalResidencialResidencial baixa renda – faixa 02Não se aplicaNão se aplicaIntermediário",Mercado_Receita!$L$2:$L$1039)+SUMIF(Mercado_Receita!$S$2:$S$1039,"44562B1ConvencionalResidencialResidencial baixa renda – faixa 02Não se aplicaNão se aplicaNão se aplica",Mercado_Receita!$L$2:$L$1039)</f>
        <v>1495.4660000000001</v>
      </c>
      <c r="K35" s="13">
        <f>SUMIF(Mercado_Receita!$S$2:$S$1039,"44593B1ConvencionalResidencialResidencial baixa renda – faixa 02Não se aplicaNão se aplicaPonta",Mercado_Receita!$L$2:$L$1039)+SUMIF(Mercado_Receita!$S$2:$S$1039,"44593B1ConvencionalResidencialResidencial baixa renda – faixa 02Não se aplicaNão se aplicaFora ponta",Mercado_Receita!$L$2:$L$1039)+SUMIF(Mercado_Receita!$S$2:$S$1039,"44593B1ConvencionalResidencialResidencial baixa renda – faixa 02Não se aplicaNão se aplicaIntermediário",Mercado_Receita!$L$2:$L$1039)+SUMIF(Mercado_Receita!$S$2:$S$1039,"44593B1ConvencionalResidencialResidencial baixa renda – faixa 02Não se aplicaNão se aplicaNão se aplica",Mercado_Receita!$L$2:$L$1039)</f>
        <v>1516</v>
      </c>
      <c r="L35" s="13">
        <f>SUMIF(Mercado_Receita!$S$2:$S$1039,"44621B1ConvencionalResidencialResidencial baixa renda – faixa 02Não se aplicaNão se aplicaPonta",Mercado_Receita!$L$2:$L$1039)+SUMIF(Mercado_Receita!$S$2:$S$1039,"44621B1ConvencionalResidencialResidencial baixa renda – faixa 02Não se aplicaNão se aplicaFora ponta",Mercado_Receita!$L$2:$L$1039)+SUMIF(Mercado_Receita!$S$2:$S$1039,"44621B1ConvencionalResidencialResidencial baixa renda – faixa 02Não se aplicaNão se aplicaIntermediário",Mercado_Receita!$L$2:$L$1039)+SUMIF(Mercado_Receita!$S$2:$S$1039,"44621B1ConvencionalResidencialResidencial baixa renda – faixa 02Não se aplicaNão se aplicaNão se aplica",Mercado_Receita!$L$2:$L$1039)</f>
        <v>1533.3779999999999</v>
      </c>
      <c r="M35" s="13">
        <f>SUMIF(Mercado_Receita!$S$2:$S$1039,"44652B1ConvencionalResidencialResidencial baixa renda – faixa 02Não se aplicaNão se aplicaPonta",Mercado_Receita!$L$2:$L$1039)+SUMIF(Mercado_Receita!$S$2:$S$1039,"44652B1ConvencionalResidencialResidencial baixa renda – faixa 02Não se aplicaNão se aplicaFora ponta",Mercado_Receita!$L$2:$L$1039)+SUMIF(Mercado_Receita!$S$2:$S$1039,"44652B1ConvencionalResidencialResidencial baixa renda – faixa 02Não se aplicaNão se aplicaIntermediário",Mercado_Receita!$L$2:$L$1039)+SUMIF(Mercado_Receita!$S$2:$S$1039,"44652B1ConvencionalResidencialResidencial baixa renda – faixa 02Não se aplicaNão se aplicaNão se aplica",Mercado_Receita!$L$2:$L$1039)</f>
        <v>1636.4750000000001</v>
      </c>
      <c r="N35" s="13">
        <f>SUMIF(Mercado_Receita!$S$2:$S$1039,"44682B1ConvencionalResidencialResidencial baixa renda – faixa 02Não se aplicaNão se aplicaPonta",Mercado_Receita!$L$2:$L$1039)+SUMIF(Mercado_Receita!$S$2:$S$1039,"44682B1ConvencionalResidencialResidencial baixa renda – faixa 02Não se aplicaNão se aplicaFora ponta",Mercado_Receita!$L$2:$L$1039)+SUMIF(Mercado_Receita!$S$2:$S$1039,"44682B1ConvencionalResidencialResidencial baixa renda – faixa 02Não se aplicaNão se aplicaIntermediário",Mercado_Receita!$L$2:$L$1039)+SUMIF(Mercado_Receita!$S$2:$S$1039,"44682B1ConvencionalResidencialResidencial baixa renda – faixa 02Não se aplicaNão se aplicaNão se aplica",Mercado_Receita!$L$2:$L$1039)</f>
        <v>1654.0920000000001</v>
      </c>
      <c r="O35" s="13">
        <f>SUMIF(Mercado_Receita!$S$2:$S$1039,"44713B1ConvencionalResidencialResidencial baixa renda – faixa 02Não se aplicaNão se aplicaPonta",Mercado_Receita!$L$2:$L$1039)+SUMIF(Mercado_Receita!$S$2:$S$1039,"44713B1ConvencionalResidencialResidencial baixa renda – faixa 02Não se aplicaNão se aplicaFora ponta",Mercado_Receita!$L$2:$L$1039)+SUMIF(Mercado_Receita!$S$2:$S$1039,"44713B1ConvencionalResidencialResidencial baixa renda – faixa 02Não se aplicaNão se aplicaIntermediário",Mercado_Receita!$L$2:$L$1039)+SUMIF(Mercado_Receita!$S$2:$S$1039,"44713B1ConvencionalResidencialResidencial baixa renda – faixa 02Não se aplicaNão se aplicaNão se aplica",Mercado_Receita!$L$2:$L$1039)</f>
        <v>1743.9470000000001</v>
      </c>
      <c r="P35" s="13">
        <f>SUMIF(Mercado_Receita!$S$2:$S$1039,"44743B1ConvencionalResidencialResidencial baixa renda – faixa 02Não se aplicaNão se aplicaPonta",Mercado_Receita!$L$2:$L$1039)+SUMIF(Mercado_Receita!$S$2:$S$1039,"44743B1ConvencionalResidencialResidencial baixa renda – faixa 02Não se aplicaNão se aplicaFora ponta",Mercado_Receita!$L$2:$L$1039)+SUMIF(Mercado_Receita!$S$2:$S$1039,"44743B1ConvencionalResidencialResidencial baixa renda – faixa 02Não se aplicaNão se aplicaIntermediário",Mercado_Receita!$L$2:$L$1039)+SUMIF(Mercado_Receita!$S$2:$S$1039,"44743B1ConvencionalResidencialResidencial baixa renda – faixa 02Não se aplicaNão se aplicaNão se aplica",Mercado_Receita!$L$2:$L$1039)</f>
        <v>1826.886</v>
      </c>
      <c r="Q35" s="13">
        <f>SUMIF(Mercado_Receita!$S$2:$S$1039,"44774B1ConvencionalResidencialResidencial baixa renda – faixa 02Não se aplicaNão se aplicaPonta",Mercado_Receita!$L$2:$L$1039)+SUMIF(Mercado_Receita!$S$2:$S$1039,"44774B1ConvencionalResidencialResidencial baixa renda – faixa 02Não se aplicaNão se aplicaFora ponta",Mercado_Receita!$L$2:$L$1039)+SUMIF(Mercado_Receita!$S$2:$S$1039,"44774B1ConvencionalResidencialResidencial baixa renda – faixa 02Não se aplicaNão se aplicaIntermediário",Mercado_Receita!$L$2:$L$1039)+SUMIF(Mercado_Receita!$S$2:$S$1039,"44774B1ConvencionalResidencialResidencial baixa renda – faixa 02Não se aplicaNão se aplicaNão se aplica",Mercado_Receita!$L$2:$L$1039)</f>
        <v>1915.673</v>
      </c>
      <c r="R35" s="13">
        <f>SUMIF(Mercado_Receita!$S$2:$S$1039,"44805B1ConvencionalResidencialResidencial baixa renda – faixa 02Não se aplicaNão se aplicaPonta",Mercado_Receita!$L$2:$L$1039)+SUMIF(Mercado_Receita!$S$2:$S$1039,"44805B1ConvencionalResidencialResidencial baixa renda – faixa 02Não se aplicaNão se aplicaFora ponta",Mercado_Receita!$L$2:$L$1039)+SUMIF(Mercado_Receita!$S$2:$S$1039,"44805B1ConvencionalResidencialResidencial baixa renda – faixa 02Não se aplicaNão se aplicaIntermediário",Mercado_Receita!$L$2:$L$1039)+SUMIF(Mercado_Receita!$S$2:$S$1039,"44805B1ConvencionalResidencialResidencial baixa renda – faixa 02Não se aplicaNão se aplicaNão se aplica",Mercado_Receita!$L$2:$L$1039)</f>
        <v>2143.8209999999999</v>
      </c>
      <c r="S35" s="13">
        <f>SUMIF(Mercado_Receita!$S$2:$S$1039,"44835B1ConvencionalResidencialResidencial baixa renda – faixa 02Não se aplicaNão se aplicaPonta",Mercado_Receita!$L$2:$L$1039)+SUMIF(Mercado_Receita!$S$2:$S$1039,"44835B1ConvencionalResidencialResidencial baixa renda – faixa 02Não se aplicaNão se aplicaFora ponta",Mercado_Receita!$L$2:$L$1039)+SUMIF(Mercado_Receita!$S$2:$S$1039,"44835B1ConvencionalResidencialResidencial baixa renda – faixa 02Não se aplicaNão se aplicaIntermediário",Mercado_Receita!$L$2:$L$1039)+SUMIF(Mercado_Receita!$S$2:$S$1039,"44835B1ConvencionalResidencialResidencial baixa renda – faixa 02Não se aplicaNão se aplicaNão se aplica",Mercado_Receita!$L$2:$L$1039)</f>
        <v>2594.201</v>
      </c>
      <c r="T35" s="13">
        <f>SUMIF(Mercado_Receita!$S$2:$S$1039,"44866B1ConvencionalResidencialResidencial baixa renda – faixa 02Não se aplicaNão se aplicaPonta",Mercado_Receita!$L$2:$L$1039)+SUMIF(Mercado_Receita!$S$2:$S$1039,"44866B1ConvencionalResidencialResidencial baixa renda – faixa 02Não se aplicaNão se aplicaFora ponta",Mercado_Receita!$L$2:$L$1039)+SUMIF(Mercado_Receita!$S$2:$S$1039,"44866B1ConvencionalResidencialResidencial baixa renda – faixa 02Não se aplicaNão se aplicaIntermediário",Mercado_Receita!$L$2:$L$1039)+SUMIF(Mercado_Receita!$S$2:$S$1039,"44866B1ConvencionalResidencialResidencial baixa renda – faixa 02Não se aplicaNão se aplicaNão se aplica",Mercado_Receita!$L$2:$L$1039)</f>
        <v>2594.201</v>
      </c>
      <c r="U35" s="13">
        <f t="shared" si="1"/>
        <v>21966.755000000005</v>
      </c>
      <c r="V35" s="13"/>
      <c r="W35" s="13"/>
    </row>
    <row r="36" spans="1:23" ht="11.25" customHeight="1" x14ac:dyDescent="0.25">
      <c r="A36" s="104"/>
      <c r="B36" s="104"/>
      <c r="C36" s="104"/>
      <c r="D36" s="12" t="s">
        <v>31</v>
      </c>
      <c r="E36" s="12" t="s">
        <v>25</v>
      </c>
      <c r="F36" s="12" t="s">
        <v>25</v>
      </c>
      <c r="G36" s="13" t="s">
        <v>84</v>
      </c>
      <c r="H36" s="13" t="s">
        <v>79</v>
      </c>
      <c r="I36" s="13">
        <f>SUMIF(Mercado_Receita!$S$2:$S$1039,"44531B1ConvencionalResidencialResidencial baixa renda – faixa 03Não se aplicaNão se aplicaPonta",Mercado_Receita!$L$2:$L$1039)+SUMIF(Mercado_Receita!$S$2:$S$1039,"44531B1ConvencionalResidencialResidencial baixa renda – faixa 03Não se aplicaNão se aplicaFora ponta",Mercado_Receita!$L$2:$L$1039)+SUMIF(Mercado_Receita!$S$2:$S$1039,"44531B1ConvencionalResidencialResidencial baixa renda – faixa 03Não se aplicaNão se aplicaIntermediário",Mercado_Receita!$L$2:$L$1039)+SUMIF(Mercado_Receita!$S$2:$S$1039,"44531B1ConvencionalResidencialResidencial baixa renda – faixa 03Não se aplicaNão se aplicaNão se aplica",Mercado_Receita!$L$2:$L$1039)</f>
        <v>1438.981</v>
      </c>
      <c r="J36" s="13">
        <f>SUMIF(Mercado_Receita!$S$2:$S$1039,"44562B1ConvencionalResidencialResidencial baixa renda – faixa 03Não se aplicaNão se aplicaPonta",Mercado_Receita!$L$2:$L$1039)+SUMIF(Mercado_Receita!$S$2:$S$1039,"44562B1ConvencionalResidencialResidencial baixa renda – faixa 03Não se aplicaNão se aplicaFora ponta",Mercado_Receita!$L$2:$L$1039)+SUMIF(Mercado_Receita!$S$2:$S$1039,"44562B1ConvencionalResidencialResidencial baixa renda – faixa 03Não se aplicaNão se aplicaIntermediário",Mercado_Receita!$L$2:$L$1039)+SUMIF(Mercado_Receita!$S$2:$S$1039,"44562B1ConvencionalResidencialResidencial baixa renda – faixa 03Não se aplicaNão se aplicaNão se aplica",Mercado_Receita!$L$2:$L$1039)</f>
        <v>1568.837</v>
      </c>
      <c r="K36" s="13">
        <f>SUMIF(Mercado_Receita!$S$2:$S$1039,"44593B1ConvencionalResidencialResidencial baixa renda – faixa 03Não se aplicaNão se aplicaPonta",Mercado_Receita!$L$2:$L$1039)+SUMIF(Mercado_Receita!$S$2:$S$1039,"44593B1ConvencionalResidencialResidencial baixa renda – faixa 03Não se aplicaNão se aplicaFora ponta",Mercado_Receita!$L$2:$L$1039)+SUMIF(Mercado_Receita!$S$2:$S$1039,"44593B1ConvencionalResidencialResidencial baixa renda – faixa 03Não se aplicaNão se aplicaIntermediário",Mercado_Receita!$L$2:$L$1039)+SUMIF(Mercado_Receita!$S$2:$S$1039,"44593B1ConvencionalResidencialResidencial baixa renda – faixa 03Não se aplicaNão se aplicaNão se aplica",Mercado_Receita!$L$2:$L$1039)</f>
        <v>1491.9169999999999</v>
      </c>
      <c r="L36" s="13">
        <f>SUMIF(Mercado_Receita!$S$2:$S$1039,"44621B1ConvencionalResidencialResidencial baixa renda – faixa 03Não se aplicaNão se aplicaPonta",Mercado_Receita!$L$2:$L$1039)+SUMIF(Mercado_Receita!$S$2:$S$1039,"44621B1ConvencionalResidencialResidencial baixa renda – faixa 03Não se aplicaNão se aplicaFora ponta",Mercado_Receita!$L$2:$L$1039)+SUMIF(Mercado_Receita!$S$2:$S$1039,"44621B1ConvencionalResidencialResidencial baixa renda – faixa 03Não se aplicaNão se aplicaIntermediário",Mercado_Receita!$L$2:$L$1039)+SUMIF(Mercado_Receita!$S$2:$S$1039,"44621B1ConvencionalResidencialResidencial baixa renda – faixa 03Não se aplicaNão se aplicaNão se aplica",Mercado_Receita!$L$2:$L$1039)</f>
        <v>1580.0640000000001</v>
      </c>
      <c r="M36" s="13">
        <f>SUMIF(Mercado_Receita!$S$2:$S$1039,"44652B1ConvencionalResidencialResidencial baixa renda – faixa 03Não se aplicaNão se aplicaPonta",Mercado_Receita!$L$2:$L$1039)+SUMIF(Mercado_Receita!$S$2:$S$1039,"44652B1ConvencionalResidencialResidencial baixa renda – faixa 03Não se aplicaNão se aplicaFora ponta",Mercado_Receita!$L$2:$L$1039)+SUMIF(Mercado_Receita!$S$2:$S$1039,"44652B1ConvencionalResidencialResidencial baixa renda – faixa 03Não se aplicaNão se aplicaIntermediário",Mercado_Receita!$L$2:$L$1039)+SUMIF(Mercado_Receita!$S$2:$S$1039,"44652B1ConvencionalResidencialResidencial baixa renda – faixa 03Não se aplicaNão se aplicaNão se aplica",Mercado_Receita!$L$2:$L$1039)</f>
        <v>1646.9540000000002</v>
      </c>
      <c r="N36" s="13">
        <f>SUMIF(Mercado_Receita!$S$2:$S$1039,"44682B1ConvencionalResidencialResidencial baixa renda – faixa 03Não se aplicaNão se aplicaPonta",Mercado_Receita!$L$2:$L$1039)+SUMIF(Mercado_Receita!$S$2:$S$1039,"44682B1ConvencionalResidencialResidencial baixa renda – faixa 03Não se aplicaNão se aplicaFora ponta",Mercado_Receita!$L$2:$L$1039)+SUMIF(Mercado_Receita!$S$2:$S$1039,"44682B1ConvencionalResidencialResidencial baixa renda – faixa 03Não se aplicaNão se aplicaIntermediário",Mercado_Receita!$L$2:$L$1039)+SUMIF(Mercado_Receita!$S$2:$S$1039,"44682B1ConvencionalResidencialResidencial baixa renda – faixa 03Não se aplicaNão se aplicaNão se aplica",Mercado_Receita!$L$2:$L$1039)</f>
        <v>1763.367</v>
      </c>
      <c r="O36" s="13">
        <f>SUMIF(Mercado_Receita!$S$2:$S$1039,"44713B1ConvencionalResidencialResidencial baixa renda – faixa 03Não se aplicaNão se aplicaPonta",Mercado_Receita!$L$2:$L$1039)+SUMIF(Mercado_Receita!$S$2:$S$1039,"44713B1ConvencionalResidencialResidencial baixa renda – faixa 03Não se aplicaNão se aplicaFora ponta",Mercado_Receita!$L$2:$L$1039)+SUMIF(Mercado_Receita!$S$2:$S$1039,"44713B1ConvencionalResidencialResidencial baixa renda – faixa 03Não se aplicaNão se aplicaIntermediário",Mercado_Receita!$L$2:$L$1039)+SUMIF(Mercado_Receita!$S$2:$S$1039,"44713B1ConvencionalResidencialResidencial baixa renda – faixa 03Não se aplicaNão se aplicaNão se aplica",Mercado_Receita!$L$2:$L$1039)</f>
        <v>1887.473</v>
      </c>
      <c r="P36" s="13">
        <f>SUMIF(Mercado_Receita!$S$2:$S$1039,"44743B1ConvencionalResidencialResidencial baixa renda – faixa 03Não se aplicaNão se aplicaPonta",Mercado_Receita!$L$2:$L$1039)+SUMIF(Mercado_Receita!$S$2:$S$1039,"44743B1ConvencionalResidencialResidencial baixa renda – faixa 03Não se aplicaNão se aplicaFora ponta",Mercado_Receita!$L$2:$L$1039)+SUMIF(Mercado_Receita!$S$2:$S$1039,"44743B1ConvencionalResidencialResidencial baixa renda – faixa 03Não se aplicaNão se aplicaIntermediário",Mercado_Receita!$L$2:$L$1039)+SUMIF(Mercado_Receita!$S$2:$S$1039,"44743B1ConvencionalResidencialResidencial baixa renda – faixa 03Não se aplicaNão se aplicaNão se aplica",Mercado_Receita!$L$2:$L$1039)</f>
        <v>1958.4259999999999</v>
      </c>
      <c r="Q36" s="13">
        <f>SUMIF(Mercado_Receita!$S$2:$S$1039,"44774B1ConvencionalResidencialResidencial baixa renda – faixa 03Não se aplicaNão se aplicaPonta",Mercado_Receita!$L$2:$L$1039)+SUMIF(Mercado_Receita!$S$2:$S$1039,"44774B1ConvencionalResidencialResidencial baixa renda – faixa 03Não se aplicaNão se aplicaFora ponta",Mercado_Receita!$L$2:$L$1039)+SUMIF(Mercado_Receita!$S$2:$S$1039,"44774B1ConvencionalResidencialResidencial baixa renda – faixa 03Não se aplicaNão se aplicaIntermediário",Mercado_Receita!$L$2:$L$1039)+SUMIF(Mercado_Receita!$S$2:$S$1039,"44774B1ConvencionalResidencialResidencial baixa renda – faixa 03Não se aplicaNão se aplicaNão se aplica",Mercado_Receita!$L$2:$L$1039)</f>
        <v>2130.7780000000002</v>
      </c>
      <c r="R36" s="13">
        <f>SUMIF(Mercado_Receita!$S$2:$S$1039,"44805B1ConvencionalResidencialResidencial baixa renda – faixa 03Não se aplicaNão se aplicaPonta",Mercado_Receita!$L$2:$L$1039)+SUMIF(Mercado_Receita!$S$2:$S$1039,"44805B1ConvencionalResidencialResidencial baixa renda – faixa 03Não se aplicaNão se aplicaFora ponta",Mercado_Receita!$L$2:$L$1039)+SUMIF(Mercado_Receita!$S$2:$S$1039,"44805B1ConvencionalResidencialResidencial baixa renda – faixa 03Não se aplicaNão se aplicaIntermediário",Mercado_Receita!$L$2:$L$1039)+SUMIF(Mercado_Receita!$S$2:$S$1039,"44805B1ConvencionalResidencialResidencial baixa renda – faixa 03Não se aplicaNão se aplicaNão se aplica",Mercado_Receita!$L$2:$L$1039)</f>
        <v>2472.3780000000002</v>
      </c>
      <c r="S36" s="13">
        <f>SUMIF(Mercado_Receita!$S$2:$S$1039,"44835B1ConvencionalResidencialResidencial baixa renda – faixa 03Não se aplicaNão se aplicaPonta",Mercado_Receita!$L$2:$L$1039)+SUMIF(Mercado_Receita!$S$2:$S$1039,"44835B1ConvencionalResidencialResidencial baixa renda – faixa 03Não se aplicaNão se aplicaFora ponta",Mercado_Receita!$L$2:$L$1039)+SUMIF(Mercado_Receita!$S$2:$S$1039,"44835B1ConvencionalResidencialResidencial baixa renda – faixa 03Não se aplicaNão se aplicaIntermediário",Mercado_Receita!$L$2:$L$1039)+SUMIF(Mercado_Receita!$S$2:$S$1039,"44835B1ConvencionalResidencialResidencial baixa renda – faixa 03Não se aplicaNão se aplicaNão se aplica",Mercado_Receita!$L$2:$L$1039)</f>
        <v>3072.1379999999999</v>
      </c>
      <c r="T36" s="13">
        <f>SUMIF(Mercado_Receita!$S$2:$S$1039,"44866B1ConvencionalResidencialResidencial baixa renda – faixa 03Não se aplicaNão se aplicaPonta",Mercado_Receita!$L$2:$L$1039)+SUMIF(Mercado_Receita!$S$2:$S$1039,"44866B1ConvencionalResidencialResidencial baixa renda – faixa 03Não se aplicaNão se aplicaFora ponta",Mercado_Receita!$L$2:$L$1039)+SUMIF(Mercado_Receita!$S$2:$S$1039,"44866B1ConvencionalResidencialResidencial baixa renda – faixa 03Não se aplicaNão se aplicaIntermediário",Mercado_Receita!$L$2:$L$1039)+SUMIF(Mercado_Receita!$S$2:$S$1039,"44866B1ConvencionalResidencialResidencial baixa renda – faixa 03Não se aplicaNão se aplicaNão se aplica",Mercado_Receita!$L$2:$L$1039)</f>
        <v>3072.1379999999999</v>
      </c>
      <c r="U36" s="13">
        <f t="shared" si="1"/>
        <v>24083.450999999997</v>
      </c>
      <c r="V36" s="13"/>
      <c r="W36" s="13"/>
    </row>
    <row r="37" spans="1:23" ht="11.25" customHeight="1" x14ac:dyDescent="0.25">
      <c r="A37" s="104"/>
      <c r="B37" s="104"/>
      <c r="C37" s="104"/>
      <c r="D37" s="12" t="s">
        <v>32</v>
      </c>
      <c r="E37" s="12" t="s">
        <v>25</v>
      </c>
      <c r="F37" s="12" t="s">
        <v>25</v>
      </c>
      <c r="G37" s="13" t="s">
        <v>84</v>
      </c>
      <c r="H37" s="13" t="s">
        <v>79</v>
      </c>
      <c r="I37" s="13">
        <f>SUMIF(Mercado_Receita!$S$2:$S$1039,"44531B1ConvencionalResidencialResidencial baixa renda – faixa 04Não se aplicaNão se aplicaPonta",Mercado_Receita!$L$2:$L$1039)+SUMIF(Mercado_Receita!$S$2:$S$1039,"44531B1ConvencionalResidencialResidencial baixa renda – faixa 04Não se aplicaNão se aplicaFora ponta",Mercado_Receita!$L$2:$L$1039)+SUMIF(Mercado_Receita!$S$2:$S$1039,"44531B1ConvencionalResidencialResidencial baixa renda – faixa 04Não se aplicaNão se aplicaIntermediário",Mercado_Receita!$L$2:$L$1039)+SUMIF(Mercado_Receita!$S$2:$S$1039,"44531B1ConvencionalResidencialResidencial baixa renda – faixa 04Não se aplicaNão se aplicaNão se aplica",Mercado_Receita!$L$2:$L$1039)</f>
        <v>1783.93</v>
      </c>
      <c r="J37" s="13">
        <f>SUMIF(Mercado_Receita!$S$2:$S$1039,"44562B1ConvencionalResidencialResidencial baixa renda – faixa 04Não se aplicaNão se aplicaPonta",Mercado_Receita!$L$2:$L$1039)+SUMIF(Mercado_Receita!$S$2:$S$1039,"44562B1ConvencionalResidencialResidencial baixa renda – faixa 04Não se aplicaNão se aplicaFora ponta",Mercado_Receita!$L$2:$L$1039)+SUMIF(Mercado_Receita!$S$2:$S$1039,"44562B1ConvencionalResidencialResidencial baixa renda – faixa 04Não se aplicaNão se aplicaIntermediário",Mercado_Receita!$L$2:$L$1039)+SUMIF(Mercado_Receita!$S$2:$S$1039,"44562B1ConvencionalResidencialResidencial baixa renda – faixa 04Não se aplicaNão se aplicaNão se aplica",Mercado_Receita!$L$2:$L$1039)</f>
        <v>1791.1510000000001</v>
      </c>
      <c r="K37" s="13">
        <f>SUMIF(Mercado_Receita!$S$2:$S$1039,"44593B1ConvencionalResidencialResidencial baixa renda – faixa 04Não se aplicaNão se aplicaPonta",Mercado_Receita!$L$2:$L$1039)+SUMIF(Mercado_Receita!$S$2:$S$1039,"44593B1ConvencionalResidencialResidencial baixa renda – faixa 04Não se aplicaNão se aplicaFora ponta",Mercado_Receita!$L$2:$L$1039)+SUMIF(Mercado_Receita!$S$2:$S$1039,"44593B1ConvencionalResidencialResidencial baixa renda – faixa 04Não se aplicaNão se aplicaIntermediário",Mercado_Receita!$L$2:$L$1039)+SUMIF(Mercado_Receita!$S$2:$S$1039,"44593B1ConvencionalResidencialResidencial baixa renda – faixa 04Não se aplicaNão se aplicaNão se aplica",Mercado_Receita!$L$2:$L$1039)</f>
        <v>1368.0360000000001</v>
      </c>
      <c r="L37" s="13">
        <f>SUMIF(Mercado_Receita!$S$2:$S$1039,"44621B1ConvencionalResidencialResidencial baixa renda – faixa 04Não se aplicaNão se aplicaPonta",Mercado_Receita!$L$2:$L$1039)+SUMIF(Mercado_Receita!$S$2:$S$1039,"44621B1ConvencionalResidencialResidencial baixa renda – faixa 04Não se aplicaNão se aplicaFora ponta",Mercado_Receita!$L$2:$L$1039)+SUMIF(Mercado_Receita!$S$2:$S$1039,"44621B1ConvencionalResidencialResidencial baixa renda – faixa 04Não se aplicaNão se aplicaIntermediário",Mercado_Receita!$L$2:$L$1039)+SUMIF(Mercado_Receita!$S$2:$S$1039,"44621B1ConvencionalResidencialResidencial baixa renda – faixa 04Não se aplicaNão se aplicaNão se aplica",Mercado_Receita!$L$2:$L$1039)</f>
        <v>1504.9169999999999</v>
      </c>
      <c r="M37" s="13">
        <f>SUMIF(Mercado_Receita!$S$2:$S$1039,"44652B1ConvencionalResidencialResidencial baixa renda – faixa 04Não se aplicaNão se aplicaPonta",Mercado_Receita!$L$2:$L$1039)+SUMIF(Mercado_Receita!$S$2:$S$1039,"44652B1ConvencionalResidencialResidencial baixa renda – faixa 04Não se aplicaNão se aplicaFora ponta",Mercado_Receita!$L$2:$L$1039)+SUMIF(Mercado_Receita!$S$2:$S$1039,"44652B1ConvencionalResidencialResidencial baixa renda – faixa 04Não se aplicaNão se aplicaIntermediário",Mercado_Receita!$L$2:$L$1039)+SUMIF(Mercado_Receita!$S$2:$S$1039,"44652B1ConvencionalResidencialResidencial baixa renda – faixa 04Não se aplicaNão se aplicaNão se aplica",Mercado_Receita!$L$2:$L$1039)</f>
        <v>1585.0800000000002</v>
      </c>
      <c r="N37" s="13">
        <f>SUMIF(Mercado_Receita!$S$2:$S$1039,"44682B1ConvencionalResidencialResidencial baixa renda – faixa 04Não se aplicaNão se aplicaPonta",Mercado_Receita!$L$2:$L$1039)+SUMIF(Mercado_Receita!$S$2:$S$1039,"44682B1ConvencionalResidencialResidencial baixa renda – faixa 04Não se aplicaNão se aplicaFora ponta",Mercado_Receita!$L$2:$L$1039)+SUMIF(Mercado_Receita!$S$2:$S$1039,"44682B1ConvencionalResidencialResidencial baixa renda – faixa 04Não se aplicaNão se aplicaIntermediário",Mercado_Receita!$L$2:$L$1039)+SUMIF(Mercado_Receita!$S$2:$S$1039,"44682B1ConvencionalResidencialResidencial baixa renda – faixa 04Não se aplicaNão se aplicaNão se aplica",Mercado_Receita!$L$2:$L$1039)</f>
        <v>2060.5330000000004</v>
      </c>
      <c r="O37" s="13">
        <f>SUMIF(Mercado_Receita!$S$2:$S$1039,"44713B1ConvencionalResidencialResidencial baixa renda – faixa 04Não se aplicaNão se aplicaPonta",Mercado_Receita!$L$2:$L$1039)+SUMIF(Mercado_Receita!$S$2:$S$1039,"44713B1ConvencionalResidencialResidencial baixa renda – faixa 04Não se aplicaNão se aplicaFora ponta",Mercado_Receita!$L$2:$L$1039)+SUMIF(Mercado_Receita!$S$2:$S$1039,"44713B1ConvencionalResidencialResidencial baixa renda – faixa 04Não se aplicaNão se aplicaIntermediário",Mercado_Receita!$L$2:$L$1039)+SUMIF(Mercado_Receita!$S$2:$S$1039,"44713B1ConvencionalResidencialResidencial baixa renda – faixa 04Não se aplicaNão se aplicaNão se aplica",Mercado_Receita!$L$2:$L$1039)</f>
        <v>2201.7999999999997</v>
      </c>
      <c r="P37" s="13">
        <f>SUMIF(Mercado_Receita!$S$2:$S$1039,"44743B1ConvencionalResidencialResidencial baixa renda – faixa 04Não se aplicaNão se aplicaPonta",Mercado_Receita!$L$2:$L$1039)+SUMIF(Mercado_Receita!$S$2:$S$1039,"44743B1ConvencionalResidencialResidencial baixa renda – faixa 04Não se aplicaNão se aplicaFora ponta",Mercado_Receita!$L$2:$L$1039)+SUMIF(Mercado_Receita!$S$2:$S$1039,"44743B1ConvencionalResidencialResidencial baixa renda – faixa 04Não se aplicaNão se aplicaIntermediário",Mercado_Receita!$L$2:$L$1039)+SUMIF(Mercado_Receita!$S$2:$S$1039,"44743B1ConvencionalResidencialResidencial baixa renda – faixa 04Não se aplicaNão se aplicaNão se aplica",Mercado_Receita!$L$2:$L$1039)</f>
        <v>2287.9369999999999</v>
      </c>
      <c r="Q37" s="13">
        <f>SUMIF(Mercado_Receita!$S$2:$S$1039,"44774B1ConvencionalResidencialResidencial baixa renda – faixa 04Não se aplicaNão se aplicaPonta",Mercado_Receita!$L$2:$L$1039)+SUMIF(Mercado_Receita!$S$2:$S$1039,"44774B1ConvencionalResidencialResidencial baixa renda – faixa 04Não se aplicaNão se aplicaFora ponta",Mercado_Receita!$L$2:$L$1039)+SUMIF(Mercado_Receita!$S$2:$S$1039,"44774B1ConvencionalResidencialResidencial baixa renda – faixa 04Não se aplicaNão se aplicaIntermediário",Mercado_Receita!$L$2:$L$1039)+SUMIF(Mercado_Receita!$S$2:$S$1039,"44774B1ConvencionalResidencialResidencial baixa renda – faixa 04Não se aplicaNão se aplicaNão se aplica",Mercado_Receita!$L$2:$L$1039)</f>
        <v>2674.9289999999996</v>
      </c>
      <c r="R37" s="13">
        <f>SUMIF(Mercado_Receita!$S$2:$S$1039,"44805B1ConvencionalResidencialResidencial baixa renda – faixa 04Não se aplicaNão se aplicaPonta",Mercado_Receita!$L$2:$L$1039)+SUMIF(Mercado_Receita!$S$2:$S$1039,"44805B1ConvencionalResidencialResidencial baixa renda – faixa 04Não se aplicaNão se aplicaFora ponta",Mercado_Receita!$L$2:$L$1039)+SUMIF(Mercado_Receita!$S$2:$S$1039,"44805B1ConvencionalResidencialResidencial baixa renda – faixa 04Não se aplicaNão se aplicaIntermediário",Mercado_Receita!$L$2:$L$1039)+SUMIF(Mercado_Receita!$S$2:$S$1039,"44805B1ConvencionalResidencialResidencial baixa renda – faixa 04Não se aplicaNão se aplicaNão se aplica",Mercado_Receita!$L$2:$L$1039)</f>
        <v>3537.89</v>
      </c>
      <c r="S37" s="13">
        <f>SUMIF(Mercado_Receita!$S$2:$S$1039,"44835B1ConvencionalResidencialResidencial baixa renda – faixa 04Não se aplicaNão se aplicaPonta",Mercado_Receita!$L$2:$L$1039)+SUMIF(Mercado_Receita!$S$2:$S$1039,"44835B1ConvencionalResidencialResidencial baixa renda – faixa 04Não se aplicaNão se aplicaFora ponta",Mercado_Receita!$L$2:$L$1039)+SUMIF(Mercado_Receita!$S$2:$S$1039,"44835B1ConvencionalResidencialResidencial baixa renda – faixa 04Não se aplicaNão se aplicaIntermediário",Mercado_Receita!$L$2:$L$1039)+SUMIF(Mercado_Receita!$S$2:$S$1039,"44835B1ConvencionalResidencialResidencial baixa renda – faixa 04Não se aplicaNão se aplicaNão se aplica",Mercado_Receita!$L$2:$L$1039)</f>
        <v>4787.4670000000006</v>
      </c>
      <c r="T37" s="13">
        <f>SUMIF(Mercado_Receita!$S$2:$S$1039,"44866B1ConvencionalResidencialResidencial baixa renda – faixa 04Não se aplicaNão se aplicaPonta",Mercado_Receita!$L$2:$L$1039)+SUMIF(Mercado_Receita!$S$2:$S$1039,"44866B1ConvencionalResidencialResidencial baixa renda – faixa 04Não se aplicaNão se aplicaFora ponta",Mercado_Receita!$L$2:$L$1039)+SUMIF(Mercado_Receita!$S$2:$S$1039,"44866B1ConvencionalResidencialResidencial baixa renda – faixa 04Não se aplicaNão se aplicaIntermediário",Mercado_Receita!$L$2:$L$1039)+SUMIF(Mercado_Receita!$S$2:$S$1039,"44866B1ConvencionalResidencialResidencial baixa renda – faixa 04Não se aplicaNão se aplicaNão se aplica",Mercado_Receita!$L$2:$L$1039)</f>
        <v>4787.4670000000006</v>
      </c>
      <c r="U37" s="13">
        <f t="shared" si="1"/>
        <v>30371.136999999999</v>
      </c>
      <c r="V37" s="13"/>
      <c r="W37" s="13"/>
    </row>
    <row r="38" spans="1:23" ht="11.25" customHeight="1" x14ac:dyDescent="0.25">
      <c r="A38" s="104"/>
      <c r="B38" s="103" t="s">
        <v>92</v>
      </c>
      <c r="C38" s="103" t="s">
        <v>24</v>
      </c>
      <c r="D38" s="12" t="s">
        <v>24</v>
      </c>
      <c r="E38" s="12" t="s">
        <v>25</v>
      </c>
      <c r="F38" s="12" t="s">
        <v>25</v>
      </c>
      <c r="G38" s="13" t="s">
        <v>84</v>
      </c>
      <c r="H38" s="13" t="s">
        <v>79</v>
      </c>
      <c r="I38" s="13">
        <f>SUMIF(Mercado_Receita!$S$2:$S$1039,"44531B1Convencional pré-pagamentoResidencialResidencialNão se aplicaNão se aplicaPonta",Mercado_Receita!$L$2:$L$1039)+SUMIF(Mercado_Receita!$S$2:$S$1039,"44531B1Convencional pré-pagamentoResidencialResidencialNão se aplicaNão se aplicaFora ponta",Mercado_Receita!$L$2:$L$1039)+SUMIF(Mercado_Receita!$S$2:$S$1039,"44531B1Convencional pré-pagamentoResidencialResidencialNão se aplicaNão se aplicaIntermediário",Mercado_Receita!$L$2:$L$1039)+SUMIF(Mercado_Receita!$S$2:$S$1039,"44531B1Convencional pré-pagamentoResidencialResidencialNão se aplicaNão se aplicaNão se aplica",Mercado_Receita!$L$2:$L$1039)</f>
        <v>0</v>
      </c>
      <c r="J38" s="13">
        <f>SUMIF(Mercado_Receita!$S$2:$S$1039,"44562B1Convencional pré-pagamentoResidencialResidencialNão se aplicaNão se aplicaPonta",Mercado_Receita!$L$2:$L$1039)+SUMIF(Mercado_Receita!$S$2:$S$1039,"44562B1Convencional pré-pagamentoResidencialResidencialNão se aplicaNão se aplicaFora ponta",Mercado_Receita!$L$2:$L$1039)+SUMIF(Mercado_Receita!$S$2:$S$1039,"44562B1Convencional pré-pagamentoResidencialResidencialNão se aplicaNão se aplicaIntermediário",Mercado_Receita!$L$2:$L$1039)+SUMIF(Mercado_Receita!$S$2:$S$1039,"44562B1Convencional pré-pagamentoResidencialResidencialNão se aplicaNão se aplicaNão se aplica",Mercado_Receita!$L$2:$L$1039)</f>
        <v>0</v>
      </c>
      <c r="K38" s="13">
        <f>SUMIF(Mercado_Receita!$S$2:$S$1039,"44593B1Convencional pré-pagamentoResidencialResidencialNão se aplicaNão se aplicaPonta",Mercado_Receita!$L$2:$L$1039)+SUMIF(Mercado_Receita!$S$2:$S$1039,"44593B1Convencional pré-pagamentoResidencialResidencialNão se aplicaNão se aplicaFora ponta",Mercado_Receita!$L$2:$L$1039)+SUMIF(Mercado_Receita!$S$2:$S$1039,"44593B1Convencional pré-pagamentoResidencialResidencialNão se aplicaNão se aplicaIntermediário",Mercado_Receita!$L$2:$L$1039)+SUMIF(Mercado_Receita!$S$2:$S$1039,"44593B1Convencional pré-pagamentoResidencialResidencialNão se aplicaNão se aplicaNão se aplica",Mercado_Receita!$L$2:$L$1039)</f>
        <v>0</v>
      </c>
      <c r="L38" s="13">
        <f>SUMIF(Mercado_Receita!$S$2:$S$1039,"44621B1Convencional pré-pagamentoResidencialResidencialNão se aplicaNão se aplicaPonta",Mercado_Receita!$L$2:$L$1039)+SUMIF(Mercado_Receita!$S$2:$S$1039,"44621B1Convencional pré-pagamentoResidencialResidencialNão se aplicaNão se aplicaFora ponta",Mercado_Receita!$L$2:$L$1039)+SUMIF(Mercado_Receita!$S$2:$S$1039,"44621B1Convencional pré-pagamentoResidencialResidencialNão se aplicaNão se aplicaIntermediário",Mercado_Receita!$L$2:$L$1039)+SUMIF(Mercado_Receita!$S$2:$S$1039,"44621B1Convencional pré-pagamentoResidencialResidencialNão se aplicaNão se aplicaNão se aplica",Mercado_Receita!$L$2:$L$1039)</f>
        <v>0</v>
      </c>
      <c r="M38" s="13">
        <f>SUMIF(Mercado_Receita!$S$2:$S$1039,"44652B1Convencional pré-pagamentoResidencialResidencialNão se aplicaNão se aplicaPonta",Mercado_Receita!$L$2:$L$1039)+SUMIF(Mercado_Receita!$S$2:$S$1039,"44652B1Convencional pré-pagamentoResidencialResidencialNão se aplicaNão se aplicaFora ponta",Mercado_Receita!$L$2:$L$1039)+SUMIF(Mercado_Receita!$S$2:$S$1039,"44652B1Convencional pré-pagamentoResidencialResidencialNão se aplicaNão se aplicaIntermediário",Mercado_Receita!$L$2:$L$1039)+SUMIF(Mercado_Receita!$S$2:$S$1039,"44652B1Convencional pré-pagamentoResidencialResidencialNão se aplicaNão se aplicaNão se aplica",Mercado_Receita!$L$2:$L$1039)</f>
        <v>0</v>
      </c>
      <c r="N38" s="13">
        <f>SUMIF(Mercado_Receita!$S$2:$S$1039,"44682B1Convencional pré-pagamentoResidencialResidencialNão se aplicaNão se aplicaPonta",Mercado_Receita!$L$2:$L$1039)+SUMIF(Mercado_Receita!$S$2:$S$1039,"44682B1Convencional pré-pagamentoResidencialResidencialNão se aplicaNão se aplicaFora ponta",Mercado_Receita!$L$2:$L$1039)+SUMIF(Mercado_Receita!$S$2:$S$1039,"44682B1Convencional pré-pagamentoResidencialResidencialNão se aplicaNão se aplicaIntermediário",Mercado_Receita!$L$2:$L$1039)+SUMIF(Mercado_Receita!$S$2:$S$1039,"44682B1Convencional pré-pagamentoResidencialResidencialNão se aplicaNão se aplicaNão se aplica",Mercado_Receita!$L$2:$L$1039)</f>
        <v>0</v>
      </c>
      <c r="O38" s="13">
        <f>SUMIF(Mercado_Receita!$S$2:$S$1039,"44713B1Convencional pré-pagamentoResidencialResidencialNão se aplicaNão se aplicaPonta",Mercado_Receita!$L$2:$L$1039)+SUMIF(Mercado_Receita!$S$2:$S$1039,"44713B1Convencional pré-pagamentoResidencialResidencialNão se aplicaNão se aplicaFora ponta",Mercado_Receita!$L$2:$L$1039)+SUMIF(Mercado_Receita!$S$2:$S$1039,"44713B1Convencional pré-pagamentoResidencialResidencialNão se aplicaNão se aplicaIntermediário",Mercado_Receita!$L$2:$L$1039)+SUMIF(Mercado_Receita!$S$2:$S$1039,"44713B1Convencional pré-pagamentoResidencialResidencialNão se aplicaNão se aplicaNão se aplica",Mercado_Receita!$L$2:$L$1039)</f>
        <v>0</v>
      </c>
      <c r="P38" s="13">
        <f>SUMIF(Mercado_Receita!$S$2:$S$1039,"44743B1Convencional pré-pagamentoResidencialResidencialNão se aplicaNão se aplicaPonta",Mercado_Receita!$L$2:$L$1039)+SUMIF(Mercado_Receita!$S$2:$S$1039,"44743B1Convencional pré-pagamentoResidencialResidencialNão se aplicaNão se aplicaFora ponta",Mercado_Receita!$L$2:$L$1039)+SUMIF(Mercado_Receita!$S$2:$S$1039,"44743B1Convencional pré-pagamentoResidencialResidencialNão se aplicaNão se aplicaIntermediário",Mercado_Receita!$L$2:$L$1039)+SUMIF(Mercado_Receita!$S$2:$S$1039,"44743B1Convencional pré-pagamentoResidencialResidencialNão se aplicaNão se aplicaNão se aplica",Mercado_Receita!$L$2:$L$1039)</f>
        <v>0</v>
      </c>
      <c r="Q38" s="13">
        <f>SUMIF(Mercado_Receita!$S$2:$S$1039,"44774B1Convencional pré-pagamentoResidencialResidencialNão se aplicaNão se aplicaPonta",Mercado_Receita!$L$2:$L$1039)+SUMIF(Mercado_Receita!$S$2:$S$1039,"44774B1Convencional pré-pagamentoResidencialResidencialNão se aplicaNão se aplicaFora ponta",Mercado_Receita!$L$2:$L$1039)+SUMIF(Mercado_Receita!$S$2:$S$1039,"44774B1Convencional pré-pagamentoResidencialResidencialNão se aplicaNão se aplicaIntermediário",Mercado_Receita!$L$2:$L$1039)+SUMIF(Mercado_Receita!$S$2:$S$1039,"44774B1Convencional pré-pagamentoResidencialResidencialNão se aplicaNão se aplicaNão se aplica",Mercado_Receita!$L$2:$L$1039)</f>
        <v>0</v>
      </c>
      <c r="R38" s="13">
        <f>SUMIF(Mercado_Receita!$S$2:$S$1039,"44805B1Convencional pré-pagamentoResidencialResidencialNão se aplicaNão se aplicaPonta",Mercado_Receita!$L$2:$L$1039)+SUMIF(Mercado_Receita!$S$2:$S$1039,"44805B1Convencional pré-pagamentoResidencialResidencialNão se aplicaNão se aplicaFora ponta",Mercado_Receita!$L$2:$L$1039)+SUMIF(Mercado_Receita!$S$2:$S$1039,"44805B1Convencional pré-pagamentoResidencialResidencialNão se aplicaNão se aplicaIntermediário",Mercado_Receita!$L$2:$L$1039)+SUMIF(Mercado_Receita!$S$2:$S$1039,"44805B1Convencional pré-pagamentoResidencialResidencialNão se aplicaNão se aplicaNão se aplica",Mercado_Receita!$L$2:$L$1039)</f>
        <v>0</v>
      </c>
      <c r="S38" s="13">
        <f>SUMIF(Mercado_Receita!$S$2:$S$1039,"44835B1Convencional pré-pagamentoResidencialResidencialNão se aplicaNão se aplicaPonta",Mercado_Receita!$L$2:$L$1039)+SUMIF(Mercado_Receita!$S$2:$S$1039,"44835B1Convencional pré-pagamentoResidencialResidencialNão se aplicaNão se aplicaFora ponta",Mercado_Receita!$L$2:$L$1039)+SUMIF(Mercado_Receita!$S$2:$S$1039,"44835B1Convencional pré-pagamentoResidencialResidencialNão se aplicaNão se aplicaIntermediário",Mercado_Receita!$L$2:$L$1039)+SUMIF(Mercado_Receita!$S$2:$S$1039,"44835B1Convencional pré-pagamentoResidencialResidencialNão se aplicaNão se aplicaNão se aplica",Mercado_Receita!$L$2:$L$1039)</f>
        <v>0</v>
      </c>
      <c r="T38" s="13">
        <f>SUMIF(Mercado_Receita!$S$2:$S$1039,"44866B1Convencional pré-pagamentoResidencialResidencialNão se aplicaNão se aplicaPonta",Mercado_Receita!$L$2:$L$1039)+SUMIF(Mercado_Receita!$S$2:$S$1039,"44866B1Convencional pré-pagamentoResidencialResidencialNão se aplicaNão se aplicaFora ponta",Mercado_Receita!$L$2:$L$1039)+SUMIF(Mercado_Receita!$S$2:$S$1039,"44866B1Convencional pré-pagamentoResidencialResidencialNão se aplicaNão se aplicaIntermediário",Mercado_Receita!$L$2:$L$1039)+SUMIF(Mercado_Receita!$S$2:$S$1039,"44866B1Convencional pré-pagamentoResidencialResidencialNão se aplicaNão se aplicaNão se aplica",Mercado_Receita!$L$2:$L$1039)</f>
        <v>0</v>
      </c>
      <c r="U38" s="13">
        <f t="shared" si="1"/>
        <v>0</v>
      </c>
      <c r="V38" s="13"/>
      <c r="W38" s="13"/>
    </row>
    <row r="39" spans="1:23" ht="11.25" customHeight="1" x14ac:dyDescent="0.25">
      <c r="A39" s="104"/>
      <c r="B39" s="104"/>
      <c r="C39" s="104"/>
      <c r="D39" s="12" t="s">
        <v>29</v>
      </c>
      <c r="E39" s="12" t="s">
        <v>25</v>
      </c>
      <c r="F39" s="12" t="s">
        <v>25</v>
      </c>
      <c r="G39" s="13" t="s">
        <v>84</v>
      </c>
      <c r="H39" s="13" t="s">
        <v>79</v>
      </c>
      <c r="I39" s="13">
        <f>SUMIF(Mercado_Receita!$S$2:$S$1039,"44531B1Convencional pré-pagamentoResidencialResidencial baixa renda – faixa 01Não se aplicaNão se aplicaPonta",Mercado_Receita!$L$2:$L$1039)+SUMIF(Mercado_Receita!$S$2:$S$1039,"44531B1Convencional pré-pagamentoResidencialResidencial baixa renda – faixa 01Não se aplicaNão se aplicaFora ponta",Mercado_Receita!$L$2:$L$1039)+SUMIF(Mercado_Receita!$S$2:$S$1039,"44531B1Convencional pré-pagamentoResidencialResidencial baixa renda – faixa 01Não se aplicaNão se aplicaIntermediário",Mercado_Receita!$L$2:$L$1039)+SUMIF(Mercado_Receita!$S$2:$S$1039,"44531B1Convencional pré-pagamentoResidencialResidencial baixa renda – faixa 01Não se aplicaNão se aplicaNão se aplica",Mercado_Receita!$L$2:$L$1039)</f>
        <v>0</v>
      </c>
      <c r="J39" s="13">
        <f>SUMIF(Mercado_Receita!$S$2:$S$1039,"44562B1Convencional pré-pagamentoResidencialResidencial baixa renda – faixa 01Não se aplicaNão se aplicaPonta",Mercado_Receita!$L$2:$L$1039)+SUMIF(Mercado_Receita!$S$2:$S$1039,"44562B1Convencional pré-pagamentoResidencialResidencial baixa renda – faixa 01Não se aplicaNão se aplicaFora ponta",Mercado_Receita!$L$2:$L$1039)+SUMIF(Mercado_Receita!$S$2:$S$1039,"44562B1Convencional pré-pagamentoResidencialResidencial baixa renda – faixa 01Não se aplicaNão se aplicaIntermediário",Mercado_Receita!$L$2:$L$1039)+SUMIF(Mercado_Receita!$S$2:$S$1039,"44562B1Convencional pré-pagamentoResidencialResidencial baixa renda – faixa 01Não se aplicaNão se aplicaNão se aplica",Mercado_Receita!$L$2:$L$1039)</f>
        <v>0</v>
      </c>
      <c r="K39" s="13">
        <f>SUMIF(Mercado_Receita!$S$2:$S$1039,"44593B1Convencional pré-pagamentoResidencialResidencial baixa renda – faixa 01Não se aplicaNão se aplicaPonta",Mercado_Receita!$L$2:$L$1039)+SUMIF(Mercado_Receita!$S$2:$S$1039,"44593B1Convencional pré-pagamentoResidencialResidencial baixa renda – faixa 01Não se aplicaNão se aplicaFora ponta",Mercado_Receita!$L$2:$L$1039)+SUMIF(Mercado_Receita!$S$2:$S$1039,"44593B1Convencional pré-pagamentoResidencialResidencial baixa renda – faixa 01Não se aplicaNão se aplicaIntermediário",Mercado_Receita!$L$2:$L$1039)+SUMIF(Mercado_Receita!$S$2:$S$1039,"44593B1Convencional pré-pagamentoResidencialResidencial baixa renda – faixa 01Não se aplicaNão se aplicaNão se aplica",Mercado_Receita!$L$2:$L$1039)</f>
        <v>0</v>
      </c>
      <c r="L39" s="13">
        <f>SUMIF(Mercado_Receita!$S$2:$S$1039,"44621B1Convencional pré-pagamentoResidencialResidencial baixa renda – faixa 01Não se aplicaNão se aplicaPonta",Mercado_Receita!$L$2:$L$1039)+SUMIF(Mercado_Receita!$S$2:$S$1039,"44621B1Convencional pré-pagamentoResidencialResidencial baixa renda – faixa 01Não se aplicaNão se aplicaFora ponta",Mercado_Receita!$L$2:$L$1039)+SUMIF(Mercado_Receita!$S$2:$S$1039,"44621B1Convencional pré-pagamentoResidencialResidencial baixa renda – faixa 01Não se aplicaNão se aplicaIntermediário",Mercado_Receita!$L$2:$L$1039)+SUMIF(Mercado_Receita!$S$2:$S$1039,"44621B1Convencional pré-pagamentoResidencialResidencial baixa renda – faixa 01Não se aplicaNão se aplicaNão se aplica",Mercado_Receita!$L$2:$L$1039)</f>
        <v>0</v>
      </c>
      <c r="M39" s="13">
        <f>SUMIF(Mercado_Receita!$S$2:$S$1039,"44652B1Convencional pré-pagamentoResidencialResidencial baixa renda – faixa 01Não se aplicaNão se aplicaPonta",Mercado_Receita!$L$2:$L$1039)+SUMIF(Mercado_Receita!$S$2:$S$1039,"44652B1Convencional pré-pagamentoResidencialResidencial baixa renda – faixa 01Não se aplicaNão se aplicaFora ponta",Mercado_Receita!$L$2:$L$1039)+SUMIF(Mercado_Receita!$S$2:$S$1039,"44652B1Convencional pré-pagamentoResidencialResidencial baixa renda – faixa 01Não se aplicaNão se aplicaIntermediário",Mercado_Receita!$L$2:$L$1039)+SUMIF(Mercado_Receita!$S$2:$S$1039,"44652B1Convencional pré-pagamentoResidencialResidencial baixa renda – faixa 01Não se aplicaNão se aplicaNão se aplica",Mercado_Receita!$L$2:$L$1039)</f>
        <v>0</v>
      </c>
      <c r="N39" s="13">
        <f>SUMIF(Mercado_Receita!$S$2:$S$1039,"44682B1Convencional pré-pagamentoResidencialResidencial baixa renda – faixa 01Não se aplicaNão se aplicaPonta",Mercado_Receita!$L$2:$L$1039)+SUMIF(Mercado_Receita!$S$2:$S$1039,"44682B1Convencional pré-pagamentoResidencialResidencial baixa renda – faixa 01Não se aplicaNão se aplicaFora ponta",Mercado_Receita!$L$2:$L$1039)+SUMIF(Mercado_Receita!$S$2:$S$1039,"44682B1Convencional pré-pagamentoResidencialResidencial baixa renda – faixa 01Não se aplicaNão se aplicaIntermediário",Mercado_Receita!$L$2:$L$1039)+SUMIF(Mercado_Receita!$S$2:$S$1039,"44682B1Convencional pré-pagamentoResidencialResidencial baixa renda – faixa 01Não se aplicaNão se aplicaNão se aplica",Mercado_Receita!$L$2:$L$1039)</f>
        <v>0</v>
      </c>
      <c r="O39" s="13">
        <f>SUMIF(Mercado_Receita!$S$2:$S$1039,"44713B1Convencional pré-pagamentoResidencialResidencial baixa renda – faixa 01Não se aplicaNão se aplicaPonta",Mercado_Receita!$L$2:$L$1039)+SUMIF(Mercado_Receita!$S$2:$S$1039,"44713B1Convencional pré-pagamentoResidencialResidencial baixa renda – faixa 01Não se aplicaNão se aplicaFora ponta",Mercado_Receita!$L$2:$L$1039)+SUMIF(Mercado_Receita!$S$2:$S$1039,"44713B1Convencional pré-pagamentoResidencialResidencial baixa renda – faixa 01Não se aplicaNão se aplicaIntermediário",Mercado_Receita!$L$2:$L$1039)+SUMIF(Mercado_Receita!$S$2:$S$1039,"44713B1Convencional pré-pagamentoResidencialResidencial baixa renda – faixa 01Não se aplicaNão se aplicaNão se aplica",Mercado_Receita!$L$2:$L$1039)</f>
        <v>0</v>
      </c>
      <c r="P39" s="13">
        <f>SUMIF(Mercado_Receita!$S$2:$S$1039,"44743B1Convencional pré-pagamentoResidencialResidencial baixa renda – faixa 01Não se aplicaNão se aplicaPonta",Mercado_Receita!$L$2:$L$1039)+SUMIF(Mercado_Receita!$S$2:$S$1039,"44743B1Convencional pré-pagamentoResidencialResidencial baixa renda – faixa 01Não se aplicaNão se aplicaFora ponta",Mercado_Receita!$L$2:$L$1039)+SUMIF(Mercado_Receita!$S$2:$S$1039,"44743B1Convencional pré-pagamentoResidencialResidencial baixa renda – faixa 01Não se aplicaNão se aplicaIntermediário",Mercado_Receita!$L$2:$L$1039)+SUMIF(Mercado_Receita!$S$2:$S$1039,"44743B1Convencional pré-pagamentoResidencialResidencial baixa renda – faixa 01Não se aplicaNão se aplicaNão se aplica",Mercado_Receita!$L$2:$L$1039)</f>
        <v>0</v>
      </c>
      <c r="Q39" s="13">
        <f>SUMIF(Mercado_Receita!$S$2:$S$1039,"44774B1Convencional pré-pagamentoResidencialResidencial baixa renda – faixa 01Não se aplicaNão se aplicaPonta",Mercado_Receita!$L$2:$L$1039)+SUMIF(Mercado_Receita!$S$2:$S$1039,"44774B1Convencional pré-pagamentoResidencialResidencial baixa renda – faixa 01Não se aplicaNão se aplicaFora ponta",Mercado_Receita!$L$2:$L$1039)+SUMIF(Mercado_Receita!$S$2:$S$1039,"44774B1Convencional pré-pagamentoResidencialResidencial baixa renda – faixa 01Não se aplicaNão se aplicaIntermediário",Mercado_Receita!$L$2:$L$1039)+SUMIF(Mercado_Receita!$S$2:$S$1039,"44774B1Convencional pré-pagamentoResidencialResidencial baixa renda – faixa 01Não se aplicaNão se aplicaNão se aplica",Mercado_Receita!$L$2:$L$1039)</f>
        <v>0</v>
      </c>
      <c r="R39" s="13">
        <f>SUMIF(Mercado_Receita!$S$2:$S$1039,"44805B1Convencional pré-pagamentoResidencialResidencial baixa renda – faixa 01Não se aplicaNão se aplicaPonta",Mercado_Receita!$L$2:$L$1039)+SUMIF(Mercado_Receita!$S$2:$S$1039,"44805B1Convencional pré-pagamentoResidencialResidencial baixa renda – faixa 01Não se aplicaNão se aplicaFora ponta",Mercado_Receita!$L$2:$L$1039)+SUMIF(Mercado_Receita!$S$2:$S$1039,"44805B1Convencional pré-pagamentoResidencialResidencial baixa renda – faixa 01Não se aplicaNão se aplicaIntermediário",Mercado_Receita!$L$2:$L$1039)+SUMIF(Mercado_Receita!$S$2:$S$1039,"44805B1Convencional pré-pagamentoResidencialResidencial baixa renda – faixa 01Não se aplicaNão se aplicaNão se aplica",Mercado_Receita!$L$2:$L$1039)</f>
        <v>0</v>
      </c>
      <c r="S39" s="13">
        <f>SUMIF(Mercado_Receita!$S$2:$S$1039,"44835B1Convencional pré-pagamentoResidencialResidencial baixa renda – faixa 01Não se aplicaNão se aplicaPonta",Mercado_Receita!$L$2:$L$1039)+SUMIF(Mercado_Receita!$S$2:$S$1039,"44835B1Convencional pré-pagamentoResidencialResidencial baixa renda – faixa 01Não se aplicaNão se aplicaFora ponta",Mercado_Receita!$L$2:$L$1039)+SUMIF(Mercado_Receita!$S$2:$S$1039,"44835B1Convencional pré-pagamentoResidencialResidencial baixa renda – faixa 01Não se aplicaNão se aplicaIntermediário",Mercado_Receita!$L$2:$L$1039)+SUMIF(Mercado_Receita!$S$2:$S$1039,"44835B1Convencional pré-pagamentoResidencialResidencial baixa renda – faixa 01Não se aplicaNão se aplicaNão se aplica",Mercado_Receita!$L$2:$L$1039)</f>
        <v>0</v>
      </c>
      <c r="T39" s="13">
        <f>SUMIF(Mercado_Receita!$S$2:$S$1039,"44866B1Convencional pré-pagamentoResidencialResidencial baixa renda – faixa 01Não se aplicaNão se aplicaPonta",Mercado_Receita!$L$2:$L$1039)+SUMIF(Mercado_Receita!$S$2:$S$1039,"44866B1Convencional pré-pagamentoResidencialResidencial baixa renda – faixa 01Não se aplicaNão se aplicaFora ponta",Mercado_Receita!$L$2:$L$1039)+SUMIF(Mercado_Receita!$S$2:$S$1039,"44866B1Convencional pré-pagamentoResidencialResidencial baixa renda – faixa 01Não se aplicaNão se aplicaIntermediário",Mercado_Receita!$L$2:$L$1039)+SUMIF(Mercado_Receita!$S$2:$S$1039,"44866B1Convencional pré-pagamentoResidencialResidencial baixa renda – faixa 01Não se aplicaNão se aplicaNão se aplica",Mercado_Receita!$L$2:$L$1039)</f>
        <v>0</v>
      </c>
      <c r="U39" s="13">
        <f t="shared" si="1"/>
        <v>0</v>
      </c>
      <c r="V39" s="13"/>
      <c r="W39" s="13"/>
    </row>
    <row r="40" spans="1:23" ht="11.25" customHeight="1" x14ac:dyDescent="0.25">
      <c r="A40" s="104"/>
      <c r="B40" s="104"/>
      <c r="C40" s="104"/>
      <c r="D40" s="12" t="s">
        <v>30</v>
      </c>
      <c r="E40" s="12" t="s">
        <v>25</v>
      </c>
      <c r="F40" s="12" t="s">
        <v>25</v>
      </c>
      <c r="G40" s="13" t="s">
        <v>84</v>
      </c>
      <c r="H40" s="13" t="s">
        <v>79</v>
      </c>
      <c r="I40" s="13">
        <f>SUMIF(Mercado_Receita!$S$2:$S$1039,"44531B1Convencional pré-pagamentoResidencialResidencial baixa renda – faixa 02Não se aplicaNão se aplicaPonta",Mercado_Receita!$L$2:$L$1039)+SUMIF(Mercado_Receita!$S$2:$S$1039,"44531B1Convencional pré-pagamentoResidencialResidencial baixa renda – faixa 02Não se aplicaNão se aplicaFora ponta",Mercado_Receita!$L$2:$L$1039)+SUMIF(Mercado_Receita!$S$2:$S$1039,"44531B1Convencional pré-pagamentoResidencialResidencial baixa renda – faixa 02Não se aplicaNão se aplicaIntermediário",Mercado_Receita!$L$2:$L$1039)+SUMIF(Mercado_Receita!$S$2:$S$1039,"44531B1Convencional pré-pagamentoResidencialResidencial baixa renda – faixa 02Não se aplicaNão se aplicaNão se aplica",Mercado_Receita!$L$2:$L$1039)</f>
        <v>0</v>
      </c>
      <c r="J40" s="13">
        <f>SUMIF(Mercado_Receita!$S$2:$S$1039,"44562B1Convencional pré-pagamentoResidencialResidencial baixa renda – faixa 02Não se aplicaNão se aplicaPonta",Mercado_Receita!$L$2:$L$1039)+SUMIF(Mercado_Receita!$S$2:$S$1039,"44562B1Convencional pré-pagamentoResidencialResidencial baixa renda – faixa 02Não se aplicaNão se aplicaFora ponta",Mercado_Receita!$L$2:$L$1039)+SUMIF(Mercado_Receita!$S$2:$S$1039,"44562B1Convencional pré-pagamentoResidencialResidencial baixa renda – faixa 02Não se aplicaNão se aplicaIntermediário",Mercado_Receita!$L$2:$L$1039)+SUMIF(Mercado_Receita!$S$2:$S$1039,"44562B1Convencional pré-pagamentoResidencialResidencial baixa renda – faixa 02Não se aplicaNão se aplicaNão se aplica",Mercado_Receita!$L$2:$L$1039)</f>
        <v>0</v>
      </c>
      <c r="K40" s="13">
        <f>SUMIF(Mercado_Receita!$S$2:$S$1039,"44593B1Convencional pré-pagamentoResidencialResidencial baixa renda – faixa 02Não se aplicaNão se aplicaPonta",Mercado_Receita!$L$2:$L$1039)+SUMIF(Mercado_Receita!$S$2:$S$1039,"44593B1Convencional pré-pagamentoResidencialResidencial baixa renda – faixa 02Não se aplicaNão se aplicaFora ponta",Mercado_Receita!$L$2:$L$1039)+SUMIF(Mercado_Receita!$S$2:$S$1039,"44593B1Convencional pré-pagamentoResidencialResidencial baixa renda – faixa 02Não se aplicaNão se aplicaIntermediário",Mercado_Receita!$L$2:$L$1039)+SUMIF(Mercado_Receita!$S$2:$S$1039,"44593B1Convencional pré-pagamentoResidencialResidencial baixa renda – faixa 02Não se aplicaNão se aplicaNão se aplica",Mercado_Receita!$L$2:$L$1039)</f>
        <v>0</v>
      </c>
      <c r="L40" s="13">
        <f>SUMIF(Mercado_Receita!$S$2:$S$1039,"44621B1Convencional pré-pagamentoResidencialResidencial baixa renda – faixa 02Não se aplicaNão se aplicaPonta",Mercado_Receita!$L$2:$L$1039)+SUMIF(Mercado_Receita!$S$2:$S$1039,"44621B1Convencional pré-pagamentoResidencialResidencial baixa renda – faixa 02Não se aplicaNão se aplicaFora ponta",Mercado_Receita!$L$2:$L$1039)+SUMIF(Mercado_Receita!$S$2:$S$1039,"44621B1Convencional pré-pagamentoResidencialResidencial baixa renda – faixa 02Não se aplicaNão se aplicaIntermediário",Mercado_Receita!$L$2:$L$1039)+SUMIF(Mercado_Receita!$S$2:$S$1039,"44621B1Convencional pré-pagamentoResidencialResidencial baixa renda – faixa 02Não se aplicaNão se aplicaNão se aplica",Mercado_Receita!$L$2:$L$1039)</f>
        <v>0</v>
      </c>
      <c r="M40" s="13">
        <f>SUMIF(Mercado_Receita!$S$2:$S$1039,"44652B1Convencional pré-pagamentoResidencialResidencial baixa renda – faixa 02Não se aplicaNão se aplicaPonta",Mercado_Receita!$L$2:$L$1039)+SUMIF(Mercado_Receita!$S$2:$S$1039,"44652B1Convencional pré-pagamentoResidencialResidencial baixa renda – faixa 02Não se aplicaNão se aplicaFora ponta",Mercado_Receita!$L$2:$L$1039)+SUMIF(Mercado_Receita!$S$2:$S$1039,"44652B1Convencional pré-pagamentoResidencialResidencial baixa renda – faixa 02Não se aplicaNão se aplicaIntermediário",Mercado_Receita!$L$2:$L$1039)+SUMIF(Mercado_Receita!$S$2:$S$1039,"44652B1Convencional pré-pagamentoResidencialResidencial baixa renda – faixa 02Não se aplicaNão se aplicaNão se aplica",Mercado_Receita!$L$2:$L$1039)</f>
        <v>0</v>
      </c>
      <c r="N40" s="13">
        <f>SUMIF(Mercado_Receita!$S$2:$S$1039,"44682B1Convencional pré-pagamentoResidencialResidencial baixa renda – faixa 02Não se aplicaNão se aplicaPonta",Mercado_Receita!$L$2:$L$1039)+SUMIF(Mercado_Receita!$S$2:$S$1039,"44682B1Convencional pré-pagamentoResidencialResidencial baixa renda – faixa 02Não se aplicaNão se aplicaFora ponta",Mercado_Receita!$L$2:$L$1039)+SUMIF(Mercado_Receita!$S$2:$S$1039,"44682B1Convencional pré-pagamentoResidencialResidencial baixa renda – faixa 02Não se aplicaNão se aplicaIntermediário",Mercado_Receita!$L$2:$L$1039)+SUMIF(Mercado_Receita!$S$2:$S$1039,"44682B1Convencional pré-pagamentoResidencialResidencial baixa renda – faixa 02Não se aplicaNão se aplicaNão se aplica",Mercado_Receita!$L$2:$L$1039)</f>
        <v>0</v>
      </c>
      <c r="O40" s="13">
        <f>SUMIF(Mercado_Receita!$S$2:$S$1039,"44713B1Convencional pré-pagamentoResidencialResidencial baixa renda – faixa 02Não se aplicaNão se aplicaPonta",Mercado_Receita!$L$2:$L$1039)+SUMIF(Mercado_Receita!$S$2:$S$1039,"44713B1Convencional pré-pagamentoResidencialResidencial baixa renda – faixa 02Não se aplicaNão se aplicaFora ponta",Mercado_Receita!$L$2:$L$1039)+SUMIF(Mercado_Receita!$S$2:$S$1039,"44713B1Convencional pré-pagamentoResidencialResidencial baixa renda – faixa 02Não se aplicaNão se aplicaIntermediário",Mercado_Receita!$L$2:$L$1039)+SUMIF(Mercado_Receita!$S$2:$S$1039,"44713B1Convencional pré-pagamentoResidencialResidencial baixa renda – faixa 02Não se aplicaNão se aplicaNão se aplica",Mercado_Receita!$L$2:$L$1039)</f>
        <v>0</v>
      </c>
      <c r="P40" s="13">
        <f>SUMIF(Mercado_Receita!$S$2:$S$1039,"44743B1Convencional pré-pagamentoResidencialResidencial baixa renda – faixa 02Não se aplicaNão se aplicaPonta",Mercado_Receita!$L$2:$L$1039)+SUMIF(Mercado_Receita!$S$2:$S$1039,"44743B1Convencional pré-pagamentoResidencialResidencial baixa renda – faixa 02Não se aplicaNão se aplicaFora ponta",Mercado_Receita!$L$2:$L$1039)+SUMIF(Mercado_Receita!$S$2:$S$1039,"44743B1Convencional pré-pagamentoResidencialResidencial baixa renda – faixa 02Não se aplicaNão se aplicaIntermediário",Mercado_Receita!$L$2:$L$1039)+SUMIF(Mercado_Receita!$S$2:$S$1039,"44743B1Convencional pré-pagamentoResidencialResidencial baixa renda – faixa 02Não se aplicaNão se aplicaNão se aplica",Mercado_Receita!$L$2:$L$1039)</f>
        <v>0</v>
      </c>
      <c r="Q40" s="13">
        <f>SUMIF(Mercado_Receita!$S$2:$S$1039,"44774B1Convencional pré-pagamentoResidencialResidencial baixa renda – faixa 02Não se aplicaNão se aplicaPonta",Mercado_Receita!$L$2:$L$1039)+SUMIF(Mercado_Receita!$S$2:$S$1039,"44774B1Convencional pré-pagamentoResidencialResidencial baixa renda – faixa 02Não se aplicaNão se aplicaFora ponta",Mercado_Receita!$L$2:$L$1039)+SUMIF(Mercado_Receita!$S$2:$S$1039,"44774B1Convencional pré-pagamentoResidencialResidencial baixa renda – faixa 02Não se aplicaNão se aplicaIntermediário",Mercado_Receita!$L$2:$L$1039)+SUMIF(Mercado_Receita!$S$2:$S$1039,"44774B1Convencional pré-pagamentoResidencialResidencial baixa renda – faixa 02Não se aplicaNão se aplicaNão se aplica",Mercado_Receita!$L$2:$L$1039)</f>
        <v>0</v>
      </c>
      <c r="R40" s="13">
        <f>SUMIF(Mercado_Receita!$S$2:$S$1039,"44805B1Convencional pré-pagamentoResidencialResidencial baixa renda – faixa 02Não se aplicaNão se aplicaPonta",Mercado_Receita!$L$2:$L$1039)+SUMIF(Mercado_Receita!$S$2:$S$1039,"44805B1Convencional pré-pagamentoResidencialResidencial baixa renda – faixa 02Não se aplicaNão se aplicaFora ponta",Mercado_Receita!$L$2:$L$1039)+SUMIF(Mercado_Receita!$S$2:$S$1039,"44805B1Convencional pré-pagamentoResidencialResidencial baixa renda – faixa 02Não se aplicaNão se aplicaIntermediário",Mercado_Receita!$L$2:$L$1039)+SUMIF(Mercado_Receita!$S$2:$S$1039,"44805B1Convencional pré-pagamentoResidencialResidencial baixa renda – faixa 02Não se aplicaNão se aplicaNão se aplica",Mercado_Receita!$L$2:$L$1039)</f>
        <v>0</v>
      </c>
      <c r="S40" s="13">
        <f>SUMIF(Mercado_Receita!$S$2:$S$1039,"44835B1Convencional pré-pagamentoResidencialResidencial baixa renda – faixa 02Não se aplicaNão se aplicaPonta",Mercado_Receita!$L$2:$L$1039)+SUMIF(Mercado_Receita!$S$2:$S$1039,"44835B1Convencional pré-pagamentoResidencialResidencial baixa renda – faixa 02Não se aplicaNão se aplicaFora ponta",Mercado_Receita!$L$2:$L$1039)+SUMIF(Mercado_Receita!$S$2:$S$1039,"44835B1Convencional pré-pagamentoResidencialResidencial baixa renda – faixa 02Não se aplicaNão se aplicaIntermediário",Mercado_Receita!$L$2:$L$1039)+SUMIF(Mercado_Receita!$S$2:$S$1039,"44835B1Convencional pré-pagamentoResidencialResidencial baixa renda – faixa 02Não se aplicaNão se aplicaNão se aplica",Mercado_Receita!$L$2:$L$1039)</f>
        <v>0</v>
      </c>
      <c r="T40" s="13">
        <f>SUMIF(Mercado_Receita!$S$2:$S$1039,"44866B1Convencional pré-pagamentoResidencialResidencial baixa renda – faixa 02Não se aplicaNão se aplicaPonta",Mercado_Receita!$L$2:$L$1039)+SUMIF(Mercado_Receita!$S$2:$S$1039,"44866B1Convencional pré-pagamentoResidencialResidencial baixa renda – faixa 02Não se aplicaNão se aplicaFora ponta",Mercado_Receita!$L$2:$L$1039)+SUMIF(Mercado_Receita!$S$2:$S$1039,"44866B1Convencional pré-pagamentoResidencialResidencial baixa renda – faixa 02Não se aplicaNão se aplicaIntermediário",Mercado_Receita!$L$2:$L$1039)+SUMIF(Mercado_Receita!$S$2:$S$1039,"44866B1Convencional pré-pagamentoResidencialResidencial baixa renda – faixa 02Não se aplicaNão se aplicaNão se aplica",Mercado_Receita!$L$2:$L$1039)</f>
        <v>0</v>
      </c>
      <c r="U40" s="13">
        <f t="shared" si="1"/>
        <v>0</v>
      </c>
      <c r="V40" s="13"/>
      <c r="W40" s="13"/>
    </row>
    <row r="41" spans="1:23" ht="11.25" customHeight="1" x14ac:dyDescent="0.25">
      <c r="A41" s="104"/>
      <c r="B41" s="104"/>
      <c r="C41" s="104"/>
      <c r="D41" s="12" t="s">
        <v>31</v>
      </c>
      <c r="E41" s="12" t="s">
        <v>25</v>
      </c>
      <c r="F41" s="12" t="s">
        <v>25</v>
      </c>
      <c r="G41" s="13" t="s">
        <v>84</v>
      </c>
      <c r="H41" s="13" t="s">
        <v>79</v>
      </c>
      <c r="I41" s="13">
        <f>SUMIF(Mercado_Receita!$S$2:$S$1039,"44531B1Convencional pré-pagamentoResidencialResidencial baixa renda – faixa 03Não se aplicaNão se aplicaPonta",Mercado_Receita!$L$2:$L$1039)+SUMIF(Mercado_Receita!$S$2:$S$1039,"44531B1Convencional pré-pagamentoResidencialResidencial baixa renda – faixa 03Não se aplicaNão se aplicaFora ponta",Mercado_Receita!$L$2:$L$1039)+SUMIF(Mercado_Receita!$S$2:$S$1039,"44531B1Convencional pré-pagamentoResidencialResidencial baixa renda – faixa 03Não se aplicaNão se aplicaIntermediário",Mercado_Receita!$L$2:$L$1039)+SUMIF(Mercado_Receita!$S$2:$S$1039,"44531B1Convencional pré-pagamentoResidencialResidencial baixa renda – faixa 03Não se aplicaNão se aplicaNão se aplica",Mercado_Receita!$L$2:$L$1039)</f>
        <v>0</v>
      </c>
      <c r="J41" s="13">
        <f>SUMIF(Mercado_Receita!$S$2:$S$1039,"44562B1Convencional pré-pagamentoResidencialResidencial baixa renda – faixa 03Não se aplicaNão se aplicaPonta",Mercado_Receita!$L$2:$L$1039)+SUMIF(Mercado_Receita!$S$2:$S$1039,"44562B1Convencional pré-pagamentoResidencialResidencial baixa renda – faixa 03Não se aplicaNão se aplicaFora ponta",Mercado_Receita!$L$2:$L$1039)+SUMIF(Mercado_Receita!$S$2:$S$1039,"44562B1Convencional pré-pagamentoResidencialResidencial baixa renda – faixa 03Não se aplicaNão se aplicaIntermediário",Mercado_Receita!$L$2:$L$1039)+SUMIF(Mercado_Receita!$S$2:$S$1039,"44562B1Convencional pré-pagamentoResidencialResidencial baixa renda – faixa 03Não se aplicaNão se aplicaNão se aplica",Mercado_Receita!$L$2:$L$1039)</f>
        <v>0</v>
      </c>
      <c r="K41" s="13">
        <f>SUMIF(Mercado_Receita!$S$2:$S$1039,"44593B1Convencional pré-pagamentoResidencialResidencial baixa renda – faixa 03Não se aplicaNão se aplicaPonta",Mercado_Receita!$L$2:$L$1039)+SUMIF(Mercado_Receita!$S$2:$S$1039,"44593B1Convencional pré-pagamentoResidencialResidencial baixa renda – faixa 03Não se aplicaNão se aplicaFora ponta",Mercado_Receita!$L$2:$L$1039)+SUMIF(Mercado_Receita!$S$2:$S$1039,"44593B1Convencional pré-pagamentoResidencialResidencial baixa renda – faixa 03Não se aplicaNão se aplicaIntermediário",Mercado_Receita!$L$2:$L$1039)+SUMIF(Mercado_Receita!$S$2:$S$1039,"44593B1Convencional pré-pagamentoResidencialResidencial baixa renda – faixa 03Não se aplicaNão se aplicaNão se aplica",Mercado_Receita!$L$2:$L$1039)</f>
        <v>0</v>
      </c>
      <c r="L41" s="13">
        <f>SUMIF(Mercado_Receita!$S$2:$S$1039,"44621B1Convencional pré-pagamentoResidencialResidencial baixa renda – faixa 03Não se aplicaNão se aplicaPonta",Mercado_Receita!$L$2:$L$1039)+SUMIF(Mercado_Receita!$S$2:$S$1039,"44621B1Convencional pré-pagamentoResidencialResidencial baixa renda – faixa 03Não se aplicaNão se aplicaFora ponta",Mercado_Receita!$L$2:$L$1039)+SUMIF(Mercado_Receita!$S$2:$S$1039,"44621B1Convencional pré-pagamentoResidencialResidencial baixa renda – faixa 03Não se aplicaNão se aplicaIntermediário",Mercado_Receita!$L$2:$L$1039)+SUMIF(Mercado_Receita!$S$2:$S$1039,"44621B1Convencional pré-pagamentoResidencialResidencial baixa renda – faixa 03Não se aplicaNão se aplicaNão se aplica",Mercado_Receita!$L$2:$L$1039)</f>
        <v>0</v>
      </c>
      <c r="M41" s="13">
        <f>SUMIF(Mercado_Receita!$S$2:$S$1039,"44652B1Convencional pré-pagamentoResidencialResidencial baixa renda – faixa 03Não se aplicaNão se aplicaPonta",Mercado_Receita!$L$2:$L$1039)+SUMIF(Mercado_Receita!$S$2:$S$1039,"44652B1Convencional pré-pagamentoResidencialResidencial baixa renda – faixa 03Não se aplicaNão se aplicaFora ponta",Mercado_Receita!$L$2:$L$1039)+SUMIF(Mercado_Receita!$S$2:$S$1039,"44652B1Convencional pré-pagamentoResidencialResidencial baixa renda – faixa 03Não se aplicaNão se aplicaIntermediário",Mercado_Receita!$L$2:$L$1039)+SUMIF(Mercado_Receita!$S$2:$S$1039,"44652B1Convencional pré-pagamentoResidencialResidencial baixa renda – faixa 03Não se aplicaNão se aplicaNão se aplica",Mercado_Receita!$L$2:$L$1039)</f>
        <v>0</v>
      </c>
      <c r="N41" s="13">
        <f>SUMIF(Mercado_Receita!$S$2:$S$1039,"44682B1Convencional pré-pagamentoResidencialResidencial baixa renda – faixa 03Não se aplicaNão se aplicaPonta",Mercado_Receita!$L$2:$L$1039)+SUMIF(Mercado_Receita!$S$2:$S$1039,"44682B1Convencional pré-pagamentoResidencialResidencial baixa renda – faixa 03Não se aplicaNão se aplicaFora ponta",Mercado_Receita!$L$2:$L$1039)+SUMIF(Mercado_Receita!$S$2:$S$1039,"44682B1Convencional pré-pagamentoResidencialResidencial baixa renda – faixa 03Não se aplicaNão se aplicaIntermediário",Mercado_Receita!$L$2:$L$1039)+SUMIF(Mercado_Receita!$S$2:$S$1039,"44682B1Convencional pré-pagamentoResidencialResidencial baixa renda – faixa 03Não se aplicaNão se aplicaNão se aplica",Mercado_Receita!$L$2:$L$1039)</f>
        <v>0</v>
      </c>
      <c r="O41" s="13">
        <f>SUMIF(Mercado_Receita!$S$2:$S$1039,"44713B1Convencional pré-pagamentoResidencialResidencial baixa renda – faixa 03Não se aplicaNão se aplicaPonta",Mercado_Receita!$L$2:$L$1039)+SUMIF(Mercado_Receita!$S$2:$S$1039,"44713B1Convencional pré-pagamentoResidencialResidencial baixa renda – faixa 03Não se aplicaNão se aplicaFora ponta",Mercado_Receita!$L$2:$L$1039)+SUMIF(Mercado_Receita!$S$2:$S$1039,"44713B1Convencional pré-pagamentoResidencialResidencial baixa renda – faixa 03Não se aplicaNão se aplicaIntermediário",Mercado_Receita!$L$2:$L$1039)+SUMIF(Mercado_Receita!$S$2:$S$1039,"44713B1Convencional pré-pagamentoResidencialResidencial baixa renda – faixa 03Não se aplicaNão se aplicaNão se aplica",Mercado_Receita!$L$2:$L$1039)</f>
        <v>0</v>
      </c>
      <c r="P41" s="13">
        <f>SUMIF(Mercado_Receita!$S$2:$S$1039,"44743B1Convencional pré-pagamentoResidencialResidencial baixa renda – faixa 03Não se aplicaNão se aplicaPonta",Mercado_Receita!$L$2:$L$1039)+SUMIF(Mercado_Receita!$S$2:$S$1039,"44743B1Convencional pré-pagamentoResidencialResidencial baixa renda – faixa 03Não se aplicaNão se aplicaFora ponta",Mercado_Receita!$L$2:$L$1039)+SUMIF(Mercado_Receita!$S$2:$S$1039,"44743B1Convencional pré-pagamentoResidencialResidencial baixa renda – faixa 03Não se aplicaNão se aplicaIntermediário",Mercado_Receita!$L$2:$L$1039)+SUMIF(Mercado_Receita!$S$2:$S$1039,"44743B1Convencional pré-pagamentoResidencialResidencial baixa renda – faixa 03Não se aplicaNão se aplicaNão se aplica",Mercado_Receita!$L$2:$L$1039)</f>
        <v>0</v>
      </c>
      <c r="Q41" s="13">
        <f>SUMIF(Mercado_Receita!$S$2:$S$1039,"44774B1Convencional pré-pagamentoResidencialResidencial baixa renda – faixa 03Não se aplicaNão se aplicaPonta",Mercado_Receita!$L$2:$L$1039)+SUMIF(Mercado_Receita!$S$2:$S$1039,"44774B1Convencional pré-pagamentoResidencialResidencial baixa renda – faixa 03Não se aplicaNão se aplicaFora ponta",Mercado_Receita!$L$2:$L$1039)+SUMIF(Mercado_Receita!$S$2:$S$1039,"44774B1Convencional pré-pagamentoResidencialResidencial baixa renda – faixa 03Não se aplicaNão se aplicaIntermediário",Mercado_Receita!$L$2:$L$1039)+SUMIF(Mercado_Receita!$S$2:$S$1039,"44774B1Convencional pré-pagamentoResidencialResidencial baixa renda – faixa 03Não se aplicaNão se aplicaNão se aplica",Mercado_Receita!$L$2:$L$1039)</f>
        <v>0</v>
      </c>
      <c r="R41" s="13">
        <f>SUMIF(Mercado_Receita!$S$2:$S$1039,"44805B1Convencional pré-pagamentoResidencialResidencial baixa renda – faixa 03Não se aplicaNão se aplicaPonta",Mercado_Receita!$L$2:$L$1039)+SUMIF(Mercado_Receita!$S$2:$S$1039,"44805B1Convencional pré-pagamentoResidencialResidencial baixa renda – faixa 03Não se aplicaNão se aplicaFora ponta",Mercado_Receita!$L$2:$L$1039)+SUMIF(Mercado_Receita!$S$2:$S$1039,"44805B1Convencional pré-pagamentoResidencialResidencial baixa renda – faixa 03Não se aplicaNão se aplicaIntermediário",Mercado_Receita!$L$2:$L$1039)+SUMIF(Mercado_Receita!$S$2:$S$1039,"44805B1Convencional pré-pagamentoResidencialResidencial baixa renda – faixa 03Não se aplicaNão se aplicaNão se aplica",Mercado_Receita!$L$2:$L$1039)</f>
        <v>0</v>
      </c>
      <c r="S41" s="13">
        <f>SUMIF(Mercado_Receita!$S$2:$S$1039,"44835B1Convencional pré-pagamentoResidencialResidencial baixa renda – faixa 03Não se aplicaNão se aplicaPonta",Mercado_Receita!$L$2:$L$1039)+SUMIF(Mercado_Receita!$S$2:$S$1039,"44835B1Convencional pré-pagamentoResidencialResidencial baixa renda – faixa 03Não se aplicaNão se aplicaFora ponta",Mercado_Receita!$L$2:$L$1039)+SUMIF(Mercado_Receita!$S$2:$S$1039,"44835B1Convencional pré-pagamentoResidencialResidencial baixa renda – faixa 03Não se aplicaNão se aplicaIntermediário",Mercado_Receita!$L$2:$L$1039)+SUMIF(Mercado_Receita!$S$2:$S$1039,"44835B1Convencional pré-pagamentoResidencialResidencial baixa renda – faixa 03Não se aplicaNão se aplicaNão se aplica",Mercado_Receita!$L$2:$L$1039)</f>
        <v>0</v>
      </c>
      <c r="T41" s="13">
        <f>SUMIF(Mercado_Receita!$S$2:$S$1039,"44866B1Convencional pré-pagamentoResidencialResidencial baixa renda – faixa 03Não se aplicaNão se aplicaPonta",Mercado_Receita!$L$2:$L$1039)+SUMIF(Mercado_Receita!$S$2:$S$1039,"44866B1Convencional pré-pagamentoResidencialResidencial baixa renda – faixa 03Não se aplicaNão se aplicaFora ponta",Mercado_Receita!$L$2:$L$1039)+SUMIF(Mercado_Receita!$S$2:$S$1039,"44866B1Convencional pré-pagamentoResidencialResidencial baixa renda – faixa 03Não se aplicaNão se aplicaIntermediário",Mercado_Receita!$L$2:$L$1039)+SUMIF(Mercado_Receita!$S$2:$S$1039,"44866B1Convencional pré-pagamentoResidencialResidencial baixa renda – faixa 03Não se aplicaNão se aplicaNão se aplica",Mercado_Receita!$L$2:$L$1039)</f>
        <v>0</v>
      </c>
      <c r="U41" s="13">
        <f t="shared" si="1"/>
        <v>0</v>
      </c>
      <c r="V41" s="13"/>
      <c r="W41" s="13"/>
    </row>
    <row r="42" spans="1:23" ht="11.25" customHeight="1" x14ac:dyDescent="0.25">
      <c r="A42" s="104"/>
      <c r="B42" s="104"/>
      <c r="C42" s="104"/>
      <c r="D42" s="12" t="s">
        <v>32</v>
      </c>
      <c r="E42" s="12" t="s">
        <v>25</v>
      </c>
      <c r="F42" s="12" t="s">
        <v>25</v>
      </c>
      <c r="G42" s="13" t="s">
        <v>84</v>
      </c>
      <c r="H42" s="13" t="s">
        <v>79</v>
      </c>
      <c r="I42" s="13">
        <f>SUMIF(Mercado_Receita!$S$2:$S$1039,"44531B1Convencional pré-pagamentoResidencialResidencial baixa renda – faixa 04Não se aplicaNão se aplicaPonta",Mercado_Receita!$L$2:$L$1039)+SUMIF(Mercado_Receita!$S$2:$S$1039,"44531B1Convencional pré-pagamentoResidencialResidencial baixa renda – faixa 04Não se aplicaNão se aplicaFora ponta",Mercado_Receita!$L$2:$L$1039)+SUMIF(Mercado_Receita!$S$2:$S$1039,"44531B1Convencional pré-pagamentoResidencialResidencial baixa renda – faixa 04Não se aplicaNão se aplicaIntermediário",Mercado_Receita!$L$2:$L$1039)+SUMIF(Mercado_Receita!$S$2:$S$1039,"44531B1Convencional pré-pagamentoResidencialResidencial baixa renda – faixa 04Não se aplicaNão se aplicaNão se aplica",Mercado_Receita!$L$2:$L$1039)</f>
        <v>0</v>
      </c>
      <c r="J42" s="13">
        <f>SUMIF(Mercado_Receita!$S$2:$S$1039,"44562B1Convencional pré-pagamentoResidencialResidencial baixa renda – faixa 04Não se aplicaNão se aplicaPonta",Mercado_Receita!$L$2:$L$1039)+SUMIF(Mercado_Receita!$S$2:$S$1039,"44562B1Convencional pré-pagamentoResidencialResidencial baixa renda – faixa 04Não se aplicaNão se aplicaFora ponta",Mercado_Receita!$L$2:$L$1039)+SUMIF(Mercado_Receita!$S$2:$S$1039,"44562B1Convencional pré-pagamentoResidencialResidencial baixa renda – faixa 04Não se aplicaNão se aplicaIntermediário",Mercado_Receita!$L$2:$L$1039)+SUMIF(Mercado_Receita!$S$2:$S$1039,"44562B1Convencional pré-pagamentoResidencialResidencial baixa renda – faixa 04Não se aplicaNão se aplicaNão se aplica",Mercado_Receita!$L$2:$L$1039)</f>
        <v>0</v>
      </c>
      <c r="K42" s="13">
        <f>SUMIF(Mercado_Receita!$S$2:$S$1039,"44593B1Convencional pré-pagamentoResidencialResidencial baixa renda – faixa 04Não se aplicaNão se aplicaPonta",Mercado_Receita!$L$2:$L$1039)+SUMIF(Mercado_Receita!$S$2:$S$1039,"44593B1Convencional pré-pagamentoResidencialResidencial baixa renda – faixa 04Não se aplicaNão se aplicaFora ponta",Mercado_Receita!$L$2:$L$1039)+SUMIF(Mercado_Receita!$S$2:$S$1039,"44593B1Convencional pré-pagamentoResidencialResidencial baixa renda – faixa 04Não se aplicaNão se aplicaIntermediário",Mercado_Receita!$L$2:$L$1039)+SUMIF(Mercado_Receita!$S$2:$S$1039,"44593B1Convencional pré-pagamentoResidencialResidencial baixa renda – faixa 04Não se aplicaNão se aplicaNão se aplica",Mercado_Receita!$L$2:$L$1039)</f>
        <v>0</v>
      </c>
      <c r="L42" s="13">
        <f>SUMIF(Mercado_Receita!$S$2:$S$1039,"44621B1Convencional pré-pagamentoResidencialResidencial baixa renda – faixa 04Não se aplicaNão se aplicaPonta",Mercado_Receita!$L$2:$L$1039)+SUMIF(Mercado_Receita!$S$2:$S$1039,"44621B1Convencional pré-pagamentoResidencialResidencial baixa renda – faixa 04Não se aplicaNão se aplicaFora ponta",Mercado_Receita!$L$2:$L$1039)+SUMIF(Mercado_Receita!$S$2:$S$1039,"44621B1Convencional pré-pagamentoResidencialResidencial baixa renda – faixa 04Não se aplicaNão se aplicaIntermediário",Mercado_Receita!$L$2:$L$1039)+SUMIF(Mercado_Receita!$S$2:$S$1039,"44621B1Convencional pré-pagamentoResidencialResidencial baixa renda – faixa 04Não se aplicaNão se aplicaNão se aplica",Mercado_Receita!$L$2:$L$1039)</f>
        <v>0</v>
      </c>
      <c r="M42" s="13">
        <f>SUMIF(Mercado_Receita!$S$2:$S$1039,"44652B1Convencional pré-pagamentoResidencialResidencial baixa renda – faixa 04Não se aplicaNão se aplicaPonta",Mercado_Receita!$L$2:$L$1039)+SUMIF(Mercado_Receita!$S$2:$S$1039,"44652B1Convencional pré-pagamentoResidencialResidencial baixa renda – faixa 04Não se aplicaNão se aplicaFora ponta",Mercado_Receita!$L$2:$L$1039)+SUMIF(Mercado_Receita!$S$2:$S$1039,"44652B1Convencional pré-pagamentoResidencialResidencial baixa renda – faixa 04Não se aplicaNão se aplicaIntermediário",Mercado_Receita!$L$2:$L$1039)+SUMIF(Mercado_Receita!$S$2:$S$1039,"44652B1Convencional pré-pagamentoResidencialResidencial baixa renda – faixa 04Não se aplicaNão se aplicaNão se aplica",Mercado_Receita!$L$2:$L$1039)</f>
        <v>0</v>
      </c>
      <c r="N42" s="13">
        <f>SUMIF(Mercado_Receita!$S$2:$S$1039,"44682B1Convencional pré-pagamentoResidencialResidencial baixa renda – faixa 04Não se aplicaNão se aplicaPonta",Mercado_Receita!$L$2:$L$1039)+SUMIF(Mercado_Receita!$S$2:$S$1039,"44682B1Convencional pré-pagamentoResidencialResidencial baixa renda – faixa 04Não se aplicaNão se aplicaFora ponta",Mercado_Receita!$L$2:$L$1039)+SUMIF(Mercado_Receita!$S$2:$S$1039,"44682B1Convencional pré-pagamentoResidencialResidencial baixa renda – faixa 04Não se aplicaNão se aplicaIntermediário",Mercado_Receita!$L$2:$L$1039)+SUMIF(Mercado_Receita!$S$2:$S$1039,"44682B1Convencional pré-pagamentoResidencialResidencial baixa renda – faixa 04Não se aplicaNão se aplicaNão se aplica",Mercado_Receita!$L$2:$L$1039)</f>
        <v>0</v>
      </c>
      <c r="O42" s="13">
        <f>SUMIF(Mercado_Receita!$S$2:$S$1039,"44713B1Convencional pré-pagamentoResidencialResidencial baixa renda – faixa 04Não se aplicaNão se aplicaPonta",Mercado_Receita!$L$2:$L$1039)+SUMIF(Mercado_Receita!$S$2:$S$1039,"44713B1Convencional pré-pagamentoResidencialResidencial baixa renda – faixa 04Não se aplicaNão se aplicaFora ponta",Mercado_Receita!$L$2:$L$1039)+SUMIF(Mercado_Receita!$S$2:$S$1039,"44713B1Convencional pré-pagamentoResidencialResidencial baixa renda – faixa 04Não se aplicaNão se aplicaIntermediário",Mercado_Receita!$L$2:$L$1039)+SUMIF(Mercado_Receita!$S$2:$S$1039,"44713B1Convencional pré-pagamentoResidencialResidencial baixa renda – faixa 04Não se aplicaNão se aplicaNão se aplica",Mercado_Receita!$L$2:$L$1039)</f>
        <v>0</v>
      </c>
      <c r="P42" s="13">
        <f>SUMIF(Mercado_Receita!$S$2:$S$1039,"44743B1Convencional pré-pagamentoResidencialResidencial baixa renda – faixa 04Não se aplicaNão se aplicaPonta",Mercado_Receita!$L$2:$L$1039)+SUMIF(Mercado_Receita!$S$2:$S$1039,"44743B1Convencional pré-pagamentoResidencialResidencial baixa renda – faixa 04Não se aplicaNão se aplicaFora ponta",Mercado_Receita!$L$2:$L$1039)+SUMIF(Mercado_Receita!$S$2:$S$1039,"44743B1Convencional pré-pagamentoResidencialResidencial baixa renda – faixa 04Não se aplicaNão se aplicaIntermediário",Mercado_Receita!$L$2:$L$1039)+SUMIF(Mercado_Receita!$S$2:$S$1039,"44743B1Convencional pré-pagamentoResidencialResidencial baixa renda – faixa 04Não se aplicaNão se aplicaNão se aplica",Mercado_Receita!$L$2:$L$1039)</f>
        <v>0</v>
      </c>
      <c r="Q42" s="13">
        <f>SUMIF(Mercado_Receita!$S$2:$S$1039,"44774B1Convencional pré-pagamentoResidencialResidencial baixa renda – faixa 04Não se aplicaNão se aplicaPonta",Mercado_Receita!$L$2:$L$1039)+SUMIF(Mercado_Receita!$S$2:$S$1039,"44774B1Convencional pré-pagamentoResidencialResidencial baixa renda – faixa 04Não se aplicaNão se aplicaFora ponta",Mercado_Receita!$L$2:$L$1039)+SUMIF(Mercado_Receita!$S$2:$S$1039,"44774B1Convencional pré-pagamentoResidencialResidencial baixa renda – faixa 04Não se aplicaNão se aplicaIntermediário",Mercado_Receita!$L$2:$L$1039)+SUMIF(Mercado_Receita!$S$2:$S$1039,"44774B1Convencional pré-pagamentoResidencialResidencial baixa renda – faixa 04Não se aplicaNão se aplicaNão se aplica",Mercado_Receita!$L$2:$L$1039)</f>
        <v>0</v>
      </c>
      <c r="R42" s="13">
        <f>SUMIF(Mercado_Receita!$S$2:$S$1039,"44805B1Convencional pré-pagamentoResidencialResidencial baixa renda – faixa 04Não se aplicaNão se aplicaPonta",Mercado_Receita!$L$2:$L$1039)+SUMIF(Mercado_Receita!$S$2:$S$1039,"44805B1Convencional pré-pagamentoResidencialResidencial baixa renda – faixa 04Não se aplicaNão se aplicaFora ponta",Mercado_Receita!$L$2:$L$1039)+SUMIF(Mercado_Receita!$S$2:$S$1039,"44805B1Convencional pré-pagamentoResidencialResidencial baixa renda – faixa 04Não se aplicaNão se aplicaIntermediário",Mercado_Receita!$L$2:$L$1039)+SUMIF(Mercado_Receita!$S$2:$S$1039,"44805B1Convencional pré-pagamentoResidencialResidencial baixa renda – faixa 04Não se aplicaNão se aplicaNão se aplica",Mercado_Receita!$L$2:$L$1039)</f>
        <v>0</v>
      </c>
      <c r="S42" s="13">
        <f>SUMIF(Mercado_Receita!$S$2:$S$1039,"44835B1Convencional pré-pagamentoResidencialResidencial baixa renda – faixa 04Não se aplicaNão se aplicaPonta",Mercado_Receita!$L$2:$L$1039)+SUMIF(Mercado_Receita!$S$2:$S$1039,"44835B1Convencional pré-pagamentoResidencialResidencial baixa renda – faixa 04Não se aplicaNão se aplicaFora ponta",Mercado_Receita!$L$2:$L$1039)+SUMIF(Mercado_Receita!$S$2:$S$1039,"44835B1Convencional pré-pagamentoResidencialResidencial baixa renda – faixa 04Não se aplicaNão se aplicaIntermediário",Mercado_Receita!$L$2:$L$1039)+SUMIF(Mercado_Receita!$S$2:$S$1039,"44835B1Convencional pré-pagamentoResidencialResidencial baixa renda – faixa 04Não se aplicaNão se aplicaNão se aplica",Mercado_Receita!$L$2:$L$1039)</f>
        <v>0</v>
      </c>
      <c r="T42" s="13">
        <f>SUMIF(Mercado_Receita!$S$2:$S$1039,"44866B1Convencional pré-pagamentoResidencialResidencial baixa renda – faixa 04Não se aplicaNão se aplicaPonta",Mercado_Receita!$L$2:$L$1039)+SUMIF(Mercado_Receita!$S$2:$S$1039,"44866B1Convencional pré-pagamentoResidencialResidencial baixa renda – faixa 04Não se aplicaNão se aplicaFora ponta",Mercado_Receita!$L$2:$L$1039)+SUMIF(Mercado_Receita!$S$2:$S$1039,"44866B1Convencional pré-pagamentoResidencialResidencial baixa renda – faixa 04Não se aplicaNão se aplicaIntermediário",Mercado_Receita!$L$2:$L$1039)+SUMIF(Mercado_Receita!$S$2:$S$1039,"44866B1Convencional pré-pagamentoResidencialResidencial baixa renda – faixa 04Não se aplicaNão se aplicaNão se aplica",Mercado_Receita!$L$2:$L$1039)</f>
        <v>0</v>
      </c>
      <c r="U42" s="13">
        <f t="shared" si="1"/>
        <v>0</v>
      </c>
      <c r="V42" s="13"/>
      <c r="W42" s="13"/>
    </row>
    <row r="43" spans="1:23" ht="11.25" customHeight="1" x14ac:dyDescent="0.25">
      <c r="A43" s="103" t="s">
        <v>45</v>
      </c>
      <c r="B43" s="103" t="s">
        <v>33</v>
      </c>
      <c r="C43" s="103" t="s">
        <v>46</v>
      </c>
      <c r="D43" s="103" t="s">
        <v>25</v>
      </c>
      <c r="E43" s="103" t="s">
        <v>25</v>
      </c>
      <c r="F43" s="103" t="s">
        <v>25</v>
      </c>
      <c r="G43" s="13" t="s">
        <v>80</v>
      </c>
      <c r="H43" s="13" t="s">
        <v>79</v>
      </c>
      <c r="I43" s="13">
        <f>SUMIF(Mercado_Receita!$S$2:$S$1039,"44531B2BrancaRuralNão se aplicaNão se aplicaNão se aplicaPonta",Mercado_Receita!$L$2:$L$1039)</f>
        <v>0</v>
      </c>
      <c r="J43" s="13">
        <f>SUMIF(Mercado_Receita!$S$2:$S$1039,"44562B2BrancaRuralNão se aplicaNão se aplicaNão se aplicaPonta",Mercado_Receita!$L$2:$L$1039)</f>
        <v>0</v>
      </c>
      <c r="K43" s="13">
        <f>SUMIF(Mercado_Receita!$S$2:$S$1039,"44593B2BrancaRuralNão se aplicaNão se aplicaNão se aplicaPonta",Mercado_Receita!$L$2:$L$1039)</f>
        <v>0</v>
      </c>
      <c r="L43" s="13">
        <f>SUMIF(Mercado_Receita!$S$2:$S$1039,"44621B2BrancaRuralNão se aplicaNão se aplicaNão se aplicaPonta",Mercado_Receita!$L$2:$L$1039)</f>
        <v>0</v>
      </c>
      <c r="M43" s="13">
        <f>SUMIF(Mercado_Receita!$S$2:$S$1039,"44652B2BrancaRuralNão se aplicaNão se aplicaNão se aplicaPonta",Mercado_Receita!$L$2:$L$1039)</f>
        <v>0</v>
      </c>
      <c r="N43" s="13">
        <f>SUMIF(Mercado_Receita!$S$2:$S$1039,"44682B2BrancaRuralNão se aplicaNão se aplicaNão se aplicaPonta",Mercado_Receita!$L$2:$L$1039)</f>
        <v>0</v>
      </c>
      <c r="O43" s="13">
        <f>SUMIF(Mercado_Receita!$S$2:$S$1039,"44713B2BrancaRuralNão se aplicaNão se aplicaNão se aplicaPonta",Mercado_Receita!$L$2:$L$1039)</f>
        <v>0</v>
      </c>
      <c r="P43" s="13">
        <f>SUMIF(Mercado_Receita!$S$2:$S$1039,"44743B2BrancaRuralNão se aplicaNão se aplicaNão se aplicaPonta",Mercado_Receita!$L$2:$L$1039)</f>
        <v>0</v>
      </c>
      <c r="Q43" s="13">
        <f>SUMIF(Mercado_Receita!$S$2:$S$1039,"44774B2BrancaRuralNão se aplicaNão se aplicaNão se aplicaPonta",Mercado_Receita!$L$2:$L$1039)</f>
        <v>0</v>
      </c>
      <c r="R43" s="13">
        <f>SUMIF(Mercado_Receita!$S$2:$S$1039,"44805B2BrancaRuralNão se aplicaNão se aplicaNão se aplicaPonta",Mercado_Receita!$L$2:$L$1039)</f>
        <v>0</v>
      </c>
      <c r="S43" s="13">
        <f>SUMIF(Mercado_Receita!$S$2:$S$1039,"44835B2BrancaRuralNão se aplicaNão se aplicaNão se aplicaPonta",Mercado_Receita!$L$2:$L$1039)</f>
        <v>0</v>
      </c>
      <c r="T43" s="13">
        <f>SUMIF(Mercado_Receita!$S$2:$S$1039,"44866B2BrancaRuralNão se aplicaNão se aplicaNão se aplicaPonta",Mercado_Receita!$L$2:$L$1039)</f>
        <v>0</v>
      </c>
      <c r="U43" s="13">
        <f t="shared" si="1"/>
        <v>0</v>
      </c>
      <c r="V43" s="13"/>
      <c r="W43" s="13"/>
    </row>
    <row r="44" spans="1:23" ht="11.25" customHeight="1" x14ac:dyDescent="0.25">
      <c r="A44" s="104"/>
      <c r="B44" s="104"/>
      <c r="C44" s="104"/>
      <c r="D44" s="104"/>
      <c r="E44" s="104"/>
      <c r="F44" s="104"/>
      <c r="G44" s="13" t="s">
        <v>90</v>
      </c>
      <c r="H44" s="13" t="s">
        <v>79</v>
      </c>
      <c r="I44" s="13">
        <f>SUMIF(Mercado_Receita!$S$2:$S$1039,"44531B2BrancaRuralNão se aplicaNão se aplicaNão se aplicaIntermediário",Mercado_Receita!$L$2:$L$1039)</f>
        <v>0</v>
      </c>
      <c r="J44" s="13">
        <f>SUMIF(Mercado_Receita!$S$2:$S$1039,"44562B2BrancaRuralNão se aplicaNão se aplicaNão se aplicaIntermediário",Mercado_Receita!$L$2:$L$1039)</f>
        <v>0</v>
      </c>
      <c r="K44" s="13">
        <f>SUMIF(Mercado_Receita!$S$2:$S$1039,"44593B2BrancaRuralNão se aplicaNão se aplicaNão se aplicaIntermediário",Mercado_Receita!$L$2:$L$1039)</f>
        <v>0</v>
      </c>
      <c r="L44" s="13">
        <f>SUMIF(Mercado_Receita!$S$2:$S$1039,"44621B2BrancaRuralNão se aplicaNão se aplicaNão se aplicaIntermediário",Mercado_Receita!$L$2:$L$1039)</f>
        <v>0</v>
      </c>
      <c r="M44" s="13">
        <f>SUMIF(Mercado_Receita!$S$2:$S$1039,"44652B2BrancaRuralNão se aplicaNão se aplicaNão se aplicaIntermediário",Mercado_Receita!$L$2:$L$1039)</f>
        <v>0</v>
      </c>
      <c r="N44" s="13">
        <f>SUMIF(Mercado_Receita!$S$2:$S$1039,"44682B2BrancaRuralNão se aplicaNão se aplicaNão se aplicaIntermediário",Mercado_Receita!$L$2:$L$1039)</f>
        <v>0</v>
      </c>
      <c r="O44" s="13">
        <f>SUMIF(Mercado_Receita!$S$2:$S$1039,"44713B2BrancaRuralNão se aplicaNão se aplicaNão se aplicaIntermediário",Mercado_Receita!$L$2:$L$1039)</f>
        <v>0</v>
      </c>
      <c r="P44" s="13">
        <f>SUMIF(Mercado_Receita!$S$2:$S$1039,"44743B2BrancaRuralNão se aplicaNão se aplicaNão se aplicaIntermediário",Mercado_Receita!$L$2:$L$1039)</f>
        <v>0</v>
      </c>
      <c r="Q44" s="13">
        <f>SUMIF(Mercado_Receita!$S$2:$S$1039,"44774B2BrancaRuralNão se aplicaNão se aplicaNão se aplicaIntermediário",Mercado_Receita!$L$2:$L$1039)</f>
        <v>0</v>
      </c>
      <c r="R44" s="13">
        <f>SUMIF(Mercado_Receita!$S$2:$S$1039,"44805B2BrancaRuralNão se aplicaNão se aplicaNão se aplicaIntermediário",Mercado_Receita!$L$2:$L$1039)</f>
        <v>0</v>
      </c>
      <c r="S44" s="13">
        <f>SUMIF(Mercado_Receita!$S$2:$S$1039,"44835B2BrancaRuralNão se aplicaNão se aplicaNão se aplicaIntermediário",Mercado_Receita!$L$2:$L$1039)</f>
        <v>0</v>
      </c>
      <c r="T44" s="13">
        <f>SUMIF(Mercado_Receita!$S$2:$S$1039,"44866B2BrancaRuralNão se aplicaNão se aplicaNão se aplicaIntermediário",Mercado_Receita!$L$2:$L$1039)</f>
        <v>0</v>
      </c>
      <c r="U44" s="13">
        <f t="shared" si="1"/>
        <v>0</v>
      </c>
      <c r="V44" s="13"/>
      <c r="W44" s="13"/>
    </row>
    <row r="45" spans="1:23" ht="11.25" customHeight="1" x14ac:dyDescent="0.25">
      <c r="A45" s="104"/>
      <c r="B45" s="104"/>
      <c r="C45" s="104"/>
      <c r="D45" s="104"/>
      <c r="E45" s="104"/>
      <c r="F45" s="104"/>
      <c r="G45" s="13" t="s">
        <v>81</v>
      </c>
      <c r="H45" s="13" t="s">
        <v>79</v>
      </c>
      <c r="I45" s="13">
        <f>SUMIF(Mercado_Receita!$S$2:$S$1039,"44531B2BrancaRuralNão se aplicaNão se aplicaNão se aplicaFora ponta",Mercado_Receita!$L$2:$L$1039)</f>
        <v>0</v>
      </c>
      <c r="J45" s="13">
        <f>SUMIF(Mercado_Receita!$S$2:$S$1039,"44562B2BrancaRuralNão se aplicaNão se aplicaNão se aplicaFora ponta",Mercado_Receita!$L$2:$L$1039)</f>
        <v>0</v>
      </c>
      <c r="K45" s="13">
        <f>SUMIF(Mercado_Receita!$S$2:$S$1039,"44593B2BrancaRuralNão se aplicaNão se aplicaNão se aplicaFora ponta",Mercado_Receita!$L$2:$L$1039)</f>
        <v>0</v>
      </c>
      <c r="L45" s="13">
        <f>SUMIF(Mercado_Receita!$S$2:$S$1039,"44621B2BrancaRuralNão se aplicaNão se aplicaNão se aplicaFora ponta",Mercado_Receita!$L$2:$L$1039)</f>
        <v>0</v>
      </c>
      <c r="M45" s="13">
        <f>SUMIF(Mercado_Receita!$S$2:$S$1039,"44652B2BrancaRuralNão se aplicaNão se aplicaNão se aplicaFora ponta",Mercado_Receita!$L$2:$L$1039)</f>
        <v>0</v>
      </c>
      <c r="N45" s="13">
        <f>SUMIF(Mercado_Receita!$S$2:$S$1039,"44682B2BrancaRuralNão se aplicaNão se aplicaNão se aplicaFora ponta",Mercado_Receita!$L$2:$L$1039)</f>
        <v>0</v>
      </c>
      <c r="O45" s="13">
        <f>SUMIF(Mercado_Receita!$S$2:$S$1039,"44713B2BrancaRuralNão se aplicaNão se aplicaNão se aplicaFora ponta",Mercado_Receita!$L$2:$L$1039)</f>
        <v>0</v>
      </c>
      <c r="P45" s="13">
        <f>SUMIF(Mercado_Receita!$S$2:$S$1039,"44743B2BrancaRuralNão se aplicaNão se aplicaNão se aplicaFora ponta",Mercado_Receita!$L$2:$L$1039)</f>
        <v>0</v>
      </c>
      <c r="Q45" s="13">
        <f>SUMIF(Mercado_Receita!$S$2:$S$1039,"44774B2BrancaRuralNão se aplicaNão se aplicaNão se aplicaFora ponta",Mercado_Receita!$L$2:$L$1039)</f>
        <v>0</v>
      </c>
      <c r="R45" s="13">
        <f>SUMIF(Mercado_Receita!$S$2:$S$1039,"44805B2BrancaRuralNão se aplicaNão se aplicaNão se aplicaFora ponta",Mercado_Receita!$L$2:$L$1039)</f>
        <v>0</v>
      </c>
      <c r="S45" s="13">
        <f>SUMIF(Mercado_Receita!$S$2:$S$1039,"44835B2BrancaRuralNão se aplicaNão se aplicaNão se aplicaFora ponta",Mercado_Receita!$L$2:$L$1039)</f>
        <v>0</v>
      </c>
      <c r="T45" s="13">
        <f>SUMIF(Mercado_Receita!$S$2:$S$1039,"44866B2BrancaRuralNão se aplicaNão se aplicaNão se aplicaFora ponta",Mercado_Receita!$L$2:$L$1039)</f>
        <v>0</v>
      </c>
      <c r="U45" s="13">
        <f t="shared" si="1"/>
        <v>0</v>
      </c>
      <c r="V45" s="13"/>
      <c r="W45" s="13"/>
    </row>
    <row r="46" spans="1:23" ht="11.25" customHeight="1" x14ac:dyDescent="0.25">
      <c r="A46" s="104"/>
      <c r="B46" s="12" t="s">
        <v>23</v>
      </c>
      <c r="C46" s="12" t="s">
        <v>46</v>
      </c>
      <c r="D46" s="12" t="s">
        <v>25</v>
      </c>
      <c r="E46" s="12" t="s">
        <v>25</v>
      </c>
      <c r="F46" s="12" t="s">
        <v>25</v>
      </c>
      <c r="G46" s="13" t="s">
        <v>84</v>
      </c>
      <c r="H46" s="13" t="s">
        <v>79</v>
      </c>
      <c r="I46" s="13">
        <f>SUMIF(Mercado_Receita!$S$2:$S$1039,"44531B2ConvencionalRuralNão se aplicaNão se aplicaNão se aplicaPonta",Mercado_Receita!$L$2:$L$1039)+SUMIF(Mercado_Receita!$S$2:$S$1039,"44531B2ConvencionalRuralNão se aplicaNão se aplicaNão se aplicaFora ponta",Mercado_Receita!$L$2:$L$1039)+SUMIF(Mercado_Receita!$S$2:$S$1039,"44531B2ConvencionalRuralNão se aplicaNão se aplicaNão se aplicaIntermediário",Mercado_Receita!$L$2:$L$1039)+SUMIF(Mercado_Receita!$S$2:$S$1039,"44531B2ConvencionalRuralNão se aplicaNão se aplicaNão se aplicaNão se aplica",Mercado_Receita!$L$2:$L$1039)</f>
        <v>351.404</v>
      </c>
      <c r="J46" s="13">
        <f>SUMIF(Mercado_Receita!$S$2:$S$1039,"44562B2ConvencionalRuralNão se aplicaNão se aplicaNão se aplicaPonta",Mercado_Receita!$L$2:$L$1039)+SUMIF(Mercado_Receita!$S$2:$S$1039,"44562B2ConvencionalRuralNão se aplicaNão se aplicaNão se aplicaFora ponta",Mercado_Receita!$L$2:$L$1039)+SUMIF(Mercado_Receita!$S$2:$S$1039,"44562B2ConvencionalRuralNão se aplicaNão se aplicaNão se aplicaIntermediário",Mercado_Receita!$L$2:$L$1039)+SUMIF(Mercado_Receita!$S$2:$S$1039,"44562B2ConvencionalRuralNão se aplicaNão se aplicaNão se aplicaNão se aplica",Mercado_Receita!$L$2:$L$1039)</f>
        <v>338.39099999999996</v>
      </c>
      <c r="K46" s="13">
        <f>SUMIF(Mercado_Receita!$S$2:$S$1039,"44593B2ConvencionalRuralNão se aplicaNão se aplicaNão se aplicaPonta",Mercado_Receita!$L$2:$L$1039)+SUMIF(Mercado_Receita!$S$2:$S$1039,"44593B2ConvencionalRuralNão se aplicaNão se aplicaNão se aplicaFora ponta",Mercado_Receita!$L$2:$L$1039)+SUMIF(Mercado_Receita!$S$2:$S$1039,"44593B2ConvencionalRuralNão se aplicaNão se aplicaNão se aplicaIntermediário",Mercado_Receita!$L$2:$L$1039)+SUMIF(Mercado_Receita!$S$2:$S$1039,"44593B2ConvencionalRuralNão se aplicaNão se aplicaNão se aplicaNão se aplica",Mercado_Receita!$L$2:$L$1039)</f>
        <v>259.42999999999995</v>
      </c>
      <c r="L46" s="13">
        <f>SUMIF(Mercado_Receita!$S$2:$S$1039,"44621B2ConvencionalRuralNão se aplicaNão se aplicaNão se aplicaPonta",Mercado_Receita!$L$2:$L$1039)+SUMIF(Mercado_Receita!$S$2:$S$1039,"44621B2ConvencionalRuralNão se aplicaNão se aplicaNão se aplicaFora ponta",Mercado_Receita!$L$2:$L$1039)+SUMIF(Mercado_Receita!$S$2:$S$1039,"44621B2ConvencionalRuralNão se aplicaNão se aplicaNão se aplicaIntermediário",Mercado_Receita!$L$2:$L$1039)+SUMIF(Mercado_Receita!$S$2:$S$1039,"44621B2ConvencionalRuralNão se aplicaNão se aplicaNão se aplicaNão se aplica",Mercado_Receita!$L$2:$L$1039)</f>
        <v>307.80599999999998</v>
      </c>
      <c r="M46" s="13">
        <f>SUMIF(Mercado_Receita!$S$2:$S$1039,"44652B2ConvencionalRuralNão se aplicaNão se aplicaNão se aplicaPonta",Mercado_Receita!$L$2:$L$1039)+SUMIF(Mercado_Receita!$S$2:$S$1039,"44652B2ConvencionalRuralNão se aplicaNão se aplicaNão se aplicaFora ponta",Mercado_Receita!$L$2:$L$1039)+SUMIF(Mercado_Receita!$S$2:$S$1039,"44652B2ConvencionalRuralNão se aplicaNão se aplicaNão se aplicaIntermediário",Mercado_Receita!$L$2:$L$1039)+SUMIF(Mercado_Receita!$S$2:$S$1039,"44652B2ConvencionalRuralNão se aplicaNão se aplicaNão se aplicaNão se aplica",Mercado_Receita!$L$2:$L$1039)</f>
        <v>288.11500000000001</v>
      </c>
      <c r="N46" s="13">
        <f>SUMIF(Mercado_Receita!$S$2:$S$1039,"44682B2ConvencionalRuralNão se aplicaNão se aplicaNão se aplicaPonta",Mercado_Receita!$L$2:$L$1039)+SUMIF(Mercado_Receita!$S$2:$S$1039,"44682B2ConvencionalRuralNão se aplicaNão se aplicaNão se aplicaFora ponta",Mercado_Receita!$L$2:$L$1039)+SUMIF(Mercado_Receita!$S$2:$S$1039,"44682B2ConvencionalRuralNão se aplicaNão se aplicaNão se aplicaIntermediário",Mercado_Receita!$L$2:$L$1039)+SUMIF(Mercado_Receita!$S$2:$S$1039,"44682B2ConvencionalRuralNão se aplicaNão se aplicaNão se aplicaNão se aplica",Mercado_Receita!$L$2:$L$1039)</f>
        <v>327.97</v>
      </c>
      <c r="O46" s="13">
        <f>SUMIF(Mercado_Receita!$S$2:$S$1039,"44713B2ConvencionalRuralNão se aplicaNão se aplicaNão se aplicaPonta",Mercado_Receita!$L$2:$L$1039)+SUMIF(Mercado_Receita!$S$2:$S$1039,"44713B2ConvencionalRuralNão se aplicaNão se aplicaNão se aplicaFora ponta",Mercado_Receita!$L$2:$L$1039)+SUMIF(Mercado_Receita!$S$2:$S$1039,"44713B2ConvencionalRuralNão se aplicaNão se aplicaNão se aplicaIntermediário",Mercado_Receita!$L$2:$L$1039)+SUMIF(Mercado_Receita!$S$2:$S$1039,"44713B2ConvencionalRuralNão se aplicaNão se aplicaNão se aplicaNão se aplica",Mercado_Receita!$L$2:$L$1039)</f>
        <v>378.43999999999994</v>
      </c>
      <c r="P46" s="13">
        <f>SUMIF(Mercado_Receita!$S$2:$S$1039,"44743B2ConvencionalRuralNão se aplicaNão se aplicaNão se aplicaPonta",Mercado_Receita!$L$2:$L$1039)+SUMIF(Mercado_Receita!$S$2:$S$1039,"44743B2ConvencionalRuralNão se aplicaNão se aplicaNão se aplicaFora ponta",Mercado_Receita!$L$2:$L$1039)+SUMIF(Mercado_Receita!$S$2:$S$1039,"44743B2ConvencionalRuralNão se aplicaNão se aplicaNão se aplicaIntermediário",Mercado_Receita!$L$2:$L$1039)+SUMIF(Mercado_Receita!$S$2:$S$1039,"44743B2ConvencionalRuralNão se aplicaNão se aplicaNão se aplicaNão se aplica",Mercado_Receita!$L$2:$L$1039)</f>
        <v>367.04399999999998</v>
      </c>
      <c r="Q46" s="13">
        <f>SUMIF(Mercado_Receita!$S$2:$S$1039,"44774B2ConvencionalRuralNão se aplicaNão se aplicaNão se aplicaPonta",Mercado_Receita!$L$2:$L$1039)+SUMIF(Mercado_Receita!$S$2:$S$1039,"44774B2ConvencionalRuralNão se aplicaNão se aplicaNão se aplicaFora ponta",Mercado_Receita!$L$2:$L$1039)+SUMIF(Mercado_Receita!$S$2:$S$1039,"44774B2ConvencionalRuralNão se aplicaNão se aplicaNão se aplicaIntermediário",Mercado_Receita!$L$2:$L$1039)+SUMIF(Mercado_Receita!$S$2:$S$1039,"44774B2ConvencionalRuralNão se aplicaNão se aplicaNão se aplicaNão se aplica",Mercado_Receita!$L$2:$L$1039)</f>
        <v>360.27800000000002</v>
      </c>
      <c r="R46" s="13">
        <f>SUMIF(Mercado_Receita!$S$2:$S$1039,"44805B2ConvencionalRuralNão se aplicaNão se aplicaNão se aplicaPonta",Mercado_Receita!$L$2:$L$1039)+SUMIF(Mercado_Receita!$S$2:$S$1039,"44805B2ConvencionalRuralNão se aplicaNão se aplicaNão se aplicaFora ponta",Mercado_Receita!$L$2:$L$1039)+SUMIF(Mercado_Receita!$S$2:$S$1039,"44805B2ConvencionalRuralNão se aplicaNão se aplicaNão se aplicaIntermediário",Mercado_Receita!$L$2:$L$1039)+SUMIF(Mercado_Receita!$S$2:$S$1039,"44805B2ConvencionalRuralNão se aplicaNão se aplicaNão se aplicaNão se aplica",Mercado_Receita!$L$2:$L$1039)</f>
        <v>365.19499999999999</v>
      </c>
      <c r="S46" s="13">
        <f>SUMIF(Mercado_Receita!$S$2:$S$1039,"44835B2ConvencionalRuralNão se aplicaNão se aplicaNão se aplicaPonta",Mercado_Receita!$L$2:$L$1039)+SUMIF(Mercado_Receita!$S$2:$S$1039,"44835B2ConvencionalRuralNão se aplicaNão se aplicaNão se aplicaFora ponta",Mercado_Receita!$L$2:$L$1039)+SUMIF(Mercado_Receita!$S$2:$S$1039,"44835B2ConvencionalRuralNão se aplicaNão se aplicaNão se aplicaIntermediário",Mercado_Receita!$L$2:$L$1039)+SUMIF(Mercado_Receita!$S$2:$S$1039,"44835B2ConvencionalRuralNão se aplicaNão se aplicaNão se aplicaNão se aplica",Mercado_Receita!$L$2:$L$1039)</f>
        <v>401.01600000000002</v>
      </c>
      <c r="T46" s="13">
        <f>SUMIF(Mercado_Receita!$S$2:$S$1039,"44866B2ConvencionalRuralNão se aplicaNão se aplicaNão se aplicaPonta",Mercado_Receita!$L$2:$L$1039)+SUMIF(Mercado_Receita!$S$2:$S$1039,"44866B2ConvencionalRuralNão se aplicaNão se aplicaNão se aplicaFora ponta",Mercado_Receita!$L$2:$L$1039)+SUMIF(Mercado_Receita!$S$2:$S$1039,"44866B2ConvencionalRuralNão se aplicaNão se aplicaNão se aplicaIntermediário",Mercado_Receita!$L$2:$L$1039)+SUMIF(Mercado_Receita!$S$2:$S$1039,"44866B2ConvencionalRuralNão se aplicaNão se aplicaNão se aplicaNão se aplica",Mercado_Receita!$L$2:$L$1039)</f>
        <v>401.01600000000002</v>
      </c>
      <c r="U46" s="13">
        <f t="shared" si="1"/>
        <v>4146.1049999999996</v>
      </c>
      <c r="V46" s="13"/>
      <c r="W46" s="13"/>
    </row>
    <row r="47" spans="1:23" ht="11.25" customHeight="1" x14ac:dyDescent="0.25">
      <c r="A47" s="104"/>
      <c r="B47" s="103" t="s">
        <v>33</v>
      </c>
      <c r="C47" s="103" t="s">
        <v>46</v>
      </c>
      <c r="D47" s="103" t="s">
        <v>93</v>
      </c>
      <c r="E47" s="103" t="s">
        <v>25</v>
      </c>
      <c r="F47" s="103" t="s">
        <v>25</v>
      </c>
      <c r="G47" s="13" t="s">
        <v>80</v>
      </c>
      <c r="H47" s="13" t="s">
        <v>79</v>
      </c>
      <c r="I47" s="13">
        <f>SUMIF(Mercado_Receita!$S$2:$S$1039,"44531B2BrancaRuralCooperativa de eletrificação ruralNão se aplicaNão se aplicaPonta",Mercado_Receita!$L$2:$L$1039)</f>
        <v>0</v>
      </c>
      <c r="J47" s="13">
        <f>SUMIF(Mercado_Receita!$S$2:$S$1039,"44562B2BrancaRuralCooperativa de eletrificação ruralNão se aplicaNão se aplicaPonta",Mercado_Receita!$L$2:$L$1039)</f>
        <v>0</v>
      </c>
      <c r="K47" s="13">
        <f>SUMIF(Mercado_Receita!$S$2:$S$1039,"44593B2BrancaRuralCooperativa de eletrificação ruralNão se aplicaNão se aplicaPonta",Mercado_Receita!$L$2:$L$1039)</f>
        <v>0</v>
      </c>
      <c r="L47" s="13">
        <f>SUMIF(Mercado_Receita!$S$2:$S$1039,"44621B2BrancaRuralCooperativa de eletrificação ruralNão se aplicaNão se aplicaPonta",Mercado_Receita!$L$2:$L$1039)</f>
        <v>0</v>
      </c>
      <c r="M47" s="13">
        <f>SUMIF(Mercado_Receita!$S$2:$S$1039,"44652B2BrancaRuralCooperativa de eletrificação ruralNão se aplicaNão se aplicaPonta",Mercado_Receita!$L$2:$L$1039)</f>
        <v>0</v>
      </c>
      <c r="N47" s="13">
        <f>SUMIF(Mercado_Receita!$S$2:$S$1039,"44682B2BrancaRuralCooperativa de eletrificação ruralNão se aplicaNão se aplicaPonta",Mercado_Receita!$L$2:$L$1039)</f>
        <v>0</v>
      </c>
      <c r="O47" s="13">
        <f>SUMIF(Mercado_Receita!$S$2:$S$1039,"44713B2BrancaRuralCooperativa de eletrificação ruralNão se aplicaNão se aplicaPonta",Mercado_Receita!$L$2:$L$1039)</f>
        <v>0</v>
      </c>
      <c r="P47" s="13">
        <f>SUMIF(Mercado_Receita!$S$2:$S$1039,"44743B2BrancaRuralCooperativa de eletrificação ruralNão se aplicaNão se aplicaPonta",Mercado_Receita!$L$2:$L$1039)</f>
        <v>0</v>
      </c>
      <c r="Q47" s="13">
        <f>SUMIF(Mercado_Receita!$S$2:$S$1039,"44774B2BrancaRuralCooperativa de eletrificação ruralNão se aplicaNão se aplicaPonta",Mercado_Receita!$L$2:$L$1039)</f>
        <v>0</v>
      </c>
      <c r="R47" s="13">
        <f>SUMIF(Mercado_Receita!$S$2:$S$1039,"44805B2BrancaRuralCooperativa de eletrificação ruralNão se aplicaNão se aplicaPonta",Mercado_Receita!$L$2:$L$1039)</f>
        <v>0</v>
      </c>
      <c r="S47" s="13">
        <f>SUMIF(Mercado_Receita!$S$2:$S$1039,"44835B2BrancaRuralCooperativa de eletrificação ruralNão se aplicaNão se aplicaPonta",Mercado_Receita!$L$2:$L$1039)</f>
        <v>0</v>
      </c>
      <c r="T47" s="13">
        <f>SUMIF(Mercado_Receita!$S$2:$S$1039,"44866B2BrancaRuralCooperativa de eletrificação ruralNão se aplicaNão se aplicaPonta",Mercado_Receita!$L$2:$L$1039)</f>
        <v>0</v>
      </c>
      <c r="U47" s="13">
        <f t="shared" si="1"/>
        <v>0</v>
      </c>
      <c r="V47" s="13"/>
      <c r="W47" s="13"/>
    </row>
    <row r="48" spans="1:23" ht="11.25" customHeight="1" x14ac:dyDescent="0.25">
      <c r="A48" s="104"/>
      <c r="B48" s="104"/>
      <c r="C48" s="104"/>
      <c r="D48" s="104"/>
      <c r="E48" s="104"/>
      <c r="F48" s="104"/>
      <c r="G48" s="13" t="s">
        <v>90</v>
      </c>
      <c r="H48" s="13" t="s">
        <v>79</v>
      </c>
      <c r="I48" s="13">
        <f>SUMIF(Mercado_Receita!$S$2:$S$1039,"44531B2BrancaRuralCooperativa de eletrificação ruralNão se aplicaNão se aplicaIntermediário",Mercado_Receita!$L$2:$L$1039)</f>
        <v>0</v>
      </c>
      <c r="J48" s="13">
        <f>SUMIF(Mercado_Receita!$S$2:$S$1039,"44562B2BrancaRuralCooperativa de eletrificação ruralNão se aplicaNão se aplicaIntermediário",Mercado_Receita!$L$2:$L$1039)</f>
        <v>0</v>
      </c>
      <c r="K48" s="13">
        <f>SUMIF(Mercado_Receita!$S$2:$S$1039,"44593B2BrancaRuralCooperativa de eletrificação ruralNão se aplicaNão se aplicaIntermediário",Mercado_Receita!$L$2:$L$1039)</f>
        <v>0</v>
      </c>
      <c r="L48" s="13">
        <f>SUMIF(Mercado_Receita!$S$2:$S$1039,"44621B2BrancaRuralCooperativa de eletrificação ruralNão se aplicaNão se aplicaIntermediário",Mercado_Receita!$L$2:$L$1039)</f>
        <v>0</v>
      </c>
      <c r="M48" s="13">
        <f>SUMIF(Mercado_Receita!$S$2:$S$1039,"44652B2BrancaRuralCooperativa de eletrificação ruralNão se aplicaNão se aplicaIntermediário",Mercado_Receita!$L$2:$L$1039)</f>
        <v>0</v>
      </c>
      <c r="N48" s="13">
        <f>SUMIF(Mercado_Receita!$S$2:$S$1039,"44682B2BrancaRuralCooperativa de eletrificação ruralNão se aplicaNão se aplicaIntermediário",Mercado_Receita!$L$2:$L$1039)</f>
        <v>0</v>
      </c>
      <c r="O48" s="13">
        <f>SUMIF(Mercado_Receita!$S$2:$S$1039,"44713B2BrancaRuralCooperativa de eletrificação ruralNão se aplicaNão se aplicaIntermediário",Mercado_Receita!$L$2:$L$1039)</f>
        <v>0</v>
      </c>
      <c r="P48" s="13">
        <f>SUMIF(Mercado_Receita!$S$2:$S$1039,"44743B2BrancaRuralCooperativa de eletrificação ruralNão se aplicaNão se aplicaIntermediário",Mercado_Receita!$L$2:$L$1039)</f>
        <v>0</v>
      </c>
      <c r="Q48" s="13">
        <f>SUMIF(Mercado_Receita!$S$2:$S$1039,"44774B2BrancaRuralCooperativa de eletrificação ruralNão se aplicaNão se aplicaIntermediário",Mercado_Receita!$L$2:$L$1039)</f>
        <v>0</v>
      </c>
      <c r="R48" s="13">
        <f>SUMIF(Mercado_Receita!$S$2:$S$1039,"44805B2BrancaRuralCooperativa de eletrificação ruralNão se aplicaNão se aplicaIntermediário",Mercado_Receita!$L$2:$L$1039)</f>
        <v>0</v>
      </c>
      <c r="S48" s="13">
        <f>SUMIF(Mercado_Receita!$S$2:$S$1039,"44835B2BrancaRuralCooperativa de eletrificação ruralNão se aplicaNão se aplicaIntermediário",Mercado_Receita!$L$2:$L$1039)</f>
        <v>0</v>
      </c>
      <c r="T48" s="13">
        <f>SUMIF(Mercado_Receita!$S$2:$S$1039,"44866B2BrancaRuralCooperativa de eletrificação ruralNão se aplicaNão se aplicaIntermediário",Mercado_Receita!$L$2:$L$1039)</f>
        <v>0</v>
      </c>
      <c r="U48" s="13">
        <f t="shared" si="1"/>
        <v>0</v>
      </c>
      <c r="V48" s="13"/>
      <c r="W48" s="13"/>
    </row>
    <row r="49" spans="1:23" ht="11.25" customHeight="1" x14ac:dyDescent="0.25">
      <c r="A49" s="104"/>
      <c r="B49" s="104"/>
      <c r="C49" s="104"/>
      <c r="D49" s="104"/>
      <c r="E49" s="104"/>
      <c r="F49" s="104"/>
      <c r="G49" s="13" t="s">
        <v>81</v>
      </c>
      <c r="H49" s="13" t="s">
        <v>79</v>
      </c>
      <c r="I49" s="13">
        <f>SUMIF(Mercado_Receita!$S$2:$S$1039,"44531B2BrancaRuralCooperativa de eletrificação ruralNão se aplicaNão se aplicaFora ponta",Mercado_Receita!$L$2:$L$1039)</f>
        <v>0</v>
      </c>
      <c r="J49" s="13">
        <f>SUMIF(Mercado_Receita!$S$2:$S$1039,"44562B2BrancaRuralCooperativa de eletrificação ruralNão se aplicaNão se aplicaFora ponta",Mercado_Receita!$L$2:$L$1039)</f>
        <v>0</v>
      </c>
      <c r="K49" s="13">
        <f>SUMIF(Mercado_Receita!$S$2:$S$1039,"44593B2BrancaRuralCooperativa de eletrificação ruralNão se aplicaNão se aplicaFora ponta",Mercado_Receita!$L$2:$L$1039)</f>
        <v>0</v>
      </c>
      <c r="L49" s="13">
        <f>SUMIF(Mercado_Receita!$S$2:$S$1039,"44621B2BrancaRuralCooperativa de eletrificação ruralNão se aplicaNão se aplicaFora ponta",Mercado_Receita!$L$2:$L$1039)</f>
        <v>0</v>
      </c>
      <c r="M49" s="13">
        <f>SUMIF(Mercado_Receita!$S$2:$S$1039,"44652B2BrancaRuralCooperativa de eletrificação ruralNão se aplicaNão se aplicaFora ponta",Mercado_Receita!$L$2:$L$1039)</f>
        <v>0</v>
      </c>
      <c r="N49" s="13">
        <f>SUMIF(Mercado_Receita!$S$2:$S$1039,"44682B2BrancaRuralCooperativa de eletrificação ruralNão se aplicaNão se aplicaFora ponta",Mercado_Receita!$L$2:$L$1039)</f>
        <v>0</v>
      </c>
      <c r="O49" s="13">
        <f>SUMIF(Mercado_Receita!$S$2:$S$1039,"44713B2BrancaRuralCooperativa de eletrificação ruralNão se aplicaNão se aplicaFora ponta",Mercado_Receita!$L$2:$L$1039)</f>
        <v>0</v>
      </c>
      <c r="P49" s="13">
        <f>SUMIF(Mercado_Receita!$S$2:$S$1039,"44743B2BrancaRuralCooperativa de eletrificação ruralNão se aplicaNão se aplicaFora ponta",Mercado_Receita!$L$2:$L$1039)</f>
        <v>0</v>
      </c>
      <c r="Q49" s="13">
        <f>SUMIF(Mercado_Receita!$S$2:$S$1039,"44774B2BrancaRuralCooperativa de eletrificação ruralNão se aplicaNão se aplicaFora ponta",Mercado_Receita!$L$2:$L$1039)</f>
        <v>0</v>
      </c>
      <c r="R49" s="13">
        <f>SUMIF(Mercado_Receita!$S$2:$S$1039,"44805B2BrancaRuralCooperativa de eletrificação ruralNão se aplicaNão se aplicaFora ponta",Mercado_Receita!$L$2:$L$1039)</f>
        <v>0</v>
      </c>
      <c r="S49" s="13">
        <f>SUMIF(Mercado_Receita!$S$2:$S$1039,"44835B2BrancaRuralCooperativa de eletrificação ruralNão se aplicaNão se aplicaFora ponta",Mercado_Receita!$L$2:$L$1039)</f>
        <v>0</v>
      </c>
      <c r="T49" s="13">
        <f>SUMIF(Mercado_Receita!$S$2:$S$1039,"44866B2BrancaRuralCooperativa de eletrificação ruralNão se aplicaNão se aplicaFora ponta",Mercado_Receita!$L$2:$L$1039)</f>
        <v>0</v>
      </c>
      <c r="U49" s="13">
        <f t="shared" si="1"/>
        <v>0</v>
      </c>
      <c r="V49" s="13"/>
      <c r="W49" s="13"/>
    </row>
    <row r="50" spans="1:23" ht="11.25" customHeight="1" x14ac:dyDescent="0.25">
      <c r="A50" s="104"/>
      <c r="B50" s="12" t="s">
        <v>23</v>
      </c>
      <c r="C50" s="12" t="s">
        <v>46</v>
      </c>
      <c r="D50" s="12" t="s">
        <v>93</v>
      </c>
      <c r="E50" s="12" t="s">
        <v>25</v>
      </c>
      <c r="F50" s="12" t="s">
        <v>25</v>
      </c>
      <c r="G50" s="13" t="s">
        <v>84</v>
      </c>
      <c r="H50" s="13" t="s">
        <v>79</v>
      </c>
      <c r="I50" s="13">
        <f>SUMIF(Mercado_Receita!$S$2:$S$1039,"44531B2ConvencionalRuralCooperativa de eletrificação ruralNão se aplicaNão se aplicaPonta",Mercado_Receita!$L$2:$L$1039)+SUMIF(Mercado_Receita!$S$2:$S$1039,"44531B2ConvencionalRuralCooperativa de eletrificação ruralNão se aplicaNão se aplicaFora ponta",Mercado_Receita!$L$2:$L$1039)+SUMIF(Mercado_Receita!$S$2:$S$1039,"44531B2ConvencionalRuralCooperativa de eletrificação ruralNão se aplicaNão se aplicaIntermediário",Mercado_Receita!$L$2:$L$1039)+SUMIF(Mercado_Receita!$S$2:$S$1039,"44531B2ConvencionalRuralCooperativa de eletrificação ruralNão se aplicaNão se aplicaNão se aplica",Mercado_Receita!$L$2:$L$1039)</f>
        <v>0</v>
      </c>
      <c r="J50" s="13">
        <f>SUMIF(Mercado_Receita!$S$2:$S$1039,"44562B2ConvencionalRuralCooperativa de eletrificação ruralNão se aplicaNão se aplicaPonta",Mercado_Receita!$L$2:$L$1039)+SUMIF(Mercado_Receita!$S$2:$S$1039,"44562B2ConvencionalRuralCooperativa de eletrificação ruralNão se aplicaNão se aplicaFora ponta",Mercado_Receita!$L$2:$L$1039)+SUMIF(Mercado_Receita!$S$2:$S$1039,"44562B2ConvencionalRuralCooperativa de eletrificação ruralNão se aplicaNão se aplicaIntermediário",Mercado_Receita!$L$2:$L$1039)+SUMIF(Mercado_Receita!$S$2:$S$1039,"44562B2ConvencionalRuralCooperativa de eletrificação ruralNão se aplicaNão se aplicaNão se aplica",Mercado_Receita!$L$2:$L$1039)</f>
        <v>0</v>
      </c>
      <c r="K50" s="13">
        <f>SUMIF(Mercado_Receita!$S$2:$S$1039,"44593B2ConvencionalRuralCooperativa de eletrificação ruralNão se aplicaNão se aplicaPonta",Mercado_Receita!$L$2:$L$1039)+SUMIF(Mercado_Receita!$S$2:$S$1039,"44593B2ConvencionalRuralCooperativa de eletrificação ruralNão se aplicaNão se aplicaFora ponta",Mercado_Receita!$L$2:$L$1039)+SUMIF(Mercado_Receita!$S$2:$S$1039,"44593B2ConvencionalRuralCooperativa de eletrificação ruralNão se aplicaNão se aplicaIntermediário",Mercado_Receita!$L$2:$L$1039)+SUMIF(Mercado_Receita!$S$2:$S$1039,"44593B2ConvencionalRuralCooperativa de eletrificação ruralNão se aplicaNão se aplicaNão se aplica",Mercado_Receita!$L$2:$L$1039)</f>
        <v>0</v>
      </c>
      <c r="L50" s="13">
        <f>SUMIF(Mercado_Receita!$S$2:$S$1039,"44621B2ConvencionalRuralCooperativa de eletrificação ruralNão se aplicaNão se aplicaPonta",Mercado_Receita!$L$2:$L$1039)+SUMIF(Mercado_Receita!$S$2:$S$1039,"44621B2ConvencionalRuralCooperativa de eletrificação ruralNão se aplicaNão se aplicaFora ponta",Mercado_Receita!$L$2:$L$1039)+SUMIF(Mercado_Receita!$S$2:$S$1039,"44621B2ConvencionalRuralCooperativa de eletrificação ruralNão se aplicaNão se aplicaIntermediário",Mercado_Receita!$L$2:$L$1039)+SUMIF(Mercado_Receita!$S$2:$S$1039,"44621B2ConvencionalRuralCooperativa de eletrificação ruralNão se aplicaNão se aplicaNão se aplica",Mercado_Receita!$L$2:$L$1039)</f>
        <v>0</v>
      </c>
      <c r="M50" s="13">
        <f>SUMIF(Mercado_Receita!$S$2:$S$1039,"44652B2ConvencionalRuralCooperativa de eletrificação ruralNão se aplicaNão se aplicaPonta",Mercado_Receita!$L$2:$L$1039)+SUMIF(Mercado_Receita!$S$2:$S$1039,"44652B2ConvencionalRuralCooperativa de eletrificação ruralNão se aplicaNão se aplicaFora ponta",Mercado_Receita!$L$2:$L$1039)+SUMIF(Mercado_Receita!$S$2:$S$1039,"44652B2ConvencionalRuralCooperativa de eletrificação ruralNão se aplicaNão se aplicaIntermediário",Mercado_Receita!$L$2:$L$1039)+SUMIF(Mercado_Receita!$S$2:$S$1039,"44652B2ConvencionalRuralCooperativa de eletrificação ruralNão se aplicaNão se aplicaNão se aplica",Mercado_Receita!$L$2:$L$1039)</f>
        <v>0</v>
      </c>
      <c r="N50" s="13">
        <f>SUMIF(Mercado_Receita!$S$2:$S$1039,"44682B2ConvencionalRuralCooperativa de eletrificação ruralNão se aplicaNão se aplicaPonta",Mercado_Receita!$L$2:$L$1039)+SUMIF(Mercado_Receita!$S$2:$S$1039,"44682B2ConvencionalRuralCooperativa de eletrificação ruralNão se aplicaNão se aplicaFora ponta",Mercado_Receita!$L$2:$L$1039)+SUMIF(Mercado_Receita!$S$2:$S$1039,"44682B2ConvencionalRuralCooperativa de eletrificação ruralNão se aplicaNão se aplicaIntermediário",Mercado_Receita!$L$2:$L$1039)+SUMIF(Mercado_Receita!$S$2:$S$1039,"44682B2ConvencionalRuralCooperativa de eletrificação ruralNão se aplicaNão se aplicaNão se aplica",Mercado_Receita!$L$2:$L$1039)</f>
        <v>0</v>
      </c>
      <c r="O50" s="13">
        <f>SUMIF(Mercado_Receita!$S$2:$S$1039,"44713B2ConvencionalRuralCooperativa de eletrificação ruralNão se aplicaNão se aplicaPonta",Mercado_Receita!$L$2:$L$1039)+SUMIF(Mercado_Receita!$S$2:$S$1039,"44713B2ConvencionalRuralCooperativa de eletrificação ruralNão se aplicaNão se aplicaFora ponta",Mercado_Receita!$L$2:$L$1039)+SUMIF(Mercado_Receita!$S$2:$S$1039,"44713B2ConvencionalRuralCooperativa de eletrificação ruralNão se aplicaNão se aplicaIntermediário",Mercado_Receita!$L$2:$L$1039)+SUMIF(Mercado_Receita!$S$2:$S$1039,"44713B2ConvencionalRuralCooperativa de eletrificação ruralNão se aplicaNão se aplicaNão se aplica",Mercado_Receita!$L$2:$L$1039)</f>
        <v>0</v>
      </c>
      <c r="P50" s="13">
        <f>SUMIF(Mercado_Receita!$S$2:$S$1039,"44743B2ConvencionalRuralCooperativa de eletrificação ruralNão se aplicaNão se aplicaPonta",Mercado_Receita!$L$2:$L$1039)+SUMIF(Mercado_Receita!$S$2:$S$1039,"44743B2ConvencionalRuralCooperativa de eletrificação ruralNão se aplicaNão se aplicaFora ponta",Mercado_Receita!$L$2:$L$1039)+SUMIF(Mercado_Receita!$S$2:$S$1039,"44743B2ConvencionalRuralCooperativa de eletrificação ruralNão se aplicaNão se aplicaIntermediário",Mercado_Receita!$L$2:$L$1039)+SUMIF(Mercado_Receita!$S$2:$S$1039,"44743B2ConvencionalRuralCooperativa de eletrificação ruralNão se aplicaNão se aplicaNão se aplica",Mercado_Receita!$L$2:$L$1039)</f>
        <v>0</v>
      </c>
      <c r="Q50" s="13">
        <f>SUMIF(Mercado_Receita!$S$2:$S$1039,"44774B2ConvencionalRuralCooperativa de eletrificação ruralNão se aplicaNão se aplicaPonta",Mercado_Receita!$L$2:$L$1039)+SUMIF(Mercado_Receita!$S$2:$S$1039,"44774B2ConvencionalRuralCooperativa de eletrificação ruralNão se aplicaNão se aplicaFora ponta",Mercado_Receita!$L$2:$L$1039)+SUMIF(Mercado_Receita!$S$2:$S$1039,"44774B2ConvencionalRuralCooperativa de eletrificação ruralNão se aplicaNão se aplicaIntermediário",Mercado_Receita!$L$2:$L$1039)+SUMIF(Mercado_Receita!$S$2:$S$1039,"44774B2ConvencionalRuralCooperativa de eletrificação ruralNão se aplicaNão se aplicaNão se aplica",Mercado_Receita!$L$2:$L$1039)</f>
        <v>0</v>
      </c>
      <c r="R50" s="13">
        <f>SUMIF(Mercado_Receita!$S$2:$S$1039,"44805B2ConvencionalRuralCooperativa de eletrificação ruralNão se aplicaNão se aplicaPonta",Mercado_Receita!$L$2:$L$1039)+SUMIF(Mercado_Receita!$S$2:$S$1039,"44805B2ConvencionalRuralCooperativa de eletrificação ruralNão se aplicaNão se aplicaFora ponta",Mercado_Receita!$L$2:$L$1039)+SUMIF(Mercado_Receita!$S$2:$S$1039,"44805B2ConvencionalRuralCooperativa de eletrificação ruralNão se aplicaNão se aplicaIntermediário",Mercado_Receita!$L$2:$L$1039)+SUMIF(Mercado_Receita!$S$2:$S$1039,"44805B2ConvencionalRuralCooperativa de eletrificação ruralNão se aplicaNão se aplicaNão se aplica",Mercado_Receita!$L$2:$L$1039)</f>
        <v>0</v>
      </c>
      <c r="S50" s="13">
        <f>SUMIF(Mercado_Receita!$S$2:$S$1039,"44835B2ConvencionalRuralCooperativa de eletrificação ruralNão se aplicaNão se aplicaPonta",Mercado_Receita!$L$2:$L$1039)+SUMIF(Mercado_Receita!$S$2:$S$1039,"44835B2ConvencionalRuralCooperativa de eletrificação ruralNão se aplicaNão se aplicaFora ponta",Mercado_Receita!$L$2:$L$1039)+SUMIF(Mercado_Receita!$S$2:$S$1039,"44835B2ConvencionalRuralCooperativa de eletrificação ruralNão se aplicaNão se aplicaIntermediário",Mercado_Receita!$L$2:$L$1039)+SUMIF(Mercado_Receita!$S$2:$S$1039,"44835B2ConvencionalRuralCooperativa de eletrificação ruralNão se aplicaNão se aplicaNão se aplica",Mercado_Receita!$L$2:$L$1039)</f>
        <v>0</v>
      </c>
      <c r="T50" s="13">
        <f>SUMIF(Mercado_Receita!$S$2:$S$1039,"44866B2ConvencionalRuralCooperativa de eletrificação ruralNão se aplicaNão se aplicaPonta",Mercado_Receita!$L$2:$L$1039)+SUMIF(Mercado_Receita!$S$2:$S$1039,"44866B2ConvencionalRuralCooperativa de eletrificação ruralNão se aplicaNão se aplicaFora ponta",Mercado_Receita!$L$2:$L$1039)+SUMIF(Mercado_Receita!$S$2:$S$1039,"44866B2ConvencionalRuralCooperativa de eletrificação ruralNão se aplicaNão se aplicaIntermediário",Mercado_Receita!$L$2:$L$1039)+SUMIF(Mercado_Receita!$S$2:$S$1039,"44866B2ConvencionalRuralCooperativa de eletrificação ruralNão se aplicaNão se aplicaNão se aplica",Mercado_Receita!$L$2:$L$1039)</f>
        <v>0</v>
      </c>
      <c r="U50" s="13">
        <f t="shared" si="1"/>
        <v>0</v>
      </c>
      <c r="V50" s="13"/>
      <c r="W50" s="13"/>
    </row>
    <row r="51" spans="1:23" ht="11.25" customHeight="1" x14ac:dyDescent="0.25">
      <c r="A51" s="104"/>
      <c r="B51" s="103" t="s">
        <v>33</v>
      </c>
      <c r="C51" s="103" t="s">
        <v>46</v>
      </c>
      <c r="D51" s="103" t="s">
        <v>94</v>
      </c>
      <c r="E51" s="103" t="s">
        <v>25</v>
      </c>
      <c r="F51" s="103" t="s">
        <v>25</v>
      </c>
      <c r="G51" s="13" t="s">
        <v>80</v>
      </c>
      <c r="H51" s="13" t="s">
        <v>79</v>
      </c>
      <c r="I51" s="13">
        <f>SUMIF(Mercado_Receita!$S$2:$S$1039,"44531B2BrancaRuralServiço público de irrigação ruralNão se aplicaNão se aplicaPonta",Mercado_Receita!$L$2:$L$1039)</f>
        <v>0</v>
      </c>
      <c r="J51" s="13">
        <f>SUMIF(Mercado_Receita!$S$2:$S$1039,"44562B2BrancaRuralServiço público de irrigação ruralNão se aplicaNão se aplicaPonta",Mercado_Receita!$L$2:$L$1039)</f>
        <v>0</v>
      </c>
      <c r="K51" s="13">
        <f>SUMIF(Mercado_Receita!$S$2:$S$1039,"44593B2BrancaRuralServiço público de irrigação ruralNão se aplicaNão se aplicaPonta",Mercado_Receita!$L$2:$L$1039)</f>
        <v>0</v>
      </c>
      <c r="L51" s="13">
        <f>SUMIF(Mercado_Receita!$S$2:$S$1039,"44621B2BrancaRuralServiço público de irrigação ruralNão se aplicaNão se aplicaPonta",Mercado_Receita!$L$2:$L$1039)</f>
        <v>0</v>
      </c>
      <c r="M51" s="13">
        <f>SUMIF(Mercado_Receita!$S$2:$S$1039,"44652B2BrancaRuralServiço público de irrigação ruralNão se aplicaNão se aplicaPonta",Mercado_Receita!$L$2:$L$1039)</f>
        <v>0</v>
      </c>
      <c r="N51" s="13">
        <f>SUMIF(Mercado_Receita!$S$2:$S$1039,"44682B2BrancaRuralServiço público de irrigação ruralNão se aplicaNão se aplicaPonta",Mercado_Receita!$L$2:$L$1039)</f>
        <v>0</v>
      </c>
      <c r="O51" s="13">
        <f>SUMIF(Mercado_Receita!$S$2:$S$1039,"44713B2BrancaRuralServiço público de irrigação ruralNão se aplicaNão se aplicaPonta",Mercado_Receita!$L$2:$L$1039)</f>
        <v>0</v>
      </c>
      <c r="P51" s="13">
        <f>SUMIF(Mercado_Receita!$S$2:$S$1039,"44743B2BrancaRuralServiço público de irrigação ruralNão se aplicaNão se aplicaPonta",Mercado_Receita!$L$2:$L$1039)</f>
        <v>0</v>
      </c>
      <c r="Q51" s="13">
        <f>SUMIF(Mercado_Receita!$S$2:$S$1039,"44774B2BrancaRuralServiço público de irrigação ruralNão se aplicaNão se aplicaPonta",Mercado_Receita!$L$2:$L$1039)</f>
        <v>0</v>
      </c>
      <c r="R51" s="13">
        <f>SUMIF(Mercado_Receita!$S$2:$S$1039,"44805B2BrancaRuralServiço público de irrigação ruralNão se aplicaNão se aplicaPonta",Mercado_Receita!$L$2:$L$1039)</f>
        <v>0</v>
      </c>
      <c r="S51" s="13">
        <f>SUMIF(Mercado_Receita!$S$2:$S$1039,"44835B2BrancaRuralServiço público de irrigação ruralNão se aplicaNão se aplicaPonta",Mercado_Receita!$L$2:$L$1039)</f>
        <v>0</v>
      </c>
      <c r="T51" s="13">
        <f>SUMIF(Mercado_Receita!$S$2:$S$1039,"44866B2BrancaRuralServiço público de irrigação ruralNão se aplicaNão se aplicaPonta",Mercado_Receita!$L$2:$L$1039)</f>
        <v>0</v>
      </c>
      <c r="U51" s="13">
        <f t="shared" si="1"/>
        <v>0</v>
      </c>
      <c r="V51" s="13"/>
      <c r="W51" s="13"/>
    </row>
    <row r="52" spans="1:23" ht="11.25" customHeight="1" x14ac:dyDescent="0.25">
      <c r="A52" s="104"/>
      <c r="B52" s="104"/>
      <c r="C52" s="104"/>
      <c r="D52" s="104"/>
      <c r="E52" s="104"/>
      <c r="F52" s="104"/>
      <c r="G52" s="13" t="s">
        <v>90</v>
      </c>
      <c r="H52" s="13" t="s">
        <v>79</v>
      </c>
      <c r="I52" s="13">
        <f>SUMIF(Mercado_Receita!$S$2:$S$1039,"44531B2BrancaRuralServiço público de irrigação ruralNão se aplicaNão se aplicaIntermediário",Mercado_Receita!$L$2:$L$1039)</f>
        <v>0</v>
      </c>
      <c r="J52" s="13">
        <f>SUMIF(Mercado_Receita!$S$2:$S$1039,"44562B2BrancaRuralServiço público de irrigação ruralNão se aplicaNão se aplicaIntermediário",Mercado_Receita!$L$2:$L$1039)</f>
        <v>0</v>
      </c>
      <c r="K52" s="13">
        <f>SUMIF(Mercado_Receita!$S$2:$S$1039,"44593B2BrancaRuralServiço público de irrigação ruralNão se aplicaNão se aplicaIntermediário",Mercado_Receita!$L$2:$L$1039)</f>
        <v>0</v>
      </c>
      <c r="L52" s="13">
        <f>SUMIF(Mercado_Receita!$S$2:$S$1039,"44621B2BrancaRuralServiço público de irrigação ruralNão se aplicaNão se aplicaIntermediário",Mercado_Receita!$L$2:$L$1039)</f>
        <v>0</v>
      </c>
      <c r="M52" s="13">
        <f>SUMIF(Mercado_Receita!$S$2:$S$1039,"44652B2BrancaRuralServiço público de irrigação ruralNão se aplicaNão se aplicaIntermediário",Mercado_Receita!$L$2:$L$1039)</f>
        <v>0</v>
      </c>
      <c r="N52" s="13">
        <f>SUMIF(Mercado_Receita!$S$2:$S$1039,"44682B2BrancaRuralServiço público de irrigação ruralNão se aplicaNão se aplicaIntermediário",Mercado_Receita!$L$2:$L$1039)</f>
        <v>0</v>
      </c>
      <c r="O52" s="13">
        <f>SUMIF(Mercado_Receita!$S$2:$S$1039,"44713B2BrancaRuralServiço público de irrigação ruralNão se aplicaNão se aplicaIntermediário",Mercado_Receita!$L$2:$L$1039)</f>
        <v>0</v>
      </c>
      <c r="P52" s="13">
        <f>SUMIF(Mercado_Receita!$S$2:$S$1039,"44743B2BrancaRuralServiço público de irrigação ruralNão se aplicaNão se aplicaIntermediário",Mercado_Receita!$L$2:$L$1039)</f>
        <v>0</v>
      </c>
      <c r="Q52" s="13">
        <f>SUMIF(Mercado_Receita!$S$2:$S$1039,"44774B2BrancaRuralServiço público de irrigação ruralNão se aplicaNão se aplicaIntermediário",Mercado_Receita!$L$2:$L$1039)</f>
        <v>0</v>
      </c>
      <c r="R52" s="13">
        <f>SUMIF(Mercado_Receita!$S$2:$S$1039,"44805B2BrancaRuralServiço público de irrigação ruralNão se aplicaNão se aplicaIntermediário",Mercado_Receita!$L$2:$L$1039)</f>
        <v>0</v>
      </c>
      <c r="S52" s="13">
        <f>SUMIF(Mercado_Receita!$S$2:$S$1039,"44835B2BrancaRuralServiço público de irrigação ruralNão se aplicaNão se aplicaIntermediário",Mercado_Receita!$L$2:$L$1039)</f>
        <v>0</v>
      </c>
      <c r="T52" s="13">
        <f>SUMIF(Mercado_Receita!$S$2:$S$1039,"44866B2BrancaRuralServiço público de irrigação ruralNão se aplicaNão se aplicaIntermediário",Mercado_Receita!$L$2:$L$1039)</f>
        <v>0</v>
      </c>
      <c r="U52" s="13">
        <f t="shared" si="1"/>
        <v>0</v>
      </c>
      <c r="V52" s="13"/>
      <c r="W52" s="13"/>
    </row>
    <row r="53" spans="1:23" ht="11.25" customHeight="1" x14ac:dyDescent="0.25">
      <c r="A53" s="104"/>
      <c r="B53" s="104"/>
      <c r="C53" s="104"/>
      <c r="D53" s="104"/>
      <c r="E53" s="104"/>
      <c r="F53" s="104"/>
      <c r="G53" s="13" t="s">
        <v>81</v>
      </c>
      <c r="H53" s="13" t="s">
        <v>79</v>
      </c>
      <c r="I53" s="13">
        <f>SUMIF(Mercado_Receita!$S$2:$S$1039,"44531B2BrancaRuralServiço público de irrigação ruralNão se aplicaNão se aplicaFora ponta",Mercado_Receita!$L$2:$L$1039)</f>
        <v>0</v>
      </c>
      <c r="J53" s="13">
        <f>SUMIF(Mercado_Receita!$S$2:$S$1039,"44562B2BrancaRuralServiço público de irrigação ruralNão se aplicaNão se aplicaFora ponta",Mercado_Receita!$L$2:$L$1039)</f>
        <v>0</v>
      </c>
      <c r="K53" s="13">
        <f>SUMIF(Mercado_Receita!$S$2:$S$1039,"44593B2BrancaRuralServiço público de irrigação ruralNão se aplicaNão se aplicaFora ponta",Mercado_Receita!$L$2:$L$1039)</f>
        <v>0</v>
      </c>
      <c r="L53" s="13">
        <f>SUMIF(Mercado_Receita!$S$2:$S$1039,"44621B2BrancaRuralServiço público de irrigação ruralNão se aplicaNão se aplicaFora ponta",Mercado_Receita!$L$2:$L$1039)</f>
        <v>0</v>
      </c>
      <c r="M53" s="13">
        <f>SUMIF(Mercado_Receita!$S$2:$S$1039,"44652B2BrancaRuralServiço público de irrigação ruralNão se aplicaNão se aplicaFora ponta",Mercado_Receita!$L$2:$L$1039)</f>
        <v>0</v>
      </c>
      <c r="N53" s="13">
        <f>SUMIF(Mercado_Receita!$S$2:$S$1039,"44682B2BrancaRuralServiço público de irrigação ruralNão se aplicaNão se aplicaFora ponta",Mercado_Receita!$L$2:$L$1039)</f>
        <v>0</v>
      </c>
      <c r="O53" s="13">
        <f>SUMIF(Mercado_Receita!$S$2:$S$1039,"44713B2BrancaRuralServiço público de irrigação ruralNão se aplicaNão se aplicaFora ponta",Mercado_Receita!$L$2:$L$1039)</f>
        <v>0</v>
      </c>
      <c r="P53" s="13">
        <f>SUMIF(Mercado_Receita!$S$2:$S$1039,"44743B2BrancaRuralServiço público de irrigação ruralNão se aplicaNão se aplicaFora ponta",Mercado_Receita!$L$2:$L$1039)</f>
        <v>0</v>
      </c>
      <c r="Q53" s="13">
        <f>SUMIF(Mercado_Receita!$S$2:$S$1039,"44774B2BrancaRuralServiço público de irrigação ruralNão se aplicaNão se aplicaFora ponta",Mercado_Receita!$L$2:$L$1039)</f>
        <v>0</v>
      </c>
      <c r="R53" s="13">
        <f>SUMIF(Mercado_Receita!$S$2:$S$1039,"44805B2BrancaRuralServiço público de irrigação ruralNão se aplicaNão se aplicaFora ponta",Mercado_Receita!$L$2:$L$1039)</f>
        <v>0</v>
      </c>
      <c r="S53" s="13">
        <f>SUMIF(Mercado_Receita!$S$2:$S$1039,"44835B2BrancaRuralServiço público de irrigação ruralNão se aplicaNão se aplicaFora ponta",Mercado_Receita!$L$2:$L$1039)</f>
        <v>0</v>
      </c>
      <c r="T53" s="13">
        <f>SUMIF(Mercado_Receita!$S$2:$S$1039,"44866B2BrancaRuralServiço público de irrigação ruralNão se aplicaNão se aplicaFora ponta",Mercado_Receita!$L$2:$L$1039)</f>
        <v>0</v>
      </c>
      <c r="U53" s="13">
        <f t="shared" si="1"/>
        <v>0</v>
      </c>
      <c r="V53" s="13"/>
      <c r="W53" s="13"/>
    </row>
    <row r="54" spans="1:23" ht="11.25" customHeight="1" x14ac:dyDescent="0.25">
      <c r="A54" s="104"/>
      <c r="B54" s="12" t="s">
        <v>23</v>
      </c>
      <c r="C54" s="12" t="s">
        <v>46</v>
      </c>
      <c r="D54" s="12" t="s">
        <v>94</v>
      </c>
      <c r="E54" s="12" t="s">
        <v>25</v>
      </c>
      <c r="F54" s="12" t="s">
        <v>25</v>
      </c>
      <c r="G54" s="13" t="s">
        <v>84</v>
      </c>
      <c r="H54" s="13" t="s">
        <v>79</v>
      </c>
      <c r="I54" s="13">
        <f>SUMIF(Mercado_Receita!$S$2:$S$1039,"44531B2ConvencionalRuralServiço público de irrigação ruralNão se aplicaNão se aplicaPonta",Mercado_Receita!$L$2:$L$1039)+SUMIF(Mercado_Receita!$S$2:$S$1039,"44531B2ConvencionalRuralServiço público de irrigação ruralNão se aplicaNão se aplicaFora ponta",Mercado_Receita!$L$2:$L$1039)+SUMIF(Mercado_Receita!$S$2:$S$1039,"44531B2ConvencionalRuralServiço público de irrigação ruralNão se aplicaNão se aplicaIntermediário",Mercado_Receita!$L$2:$L$1039)+SUMIF(Mercado_Receita!$S$2:$S$1039,"44531B2ConvencionalRuralServiço público de irrigação ruralNão se aplicaNão se aplicaNão se aplica",Mercado_Receita!$L$2:$L$1039)</f>
        <v>0</v>
      </c>
      <c r="J54" s="13">
        <f>SUMIF(Mercado_Receita!$S$2:$S$1039,"44562B2ConvencionalRuralServiço público de irrigação ruralNão se aplicaNão se aplicaPonta",Mercado_Receita!$L$2:$L$1039)+SUMIF(Mercado_Receita!$S$2:$S$1039,"44562B2ConvencionalRuralServiço público de irrigação ruralNão se aplicaNão se aplicaFora ponta",Mercado_Receita!$L$2:$L$1039)+SUMIF(Mercado_Receita!$S$2:$S$1039,"44562B2ConvencionalRuralServiço público de irrigação ruralNão se aplicaNão se aplicaIntermediário",Mercado_Receita!$L$2:$L$1039)+SUMIF(Mercado_Receita!$S$2:$S$1039,"44562B2ConvencionalRuralServiço público de irrigação ruralNão se aplicaNão se aplicaNão se aplica",Mercado_Receita!$L$2:$L$1039)</f>
        <v>0</v>
      </c>
      <c r="K54" s="13">
        <f>SUMIF(Mercado_Receita!$S$2:$S$1039,"44593B2ConvencionalRuralServiço público de irrigação ruralNão se aplicaNão se aplicaPonta",Mercado_Receita!$L$2:$L$1039)+SUMIF(Mercado_Receita!$S$2:$S$1039,"44593B2ConvencionalRuralServiço público de irrigação ruralNão se aplicaNão se aplicaFora ponta",Mercado_Receita!$L$2:$L$1039)+SUMIF(Mercado_Receita!$S$2:$S$1039,"44593B2ConvencionalRuralServiço público de irrigação ruralNão se aplicaNão se aplicaIntermediário",Mercado_Receita!$L$2:$L$1039)+SUMIF(Mercado_Receita!$S$2:$S$1039,"44593B2ConvencionalRuralServiço público de irrigação ruralNão se aplicaNão se aplicaNão se aplica",Mercado_Receita!$L$2:$L$1039)</f>
        <v>0</v>
      </c>
      <c r="L54" s="13">
        <f>SUMIF(Mercado_Receita!$S$2:$S$1039,"44621B2ConvencionalRuralServiço público de irrigação ruralNão se aplicaNão se aplicaPonta",Mercado_Receita!$L$2:$L$1039)+SUMIF(Mercado_Receita!$S$2:$S$1039,"44621B2ConvencionalRuralServiço público de irrigação ruralNão se aplicaNão se aplicaFora ponta",Mercado_Receita!$L$2:$L$1039)+SUMIF(Mercado_Receita!$S$2:$S$1039,"44621B2ConvencionalRuralServiço público de irrigação ruralNão se aplicaNão se aplicaIntermediário",Mercado_Receita!$L$2:$L$1039)+SUMIF(Mercado_Receita!$S$2:$S$1039,"44621B2ConvencionalRuralServiço público de irrigação ruralNão se aplicaNão se aplicaNão se aplica",Mercado_Receita!$L$2:$L$1039)</f>
        <v>0</v>
      </c>
      <c r="M54" s="13">
        <f>SUMIF(Mercado_Receita!$S$2:$S$1039,"44652B2ConvencionalRuralServiço público de irrigação ruralNão se aplicaNão se aplicaPonta",Mercado_Receita!$L$2:$L$1039)+SUMIF(Mercado_Receita!$S$2:$S$1039,"44652B2ConvencionalRuralServiço público de irrigação ruralNão se aplicaNão se aplicaFora ponta",Mercado_Receita!$L$2:$L$1039)+SUMIF(Mercado_Receita!$S$2:$S$1039,"44652B2ConvencionalRuralServiço público de irrigação ruralNão se aplicaNão se aplicaIntermediário",Mercado_Receita!$L$2:$L$1039)+SUMIF(Mercado_Receita!$S$2:$S$1039,"44652B2ConvencionalRuralServiço público de irrigação ruralNão se aplicaNão se aplicaNão se aplica",Mercado_Receita!$L$2:$L$1039)</f>
        <v>0</v>
      </c>
      <c r="N54" s="13">
        <f>SUMIF(Mercado_Receita!$S$2:$S$1039,"44682B2ConvencionalRuralServiço público de irrigação ruralNão se aplicaNão se aplicaPonta",Mercado_Receita!$L$2:$L$1039)+SUMIF(Mercado_Receita!$S$2:$S$1039,"44682B2ConvencionalRuralServiço público de irrigação ruralNão se aplicaNão se aplicaFora ponta",Mercado_Receita!$L$2:$L$1039)+SUMIF(Mercado_Receita!$S$2:$S$1039,"44682B2ConvencionalRuralServiço público de irrigação ruralNão se aplicaNão se aplicaIntermediário",Mercado_Receita!$L$2:$L$1039)+SUMIF(Mercado_Receita!$S$2:$S$1039,"44682B2ConvencionalRuralServiço público de irrigação ruralNão se aplicaNão se aplicaNão se aplica",Mercado_Receita!$L$2:$L$1039)</f>
        <v>0</v>
      </c>
      <c r="O54" s="13">
        <f>SUMIF(Mercado_Receita!$S$2:$S$1039,"44713B2ConvencionalRuralServiço público de irrigação ruralNão se aplicaNão se aplicaPonta",Mercado_Receita!$L$2:$L$1039)+SUMIF(Mercado_Receita!$S$2:$S$1039,"44713B2ConvencionalRuralServiço público de irrigação ruralNão se aplicaNão se aplicaFora ponta",Mercado_Receita!$L$2:$L$1039)+SUMIF(Mercado_Receita!$S$2:$S$1039,"44713B2ConvencionalRuralServiço público de irrigação ruralNão se aplicaNão se aplicaIntermediário",Mercado_Receita!$L$2:$L$1039)+SUMIF(Mercado_Receita!$S$2:$S$1039,"44713B2ConvencionalRuralServiço público de irrigação ruralNão se aplicaNão se aplicaNão se aplica",Mercado_Receita!$L$2:$L$1039)</f>
        <v>0</v>
      </c>
      <c r="P54" s="13">
        <f>SUMIF(Mercado_Receita!$S$2:$S$1039,"44743B2ConvencionalRuralServiço público de irrigação ruralNão se aplicaNão se aplicaPonta",Mercado_Receita!$L$2:$L$1039)+SUMIF(Mercado_Receita!$S$2:$S$1039,"44743B2ConvencionalRuralServiço público de irrigação ruralNão se aplicaNão se aplicaFora ponta",Mercado_Receita!$L$2:$L$1039)+SUMIF(Mercado_Receita!$S$2:$S$1039,"44743B2ConvencionalRuralServiço público de irrigação ruralNão se aplicaNão se aplicaIntermediário",Mercado_Receita!$L$2:$L$1039)+SUMIF(Mercado_Receita!$S$2:$S$1039,"44743B2ConvencionalRuralServiço público de irrigação ruralNão se aplicaNão se aplicaNão se aplica",Mercado_Receita!$L$2:$L$1039)</f>
        <v>0</v>
      </c>
      <c r="Q54" s="13">
        <f>SUMIF(Mercado_Receita!$S$2:$S$1039,"44774B2ConvencionalRuralServiço público de irrigação ruralNão se aplicaNão se aplicaPonta",Mercado_Receita!$L$2:$L$1039)+SUMIF(Mercado_Receita!$S$2:$S$1039,"44774B2ConvencionalRuralServiço público de irrigação ruralNão se aplicaNão se aplicaFora ponta",Mercado_Receita!$L$2:$L$1039)+SUMIF(Mercado_Receita!$S$2:$S$1039,"44774B2ConvencionalRuralServiço público de irrigação ruralNão se aplicaNão se aplicaIntermediário",Mercado_Receita!$L$2:$L$1039)+SUMIF(Mercado_Receita!$S$2:$S$1039,"44774B2ConvencionalRuralServiço público de irrigação ruralNão se aplicaNão se aplicaNão se aplica",Mercado_Receita!$L$2:$L$1039)</f>
        <v>0</v>
      </c>
      <c r="R54" s="13">
        <f>SUMIF(Mercado_Receita!$S$2:$S$1039,"44805B2ConvencionalRuralServiço público de irrigação ruralNão se aplicaNão se aplicaPonta",Mercado_Receita!$L$2:$L$1039)+SUMIF(Mercado_Receita!$S$2:$S$1039,"44805B2ConvencionalRuralServiço público de irrigação ruralNão se aplicaNão se aplicaFora ponta",Mercado_Receita!$L$2:$L$1039)+SUMIF(Mercado_Receita!$S$2:$S$1039,"44805B2ConvencionalRuralServiço público de irrigação ruralNão se aplicaNão se aplicaIntermediário",Mercado_Receita!$L$2:$L$1039)+SUMIF(Mercado_Receita!$S$2:$S$1039,"44805B2ConvencionalRuralServiço público de irrigação ruralNão se aplicaNão se aplicaNão se aplica",Mercado_Receita!$L$2:$L$1039)</f>
        <v>0</v>
      </c>
      <c r="S54" s="13">
        <f>SUMIF(Mercado_Receita!$S$2:$S$1039,"44835B2ConvencionalRuralServiço público de irrigação ruralNão se aplicaNão se aplicaPonta",Mercado_Receita!$L$2:$L$1039)+SUMIF(Mercado_Receita!$S$2:$S$1039,"44835B2ConvencionalRuralServiço público de irrigação ruralNão se aplicaNão se aplicaFora ponta",Mercado_Receita!$L$2:$L$1039)+SUMIF(Mercado_Receita!$S$2:$S$1039,"44835B2ConvencionalRuralServiço público de irrigação ruralNão se aplicaNão se aplicaIntermediário",Mercado_Receita!$L$2:$L$1039)+SUMIF(Mercado_Receita!$S$2:$S$1039,"44835B2ConvencionalRuralServiço público de irrigação ruralNão se aplicaNão se aplicaNão se aplica",Mercado_Receita!$L$2:$L$1039)</f>
        <v>0</v>
      </c>
      <c r="T54" s="13">
        <f>SUMIF(Mercado_Receita!$S$2:$S$1039,"44866B2ConvencionalRuralServiço público de irrigação ruralNão se aplicaNão se aplicaPonta",Mercado_Receita!$L$2:$L$1039)+SUMIF(Mercado_Receita!$S$2:$S$1039,"44866B2ConvencionalRuralServiço público de irrigação ruralNão se aplicaNão se aplicaFora ponta",Mercado_Receita!$L$2:$L$1039)+SUMIF(Mercado_Receita!$S$2:$S$1039,"44866B2ConvencionalRuralServiço público de irrigação ruralNão se aplicaNão se aplicaIntermediário",Mercado_Receita!$L$2:$L$1039)+SUMIF(Mercado_Receita!$S$2:$S$1039,"44866B2ConvencionalRuralServiço público de irrigação ruralNão se aplicaNão se aplicaNão se aplica",Mercado_Receita!$L$2:$L$1039)</f>
        <v>0</v>
      </c>
      <c r="U54" s="13">
        <f t="shared" si="1"/>
        <v>0</v>
      </c>
      <c r="V54" s="13"/>
      <c r="W54" s="13"/>
    </row>
    <row r="55" spans="1:23" ht="11.25" customHeight="1" x14ac:dyDescent="0.25">
      <c r="A55" s="104"/>
      <c r="B55" s="103" t="s">
        <v>92</v>
      </c>
      <c r="C55" s="103" t="s">
        <v>46</v>
      </c>
      <c r="D55" s="12" t="s">
        <v>25</v>
      </c>
      <c r="E55" s="12" t="s">
        <v>25</v>
      </c>
      <c r="F55" s="12" t="s">
        <v>25</v>
      </c>
      <c r="G55" s="13" t="s">
        <v>84</v>
      </c>
      <c r="H55" s="13" t="s">
        <v>79</v>
      </c>
      <c r="I55" s="13">
        <f>SUMIF(Mercado_Receita!$S$2:$S$1039,"44531B2Convencional pré-pagamentoRuralNão se aplicaNão se aplicaNão se aplicaPonta",Mercado_Receita!$L$2:$L$1039)+SUMIF(Mercado_Receita!$S$2:$S$1039,"44531B2Convencional pré-pagamentoRuralNão se aplicaNão se aplicaNão se aplicaFora ponta",Mercado_Receita!$L$2:$L$1039)+SUMIF(Mercado_Receita!$S$2:$S$1039,"44531B2Convencional pré-pagamentoRuralNão se aplicaNão se aplicaNão se aplicaIntermediário",Mercado_Receita!$L$2:$L$1039)+SUMIF(Mercado_Receita!$S$2:$S$1039,"44531B2Convencional pré-pagamentoRuralNão se aplicaNão se aplicaNão se aplicaNão se aplica",Mercado_Receita!$L$2:$L$1039)</f>
        <v>0</v>
      </c>
      <c r="J55" s="13">
        <f>SUMIF(Mercado_Receita!$S$2:$S$1039,"44562B2Convencional pré-pagamentoRuralNão se aplicaNão se aplicaNão se aplicaPonta",Mercado_Receita!$L$2:$L$1039)+SUMIF(Mercado_Receita!$S$2:$S$1039,"44562B2Convencional pré-pagamentoRuralNão se aplicaNão se aplicaNão se aplicaFora ponta",Mercado_Receita!$L$2:$L$1039)+SUMIF(Mercado_Receita!$S$2:$S$1039,"44562B2Convencional pré-pagamentoRuralNão se aplicaNão se aplicaNão se aplicaIntermediário",Mercado_Receita!$L$2:$L$1039)+SUMIF(Mercado_Receita!$S$2:$S$1039,"44562B2Convencional pré-pagamentoRuralNão se aplicaNão se aplicaNão se aplicaNão se aplica",Mercado_Receita!$L$2:$L$1039)</f>
        <v>0</v>
      </c>
      <c r="K55" s="13">
        <f>SUMIF(Mercado_Receita!$S$2:$S$1039,"44593B2Convencional pré-pagamentoRuralNão se aplicaNão se aplicaNão se aplicaPonta",Mercado_Receita!$L$2:$L$1039)+SUMIF(Mercado_Receita!$S$2:$S$1039,"44593B2Convencional pré-pagamentoRuralNão se aplicaNão se aplicaNão se aplicaFora ponta",Mercado_Receita!$L$2:$L$1039)+SUMIF(Mercado_Receita!$S$2:$S$1039,"44593B2Convencional pré-pagamentoRuralNão se aplicaNão se aplicaNão se aplicaIntermediário",Mercado_Receita!$L$2:$L$1039)+SUMIF(Mercado_Receita!$S$2:$S$1039,"44593B2Convencional pré-pagamentoRuralNão se aplicaNão se aplicaNão se aplicaNão se aplica",Mercado_Receita!$L$2:$L$1039)</f>
        <v>0</v>
      </c>
      <c r="L55" s="13">
        <f>SUMIF(Mercado_Receita!$S$2:$S$1039,"44621B2Convencional pré-pagamentoRuralNão se aplicaNão se aplicaNão se aplicaPonta",Mercado_Receita!$L$2:$L$1039)+SUMIF(Mercado_Receita!$S$2:$S$1039,"44621B2Convencional pré-pagamentoRuralNão se aplicaNão se aplicaNão se aplicaFora ponta",Mercado_Receita!$L$2:$L$1039)+SUMIF(Mercado_Receita!$S$2:$S$1039,"44621B2Convencional pré-pagamentoRuralNão se aplicaNão se aplicaNão se aplicaIntermediário",Mercado_Receita!$L$2:$L$1039)+SUMIF(Mercado_Receita!$S$2:$S$1039,"44621B2Convencional pré-pagamentoRuralNão se aplicaNão se aplicaNão se aplicaNão se aplica",Mercado_Receita!$L$2:$L$1039)</f>
        <v>0</v>
      </c>
      <c r="M55" s="13">
        <f>SUMIF(Mercado_Receita!$S$2:$S$1039,"44652B2Convencional pré-pagamentoRuralNão se aplicaNão se aplicaNão se aplicaPonta",Mercado_Receita!$L$2:$L$1039)+SUMIF(Mercado_Receita!$S$2:$S$1039,"44652B2Convencional pré-pagamentoRuralNão se aplicaNão se aplicaNão se aplicaFora ponta",Mercado_Receita!$L$2:$L$1039)+SUMIF(Mercado_Receita!$S$2:$S$1039,"44652B2Convencional pré-pagamentoRuralNão se aplicaNão se aplicaNão se aplicaIntermediário",Mercado_Receita!$L$2:$L$1039)+SUMIF(Mercado_Receita!$S$2:$S$1039,"44652B2Convencional pré-pagamentoRuralNão se aplicaNão se aplicaNão se aplicaNão se aplica",Mercado_Receita!$L$2:$L$1039)</f>
        <v>0</v>
      </c>
      <c r="N55" s="13">
        <f>SUMIF(Mercado_Receita!$S$2:$S$1039,"44682B2Convencional pré-pagamentoRuralNão se aplicaNão se aplicaNão se aplicaPonta",Mercado_Receita!$L$2:$L$1039)+SUMIF(Mercado_Receita!$S$2:$S$1039,"44682B2Convencional pré-pagamentoRuralNão se aplicaNão se aplicaNão se aplicaFora ponta",Mercado_Receita!$L$2:$L$1039)+SUMIF(Mercado_Receita!$S$2:$S$1039,"44682B2Convencional pré-pagamentoRuralNão se aplicaNão se aplicaNão se aplicaIntermediário",Mercado_Receita!$L$2:$L$1039)+SUMIF(Mercado_Receita!$S$2:$S$1039,"44682B2Convencional pré-pagamentoRuralNão se aplicaNão se aplicaNão se aplicaNão se aplica",Mercado_Receita!$L$2:$L$1039)</f>
        <v>0</v>
      </c>
      <c r="O55" s="13">
        <f>SUMIF(Mercado_Receita!$S$2:$S$1039,"44713B2Convencional pré-pagamentoRuralNão se aplicaNão se aplicaNão se aplicaPonta",Mercado_Receita!$L$2:$L$1039)+SUMIF(Mercado_Receita!$S$2:$S$1039,"44713B2Convencional pré-pagamentoRuralNão se aplicaNão se aplicaNão se aplicaFora ponta",Mercado_Receita!$L$2:$L$1039)+SUMIF(Mercado_Receita!$S$2:$S$1039,"44713B2Convencional pré-pagamentoRuralNão se aplicaNão se aplicaNão se aplicaIntermediário",Mercado_Receita!$L$2:$L$1039)+SUMIF(Mercado_Receita!$S$2:$S$1039,"44713B2Convencional pré-pagamentoRuralNão se aplicaNão se aplicaNão se aplicaNão se aplica",Mercado_Receita!$L$2:$L$1039)</f>
        <v>0</v>
      </c>
      <c r="P55" s="13">
        <f>SUMIF(Mercado_Receita!$S$2:$S$1039,"44743B2Convencional pré-pagamentoRuralNão se aplicaNão se aplicaNão se aplicaPonta",Mercado_Receita!$L$2:$L$1039)+SUMIF(Mercado_Receita!$S$2:$S$1039,"44743B2Convencional pré-pagamentoRuralNão se aplicaNão se aplicaNão se aplicaFora ponta",Mercado_Receita!$L$2:$L$1039)+SUMIF(Mercado_Receita!$S$2:$S$1039,"44743B2Convencional pré-pagamentoRuralNão se aplicaNão se aplicaNão se aplicaIntermediário",Mercado_Receita!$L$2:$L$1039)+SUMIF(Mercado_Receita!$S$2:$S$1039,"44743B2Convencional pré-pagamentoRuralNão se aplicaNão se aplicaNão se aplicaNão se aplica",Mercado_Receita!$L$2:$L$1039)</f>
        <v>0</v>
      </c>
      <c r="Q55" s="13">
        <f>SUMIF(Mercado_Receita!$S$2:$S$1039,"44774B2Convencional pré-pagamentoRuralNão se aplicaNão se aplicaNão se aplicaPonta",Mercado_Receita!$L$2:$L$1039)+SUMIF(Mercado_Receita!$S$2:$S$1039,"44774B2Convencional pré-pagamentoRuralNão se aplicaNão se aplicaNão se aplicaFora ponta",Mercado_Receita!$L$2:$L$1039)+SUMIF(Mercado_Receita!$S$2:$S$1039,"44774B2Convencional pré-pagamentoRuralNão se aplicaNão se aplicaNão se aplicaIntermediário",Mercado_Receita!$L$2:$L$1039)+SUMIF(Mercado_Receita!$S$2:$S$1039,"44774B2Convencional pré-pagamentoRuralNão se aplicaNão se aplicaNão se aplicaNão se aplica",Mercado_Receita!$L$2:$L$1039)</f>
        <v>0</v>
      </c>
      <c r="R55" s="13">
        <f>SUMIF(Mercado_Receita!$S$2:$S$1039,"44805B2Convencional pré-pagamentoRuralNão se aplicaNão se aplicaNão se aplicaPonta",Mercado_Receita!$L$2:$L$1039)+SUMIF(Mercado_Receita!$S$2:$S$1039,"44805B2Convencional pré-pagamentoRuralNão se aplicaNão se aplicaNão se aplicaFora ponta",Mercado_Receita!$L$2:$L$1039)+SUMIF(Mercado_Receita!$S$2:$S$1039,"44805B2Convencional pré-pagamentoRuralNão se aplicaNão se aplicaNão se aplicaIntermediário",Mercado_Receita!$L$2:$L$1039)+SUMIF(Mercado_Receita!$S$2:$S$1039,"44805B2Convencional pré-pagamentoRuralNão se aplicaNão se aplicaNão se aplicaNão se aplica",Mercado_Receita!$L$2:$L$1039)</f>
        <v>0</v>
      </c>
      <c r="S55" s="13">
        <f>SUMIF(Mercado_Receita!$S$2:$S$1039,"44835B2Convencional pré-pagamentoRuralNão se aplicaNão se aplicaNão se aplicaPonta",Mercado_Receita!$L$2:$L$1039)+SUMIF(Mercado_Receita!$S$2:$S$1039,"44835B2Convencional pré-pagamentoRuralNão se aplicaNão se aplicaNão se aplicaFora ponta",Mercado_Receita!$L$2:$L$1039)+SUMIF(Mercado_Receita!$S$2:$S$1039,"44835B2Convencional pré-pagamentoRuralNão se aplicaNão se aplicaNão se aplicaIntermediário",Mercado_Receita!$L$2:$L$1039)+SUMIF(Mercado_Receita!$S$2:$S$1039,"44835B2Convencional pré-pagamentoRuralNão se aplicaNão se aplicaNão se aplicaNão se aplica",Mercado_Receita!$L$2:$L$1039)</f>
        <v>0</v>
      </c>
      <c r="T55" s="13">
        <f>SUMIF(Mercado_Receita!$S$2:$S$1039,"44866B2Convencional pré-pagamentoRuralNão se aplicaNão se aplicaNão se aplicaPonta",Mercado_Receita!$L$2:$L$1039)+SUMIF(Mercado_Receita!$S$2:$S$1039,"44866B2Convencional pré-pagamentoRuralNão se aplicaNão se aplicaNão se aplicaFora ponta",Mercado_Receita!$L$2:$L$1039)+SUMIF(Mercado_Receita!$S$2:$S$1039,"44866B2Convencional pré-pagamentoRuralNão se aplicaNão se aplicaNão se aplicaIntermediário",Mercado_Receita!$L$2:$L$1039)+SUMIF(Mercado_Receita!$S$2:$S$1039,"44866B2Convencional pré-pagamentoRuralNão se aplicaNão se aplicaNão se aplicaNão se aplica",Mercado_Receita!$L$2:$L$1039)</f>
        <v>0</v>
      </c>
      <c r="U55" s="13">
        <f t="shared" si="1"/>
        <v>0</v>
      </c>
      <c r="V55" s="13"/>
      <c r="W55" s="13"/>
    </row>
    <row r="56" spans="1:23" ht="11.25" customHeight="1" x14ac:dyDescent="0.25">
      <c r="A56" s="104"/>
      <c r="B56" s="104"/>
      <c r="C56" s="104"/>
      <c r="D56" s="12" t="s">
        <v>93</v>
      </c>
      <c r="E56" s="12" t="s">
        <v>25</v>
      </c>
      <c r="F56" s="12" t="s">
        <v>25</v>
      </c>
      <c r="G56" s="13" t="s">
        <v>84</v>
      </c>
      <c r="H56" s="13" t="s">
        <v>79</v>
      </c>
      <c r="I56" s="13">
        <f>SUMIF(Mercado_Receita!$S$2:$S$1039,"44531B2Convencional pré-pagamentoRuralCooperativa de eletrificação ruralNão se aplicaNão se aplicaPonta",Mercado_Receita!$L$2:$L$1039)+SUMIF(Mercado_Receita!$S$2:$S$1039,"44531B2Convencional pré-pagamentoRuralCooperativa de eletrificação ruralNão se aplicaNão se aplicaFora ponta",Mercado_Receita!$L$2:$L$1039)+SUMIF(Mercado_Receita!$S$2:$S$1039,"44531B2Convencional pré-pagamentoRuralCooperativa de eletrificação ruralNão se aplicaNão se aplicaIntermediário",Mercado_Receita!$L$2:$L$1039)+SUMIF(Mercado_Receita!$S$2:$S$1039,"44531B2Convencional pré-pagamentoRuralCooperativa de eletrificação ruralNão se aplicaNão se aplicaNão se aplica",Mercado_Receita!$L$2:$L$1039)</f>
        <v>0</v>
      </c>
      <c r="J56" s="13">
        <f>SUMIF(Mercado_Receita!$S$2:$S$1039,"44562B2Convencional pré-pagamentoRuralCooperativa de eletrificação ruralNão se aplicaNão se aplicaPonta",Mercado_Receita!$L$2:$L$1039)+SUMIF(Mercado_Receita!$S$2:$S$1039,"44562B2Convencional pré-pagamentoRuralCooperativa de eletrificação ruralNão se aplicaNão se aplicaFora ponta",Mercado_Receita!$L$2:$L$1039)+SUMIF(Mercado_Receita!$S$2:$S$1039,"44562B2Convencional pré-pagamentoRuralCooperativa de eletrificação ruralNão se aplicaNão se aplicaIntermediário",Mercado_Receita!$L$2:$L$1039)+SUMIF(Mercado_Receita!$S$2:$S$1039,"44562B2Convencional pré-pagamentoRuralCooperativa de eletrificação ruralNão se aplicaNão se aplicaNão se aplica",Mercado_Receita!$L$2:$L$1039)</f>
        <v>0</v>
      </c>
      <c r="K56" s="13">
        <f>SUMIF(Mercado_Receita!$S$2:$S$1039,"44593B2Convencional pré-pagamentoRuralCooperativa de eletrificação ruralNão se aplicaNão se aplicaPonta",Mercado_Receita!$L$2:$L$1039)+SUMIF(Mercado_Receita!$S$2:$S$1039,"44593B2Convencional pré-pagamentoRuralCooperativa de eletrificação ruralNão se aplicaNão se aplicaFora ponta",Mercado_Receita!$L$2:$L$1039)+SUMIF(Mercado_Receita!$S$2:$S$1039,"44593B2Convencional pré-pagamentoRuralCooperativa de eletrificação ruralNão se aplicaNão se aplicaIntermediário",Mercado_Receita!$L$2:$L$1039)+SUMIF(Mercado_Receita!$S$2:$S$1039,"44593B2Convencional pré-pagamentoRuralCooperativa de eletrificação ruralNão se aplicaNão se aplicaNão se aplica",Mercado_Receita!$L$2:$L$1039)</f>
        <v>0</v>
      </c>
      <c r="L56" s="13">
        <f>SUMIF(Mercado_Receita!$S$2:$S$1039,"44621B2Convencional pré-pagamentoRuralCooperativa de eletrificação ruralNão se aplicaNão se aplicaPonta",Mercado_Receita!$L$2:$L$1039)+SUMIF(Mercado_Receita!$S$2:$S$1039,"44621B2Convencional pré-pagamentoRuralCooperativa de eletrificação ruralNão se aplicaNão se aplicaFora ponta",Mercado_Receita!$L$2:$L$1039)+SUMIF(Mercado_Receita!$S$2:$S$1039,"44621B2Convencional pré-pagamentoRuralCooperativa de eletrificação ruralNão se aplicaNão se aplicaIntermediário",Mercado_Receita!$L$2:$L$1039)+SUMIF(Mercado_Receita!$S$2:$S$1039,"44621B2Convencional pré-pagamentoRuralCooperativa de eletrificação ruralNão se aplicaNão se aplicaNão se aplica",Mercado_Receita!$L$2:$L$1039)</f>
        <v>0</v>
      </c>
      <c r="M56" s="13">
        <f>SUMIF(Mercado_Receita!$S$2:$S$1039,"44652B2Convencional pré-pagamentoRuralCooperativa de eletrificação ruralNão se aplicaNão se aplicaPonta",Mercado_Receita!$L$2:$L$1039)+SUMIF(Mercado_Receita!$S$2:$S$1039,"44652B2Convencional pré-pagamentoRuralCooperativa de eletrificação ruralNão se aplicaNão se aplicaFora ponta",Mercado_Receita!$L$2:$L$1039)+SUMIF(Mercado_Receita!$S$2:$S$1039,"44652B2Convencional pré-pagamentoRuralCooperativa de eletrificação ruralNão se aplicaNão se aplicaIntermediário",Mercado_Receita!$L$2:$L$1039)+SUMIF(Mercado_Receita!$S$2:$S$1039,"44652B2Convencional pré-pagamentoRuralCooperativa de eletrificação ruralNão se aplicaNão se aplicaNão se aplica",Mercado_Receita!$L$2:$L$1039)</f>
        <v>0</v>
      </c>
      <c r="N56" s="13">
        <f>SUMIF(Mercado_Receita!$S$2:$S$1039,"44682B2Convencional pré-pagamentoRuralCooperativa de eletrificação ruralNão se aplicaNão se aplicaPonta",Mercado_Receita!$L$2:$L$1039)+SUMIF(Mercado_Receita!$S$2:$S$1039,"44682B2Convencional pré-pagamentoRuralCooperativa de eletrificação ruralNão se aplicaNão se aplicaFora ponta",Mercado_Receita!$L$2:$L$1039)+SUMIF(Mercado_Receita!$S$2:$S$1039,"44682B2Convencional pré-pagamentoRuralCooperativa de eletrificação ruralNão se aplicaNão se aplicaIntermediário",Mercado_Receita!$L$2:$L$1039)+SUMIF(Mercado_Receita!$S$2:$S$1039,"44682B2Convencional pré-pagamentoRuralCooperativa de eletrificação ruralNão se aplicaNão se aplicaNão se aplica",Mercado_Receita!$L$2:$L$1039)</f>
        <v>0</v>
      </c>
      <c r="O56" s="13">
        <f>SUMIF(Mercado_Receita!$S$2:$S$1039,"44713B2Convencional pré-pagamentoRuralCooperativa de eletrificação ruralNão se aplicaNão se aplicaPonta",Mercado_Receita!$L$2:$L$1039)+SUMIF(Mercado_Receita!$S$2:$S$1039,"44713B2Convencional pré-pagamentoRuralCooperativa de eletrificação ruralNão se aplicaNão se aplicaFora ponta",Mercado_Receita!$L$2:$L$1039)+SUMIF(Mercado_Receita!$S$2:$S$1039,"44713B2Convencional pré-pagamentoRuralCooperativa de eletrificação ruralNão se aplicaNão se aplicaIntermediário",Mercado_Receita!$L$2:$L$1039)+SUMIF(Mercado_Receita!$S$2:$S$1039,"44713B2Convencional pré-pagamentoRuralCooperativa de eletrificação ruralNão se aplicaNão se aplicaNão se aplica",Mercado_Receita!$L$2:$L$1039)</f>
        <v>0</v>
      </c>
      <c r="P56" s="13">
        <f>SUMIF(Mercado_Receita!$S$2:$S$1039,"44743B2Convencional pré-pagamentoRuralCooperativa de eletrificação ruralNão se aplicaNão se aplicaPonta",Mercado_Receita!$L$2:$L$1039)+SUMIF(Mercado_Receita!$S$2:$S$1039,"44743B2Convencional pré-pagamentoRuralCooperativa de eletrificação ruralNão se aplicaNão se aplicaFora ponta",Mercado_Receita!$L$2:$L$1039)+SUMIF(Mercado_Receita!$S$2:$S$1039,"44743B2Convencional pré-pagamentoRuralCooperativa de eletrificação ruralNão se aplicaNão se aplicaIntermediário",Mercado_Receita!$L$2:$L$1039)+SUMIF(Mercado_Receita!$S$2:$S$1039,"44743B2Convencional pré-pagamentoRuralCooperativa de eletrificação ruralNão se aplicaNão se aplicaNão se aplica",Mercado_Receita!$L$2:$L$1039)</f>
        <v>0</v>
      </c>
      <c r="Q56" s="13">
        <f>SUMIF(Mercado_Receita!$S$2:$S$1039,"44774B2Convencional pré-pagamentoRuralCooperativa de eletrificação ruralNão se aplicaNão se aplicaPonta",Mercado_Receita!$L$2:$L$1039)+SUMIF(Mercado_Receita!$S$2:$S$1039,"44774B2Convencional pré-pagamentoRuralCooperativa de eletrificação ruralNão se aplicaNão se aplicaFora ponta",Mercado_Receita!$L$2:$L$1039)+SUMIF(Mercado_Receita!$S$2:$S$1039,"44774B2Convencional pré-pagamentoRuralCooperativa de eletrificação ruralNão se aplicaNão se aplicaIntermediário",Mercado_Receita!$L$2:$L$1039)+SUMIF(Mercado_Receita!$S$2:$S$1039,"44774B2Convencional pré-pagamentoRuralCooperativa de eletrificação ruralNão se aplicaNão se aplicaNão se aplica",Mercado_Receita!$L$2:$L$1039)</f>
        <v>0</v>
      </c>
      <c r="R56" s="13">
        <f>SUMIF(Mercado_Receita!$S$2:$S$1039,"44805B2Convencional pré-pagamentoRuralCooperativa de eletrificação ruralNão se aplicaNão se aplicaPonta",Mercado_Receita!$L$2:$L$1039)+SUMIF(Mercado_Receita!$S$2:$S$1039,"44805B2Convencional pré-pagamentoRuralCooperativa de eletrificação ruralNão se aplicaNão se aplicaFora ponta",Mercado_Receita!$L$2:$L$1039)+SUMIF(Mercado_Receita!$S$2:$S$1039,"44805B2Convencional pré-pagamentoRuralCooperativa de eletrificação ruralNão se aplicaNão se aplicaIntermediário",Mercado_Receita!$L$2:$L$1039)+SUMIF(Mercado_Receita!$S$2:$S$1039,"44805B2Convencional pré-pagamentoRuralCooperativa de eletrificação ruralNão se aplicaNão se aplicaNão se aplica",Mercado_Receita!$L$2:$L$1039)</f>
        <v>0</v>
      </c>
      <c r="S56" s="13">
        <f>SUMIF(Mercado_Receita!$S$2:$S$1039,"44835B2Convencional pré-pagamentoRuralCooperativa de eletrificação ruralNão se aplicaNão se aplicaPonta",Mercado_Receita!$L$2:$L$1039)+SUMIF(Mercado_Receita!$S$2:$S$1039,"44835B2Convencional pré-pagamentoRuralCooperativa de eletrificação ruralNão se aplicaNão se aplicaFora ponta",Mercado_Receita!$L$2:$L$1039)+SUMIF(Mercado_Receita!$S$2:$S$1039,"44835B2Convencional pré-pagamentoRuralCooperativa de eletrificação ruralNão se aplicaNão se aplicaIntermediário",Mercado_Receita!$L$2:$L$1039)+SUMIF(Mercado_Receita!$S$2:$S$1039,"44835B2Convencional pré-pagamentoRuralCooperativa de eletrificação ruralNão se aplicaNão se aplicaNão se aplica",Mercado_Receita!$L$2:$L$1039)</f>
        <v>0</v>
      </c>
      <c r="T56" s="13">
        <f>SUMIF(Mercado_Receita!$S$2:$S$1039,"44866B2Convencional pré-pagamentoRuralCooperativa de eletrificação ruralNão se aplicaNão se aplicaPonta",Mercado_Receita!$L$2:$L$1039)+SUMIF(Mercado_Receita!$S$2:$S$1039,"44866B2Convencional pré-pagamentoRuralCooperativa de eletrificação ruralNão se aplicaNão se aplicaFora ponta",Mercado_Receita!$L$2:$L$1039)+SUMIF(Mercado_Receita!$S$2:$S$1039,"44866B2Convencional pré-pagamentoRuralCooperativa de eletrificação ruralNão se aplicaNão se aplicaIntermediário",Mercado_Receita!$L$2:$L$1039)+SUMIF(Mercado_Receita!$S$2:$S$1039,"44866B2Convencional pré-pagamentoRuralCooperativa de eletrificação ruralNão se aplicaNão se aplicaNão se aplica",Mercado_Receita!$L$2:$L$1039)</f>
        <v>0</v>
      </c>
      <c r="U56" s="13">
        <f t="shared" si="1"/>
        <v>0</v>
      </c>
      <c r="V56" s="13"/>
      <c r="W56" s="13"/>
    </row>
    <row r="57" spans="1:23" ht="11.25" customHeight="1" x14ac:dyDescent="0.25">
      <c r="A57" s="104"/>
      <c r="B57" s="104"/>
      <c r="C57" s="104"/>
      <c r="D57" s="12" t="s">
        <v>94</v>
      </c>
      <c r="E57" s="12" t="s">
        <v>25</v>
      </c>
      <c r="F57" s="12" t="s">
        <v>25</v>
      </c>
      <c r="G57" s="13" t="s">
        <v>84</v>
      </c>
      <c r="H57" s="13" t="s">
        <v>79</v>
      </c>
      <c r="I57" s="13">
        <f>SUMIF(Mercado_Receita!$S$2:$S$1039,"44531B2Convencional pré-pagamentoRuralServiço público de irrigação ruralNão se aplicaNão se aplicaPonta",Mercado_Receita!$L$2:$L$1039)+SUMIF(Mercado_Receita!$S$2:$S$1039,"44531B2Convencional pré-pagamentoRuralServiço público de irrigação ruralNão se aplicaNão se aplicaFora ponta",Mercado_Receita!$L$2:$L$1039)+SUMIF(Mercado_Receita!$S$2:$S$1039,"44531B2Convencional pré-pagamentoRuralServiço público de irrigação ruralNão se aplicaNão se aplicaIntermediário",Mercado_Receita!$L$2:$L$1039)+SUMIF(Mercado_Receita!$S$2:$S$1039,"44531B2Convencional pré-pagamentoRuralServiço público de irrigação ruralNão se aplicaNão se aplicaNão se aplica",Mercado_Receita!$L$2:$L$1039)</f>
        <v>0</v>
      </c>
      <c r="J57" s="13">
        <f>SUMIF(Mercado_Receita!$S$2:$S$1039,"44562B2Convencional pré-pagamentoRuralServiço público de irrigação ruralNão se aplicaNão se aplicaPonta",Mercado_Receita!$L$2:$L$1039)+SUMIF(Mercado_Receita!$S$2:$S$1039,"44562B2Convencional pré-pagamentoRuralServiço público de irrigação ruralNão se aplicaNão se aplicaFora ponta",Mercado_Receita!$L$2:$L$1039)+SUMIF(Mercado_Receita!$S$2:$S$1039,"44562B2Convencional pré-pagamentoRuralServiço público de irrigação ruralNão se aplicaNão se aplicaIntermediário",Mercado_Receita!$L$2:$L$1039)+SUMIF(Mercado_Receita!$S$2:$S$1039,"44562B2Convencional pré-pagamentoRuralServiço público de irrigação ruralNão se aplicaNão se aplicaNão se aplica",Mercado_Receita!$L$2:$L$1039)</f>
        <v>0</v>
      </c>
      <c r="K57" s="13">
        <f>SUMIF(Mercado_Receita!$S$2:$S$1039,"44593B2Convencional pré-pagamentoRuralServiço público de irrigação ruralNão se aplicaNão se aplicaPonta",Mercado_Receita!$L$2:$L$1039)+SUMIF(Mercado_Receita!$S$2:$S$1039,"44593B2Convencional pré-pagamentoRuralServiço público de irrigação ruralNão se aplicaNão se aplicaFora ponta",Mercado_Receita!$L$2:$L$1039)+SUMIF(Mercado_Receita!$S$2:$S$1039,"44593B2Convencional pré-pagamentoRuralServiço público de irrigação ruralNão se aplicaNão se aplicaIntermediário",Mercado_Receita!$L$2:$L$1039)+SUMIF(Mercado_Receita!$S$2:$S$1039,"44593B2Convencional pré-pagamentoRuralServiço público de irrigação ruralNão se aplicaNão se aplicaNão se aplica",Mercado_Receita!$L$2:$L$1039)</f>
        <v>0</v>
      </c>
      <c r="L57" s="13">
        <f>SUMIF(Mercado_Receita!$S$2:$S$1039,"44621B2Convencional pré-pagamentoRuralServiço público de irrigação ruralNão se aplicaNão se aplicaPonta",Mercado_Receita!$L$2:$L$1039)+SUMIF(Mercado_Receita!$S$2:$S$1039,"44621B2Convencional pré-pagamentoRuralServiço público de irrigação ruralNão se aplicaNão se aplicaFora ponta",Mercado_Receita!$L$2:$L$1039)+SUMIF(Mercado_Receita!$S$2:$S$1039,"44621B2Convencional pré-pagamentoRuralServiço público de irrigação ruralNão se aplicaNão se aplicaIntermediário",Mercado_Receita!$L$2:$L$1039)+SUMIF(Mercado_Receita!$S$2:$S$1039,"44621B2Convencional pré-pagamentoRuralServiço público de irrigação ruralNão se aplicaNão se aplicaNão se aplica",Mercado_Receita!$L$2:$L$1039)</f>
        <v>0</v>
      </c>
      <c r="M57" s="13">
        <f>SUMIF(Mercado_Receita!$S$2:$S$1039,"44652B2Convencional pré-pagamentoRuralServiço público de irrigação ruralNão se aplicaNão se aplicaPonta",Mercado_Receita!$L$2:$L$1039)+SUMIF(Mercado_Receita!$S$2:$S$1039,"44652B2Convencional pré-pagamentoRuralServiço público de irrigação ruralNão se aplicaNão se aplicaFora ponta",Mercado_Receita!$L$2:$L$1039)+SUMIF(Mercado_Receita!$S$2:$S$1039,"44652B2Convencional pré-pagamentoRuralServiço público de irrigação ruralNão se aplicaNão se aplicaIntermediário",Mercado_Receita!$L$2:$L$1039)+SUMIF(Mercado_Receita!$S$2:$S$1039,"44652B2Convencional pré-pagamentoRuralServiço público de irrigação ruralNão se aplicaNão se aplicaNão se aplica",Mercado_Receita!$L$2:$L$1039)</f>
        <v>0</v>
      </c>
      <c r="N57" s="13">
        <f>SUMIF(Mercado_Receita!$S$2:$S$1039,"44682B2Convencional pré-pagamentoRuralServiço público de irrigação ruralNão se aplicaNão se aplicaPonta",Mercado_Receita!$L$2:$L$1039)+SUMIF(Mercado_Receita!$S$2:$S$1039,"44682B2Convencional pré-pagamentoRuralServiço público de irrigação ruralNão se aplicaNão se aplicaFora ponta",Mercado_Receita!$L$2:$L$1039)+SUMIF(Mercado_Receita!$S$2:$S$1039,"44682B2Convencional pré-pagamentoRuralServiço público de irrigação ruralNão se aplicaNão se aplicaIntermediário",Mercado_Receita!$L$2:$L$1039)+SUMIF(Mercado_Receita!$S$2:$S$1039,"44682B2Convencional pré-pagamentoRuralServiço público de irrigação ruralNão se aplicaNão se aplicaNão se aplica",Mercado_Receita!$L$2:$L$1039)</f>
        <v>0</v>
      </c>
      <c r="O57" s="13">
        <f>SUMIF(Mercado_Receita!$S$2:$S$1039,"44713B2Convencional pré-pagamentoRuralServiço público de irrigação ruralNão se aplicaNão se aplicaPonta",Mercado_Receita!$L$2:$L$1039)+SUMIF(Mercado_Receita!$S$2:$S$1039,"44713B2Convencional pré-pagamentoRuralServiço público de irrigação ruralNão se aplicaNão se aplicaFora ponta",Mercado_Receita!$L$2:$L$1039)+SUMIF(Mercado_Receita!$S$2:$S$1039,"44713B2Convencional pré-pagamentoRuralServiço público de irrigação ruralNão se aplicaNão se aplicaIntermediário",Mercado_Receita!$L$2:$L$1039)+SUMIF(Mercado_Receita!$S$2:$S$1039,"44713B2Convencional pré-pagamentoRuralServiço público de irrigação ruralNão se aplicaNão se aplicaNão se aplica",Mercado_Receita!$L$2:$L$1039)</f>
        <v>0</v>
      </c>
      <c r="P57" s="13">
        <f>SUMIF(Mercado_Receita!$S$2:$S$1039,"44743B2Convencional pré-pagamentoRuralServiço público de irrigação ruralNão se aplicaNão se aplicaPonta",Mercado_Receita!$L$2:$L$1039)+SUMIF(Mercado_Receita!$S$2:$S$1039,"44743B2Convencional pré-pagamentoRuralServiço público de irrigação ruralNão se aplicaNão se aplicaFora ponta",Mercado_Receita!$L$2:$L$1039)+SUMIF(Mercado_Receita!$S$2:$S$1039,"44743B2Convencional pré-pagamentoRuralServiço público de irrigação ruralNão se aplicaNão se aplicaIntermediário",Mercado_Receita!$L$2:$L$1039)+SUMIF(Mercado_Receita!$S$2:$S$1039,"44743B2Convencional pré-pagamentoRuralServiço público de irrigação ruralNão se aplicaNão se aplicaNão se aplica",Mercado_Receita!$L$2:$L$1039)</f>
        <v>0</v>
      </c>
      <c r="Q57" s="13">
        <f>SUMIF(Mercado_Receita!$S$2:$S$1039,"44774B2Convencional pré-pagamentoRuralServiço público de irrigação ruralNão se aplicaNão se aplicaPonta",Mercado_Receita!$L$2:$L$1039)+SUMIF(Mercado_Receita!$S$2:$S$1039,"44774B2Convencional pré-pagamentoRuralServiço público de irrigação ruralNão se aplicaNão se aplicaFora ponta",Mercado_Receita!$L$2:$L$1039)+SUMIF(Mercado_Receita!$S$2:$S$1039,"44774B2Convencional pré-pagamentoRuralServiço público de irrigação ruralNão se aplicaNão se aplicaIntermediário",Mercado_Receita!$L$2:$L$1039)+SUMIF(Mercado_Receita!$S$2:$S$1039,"44774B2Convencional pré-pagamentoRuralServiço público de irrigação ruralNão se aplicaNão se aplicaNão se aplica",Mercado_Receita!$L$2:$L$1039)</f>
        <v>0</v>
      </c>
      <c r="R57" s="13">
        <f>SUMIF(Mercado_Receita!$S$2:$S$1039,"44805B2Convencional pré-pagamentoRuralServiço público de irrigação ruralNão se aplicaNão se aplicaPonta",Mercado_Receita!$L$2:$L$1039)+SUMIF(Mercado_Receita!$S$2:$S$1039,"44805B2Convencional pré-pagamentoRuralServiço público de irrigação ruralNão se aplicaNão se aplicaFora ponta",Mercado_Receita!$L$2:$L$1039)+SUMIF(Mercado_Receita!$S$2:$S$1039,"44805B2Convencional pré-pagamentoRuralServiço público de irrigação ruralNão se aplicaNão se aplicaIntermediário",Mercado_Receita!$L$2:$L$1039)+SUMIF(Mercado_Receita!$S$2:$S$1039,"44805B2Convencional pré-pagamentoRuralServiço público de irrigação ruralNão se aplicaNão se aplicaNão se aplica",Mercado_Receita!$L$2:$L$1039)</f>
        <v>0</v>
      </c>
      <c r="S57" s="13">
        <f>SUMIF(Mercado_Receita!$S$2:$S$1039,"44835B2Convencional pré-pagamentoRuralServiço público de irrigação ruralNão se aplicaNão se aplicaPonta",Mercado_Receita!$L$2:$L$1039)+SUMIF(Mercado_Receita!$S$2:$S$1039,"44835B2Convencional pré-pagamentoRuralServiço público de irrigação ruralNão se aplicaNão se aplicaFora ponta",Mercado_Receita!$L$2:$L$1039)+SUMIF(Mercado_Receita!$S$2:$S$1039,"44835B2Convencional pré-pagamentoRuralServiço público de irrigação ruralNão se aplicaNão se aplicaIntermediário",Mercado_Receita!$L$2:$L$1039)+SUMIF(Mercado_Receita!$S$2:$S$1039,"44835B2Convencional pré-pagamentoRuralServiço público de irrigação ruralNão se aplicaNão se aplicaNão se aplica",Mercado_Receita!$L$2:$L$1039)</f>
        <v>0</v>
      </c>
      <c r="T57" s="13">
        <f>SUMIF(Mercado_Receita!$S$2:$S$1039,"44866B2Convencional pré-pagamentoRuralServiço público de irrigação ruralNão se aplicaNão se aplicaPonta",Mercado_Receita!$L$2:$L$1039)+SUMIF(Mercado_Receita!$S$2:$S$1039,"44866B2Convencional pré-pagamentoRuralServiço público de irrigação ruralNão se aplicaNão se aplicaFora ponta",Mercado_Receita!$L$2:$L$1039)+SUMIF(Mercado_Receita!$S$2:$S$1039,"44866B2Convencional pré-pagamentoRuralServiço público de irrigação ruralNão se aplicaNão se aplicaIntermediário",Mercado_Receita!$L$2:$L$1039)+SUMIF(Mercado_Receita!$S$2:$S$1039,"44866B2Convencional pré-pagamentoRuralServiço público de irrigação ruralNão se aplicaNão se aplicaNão se aplica",Mercado_Receita!$L$2:$L$1039)</f>
        <v>0</v>
      </c>
      <c r="U57" s="13">
        <f t="shared" si="1"/>
        <v>0</v>
      </c>
      <c r="V57" s="13"/>
      <c r="W57" s="13"/>
    </row>
    <row r="58" spans="1:23" ht="11.25" customHeight="1" x14ac:dyDescent="0.25">
      <c r="A58" s="103" t="s">
        <v>37</v>
      </c>
      <c r="B58" s="103" t="s">
        <v>33</v>
      </c>
      <c r="C58" s="103" t="s">
        <v>25</v>
      </c>
      <c r="D58" s="103" t="s">
        <v>25</v>
      </c>
      <c r="E58" s="103" t="s">
        <v>25</v>
      </c>
      <c r="F58" s="103" t="s">
        <v>25</v>
      </c>
      <c r="G58" s="13" t="s">
        <v>80</v>
      </c>
      <c r="H58" s="13" t="s">
        <v>79</v>
      </c>
      <c r="I58" s="13">
        <f>SUMIF(Mercado_Receita!$S$2:$S$1039,"44531B3BrancaNão se aplicaNão se aplicaNão se aplicaNão se aplicaPonta",Mercado_Receita!$L$2:$L$1039)</f>
        <v>2.137</v>
      </c>
      <c r="J58" s="13">
        <f>SUMIF(Mercado_Receita!$S$2:$S$1039,"44562B3BrancaNão se aplicaNão se aplicaNão se aplicaNão se aplicaPonta",Mercado_Receita!$L$2:$L$1039)</f>
        <v>1.9179999999999999</v>
      </c>
      <c r="K58" s="13">
        <f>SUMIF(Mercado_Receita!$S$2:$S$1039,"44593B3BrancaNão se aplicaNão se aplicaNão se aplicaNão se aplicaPonta",Mercado_Receita!$L$2:$L$1039)</f>
        <v>1.895</v>
      </c>
      <c r="L58" s="13">
        <f>SUMIF(Mercado_Receita!$S$2:$S$1039,"44621B3BrancaNão se aplicaNão se aplicaNão se aplicaNão se aplicaPonta",Mercado_Receita!$L$2:$L$1039)</f>
        <v>1.6059999999999999</v>
      </c>
      <c r="M58" s="13">
        <f>SUMIF(Mercado_Receita!$S$2:$S$1039,"44652B3BrancaNão se aplicaNão se aplicaNão se aplicaNão se aplicaPonta",Mercado_Receita!$L$2:$L$1039)</f>
        <v>1.7289999999999999</v>
      </c>
      <c r="N58" s="13">
        <f>SUMIF(Mercado_Receita!$S$2:$S$1039,"44682B3BrancaNão se aplicaNão se aplicaNão se aplicaNão se aplicaPonta",Mercado_Receita!$L$2:$L$1039)</f>
        <v>2.3010000000000002</v>
      </c>
      <c r="O58" s="13">
        <f>SUMIF(Mercado_Receita!$S$2:$S$1039,"44713B3BrancaNão se aplicaNão se aplicaNão se aplicaNão se aplicaPonta",Mercado_Receita!$L$2:$L$1039)</f>
        <v>2.5070000000000001</v>
      </c>
      <c r="P58" s="13">
        <f>SUMIF(Mercado_Receita!$S$2:$S$1039,"44743B3BrancaNão se aplicaNão se aplicaNão se aplicaNão se aplicaPonta",Mercado_Receita!$L$2:$L$1039)</f>
        <v>1.831</v>
      </c>
      <c r="Q58" s="13">
        <f>SUMIF(Mercado_Receita!$S$2:$S$1039,"44774B3BrancaNão se aplicaNão se aplicaNão se aplicaNão se aplicaPonta",Mercado_Receita!$L$2:$L$1039)</f>
        <v>1.7950000000000002</v>
      </c>
      <c r="R58" s="13">
        <f>SUMIF(Mercado_Receita!$S$2:$S$1039,"44805B3BrancaNão se aplicaNão se aplicaNão se aplicaNão se aplicaPonta",Mercado_Receita!$L$2:$L$1039)</f>
        <v>2.4529999999999998</v>
      </c>
      <c r="S58" s="13">
        <f>SUMIF(Mercado_Receita!$S$2:$S$1039,"44835B3BrancaNão se aplicaNão se aplicaNão se aplicaNão se aplicaPonta",Mercado_Receita!$L$2:$L$1039)</f>
        <v>2.4769999999999999</v>
      </c>
      <c r="T58" s="13">
        <f>SUMIF(Mercado_Receita!$S$2:$S$1039,"44866B3BrancaNão se aplicaNão se aplicaNão se aplicaNão se aplicaPonta",Mercado_Receita!$L$2:$L$1039)</f>
        <v>2.4769999999999999</v>
      </c>
      <c r="U58" s="13">
        <f t="shared" si="1"/>
        <v>25.125999999999998</v>
      </c>
      <c r="V58" s="13"/>
      <c r="W58" s="13"/>
    </row>
    <row r="59" spans="1:23" ht="11.25" customHeight="1" x14ac:dyDescent="0.25">
      <c r="A59" s="104"/>
      <c r="B59" s="104"/>
      <c r="C59" s="104"/>
      <c r="D59" s="104"/>
      <c r="E59" s="104"/>
      <c r="F59" s="104"/>
      <c r="G59" s="13" t="s">
        <v>90</v>
      </c>
      <c r="H59" s="13" t="s">
        <v>79</v>
      </c>
      <c r="I59" s="13">
        <f>SUMIF(Mercado_Receita!$S$2:$S$1039,"44531B3BrancaNão se aplicaNão se aplicaNão se aplicaNão se aplicaIntermediário",Mercado_Receita!$L$2:$L$1039)</f>
        <v>2.21</v>
      </c>
      <c r="J59" s="13">
        <f>SUMIF(Mercado_Receita!$S$2:$S$1039,"44562B3BrancaNão se aplicaNão se aplicaNão se aplicaNão se aplicaIntermediário",Mercado_Receita!$L$2:$L$1039)</f>
        <v>2.032</v>
      </c>
      <c r="K59" s="13">
        <f>SUMIF(Mercado_Receita!$S$2:$S$1039,"44593B3BrancaNão se aplicaNão se aplicaNão se aplicaNão se aplicaIntermediário",Mercado_Receita!$L$2:$L$1039)</f>
        <v>1.68</v>
      </c>
      <c r="L59" s="13">
        <f>SUMIF(Mercado_Receita!$S$2:$S$1039,"44621B3BrancaNão se aplicaNão se aplicaNão se aplicaNão se aplicaIntermediário",Mercado_Receita!$L$2:$L$1039)</f>
        <v>1.607</v>
      </c>
      <c r="M59" s="13">
        <f>SUMIF(Mercado_Receita!$S$2:$S$1039,"44652B3BrancaNão se aplicaNão se aplicaNão se aplicaNão se aplicaIntermediário",Mercado_Receita!$L$2:$L$1039)</f>
        <v>3.16</v>
      </c>
      <c r="N59" s="13">
        <f>SUMIF(Mercado_Receita!$S$2:$S$1039,"44682B3BrancaNão se aplicaNão se aplicaNão se aplicaNão se aplicaIntermediário",Mercado_Receita!$L$2:$L$1039)</f>
        <v>1.8290000000000002</v>
      </c>
      <c r="O59" s="13">
        <f>SUMIF(Mercado_Receita!$S$2:$S$1039,"44713B3BrancaNão se aplicaNão se aplicaNão se aplicaNão se aplicaIntermediário",Mercado_Receita!$L$2:$L$1039)</f>
        <v>2.399</v>
      </c>
      <c r="P59" s="13">
        <f>SUMIF(Mercado_Receita!$S$2:$S$1039,"44743B3BrancaNão se aplicaNão se aplicaNão se aplicaNão se aplicaIntermediário",Mercado_Receita!$L$2:$L$1039)</f>
        <v>1.643</v>
      </c>
      <c r="Q59" s="13">
        <f>SUMIF(Mercado_Receita!$S$2:$S$1039,"44774B3BrancaNão se aplicaNão se aplicaNão se aplicaNão se aplicaIntermediário",Mercado_Receita!$L$2:$L$1039)</f>
        <v>2.0630000000000002</v>
      </c>
      <c r="R59" s="13">
        <f>SUMIF(Mercado_Receita!$S$2:$S$1039,"44805B3BrancaNão se aplicaNão se aplicaNão se aplicaNão se aplicaIntermediário",Mercado_Receita!$L$2:$L$1039)</f>
        <v>2.5100000000000002</v>
      </c>
      <c r="S59" s="13">
        <f>SUMIF(Mercado_Receita!$S$2:$S$1039,"44835B3BrancaNão se aplicaNão se aplicaNão se aplicaNão se aplicaIntermediário",Mercado_Receita!$L$2:$L$1039)</f>
        <v>3.1360000000000001</v>
      </c>
      <c r="T59" s="13">
        <f>SUMIF(Mercado_Receita!$S$2:$S$1039,"44866B3BrancaNão se aplicaNão se aplicaNão se aplicaNão se aplicaIntermediário",Mercado_Receita!$L$2:$L$1039)</f>
        <v>3.1360000000000001</v>
      </c>
      <c r="U59" s="13">
        <f t="shared" si="1"/>
        <v>27.405000000000001</v>
      </c>
      <c r="V59" s="13"/>
      <c r="W59" s="13"/>
    </row>
    <row r="60" spans="1:23" ht="11.25" customHeight="1" x14ac:dyDescent="0.25">
      <c r="A60" s="104"/>
      <c r="B60" s="104"/>
      <c r="C60" s="104"/>
      <c r="D60" s="104"/>
      <c r="E60" s="104"/>
      <c r="F60" s="104"/>
      <c r="G60" s="13" t="s">
        <v>81</v>
      </c>
      <c r="H60" s="13" t="s">
        <v>79</v>
      </c>
      <c r="I60" s="13">
        <f>SUMIF(Mercado_Receita!$S$2:$S$1039,"44531B3BrancaNão se aplicaNão se aplicaNão se aplicaNão se aplicaFora ponta",Mercado_Receita!$L$2:$L$1039)</f>
        <v>44.750999999999998</v>
      </c>
      <c r="J60" s="13">
        <f>SUMIF(Mercado_Receita!$S$2:$S$1039,"44562B3BrancaNão se aplicaNão se aplicaNão se aplicaNão se aplicaFora ponta",Mercado_Receita!$L$2:$L$1039)</f>
        <v>41.4</v>
      </c>
      <c r="K60" s="13">
        <f>SUMIF(Mercado_Receita!$S$2:$S$1039,"44593B3BrancaNão se aplicaNão se aplicaNão se aplicaNão se aplicaFora ponta",Mercado_Receita!$L$2:$L$1039)</f>
        <v>31.459</v>
      </c>
      <c r="L60" s="13">
        <f>SUMIF(Mercado_Receita!$S$2:$S$1039,"44621B3BrancaNão se aplicaNão se aplicaNão se aplicaNão se aplicaFora ponta",Mercado_Receita!$L$2:$L$1039)</f>
        <v>32.954000000000001</v>
      </c>
      <c r="M60" s="13">
        <f>SUMIF(Mercado_Receita!$S$2:$S$1039,"44652B3BrancaNão se aplicaNão se aplicaNão se aplicaNão se aplicaFora ponta",Mercado_Receita!$L$2:$L$1039)</f>
        <v>40.923000000000002</v>
      </c>
      <c r="N60" s="13">
        <f>SUMIF(Mercado_Receita!$S$2:$S$1039,"44682B3BrancaNão se aplicaNão se aplicaNão se aplicaNão se aplicaFora ponta",Mercado_Receita!$L$2:$L$1039)</f>
        <v>52.167999999999999</v>
      </c>
      <c r="O60" s="13">
        <f>SUMIF(Mercado_Receita!$S$2:$S$1039,"44713B3BrancaNão se aplicaNão se aplicaNão se aplicaNão se aplicaFora ponta",Mercado_Receita!$L$2:$L$1039)</f>
        <v>49.518999999999998</v>
      </c>
      <c r="P60" s="13">
        <f>SUMIF(Mercado_Receita!$S$2:$S$1039,"44743B3BrancaNão se aplicaNão se aplicaNão se aplicaNão se aplicaFora ponta",Mercado_Receita!$L$2:$L$1039)</f>
        <v>41.451999999999998</v>
      </c>
      <c r="Q60" s="13">
        <f>SUMIF(Mercado_Receita!$S$2:$S$1039,"44774B3BrancaNão se aplicaNão se aplicaNão se aplicaNão se aplicaFora ponta",Mercado_Receita!$L$2:$L$1039)</f>
        <v>46.8</v>
      </c>
      <c r="R60" s="13">
        <f>SUMIF(Mercado_Receita!$S$2:$S$1039,"44805B3BrancaNão se aplicaNão se aplicaNão se aplicaNão se aplicaFora ponta",Mercado_Receita!$L$2:$L$1039)</f>
        <v>55.094000000000001</v>
      </c>
      <c r="S60" s="13">
        <f>SUMIF(Mercado_Receita!$S$2:$S$1039,"44835B3BrancaNão se aplicaNão se aplicaNão se aplicaNão se aplicaFora ponta",Mercado_Receita!$L$2:$L$1039)</f>
        <v>76.827000000000012</v>
      </c>
      <c r="T60" s="13">
        <f>SUMIF(Mercado_Receita!$S$2:$S$1039,"44866B3BrancaNão se aplicaNão se aplicaNão se aplicaNão se aplicaFora ponta",Mercado_Receita!$L$2:$L$1039)</f>
        <v>76.827000000000012</v>
      </c>
      <c r="U60" s="13">
        <f t="shared" si="1"/>
        <v>590.17399999999998</v>
      </c>
      <c r="V60" s="13"/>
      <c r="W60" s="13"/>
    </row>
    <row r="61" spans="1:23" ht="11.25" customHeight="1" x14ac:dyDescent="0.25">
      <c r="A61" s="104"/>
      <c r="B61" s="12" t="s">
        <v>23</v>
      </c>
      <c r="C61" s="12" t="s">
        <v>25</v>
      </c>
      <c r="D61" s="12" t="s">
        <v>25</v>
      </c>
      <c r="E61" s="12" t="s">
        <v>25</v>
      </c>
      <c r="F61" s="12" t="s">
        <v>25</v>
      </c>
      <c r="G61" s="13" t="s">
        <v>84</v>
      </c>
      <c r="H61" s="13" t="s">
        <v>79</v>
      </c>
      <c r="I61" s="13">
        <f>SUMIF(Mercado_Receita!$S$2:$S$1039,"44531B3ConvencionalNão se aplicaNão se aplicaNão se aplicaNão se aplicaPonta",Mercado_Receita!$L$2:$L$1039)+SUMIF(Mercado_Receita!$S$2:$S$1039,"44531B3ConvencionalNão se aplicaNão se aplicaNão se aplicaNão se aplicaFora ponta",Mercado_Receita!$L$2:$L$1039)+SUMIF(Mercado_Receita!$S$2:$S$1039,"44531B3ConvencionalNão se aplicaNão se aplicaNão se aplicaNão se aplicaIntermediário",Mercado_Receita!$L$2:$L$1039)+SUMIF(Mercado_Receita!$S$2:$S$1039,"44531B3ConvencionalNão se aplicaNão se aplicaNão se aplicaNão se aplicaNão se aplica",Mercado_Receita!$L$2:$L$1039)</f>
        <v>15109.663</v>
      </c>
      <c r="J61" s="13">
        <f>SUMIF(Mercado_Receita!$S$2:$S$1039,"44562B3ConvencionalNão se aplicaNão se aplicaNão se aplicaNão se aplicaPonta",Mercado_Receita!$L$2:$L$1039)+SUMIF(Mercado_Receita!$S$2:$S$1039,"44562B3ConvencionalNão se aplicaNão se aplicaNão se aplicaNão se aplicaFora ponta",Mercado_Receita!$L$2:$L$1039)+SUMIF(Mercado_Receita!$S$2:$S$1039,"44562B3ConvencionalNão se aplicaNão se aplicaNão se aplicaNão se aplicaIntermediário",Mercado_Receita!$L$2:$L$1039)+SUMIF(Mercado_Receita!$S$2:$S$1039,"44562B3ConvencionalNão se aplicaNão se aplicaNão se aplicaNão se aplicaNão se aplica",Mercado_Receita!$L$2:$L$1039)</f>
        <v>13582.971</v>
      </c>
      <c r="K61" s="13">
        <f>SUMIF(Mercado_Receita!$S$2:$S$1039,"44593B3ConvencionalNão se aplicaNão se aplicaNão se aplicaNão se aplicaPonta",Mercado_Receita!$L$2:$L$1039)+SUMIF(Mercado_Receita!$S$2:$S$1039,"44593B3ConvencionalNão se aplicaNão se aplicaNão se aplicaNão se aplicaFora ponta",Mercado_Receita!$L$2:$L$1039)+SUMIF(Mercado_Receita!$S$2:$S$1039,"44593B3ConvencionalNão se aplicaNão se aplicaNão se aplicaNão se aplicaIntermediário",Mercado_Receita!$L$2:$L$1039)+SUMIF(Mercado_Receita!$S$2:$S$1039,"44593B3ConvencionalNão se aplicaNão se aplicaNão se aplicaNão se aplicaNão se aplica",Mercado_Receita!$L$2:$L$1039)</f>
        <v>11830.082</v>
      </c>
      <c r="L61" s="13">
        <f>SUMIF(Mercado_Receita!$S$2:$S$1039,"44621B3ConvencionalNão se aplicaNão se aplicaNão se aplicaNão se aplicaPonta",Mercado_Receita!$L$2:$L$1039)+SUMIF(Mercado_Receita!$S$2:$S$1039,"44621B3ConvencionalNão se aplicaNão se aplicaNão se aplicaNão se aplicaFora ponta",Mercado_Receita!$L$2:$L$1039)+SUMIF(Mercado_Receita!$S$2:$S$1039,"44621B3ConvencionalNão se aplicaNão se aplicaNão se aplicaNão se aplicaIntermediário",Mercado_Receita!$L$2:$L$1039)+SUMIF(Mercado_Receita!$S$2:$S$1039,"44621B3ConvencionalNão se aplicaNão se aplicaNão se aplicaNão se aplicaNão se aplica",Mercado_Receita!$L$2:$L$1039)</f>
        <v>13467.876000000002</v>
      </c>
      <c r="M61" s="13">
        <f>SUMIF(Mercado_Receita!$S$2:$S$1039,"44652B3ConvencionalNão se aplicaNão se aplicaNão se aplicaNão se aplicaPonta",Mercado_Receita!$L$2:$L$1039)+SUMIF(Mercado_Receita!$S$2:$S$1039,"44652B3ConvencionalNão se aplicaNão se aplicaNão se aplicaNão se aplicaFora ponta",Mercado_Receita!$L$2:$L$1039)+SUMIF(Mercado_Receita!$S$2:$S$1039,"44652B3ConvencionalNão se aplicaNão se aplicaNão se aplicaNão se aplicaIntermediário",Mercado_Receita!$L$2:$L$1039)+SUMIF(Mercado_Receita!$S$2:$S$1039,"44652B3ConvencionalNão se aplicaNão se aplicaNão se aplicaNão se aplicaNão se aplica",Mercado_Receita!$L$2:$L$1039)</f>
        <v>13436.296999999997</v>
      </c>
      <c r="N61" s="13">
        <f>SUMIF(Mercado_Receita!$S$2:$S$1039,"44682B3ConvencionalNão se aplicaNão se aplicaNão se aplicaNão se aplicaPonta",Mercado_Receita!$L$2:$L$1039)+SUMIF(Mercado_Receita!$S$2:$S$1039,"44682B3ConvencionalNão se aplicaNão se aplicaNão se aplicaNão se aplicaFora ponta",Mercado_Receita!$L$2:$L$1039)+SUMIF(Mercado_Receita!$S$2:$S$1039,"44682B3ConvencionalNão se aplicaNão se aplicaNão se aplicaNão se aplicaIntermediário",Mercado_Receita!$L$2:$L$1039)+SUMIF(Mercado_Receita!$S$2:$S$1039,"44682B3ConvencionalNão se aplicaNão se aplicaNão se aplicaNão se aplicaNão se aplica",Mercado_Receita!$L$2:$L$1039)</f>
        <v>14584.251999999999</v>
      </c>
      <c r="O61" s="13">
        <f>SUMIF(Mercado_Receita!$S$2:$S$1039,"44713B3ConvencionalNão se aplicaNão se aplicaNão se aplicaNão se aplicaPonta",Mercado_Receita!$L$2:$L$1039)+SUMIF(Mercado_Receita!$S$2:$S$1039,"44713B3ConvencionalNão se aplicaNão se aplicaNão se aplicaNão se aplicaFora ponta",Mercado_Receita!$L$2:$L$1039)+SUMIF(Mercado_Receita!$S$2:$S$1039,"44713B3ConvencionalNão se aplicaNão se aplicaNão se aplicaNão se aplicaIntermediário",Mercado_Receita!$L$2:$L$1039)+SUMIF(Mercado_Receita!$S$2:$S$1039,"44713B3ConvencionalNão se aplicaNão se aplicaNão se aplicaNão se aplicaNão se aplica",Mercado_Receita!$L$2:$L$1039)</f>
        <v>15694.596</v>
      </c>
      <c r="P61" s="13">
        <f>SUMIF(Mercado_Receita!$S$2:$S$1039,"44743B3ConvencionalNão se aplicaNão se aplicaNão se aplicaNão se aplicaPonta",Mercado_Receita!$L$2:$L$1039)+SUMIF(Mercado_Receita!$S$2:$S$1039,"44743B3ConvencionalNão se aplicaNão se aplicaNão se aplicaNão se aplicaFora ponta",Mercado_Receita!$L$2:$L$1039)+SUMIF(Mercado_Receita!$S$2:$S$1039,"44743B3ConvencionalNão se aplicaNão se aplicaNão se aplicaNão se aplicaIntermediário",Mercado_Receita!$L$2:$L$1039)+SUMIF(Mercado_Receita!$S$2:$S$1039,"44743B3ConvencionalNão se aplicaNão se aplicaNão se aplicaNão se aplicaNão se aplica",Mercado_Receita!$L$2:$L$1039)</f>
        <v>13981.990000000002</v>
      </c>
      <c r="Q61" s="13">
        <f>SUMIF(Mercado_Receita!$S$2:$S$1039,"44774B3ConvencionalNão se aplicaNão se aplicaNão se aplicaNão se aplicaPonta",Mercado_Receita!$L$2:$L$1039)+SUMIF(Mercado_Receita!$S$2:$S$1039,"44774B3ConvencionalNão se aplicaNão se aplicaNão se aplicaNão se aplicaFora ponta",Mercado_Receita!$L$2:$L$1039)+SUMIF(Mercado_Receita!$S$2:$S$1039,"44774B3ConvencionalNão se aplicaNão se aplicaNão se aplicaNão se aplicaIntermediário",Mercado_Receita!$L$2:$L$1039)+SUMIF(Mercado_Receita!$S$2:$S$1039,"44774B3ConvencionalNão se aplicaNão se aplicaNão se aplicaNão se aplicaNão se aplica",Mercado_Receita!$L$2:$L$1039)</f>
        <v>15957.638999999999</v>
      </c>
      <c r="R61" s="13">
        <f>SUMIF(Mercado_Receita!$S$2:$S$1039,"44805B3ConvencionalNão se aplicaNão se aplicaNão se aplicaNão se aplicaPonta",Mercado_Receita!$L$2:$L$1039)+SUMIF(Mercado_Receita!$S$2:$S$1039,"44805B3ConvencionalNão se aplicaNão se aplicaNão se aplicaNão se aplicaFora ponta",Mercado_Receita!$L$2:$L$1039)+SUMIF(Mercado_Receita!$S$2:$S$1039,"44805B3ConvencionalNão se aplicaNão se aplicaNão se aplicaNão se aplicaIntermediário",Mercado_Receita!$L$2:$L$1039)+SUMIF(Mercado_Receita!$S$2:$S$1039,"44805B3ConvencionalNão se aplicaNão se aplicaNão se aplicaNão se aplicaNão se aplica",Mercado_Receita!$L$2:$L$1039)</f>
        <v>17036.12</v>
      </c>
      <c r="S61" s="13">
        <f>SUMIF(Mercado_Receita!$S$2:$S$1039,"44835B3ConvencionalNão se aplicaNão se aplicaNão se aplicaNão se aplicaPonta",Mercado_Receita!$L$2:$L$1039)+SUMIF(Mercado_Receita!$S$2:$S$1039,"44835B3ConvencionalNão se aplicaNão se aplicaNão se aplicaNão se aplicaFora ponta",Mercado_Receita!$L$2:$L$1039)+SUMIF(Mercado_Receita!$S$2:$S$1039,"44835B3ConvencionalNão se aplicaNão se aplicaNão se aplicaNão se aplicaIntermediário",Mercado_Receita!$L$2:$L$1039)+SUMIF(Mercado_Receita!$S$2:$S$1039,"44835B3ConvencionalNão se aplicaNão se aplicaNão se aplicaNão se aplicaNão se aplica",Mercado_Receita!$L$2:$L$1039)</f>
        <v>18373.384999999998</v>
      </c>
      <c r="T61" s="13">
        <f>SUMIF(Mercado_Receita!$S$2:$S$1039,"44866B3ConvencionalNão se aplicaNão se aplicaNão se aplicaNão se aplicaPonta",Mercado_Receita!$L$2:$L$1039)+SUMIF(Mercado_Receita!$S$2:$S$1039,"44866B3ConvencionalNão se aplicaNão se aplicaNão se aplicaNão se aplicaFora ponta",Mercado_Receita!$L$2:$L$1039)+SUMIF(Mercado_Receita!$S$2:$S$1039,"44866B3ConvencionalNão se aplicaNão se aplicaNão se aplicaNão se aplicaIntermediário",Mercado_Receita!$L$2:$L$1039)+SUMIF(Mercado_Receita!$S$2:$S$1039,"44866B3ConvencionalNão se aplicaNão se aplicaNão se aplicaNão se aplicaNão se aplica",Mercado_Receita!$L$2:$L$1039)</f>
        <v>18373.384999999998</v>
      </c>
      <c r="U61" s="13">
        <f t="shared" si="1"/>
        <v>181428.25600000002</v>
      </c>
      <c r="V61" s="13"/>
      <c r="W61" s="13"/>
    </row>
    <row r="62" spans="1:23" ht="11.25" customHeight="1" x14ac:dyDescent="0.25">
      <c r="A62" s="104"/>
      <c r="B62" s="12" t="s">
        <v>92</v>
      </c>
      <c r="C62" s="12" t="s">
        <v>25</v>
      </c>
      <c r="D62" s="12" t="s">
        <v>25</v>
      </c>
      <c r="E62" s="12" t="s">
        <v>25</v>
      </c>
      <c r="F62" s="12" t="s">
        <v>25</v>
      </c>
      <c r="G62" s="13" t="s">
        <v>84</v>
      </c>
      <c r="H62" s="13" t="s">
        <v>79</v>
      </c>
      <c r="I62" s="13">
        <f>SUMIF(Mercado_Receita!$S$2:$S$1039,"44531B3Convencional pré-pagamentoNão se aplicaNão se aplicaNão se aplicaNão se aplicaPonta",Mercado_Receita!$L$2:$L$1039)+SUMIF(Mercado_Receita!$S$2:$S$1039,"44531B3Convencional pré-pagamentoNão se aplicaNão se aplicaNão se aplicaNão se aplicaFora ponta",Mercado_Receita!$L$2:$L$1039)+SUMIF(Mercado_Receita!$S$2:$S$1039,"44531B3Convencional pré-pagamentoNão se aplicaNão se aplicaNão se aplicaNão se aplicaIntermediário",Mercado_Receita!$L$2:$L$1039)+SUMIF(Mercado_Receita!$S$2:$S$1039,"44531B3Convencional pré-pagamentoNão se aplicaNão se aplicaNão se aplicaNão se aplicaNão se aplica",Mercado_Receita!$L$2:$L$1039)</f>
        <v>0</v>
      </c>
      <c r="J62" s="13">
        <f>SUMIF(Mercado_Receita!$S$2:$S$1039,"44562B3Convencional pré-pagamentoNão se aplicaNão se aplicaNão se aplicaNão se aplicaPonta",Mercado_Receita!$L$2:$L$1039)+SUMIF(Mercado_Receita!$S$2:$S$1039,"44562B3Convencional pré-pagamentoNão se aplicaNão se aplicaNão se aplicaNão se aplicaFora ponta",Mercado_Receita!$L$2:$L$1039)+SUMIF(Mercado_Receita!$S$2:$S$1039,"44562B3Convencional pré-pagamentoNão se aplicaNão se aplicaNão se aplicaNão se aplicaIntermediário",Mercado_Receita!$L$2:$L$1039)+SUMIF(Mercado_Receita!$S$2:$S$1039,"44562B3Convencional pré-pagamentoNão se aplicaNão se aplicaNão se aplicaNão se aplicaNão se aplica",Mercado_Receita!$L$2:$L$1039)</f>
        <v>0</v>
      </c>
      <c r="K62" s="13">
        <f>SUMIF(Mercado_Receita!$S$2:$S$1039,"44593B3Convencional pré-pagamentoNão se aplicaNão se aplicaNão se aplicaNão se aplicaPonta",Mercado_Receita!$L$2:$L$1039)+SUMIF(Mercado_Receita!$S$2:$S$1039,"44593B3Convencional pré-pagamentoNão se aplicaNão se aplicaNão se aplicaNão se aplicaFora ponta",Mercado_Receita!$L$2:$L$1039)+SUMIF(Mercado_Receita!$S$2:$S$1039,"44593B3Convencional pré-pagamentoNão se aplicaNão se aplicaNão se aplicaNão se aplicaIntermediário",Mercado_Receita!$L$2:$L$1039)+SUMIF(Mercado_Receita!$S$2:$S$1039,"44593B3Convencional pré-pagamentoNão se aplicaNão se aplicaNão se aplicaNão se aplicaNão se aplica",Mercado_Receita!$L$2:$L$1039)</f>
        <v>0</v>
      </c>
      <c r="L62" s="13">
        <f>SUMIF(Mercado_Receita!$S$2:$S$1039,"44621B3Convencional pré-pagamentoNão se aplicaNão se aplicaNão se aplicaNão se aplicaPonta",Mercado_Receita!$L$2:$L$1039)+SUMIF(Mercado_Receita!$S$2:$S$1039,"44621B3Convencional pré-pagamentoNão se aplicaNão se aplicaNão se aplicaNão se aplicaFora ponta",Mercado_Receita!$L$2:$L$1039)+SUMIF(Mercado_Receita!$S$2:$S$1039,"44621B3Convencional pré-pagamentoNão se aplicaNão se aplicaNão se aplicaNão se aplicaIntermediário",Mercado_Receita!$L$2:$L$1039)+SUMIF(Mercado_Receita!$S$2:$S$1039,"44621B3Convencional pré-pagamentoNão se aplicaNão se aplicaNão se aplicaNão se aplicaNão se aplica",Mercado_Receita!$L$2:$L$1039)</f>
        <v>0</v>
      </c>
      <c r="M62" s="13">
        <f>SUMIF(Mercado_Receita!$S$2:$S$1039,"44652B3Convencional pré-pagamentoNão se aplicaNão se aplicaNão se aplicaNão se aplicaPonta",Mercado_Receita!$L$2:$L$1039)+SUMIF(Mercado_Receita!$S$2:$S$1039,"44652B3Convencional pré-pagamentoNão se aplicaNão se aplicaNão se aplicaNão se aplicaFora ponta",Mercado_Receita!$L$2:$L$1039)+SUMIF(Mercado_Receita!$S$2:$S$1039,"44652B3Convencional pré-pagamentoNão se aplicaNão se aplicaNão se aplicaNão se aplicaIntermediário",Mercado_Receita!$L$2:$L$1039)+SUMIF(Mercado_Receita!$S$2:$S$1039,"44652B3Convencional pré-pagamentoNão se aplicaNão se aplicaNão se aplicaNão se aplicaNão se aplica",Mercado_Receita!$L$2:$L$1039)</f>
        <v>0</v>
      </c>
      <c r="N62" s="13">
        <f>SUMIF(Mercado_Receita!$S$2:$S$1039,"44682B3Convencional pré-pagamentoNão se aplicaNão se aplicaNão se aplicaNão se aplicaPonta",Mercado_Receita!$L$2:$L$1039)+SUMIF(Mercado_Receita!$S$2:$S$1039,"44682B3Convencional pré-pagamentoNão se aplicaNão se aplicaNão se aplicaNão se aplicaFora ponta",Mercado_Receita!$L$2:$L$1039)+SUMIF(Mercado_Receita!$S$2:$S$1039,"44682B3Convencional pré-pagamentoNão se aplicaNão se aplicaNão se aplicaNão se aplicaIntermediário",Mercado_Receita!$L$2:$L$1039)+SUMIF(Mercado_Receita!$S$2:$S$1039,"44682B3Convencional pré-pagamentoNão se aplicaNão se aplicaNão se aplicaNão se aplicaNão se aplica",Mercado_Receita!$L$2:$L$1039)</f>
        <v>0</v>
      </c>
      <c r="O62" s="13">
        <f>SUMIF(Mercado_Receita!$S$2:$S$1039,"44713B3Convencional pré-pagamentoNão se aplicaNão se aplicaNão se aplicaNão se aplicaPonta",Mercado_Receita!$L$2:$L$1039)+SUMIF(Mercado_Receita!$S$2:$S$1039,"44713B3Convencional pré-pagamentoNão se aplicaNão se aplicaNão se aplicaNão se aplicaFora ponta",Mercado_Receita!$L$2:$L$1039)+SUMIF(Mercado_Receita!$S$2:$S$1039,"44713B3Convencional pré-pagamentoNão se aplicaNão se aplicaNão se aplicaNão se aplicaIntermediário",Mercado_Receita!$L$2:$L$1039)+SUMIF(Mercado_Receita!$S$2:$S$1039,"44713B3Convencional pré-pagamentoNão se aplicaNão se aplicaNão se aplicaNão se aplicaNão se aplica",Mercado_Receita!$L$2:$L$1039)</f>
        <v>0</v>
      </c>
      <c r="P62" s="13">
        <f>SUMIF(Mercado_Receita!$S$2:$S$1039,"44743B3Convencional pré-pagamentoNão se aplicaNão se aplicaNão se aplicaNão se aplicaPonta",Mercado_Receita!$L$2:$L$1039)+SUMIF(Mercado_Receita!$S$2:$S$1039,"44743B3Convencional pré-pagamentoNão se aplicaNão se aplicaNão se aplicaNão se aplicaFora ponta",Mercado_Receita!$L$2:$L$1039)+SUMIF(Mercado_Receita!$S$2:$S$1039,"44743B3Convencional pré-pagamentoNão se aplicaNão se aplicaNão se aplicaNão se aplicaIntermediário",Mercado_Receita!$L$2:$L$1039)+SUMIF(Mercado_Receita!$S$2:$S$1039,"44743B3Convencional pré-pagamentoNão se aplicaNão se aplicaNão se aplicaNão se aplicaNão se aplica",Mercado_Receita!$L$2:$L$1039)</f>
        <v>0</v>
      </c>
      <c r="Q62" s="13">
        <f>SUMIF(Mercado_Receita!$S$2:$S$1039,"44774B3Convencional pré-pagamentoNão se aplicaNão se aplicaNão se aplicaNão se aplicaPonta",Mercado_Receita!$L$2:$L$1039)+SUMIF(Mercado_Receita!$S$2:$S$1039,"44774B3Convencional pré-pagamentoNão se aplicaNão se aplicaNão se aplicaNão se aplicaFora ponta",Mercado_Receita!$L$2:$L$1039)+SUMIF(Mercado_Receita!$S$2:$S$1039,"44774B3Convencional pré-pagamentoNão se aplicaNão se aplicaNão se aplicaNão se aplicaIntermediário",Mercado_Receita!$L$2:$L$1039)+SUMIF(Mercado_Receita!$S$2:$S$1039,"44774B3Convencional pré-pagamentoNão se aplicaNão se aplicaNão se aplicaNão se aplicaNão se aplica",Mercado_Receita!$L$2:$L$1039)</f>
        <v>0</v>
      </c>
      <c r="R62" s="13">
        <f>SUMIF(Mercado_Receita!$S$2:$S$1039,"44805B3Convencional pré-pagamentoNão se aplicaNão se aplicaNão se aplicaNão se aplicaPonta",Mercado_Receita!$L$2:$L$1039)+SUMIF(Mercado_Receita!$S$2:$S$1039,"44805B3Convencional pré-pagamentoNão se aplicaNão se aplicaNão se aplicaNão se aplicaFora ponta",Mercado_Receita!$L$2:$L$1039)+SUMIF(Mercado_Receita!$S$2:$S$1039,"44805B3Convencional pré-pagamentoNão se aplicaNão se aplicaNão se aplicaNão se aplicaIntermediário",Mercado_Receita!$L$2:$L$1039)+SUMIF(Mercado_Receita!$S$2:$S$1039,"44805B3Convencional pré-pagamentoNão se aplicaNão se aplicaNão se aplicaNão se aplicaNão se aplica",Mercado_Receita!$L$2:$L$1039)</f>
        <v>0</v>
      </c>
      <c r="S62" s="13">
        <f>SUMIF(Mercado_Receita!$S$2:$S$1039,"44835B3Convencional pré-pagamentoNão se aplicaNão se aplicaNão se aplicaNão se aplicaPonta",Mercado_Receita!$L$2:$L$1039)+SUMIF(Mercado_Receita!$S$2:$S$1039,"44835B3Convencional pré-pagamentoNão se aplicaNão se aplicaNão se aplicaNão se aplicaFora ponta",Mercado_Receita!$L$2:$L$1039)+SUMIF(Mercado_Receita!$S$2:$S$1039,"44835B3Convencional pré-pagamentoNão se aplicaNão se aplicaNão se aplicaNão se aplicaIntermediário",Mercado_Receita!$L$2:$L$1039)+SUMIF(Mercado_Receita!$S$2:$S$1039,"44835B3Convencional pré-pagamentoNão se aplicaNão se aplicaNão se aplicaNão se aplicaNão se aplica",Mercado_Receita!$L$2:$L$1039)</f>
        <v>0</v>
      </c>
      <c r="T62" s="13">
        <f>SUMIF(Mercado_Receita!$S$2:$S$1039,"44866B3Convencional pré-pagamentoNão se aplicaNão se aplicaNão se aplicaNão se aplicaPonta",Mercado_Receita!$L$2:$L$1039)+SUMIF(Mercado_Receita!$S$2:$S$1039,"44866B3Convencional pré-pagamentoNão se aplicaNão se aplicaNão se aplicaNão se aplicaFora ponta",Mercado_Receita!$L$2:$L$1039)+SUMIF(Mercado_Receita!$S$2:$S$1039,"44866B3Convencional pré-pagamentoNão se aplicaNão se aplicaNão se aplicaNão se aplicaIntermediário",Mercado_Receita!$L$2:$L$1039)+SUMIF(Mercado_Receita!$S$2:$S$1039,"44866B3Convencional pré-pagamentoNão se aplicaNão se aplicaNão se aplicaNão se aplicaNão se aplica",Mercado_Receita!$L$2:$L$1039)</f>
        <v>0</v>
      </c>
      <c r="U62" s="13">
        <f t="shared" si="1"/>
        <v>0</v>
      </c>
      <c r="V62" s="13"/>
      <c r="W62" s="13"/>
    </row>
    <row r="63" spans="1:23" ht="11.25" customHeight="1" x14ac:dyDescent="0.25">
      <c r="A63" s="103" t="s">
        <v>48</v>
      </c>
      <c r="B63" s="103" t="s">
        <v>23</v>
      </c>
      <c r="C63" s="103" t="s">
        <v>49</v>
      </c>
      <c r="D63" s="12" t="s">
        <v>50</v>
      </c>
      <c r="E63" s="12" t="s">
        <v>25</v>
      </c>
      <c r="F63" s="12" t="s">
        <v>25</v>
      </c>
      <c r="G63" s="13" t="s">
        <v>84</v>
      </c>
      <c r="H63" s="13" t="s">
        <v>79</v>
      </c>
      <c r="I63" s="13">
        <f>SUMIF(Mercado_Receita!$S$2:$S$1039,"44531B4ConvencionalIluminação públicaIluminação pública – B4aNão se aplicaNão se aplicaPonta",Mercado_Receita!$L$2:$L$1039)+SUMIF(Mercado_Receita!$S$2:$S$1039,"44531B4ConvencionalIluminação públicaIluminação pública – B4aNão se aplicaNão se aplicaFora ponta",Mercado_Receita!$L$2:$L$1039)+SUMIF(Mercado_Receita!$S$2:$S$1039,"44531B4ConvencionalIluminação públicaIluminação pública – B4aNão se aplicaNão se aplicaIntermediário",Mercado_Receita!$L$2:$L$1039)+SUMIF(Mercado_Receita!$S$2:$S$1039,"44531B4ConvencionalIluminação públicaIluminação pública – B4aNão se aplicaNão se aplicaNão se aplica",Mercado_Receita!$L$2:$L$1039)</f>
        <v>2874.451</v>
      </c>
      <c r="J63" s="13">
        <f>SUMIF(Mercado_Receita!$S$2:$S$1039,"44562B4ConvencionalIluminação públicaIluminação pública – B4aNão se aplicaNão se aplicaPonta",Mercado_Receita!$L$2:$L$1039)+SUMIF(Mercado_Receita!$S$2:$S$1039,"44562B4ConvencionalIluminação públicaIluminação pública – B4aNão se aplicaNão se aplicaFora ponta",Mercado_Receita!$L$2:$L$1039)+SUMIF(Mercado_Receita!$S$2:$S$1039,"44562B4ConvencionalIluminação públicaIluminação pública – B4aNão se aplicaNão se aplicaIntermediário",Mercado_Receita!$L$2:$L$1039)+SUMIF(Mercado_Receita!$S$2:$S$1039,"44562B4ConvencionalIluminação públicaIluminação pública – B4aNão se aplicaNão se aplicaNão se aplica",Mercado_Receita!$L$2:$L$1039)</f>
        <v>2871.97</v>
      </c>
      <c r="K63" s="13">
        <f>SUMIF(Mercado_Receita!$S$2:$S$1039,"44593B4ConvencionalIluminação públicaIluminação pública – B4aNão se aplicaNão se aplicaPonta",Mercado_Receita!$L$2:$L$1039)+SUMIF(Mercado_Receita!$S$2:$S$1039,"44593B4ConvencionalIluminação públicaIluminação pública – B4aNão se aplicaNão se aplicaFora ponta",Mercado_Receita!$L$2:$L$1039)+SUMIF(Mercado_Receita!$S$2:$S$1039,"44593B4ConvencionalIluminação públicaIluminação pública – B4aNão se aplicaNão se aplicaIntermediário",Mercado_Receita!$L$2:$L$1039)+SUMIF(Mercado_Receita!$S$2:$S$1039,"44593B4ConvencionalIluminação públicaIluminação pública – B4aNão se aplicaNão se aplicaNão se aplica",Mercado_Receita!$L$2:$L$1039)</f>
        <v>2586.9229999999998</v>
      </c>
      <c r="L63" s="13">
        <f>SUMIF(Mercado_Receita!$S$2:$S$1039,"44621B4ConvencionalIluminação públicaIluminação pública – B4aNão se aplicaNão se aplicaPonta",Mercado_Receita!$L$2:$L$1039)+SUMIF(Mercado_Receita!$S$2:$S$1039,"44621B4ConvencionalIluminação públicaIluminação pública – B4aNão se aplicaNão se aplicaFora ponta",Mercado_Receita!$L$2:$L$1039)+SUMIF(Mercado_Receita!$S$2:$S$1039,"44621B4ConvencionalIluminação públicaIluminação pública – B4aNão se aplicaNão se aplicaIntermediário",Mercado_Receita!$L$2:$L$1039)+SUMIF(Mercado_Receita!$S$2:$S$1039,"44621B4ConvencionalIluminação públicaIluminação pública – B4aNão se aplicaNão se aplicaNão se aplica",Mercado_Receita!$L$2:$L$1039)</f>
        <v>2763.259</v>
      </c>
      <c r="M63" s="13">
        <f>SUMIF(Mercado_Receita!$S$2:$S$1039,"44652B4ConvencionalIluminação públicaIluminação pública – B4aNão se aplicaNão se aplicaPonta",Mercado_Receita!$L$2:$L$1039)+SUMIF(Mercado_Receita!$S$2:$S$1039,"44652B4ConvencionalIluminação públicaIluminação pública – B4aNão se aplicaNão se aplicaFora ponta",Mercado_Receita!$L$2:$L$1039)+SUMIF(Mercado_Receita!$S$2:$S$1039,"44652B4ConvencionalIluminação públicaIluminação pública – B4aNão se aplicaNão se aplicaIntermediário",Mercado_Receita!$L$2:$L$1039)+SUMIF(Mercado_Receita!$S$2:$S$1039,"44652B4ConvencionalIluminação públicaIluminação pública – B4aNão se aplicaNão se aplicaNão se aplica",Mercado_Receita!$L$2:$L$1039)</f>
        <v>2732.0239999999999</v>
      </c>
      <c r="N63" s="13">
        <f>SUMIF(Mercado_Receita!$S$2:$S$1039,"44682B4ConvencionalIluminação públicaIluminação pública – B4aNão se aplicaNão se aplicaPonta",Mercado_Receita!$L$2:$L$1039)+SUMIF(Mercado_Receita!$S$2:$S$1039,"44682B4ConvencionalIluminação públicaIluminação pública – B4aNão se aplicaNão se aplicaFora ponta",Mercado_Receita!$L$2:$L$1039)+SUMIF(Mercado_Receita!$S$2:$S$1039,"44682B4ConvencionalIluminação públicaIluminação pública – B4aNão se aplicaNão se aplicaIntermediário",Mercado_Receita!$L$2:$L$1039)+SUMIF(Mercado_Receita!$S$2:$S$1039,"44682B4ConvencionalIluminação públicaIluminação pública – B4aNão se aplicaNão se aplicaNão se aplica",Mercado_Receita!$L$2:$L$1039)</f>
        <v>2827.2690000000002</v>
      </c>
      <c r="O63" s="13">
        <f>SUMIF(Mercado_Receita!$S$2:$S$1039,"44713B4ConvencionalIluminação públicaIluminação pública – B4aNão se aplicaNão se aplicaPonta",Mercado_Receita!$L$2:$L$1039)+SUMIF(Mercado_Receita!$S$2:$S$1039,"44713B4ConvencionalIluminação públicaIluminação pública – B4aNão se aplicaNão se aplicaFora ponta",Mercado_Receita!$L$2:$L$1039)+SUMIF(Mercado_Receita!$S$2:$S$1039,"44713B4ConvencionalIluminação públicaIluminação pública – B4aNão se aplicaNão se aplicaIntermediário",Mercado_Receita!$L$2:$L$1039)+SUMIF(Mercado_Receita!$S$2:$S$1039,"44713B4ConvencionalIluminação públicaIluminação pública – B4aNão se aplicaNão se aplicaNão se aplica",Mercado_Receita!$L$2:$L$1039)</f>
        <v>3943.5160000000001</v>
      </c>
      <c r="P63" s="13">
        <f>SUMIF(Mercado_Receita!$S$2:$S$1039,"44743B4ConvencionalIluminação públicaIluminação pública – B4aNão se aplicaNão se aplicaPonta",Mercado_Receita!$L$2:$L$1039)+SUMIF(Mercado_Receita!$S$2:$S$1039,"44743B4ConvencionalIluminação públicaIluminação pública – B4aNão se aplicaNão se aplicaFora ponta",Mercado_Receita!$L$2:$L$1039)+SUMIF(Mercado_Receita!$S$2:$S$1039,"44743B4ConvencionalIluminação públicaIluminação pública – B4aNão se aplicaNão se aplicaIntermediário",Mercado_Receita!$L$2:$L$1039)+SUMIF(Mercado_Receita!$S$2:$S$1039,"44743B4ConvencionalIluminação públicaIluminação pública – B4aNão se aplicaNão se aplicaNão se aplica",Mercado_Receita!$L$2:$L$1039)</f>
        <v>2991.4449999999997</v>
      </c>
      <c r="Q63" s="13">
        <f>SUMIF(Mercado_Receita!$S$2:$S$1039,"44774B4ConvencionalIluminação públicaIluminação pública – B4aNão se aplicaNão se aplicaPonta",Mercado_Receita!$L$2:$L$1039)+SUMIF(Mercado_Receita!$S$2:$S$1039,"44774B4ConvencionalIluminação públicaIluminação pública – B4aNão se aplicaNão se aplicaFora ponta",Mercado_Receita!$L$2:$L$1039)+SUMIF(Mercado_Receita!$S$2:$S$1039,"44774B4ConvencionalIluminação públicaIluminação pública – B4aNão se aplicaNão se aplicaIntermediário",Mercado_Receita!$L$2:$L$1039)+SUMIF(Mercado_Receita!$S$2:$S$1039,"44774B4ConvencionalIluminação públicaIluminação pública – B4aNão se aplicaNão se aplicaNão se aplica",Mercado_Receita!$L$2:$L$1039)</f>
        <v>4028.8229999999999</v>
      </c>
      <c r="R63" s="13">
        <f>SUMIF(Mercado_Receita!$S$2:$S$1039,"44805B4ConvencionalIluminação públicaIluminação pública – B4aNão se aplicaNão se aplicaPonta",Mercado_Receita!$L$2:$L$1039)+SUMIF(Mercado_Receita!$S$2:$S$1039,"44805B4ConvencionalIluminação públicaIluminação pública – B4aNão se aplicaNão se aplicaFora ponta",Mercado_Receita!$L$2:$L$1039)+SUMIF(Mercado_Receita!$S$2:$S$1039,"44805B4ConvencionalIluminação públicaIluminação pública – B4aNão se aplicaNão se aplicaIntermediário",Mercado_Receita!$L$2:$L$1039)+SUMIF(Mercado_Receita!$S$2:$S$1039,"44805B4ConvencionalIluminação públicaIluminação pública – B4aNão se aplicaNão se aplicaNão se aplica",Mercado_Receita!$L$2:$L$1039)</f>
        <v>3721.9229999999998</v>
      </c>
      <c r="S63" s="13">
        <f>SUMIF(Mercado_Receita!$S$2:$S$1039,"44835B4ConvencionalIluminação públicaIluminação pública – B4aNão se aplicaNão se aplicaPonta",Mercado_Receita!$L$2:$L$1039)+SUMIF(Mercado_Receita!$S$2:$S$1039,"44835B4ConvencionalIluminação públicaIluminação pública – B4aNão se aplicaNão se aplicaFora ponta",Mercado_Receita!$L$2:$L$1039)+SUMIF(Mercado_Receita!$S$2:$S$1039,"44835B4ConvencionalIluminação públicaIluminação pública – B4aNão se aplicaNão se aplicaIntermediário",Mercado_Receita!$L$2:$L$1039)+SUMIF(Mercado_Receita!$S$2:$S$1039,"44835B4ConvencionalIluminação públicaIluminação pública – B4aNão se aplicaNão se aplicaNão se aplica",Mercado_Receita!$L$2:$L$1039)</f>
        <v>4071.0349999999999</v>
      </c>
      <c r="T63" s="13">
        <f>SUMIF(Mercado_Receita!$S$2:$S$1039,"44866B4ConvencionalIluminação públicaIluminação pública – B4aNão se aplicaNão se aplicaPonta",Mercado_Receita!$L$2:$L$1039)+SUMIF(Mercado_Receita!$S$2:$S$1039,"44866B4ConvencionalIluminação públicaIluminação pública – B4aNão se aplicaNão se aplicaFora ponta",Mercado_Receita!$L$2:$L$1039)+SUMIF(Mercado_Receita!$S$2:$S$1039,"44866B4ConvencionalIluminação públicaIluminação pública – B4aNão se aplicaNão se aplicaIntermediário",Mercado_Receita!$L$2:$L$1039)+SUMIF(Mercado_Receita!$S$2:$S$1039,"44866B4ConvencionalIluminação públicaIluminação pública – B4aNão se aplicaNão se aplicaNão se aplica",Mercado_Receita!$L$2:$L$1039)</f>
        <v>4071.0349999999999</v>
      </c>
      <c r="U63" s="13">
        <f t="shared" si="1"/>
        <v>39483.672999999995</v>
      </c>
      <c r="V63" s="13"/>
      <c r="W63" s="13"/>
    </row>
    <row r="64" spans="1:23" ht="11.25" customHeight="1" x14ac:dyDescent="0.25">
      <c r="A64" s="104"/>
      <c r="B64" s="104"/>
      <c r="C64" s="104"/>
      <c r="D64" s="13" t="s">
        <v>95</v>
      </c>
      <c r="E64" s="13" t="s">
        <v>25</v>
      </c>
      <c r="F64" s="13" t="s">
        <v>25</v>
      </c>
      <c r="G64" s="13" t="s">
        <v>84</v>
      </c>
      <c r="H64" s="13" t="s">
        <v>79</v>
      </c>
      <c r="I64" s="13">
        <f>SUMIF(Mercado_Receita!$S$2:$S$1039,"44531B4ConvencionalIluminação públicaIluminação pública – B4bNão se aplicaNão se aplicaPonta",Mercado_Receita!$L$2:$L$1039)+SUMIF(Mercado_Receita!$S$2:$S$1039,"44531B4ConvencionalIluminação públicaIluminação pública – B4bNão se aplicaNão se aplicaFora ponta",Mercado_Receita!$L$2:$L$1039)+SUMIF(Mercado_Receita!$S$2:$S$1039,"44531B4ConvencionalIluminação públicaIluminação pública – B4bNão se aplicaNão se aplicaIntermediário",Mercado_Receita!$L$2:$L$1039)+SUMIF(Mercado_Receita!$S$2:$S$1039,"44531B4ConvencionalIluminação públicaIluminação pública – B4bNão se aplicaNão se aplicaNão se aplica",Mercado_Receita!$L$2:$L$1039)</f>
        <v>0</v>
      </c>
      <c r="J64" s="13">
        <f>SUMIF(Mercado_Receita!$S$2:$S$1039,"44562B4ConvencionalIluminação públicaIluminação pública – B4bNão se aplicaNão se aplicaPonta",Mercado_Receita!$L$2:$L$1039)+SUMIF(Mercado_Receita!$S$2:$S$1039,"44562B4ConvencionalIluminação públicaIluminação pública – B4bNão se aplicaNão se aplicaFora ponta",Mercado_Receita!$L$2:$L$1039)+SUMIF(Mercado_Receita!$S$2:$S$1039,"44562B4ConvencionalIluminação públicaIluminação pública – B4bNão se aplicaNão se aplicaIntermediário",Mercado_Receita!$L$2:$L$1039)+SUMIF(Mercado_Receita!$S$2:$S$1039,"44562B4ConvencionalIluminação públicaIluminação pública – B4bNão se aplicaNão se aplicaNão se aplica",Mercado_Receita!$L$2:$L$1039)</f>
        <v>0</v>
      </c>
      <c r="K64" s="13">
        <f>SUMIF(Mercado_Receita!$S$2:$S$1039,"44593B4ConvencionalIluminação públicaIluminação pública – B4bNão se aplicaNão se aplicaPonta",Mercado_Receita!$L$2:$L$1039)+SUMIF(Mercado_Receita!$S$2:$S$1039,"44593B4ConvencionalIluminação públicaIluminação pública – B4bNão se aplicaNão se aplicaFora ponta",Mercado_Receita!$L$2:$L$1039)+SUMIF(Mercado_Receita!$S$2:$S$1039,"44593B4ConvencionalIluminação públicaIluminação pública – B4bNão se aplicaNão se aplicaIntermediário",Mercado_Receita!$L$2:$L$1039)+SUMIF(Mercado_Receita!$S$2:$S$1039,"44593B4ConvencionalIluminação públicaIluminação pública – B4bNão se aplicaNão se aplicaNão se aplica",Mercado_Receita!$L$2:$L$1039)</f>
        <v>0</v>
      </c>
      <c r="L64" s="13">
        <f>SUMIF(Mercado_Receita!$S$2:$S$1039,"44621B4ConvencionalIluminação públicaIluminação pública – B4bNão se aplicaNão se aplicaPonta",Mercado_Receita!$L$2:$L$1039)+SUMIF(Mercado_Receita!$S$2:$S$1039,"44621B4ConvencionalIluminação públicaIluminação pública – B4bNão se aplicaNão se aplicaFora ponta",Mercado_Receita!$L$2:$L$1039)+SUMIF(Mercado_Receita!$S$2:$S$1039,"44621B4ConvencionalIluminação públicaIluminação pública – B4bNão se aplicaNão se aplicaIntermediário",Mercado_Receita!$L$2:$L$1039)+SUMIF(Mercado_Receita!$S$2:$S$1039,"44621B4ConvencionalIluminação públicaIluminação pública – B4bNão se aplicaNão se aplicaNão se aplica",Mercado_Receita!$L$2:$L$1039)</f>
        <v>0</v>
      </c>
      <c r="M64" s="13">
        <f>SUMIF(Mercado_Receita!$S$2:$S$1039,"44652B4ConvencionalIluminação públicaIluminação pública – B4bNão se aplicaNão se aplicaPonta",Mercado_Receita!$L$2:$L$1039)+SUMIF(Mercado_Receita!$S$2:$S$1039,"44652B4ConvencionalIluminação públicaIluminação pública – B4bNão se aplicaNão se aplicaFora ponta",Mercado_Receita!$L$2:$L$1039)+SUMIF(Mercado_Receita!$S$2:$S$1039,"44652B4ConvencionalIluminação públicaIluminação pública – B4bNão se aplicaNão se aplicaIntermediário",Mercado_Receita!$L$2:$L$1039)+SUMIF(Mercado_Receita!$S$2:$S$1039,"44652B4ConvencionalIluminação públicaIluminação pública – B4bNão se aplicaNão se aplicaNão se aplica",Mercado_Receita!$L$2:$L$1039)</f>
        <v>0</v>
      </c>
      <c r="N64" s="13">
        <f>SUMIF(Mercado_Receita!$S$2:$S$1039,"44682B4ConvencionalIluminação públicaIluminação pública – B4bNão se aplicaNão se aplicaPonta",Mercado_Receita!$L$2:$L$1039)+SUMIF(Mercado_Receita!$S$2:$S$1039,"44682B4ConvencionalIluminação públicaIluminação pública – B4bNão se aplicaNão se aplicaFora ponta",Mercado_Receita!$L$2:$L$1039)+SUMIF(Mercado_Receita!$S$2:$S$1039,"44682B4ConvencionalIluminação públicaIluminação pública – B4bNão se aplicaNão se aplicaIntermediário",Mercado_Receita!$L$2:$L$1039)+SUMIF(Mercado_Receita!$S$2:$S$1039,"44682B4ConvencionalIluminação públicaIluminação pública – B4bNão se aplicaNão se aplicaNão se aplica",Mercado_Receita!$L$2:$L$1039)</f>
        <v>0</v>
      </c>
      <c r="O64" s="13">
        <f>SUMIF(Mercado_Receita!$S$2:$S$1039,"44713B4ConvencionalIluminação públicaIluminação pública – B4bNão se aplicaNão se aplicaPonta",Mercado_Receita!$L$2:$L$1039)+SUMIF(Mercado_Receita!$S$2:$S$1039,"44713B4ConvencionalIluminação públicaIluminação pública – B4bNão se aplicaNão se aplicaFora ponta",Mercado_Receita!$L$2:$L$1039)+SUMIF(Mercado_Receita!$S$2:$S$1039,"44713B4ConvencionalIluminação públicaIluminação pública – B4bNão se aplicaNão se aplicaIntermediário",Mercado_Receita!$L$2:$L$1039)+SUMIF(Mercado_Receita!$S$2:$S$1039,"44713B4ConvencionalIluminação públicaIluminação pública – B4bNão se aplicaNão se aplicaNão se aplica",Mercado_Receita!$L$2:$L$1039)</f>
        <v>0</v>
      </c>
      <c r="P64" s="13">
        <f>SUMIF(Mercado_Receita!$S$2:$S$1039,"44743B4ConvencionalIluminação públicaIluminação pública – B4bNão se aplicaNão se aplicaPonta",Mercado_Receita!$L$2:$L$1039)+SUMIF(Mercado_Receita!$S$2:$S$1039,"44743B4ConvencionalIluminação públicaIluminação pública – B4bNão se aplicaNão se aplicaFora ponta",Mercado_Receita!$L$2:$L$1039)+SUMIF(Mercado_Receita!$S$2:$S$1039,"44743B4ConvencionalIluminação públicaIluminação pública – B4bNão se aplicaNão se aplicaIntermediário",Mercado_Receita!$L$2:$L$1039)+SUMIF(Mercado_Receita!$S$2:$S$1039,"44743B4ConvencionalIluminação públicaIluminação pública – B4bNão se aplicaNão se aplicaNão se aplica",Mercado_Receita!$L$2:$L$1039)</f>
        <v>0</v>
      </c>
      <c r="Q64" s="13">
        <f>SUMIF(Mercado_Receita!$S$2:$S$1039,"44774B4ConvencionalIluminação públicaIluminação pública – B4bNão se aplicaNão se aplicaPonta",Mercado_Receita!$L$2:$L$1039)+SUMIF(Mercado_Receita!$S$2:$S$1039,"44774B4ConvencionalIluminação públicaIluminação pública – B4bNão se aplicaNão se aplicaFora ponta",Mercado_Receita!$L$2:$L$1039)+SUMIF(Mercado_Receita!$S$2:$S$1039,"44774B4ConvencionalIluminação públicaIluminação pública – B4bNão se aplicaNão se aplicaIntermediário",Mercado_Receita!$L$2:$L$1039)+SUMIF(Mercado_Receita!$S$2:$S$1039,"44774B4ConvencionalIluminação públicaIluminação pública – B4bNão se aplicaNão se aplicaNão se aplica",Mercado_Receita!$L$2:$L$1039)</f>
        <v>0</v>
      </c>
      <c r="R64" s="13">
        <f>SUMIF(Mercado_Receita!$S$2:$S$1039,"44805B4ConvencionalIluminação públicaIluminação pública – B4bNão se aplicaNão se aplicaPonta",Mercado_Receita!$L$2:$L$1039)+SUMIF(Mercado_Receita!$S$2:$S$1039,"44805B4ConvencionalIluminação públicaIluminação pública – B4bNão se aplicaNão se aplicaFora ponta",Mercado_Receita!$L$2:$L$1039)+SUMIF(Mercado_Receita!$S$2:$S$1039,"44805B4ConvencionalIluminação públicaIluminação pública – B4bNão se aplicaNão se aplicaIntermediário",Mercado_Receita!$L$2:$L$1039)+SUMIF(Mercado_Receita!$S$2:$S$1039,"44805B4ConvencionalIluminação públicaIluminação pública – B4bNão se aplicaNão se aplicaNão se aplica",Mercado_Receita!$L$2:$L$1039)</f>
        <v>0</v>
      </c>
      <c r="S64" s="13">
        <f>SUMIF(Mercado_Receita!$S$2:$S$1039,"44835B4ConvencionalIluminação públicaIluminação pública – B4bNão se aplicaNão se aplicaPonta",Mercado_Receita!$L$2:$L$1039)+SUMIF(Mercado_Receita!$S$2:$S$1039,"44835B4ConvencionalIluminação públicaIluminação pública – B4bNão se aplicaNão se aplicaFora ponta",Mercado_Receita!$L$2:$L$1039)+SUMIF(Mercado_Receita!$S$2:$S$1039,"44835B4ConvencionalIluminação públicaIluminação pública – B4bNão se aplicaNão se aplicaIntermediário",Mercado_Receita!$L$2:$L$1039)+SUMIF(Mercado_Receita!$S$2:$S$1039,"44835B4ConvencionalIluminação públicaIluminação pública – B4bNão se aplicaNão se aplicaNão se aplica",Mercado_Receita!$L$2:$L$1039)</f>
        <v>0</v>
      </c>
      <c r="T64" s="13">
        <f>SUMIF(Mercado_Receita!$S$2:$S$1039,"44866B4ConvencionalIluminação públicaIluminação pública – B4bNão se aplicaNão se aplicaPonta",Mercado_Receita!$L$2:$L$1039)+SUMIF(Mercado_Receita!$S$2:$S$1039,"44866B4ConvencionalIluminação públicaIluminação pública – B4bNão se aplicaNão se aplicaFora ponta",Mercado_Receita!$L$2:$L$1039)+SUMIF(Mercado_Receita!$S$2:$S$1039,"44866B4ConvencionalIluminação públicaIluminação pública – B4bNão se aplicaNão se aplicaIntermediário",Mercado_Receita!$L$2:$L$1039)+SUMIF(Mercado_Receita!$S$2:$S$1039,"44866B4ConvencionalIluminação públicaIluminação pública – B4bNão se aplicaNão se aplicaNão se aplica",Mercado_Receita!$L$2:$L$1039)</f>
        <v>0</v>
      </c>
      <c r="U64" s="13">
        <f t="shared" si="1"/>
        <v>0</v>
      </c>
      <c r="V64" s="13"/>
      <c r="W64" s="13"/>
    </row>
    <row r="65" spans="1:23" ht="11.25" customHeight="1" x14ac:dyDescent="0.25">
      <c r="A65" s="105" t="s">
        <v>643</v>
      </c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3"/>
      <c r="W65" s="13"/>
    </row>
  </sheetData>
  <mergeCells count="79">
    <mergeCell ref="A63:A64"/>
    <mergeCell ref="B63:B64"/>
    <mergeCell ref="C63:C64"/>
    <mergeCell ref="A65:U65"/>
    <mergeCell ref="C55:C57"/>
    <mergeCell ref="B55:B57"/>
    <mergeCell ref="A43:A57"/>
    <mergeCell ref="F58:F60"/>
    <mergeCell ref="E58:E60"/>
    <mergeCell ref="D58:D60"/>
    <mergeCell ref="C58:C60"/>
    <mergeCell ref="B58:B60"/>
    <mergeCell ref="A58:A62"/>
    <mergeCell ref="F47:F49"/>
    <mergeCell ref="E47:E49"/>
    <mergeCell ref="D47:D49"/>
    <mergeCell ref="C47:C49"/>
    <mergeCell ref="B47:B49"/>
    <mergeCell ref="F51:F53"/>
    <mergeCell ref="E51:E53"/>
    <mergeCell ref="D51:D53"/>
    <mergeCell ref="C51:C53"/>
    <mergeCell ref="B51:B53"/>
    <mergeCell ref="C38:C42"/>
    <mergeCell ref="B38:B42"/>
    <mergeCell ref="A30:A42"/>
    <mergeCell ref="F43:F45"/>
    <mergeCell ref="E43:E45"/>
    <mergeCell ref="D43:D45"/>
    <mergeCell ref="C43:C45"/>
    <mergeCell ref="B43:B45"/>
    <mergeCell ref="F30:F32"/>
    <mergeCell ref="E30:E32"/>
    <mergeCell ref="D30:D32"/>
    <mergeCell ref="C30:C32"/>
    <mergeCell ref="B30:B32"/>
    <mergeCell ref="C33:C37"/>
    <mergeCell ref="B33:B37"/>
    <mergeCell ref="B23:B27"/>
    <mergeCell ref="A18:A27"/>
    <mergeCell ref="D28:D29"/>
    <mergeCell ref="C28:C29"/>
    <mergeCell ref="B28:B29"/>
    <mergeCell ref="A28:A29"/>
    <mergeCell ref="C23:C27"/>
    <mergeCell ref="F23:F25"/>
    <mergeCell ref="E23:E25"/>
    <mergeCell ref="F26:F27"/>
    <mergeCell ref="E26:E27"/>
    <mergeCell ref="D23:D27"/>
    <mergeCell ref="B13:B17"/>
    <mergeCell ref="A8:A17"/>
    <mergeCell ref="F18:F20"/>
    <mergeCell ref="E18:E20"/>
    <mergeCell ref="D18:D21"/>
    <mergeCell ref="C18:C21"/>
    <mergeCell ref="B18:B21"/>
    <mergeCell ref="F13:F15"/>
    <mergeCell ref="E13:E15"/>
    <mergeCell ref="F16:F17"/>
    <mergeCell ref="E16:E17"/>
    <mergeCell ref="D13:D17"/>
    <mergeCell ref="C13:C17"/>
    <mergeCell ref="A4:A7"/>
    <mergeCell ref="F8:F10"/>
    <mergeCell ref="E8:E10"/>
    <mergeCell ref="D8:D11"/>
    <mergeCell ref="C8:C11"/>
    <mergeCell ref="B8:B11"/>
    <mergeCell ref="F4:F6"/>
    <mergeCell ref="E4:E6"/>
    <mergeCell ref="D4:D7"/>
    <mergeCell ref="C4:C7"/>
    <mergeCell ref="B4:B7"/>
    <mergeCell ref="E2:E3"/>
    <mergeCell ref="D2:D3"/>
    <mergeCell ref="C2:C3"/>
    <mergeCell ref="B2:B3"/>
    <mergeCell ref="A2:A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FEACB-49C6-4613-9AA7-64CE258B5F29}">
  <sheetPr codeName="Planilha5"/>
  <dimension ref="A1:AD45"/>
  <sheetViews>
    <sheetView showGridLines="0" workbookViewId="0">
      <selection activeCell="T9" sqref="G9:T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67</v>
      </c>
      <c r="B1" s="10" t="s">
        <v>68</v>
      </c>
      <c r="C1" s="10" t="s">
        <v>69</v>
      </c>
      <c r="D1" s="10" t="s">
        <v>70</v>
      </c>
      <c r="E1" s="10" t="s">
        <v>71</v>
      </c>
      <c r="F1" s="10" t="s">
        <v>72</v>
      </c>
      <c r="G1" s="10" t="s">
        <v>73</v>
      </c>
      <c r="H1" s="10" t="s">
        <v>74</v>
      </c>
      <c r="I1" s="11">
        <v>44531</v>
      </c>
      <c r="J1" s="11">
        <v>44562</v>
      </c>
      <c r="K1" s="11">
        <v>44593</v>
      </c>
      <c r="L1" s="11">
        <v>44621</v>
      </c>
      <c r="M1" s="11">
        <v>44652</v>
      </c>
      <c r="N1" s="11">
        <v>44682</v>
      </c>
      <c r="O1" s="11">
        <v>44713</v>
      </c>
      <c r="P1" s="11">
        <v>44743</v>
      </c>
      <c r="Q1" s="11">
        <v>44774</v>
      </c>
      <c r="R1" s="11">
        <v>44805</v>
      </c>
      <c r="S1" s="11">
        <v>44835</v>
      </c>
      <c r="T1" s="11">
        <v>44866</v>
      </c>
      <c r="U1" s="10" t="s">
        <v>75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39</v>
      </c>
      <c r="B2" s="103" t="s">
        <v>78</v>
      </c>
      <c r="C2" s="103" t="s">
        <v>25</v>
      </c>
      <c r="D2" s="103" t="s">
        <v>25</v>
      </c>
      <c r="E2" s="103" t="s">
        <v>25</v>
      </c>
      <c r="F2" s="103" t="s">
        <v>25</v>
      </c>
      <c r="G2" s="14" t="s">
        <v>80</v>
      </c>
      <c r="H2" s="14" t="s">
        <v>79</v>
      </c>
      <c r="I2" s="14">
        <f>SUMIF(Mercado_Receita!$T$2:$T$1039,"44531A3Energia horáriaNão se aplicaNão se aplicaNão se aplicaNão se aplicaPonta",Mercado_Receita!$N$2:$N$1039)</f>
        <v>560</v>
      </c>
      <c r="J2" s="14">
        <f>SUMIF(Mercado_Receita!$T$2:$T$1039,"44562A3Energia horáriaNão se aplicaNão se aplicaNão se aplicaNão se aplicaPonta",Mercado_Receita!$N$2:$N$1039)</f>
        <v>593.94100000000003</v>
      </c>
      <c r="K2" s="14">
        <f>SUMIF(Mercado_Receita!$T$2:$T$1039,"44593A3Energia horáriaNão se aplicaNão se aplicaNão se aplicaNão se aplicaPonta",Mercado_Receita!$N$2:$N$1039)</f>
        <v>564.43799999999999</v>
      </c>
      <c r="L2" s="14">
        <f>SUMIF(Mercado_Receita!$T$2:$T$1039,"44621A3Energia horáriaNão se aplicaNão se aplicaNão se aplicaNão se aplicaPonta",Mercado_Receita!$N$2:$N$1039)</f>
        <v>319.24200000000002</v>
      </c>
      <c r="M2" s="14">
        <f>SUMIF(Mercado_Receita!$T$2:$T$1039,"44652A3Energia horáriaNão se aplicaNão se aplicaNão se aplicaNão se aplicaPonta",Mercado_Receita!$N$2:$N$1039)</f>
        <v>764.221</v>
      </c>
      <c r="N2" s="14">
        <f>SUMIF(Mercado_Receita!$T$2:$T$1039,"44682A3Energia horáriaNão se aplicaNão se aplicaNão se aplicaNão se aplicaPonta",Mercado_Receita!$N$2:$N$1039)</f>
        <v>615.19500000000005</v>
      </c>
      <c r="O2" s="14">
        <f>SUMIF(Mercado_Receita!$T$2:$T$1039,"44713A3Energia horáriaNão se aplicaNão se aplicaNão se aplicaNão se aplicaPonta",Mercado_Receita!$N$2:$N$1039)</f>
        <v>582.03</v>
      </c>
      <c r="P2" s="14">
        <f>SUMIF(Mercado_Receita!$T$2:$T$1039,"44743A3Energia horáriaNão se aplicaNão se aplicaNão se aplicaNão se aplicaPonta",Mercado_Receita!$N$2:$N$1039)</f>
        <v>517.55899999999997</v>
      </c>
      <c r="Q2" s="14">
        <f>SUMIF(Mercado_Receita!$T$2:$T$1039,"44774A3Energia horáriaNão se aplicaNão se aplicaNão se aplicaNão se aplicaPonta",Mercado_Receita!$N$2:$N$1039)</f>
        <v>603.452</v>
      </c>
      <c r="R2" s="14">
        <f>SUMIF(Mercado_Receita!$T$2:$T$1039,"44805A3Energia horáriaNão se aplicaNão se aplicaNão se aplicaNão se aplicaPonta",Mercado_Receita!$N$2:$N$1039)</f>
        <v>201.11</v>
      </c>
      <c r="S2" s="14">
        <f>SUMIF(Mercado_Receita!$T$2:$T$1039,"44835A3Energia horáriaNão se aplicaNão se aplicaNão se aplicaNão se aplicaPonta",Mercado_Receita!$N$2:$N$1039)</f>
        <v>547.71500000000003</v>
      </c>
      <c r="T2" s="14">
        <f>SUMIF(Mercado_Receita!$T$2:$T$1039,"44866A3Energia horáriaNão se aplicaNão se aplicaNão se aplicaNão se aplicaPonta",Mercado_Receita!$N$2:$N$1039)</f>
        <v>547.71500000000003</v>
      </c>
      <c r="U2" s="14">
        <f t="shared" ref="U2:U44" si="0">SUM(I2:T2)</f>
        <v>6416.6180000000004</v>
      </c>
      <c r="V2" s="14"/>
      <c r="W2" s="14"/>
    </row>
    <row r="3" spans="1:30" ht="11.25" customHeight="1" x14ac:dyDescent="0.25">
      <c r="A3" s="104"/>
      <c r="B3" s="104"/>
      <c r="C3" s="104"/>
      <c r="D3" s="104"/>
      <c r="E3" s="104"/>
      <c r="F3" s="104"/>
      <c r="G3" s="14" t="s">
        <v>81</v>
      </c>
      <c r="H3" s="14" t="s">
        <v>79</v>
      </c>
      <c r="I3" s="14">
        <f>SUMIF(Mercado_Receita!$T$2:$T$1039,"44531A3Energia horáriaNão se aplicaNão se aplicaNão se aplicaNão se aplicaFora ponta",Mercado_Receita!$N$2:$N$1039)</f>
        <v>5845</v>
      </c>
      <c r="J3" s="14">
        <f>SUMIF(Mercado_Receita!$T$2:$T$1039,"44562A3Energia horáriaNão se aplicaNão se aplicaNão se aplicaNão se aplicaFora ponta",Mercado_Receita!$N$2:$N$1039)</f>
        <v>6008.0209999999997</v>
      </c>
      <c r="K3" s="14">
        <f>SUMIF(Mercado_Receita!$T$2:$T$1039,"44593A3Energia horáriaNão se aplicaNão se aplicaNão se aplicaNão se aplicaFora ponta",Mercado_Receita!$N$2:$N$1039)</f>
        <v>5600.4</v>
      </c>
      <c r="L3" s="14">
        <f>SUMIF(Mercado_Receita!$T$2:$T$1039,"44621A3Energia horáriaNão se aplicaNão se aplicaNão se aplicaNão se aplicaFora ponta",Mercado_Receita!$N$2:$N$1039)</f>
        <v>3532.3310000000001</v>
      </c>
      <c r="M3" s="14">
        <f>SUMIF(Mercado_Receita!$T$2:$T$1039,"44652A3Energia horáriaNão se aplicaNão se aplicaNão se aplicaNão se aplicaFora ponta",Mercado_Receita!$N$2:$N$1039)</f>
        <v>8375.271999999999</v>
      </c>
      <c r="N3" s="14">
        <f>SUMIF(Mercado_Receita!$T$2:$T$1039,"44682A3Energia horáriaNão se aplicaNão se aplicaNão se aplicaNão se aplicaFora ponta",Mercado_Receita!$N$2:$N$1039)</f>
        <v>6445.393</v>
      </c>
      <c r="O3" s="14">
        <f>SUMIF(Mercado_Receita!$T$2:$T$1039,"44713A3Energia horáriaNão se aplicaNão se aplicaNão se aplicaNão se aplicaFora ponta",Mercado_Receita!$N$2:$N$1039)</f>
        <v>6118.0709999999999</v>
      </c>
      <c r="P3" s="14">
        <f>SUMIF(Mercado_Receita!$T$2:$T$1039,"44743A3Energia horáriaNão se aplicaNão se aplicaNão se aplicaNão se aplicaFora ponta",Mercado_Receita!$N$2:$N$1039)</f>
        <v>5872.4219999999996</v>
      </c>
      <c r="Q3" s="14">
        <f>SUMIF(Mercado_Receita!$T$2:$T$1039,"44774A3Energia horáriaNão se aplicaNão se aplicaNão se aplicaNão se aplicaFora ponta",Mercado_Receita!$N$2:$N$1039)</f>
        <v>5692.1369999999997</v>
      </c>
      <c r="R3" s="14">
        <f>SUMIF(Mercado_Receita!$T$2:$T$1039,"44805A3Energia horáriaNão se aplicaNão se aplicaNão se aplicaNão se aplicaFora ponta",Mercado_Receita!$N$2:$N$1039)</f>
        <v>2291.52</v>
      </c>
      <c r="S3" s="14">
        <f>SUMIF(Mercado_Receita!$T$2:$T$1039,"44835A3Energia horáriaNão se aplicaNão se aplicaNão se aplicaNão se aplicaFora ponta",Mercado_Receita!$N$2:$N$1039)</f>
        <v>5468.7669999999998</v>
      </c>
      <c r="T3" s="14">
        <f>SUMIF(Mercado_Receita!$T$2:$T$1039,"44866A3Energia horáriaNão se aplicaNão se aplicaNão se aplicaNão se aplicaFora ponta",Mercado_Receita!$N$2:$N$1039)</f>
        <v>5468.7669999999998</v>
      </c>
      <c r="U3" s="14">
        <f t="shared" si="0"/>
        <v>66718.100999999995</v>
      </c>
      <c r="V3" s="14"/>
      <c r="W3" s="14"/>
    </row>
    <row r="4" spans="1:30" ht="11.25" customHeight="1" x14ac:dyDescent="0.25">
      <c r="A4" s="103" t="s">
        <v>42</v>
      </c>
      <c r="B4" s="103" t="s">
        <v>78</v>
      </c>
      <c r="C4" s="103" t="s">
        <v>25</v>
      </c>
      <c r="D4" s="103" t="s">
        <v>25</v>
      </c>
      <c r="E4" s="103" t="s">
        <v>25</v>
      </c>
      <c r="F4" s="103" t="s">
        <v>25</v>
      </c>
      <c r="G4" s="14" t="s">
        <v>80</v>
      </c>
      <c r="H4" s="14" t="s">
        <v>79</v>
      </c>
      <c r="I4" s="14">
        <f>SUMIF(Mercado_Receita!$T$2:$T$1039,"44531A3aEnergia horáriaNão se aplicaNão se aplicaNão se aplicaNão se aplicaPonta",Mercado_Receita!$N$2:$N$1039)</f>
        <v>3.15</v>
      </c>
      <c r="J4" s="14">
        <f>SUMIF(Mercado_Receita!$T$2:$T$1039,"44562A3aEnergia horáriaNão se aplicaNão se aplicaNão se aplicaNão se aplicaPonta",Mercado_Receita!$N$2:$N$1039)</f>
        <v>2.625</v>
      </c>
      <c r="K4" s="14">
        <f>SUMIF(Mercado_Receita!$T$2:$T$1039,"44593A3aEnergia horáriaNão se aplicaNão se aplicaNão se aplicaNão se aplicaPonta",Mercado_Receita!$N$2:$N$1039)</f>
        <v>2.6240000000000001</v>
      </c>
      <c r="L4" s="14">
        <f>SUMIF(Mercado_Receita!$T$2:$T$1039,"44621A3aEnergia horáriaNão se aplicaNão se aplicaNão se aplicaNão se aplicaPonta",Mercado_Receita!$N$2:$N$1039)</f>
        <v>2.625</v>
      </c>
      <c r="M4" s="14">
        <f>SUMIF(Mercado_Receita!$T$2:$T$1039,"44652A3aEnergia horáriaNão se aplicaNão se aplicaNão se aplicaNão se aplicaPonta",Mercado_Receita!$N$2:$N$1039)</f>
        <v>2.0990000000000002</v>
      </c>
      <c r="N4" s="14">
        <f>SUMIF(Mercado_Receita!$T$2:$T$1039,"44682A3aEnergia horáriaNão se aplicaNão se aplicaNão se aplicaNão se aplicaPonta",Mercado_Receita!$N$2:$N$1039)</f>
        <v>2.625</v>
      </c>
      <c r="O4" s="14">
        <f>SUMIF(Mercado_Receita!$T$2:$T$1039,"44713A3aEnergia horáriaNão se aplicaNão se aplicaNão se aplicaNão se aplicaPonta",Mercado_Receita!$N$2:$N$1039)</f>
        <v>3.15</v>
      </c>
      <c r="P4" s="14">
        <f>SUMIF(Mercado_Receita!$T$2:$T$1039,"44743A3aEnergia horáriaNão se aplicaNão se aplicaNão se aplicaNão se aplicaPonta",Mercado_Receita!$N$2:$N$1039)</f>
        <v>2.625</v>
      </c>
      <c r="Q4" s="14">
        <f>SUMIF(Mercado_Receita!$T$2:$T$1039,"44774A3aEnergia horáriaNão se aplicaNão se aplicaNão se aplicaNão se aplicaPonta",Mercado_Receita!$N$2:$N$1039)</f>
        <v>2.625</v>
      </c>
      <c r="R4" s="14">
        <f>SUMIF(Mercado_Receita!$T$2:$T$1039,"44805A3aEnergia horáriaNão se aplicaNão se aplicaNão se aplicaNão se aplicaPonta",Mercado_Receita!$N$2:$N$1039)</f>
        <v>2.0990000000000002</v>
      </c>
      <c r="S4" s="14">
        <f>SUMIF(Mercado_Receita!$T$2:$T$1039,"44835A3aEnergia horáriaNão se aplicaNão se aplicaNão se aplicaNão se aplicaPonta",Mercado_Receita!$N$2:$N$1039)</f>
        <v>2.3090000000000002</v>
      </c>
      <c r="T4" s="14">
        <f>SUMIF(Mercado_Receita!$T$2:$T$1039,"44866A3aEnergia horáriaNão se aplicaNão se aplicaNão se aplicaNão se aplicaPonta",Mercado_Receita!$N$2:$N$1039)</f>
        <v>2.3090000000000002</v>
      </c>
      <c r="U4" s="14">
        <f t="shared" si="0"/>
        <v>30.865000000000002</v>
      </c>
      <c r="V4" s="14"/>
      <c r="W4" s="14"/>
    </row>
    <row r="5" spans="1:30" ht="11.25" customHeight="1" x14ac:dyDescent="0.25">
      <c r="A5" s="104"/>
      <c r="B5" s="104"/>
      <c r="C5" s="104"/>
      <c r="D5" s="104"/>
      <c r="E5" s="104"/>
      <c r="F5" s="104"/>
      <c r="G5" s="14" t="s">
        <v>81</v>
      </c>
      <c r="H5" s="14" t="s">
        <v>79</v>
      </c>
      <c r="I5" s="14">
        <f>SUMIF(Mercado_Receita!$T$2:$T$1039,"44531A3aEnergia horáriaNão se aplicaNão se aplicaNão se aplicaNão se aplicaFora ponta",Mercado_Receita!$N$2:$N$1039)</f>
        <v>23.1</v>
      </c>
      <c r="J5" s="14">
        <f>SUMIF(Mercado_Receita!$T$2:$T$1039,"44562A3aEnergia horáriaNão se aplicaNão se aplicaNão se aplicaNão se aplicaFora ponta",Mercado_Receita!$N$2:$N$1039)</f>
        <v>15.75</v>
      </c>
      <c r="K5" s="14">
        <f>SUMIF(Mercado_Receita!$T$2:$T$1039,"44593A3aEnergia horáriaNão se aplicaNão se aplicaNão se aplicaNão se aplicaFora ponta",Mercado_Receita!$N$2:$N$1039)</f>
        <v>13.124000000000001</v>
      </c>
      <c r="L5" s="14">
        <f>SUMIF(Mercado_Receita!$T$2:$T$1039,"44621A3aEnergia horáriaNão se aplicaNão se aplicaNão se aplicaNão se aplicaFora ponta",Mercado_Receita!$N$2:$N$1039)</f>
        <v>15.225</v>
      </c>
      <c r="M5" s="14">
        <f>SUMIF(Mercado_Receita!$T$2:$T$1039,"44652A3aEnergia horáriaNão se aplicaNão se aplicaNão se aplicaNão se aplicaFora ponta",Mercado_Receita!$N$2:$N$1039)</f>
        <v>12.074</v>
      </c>
      <c r="N5" s="14">
        <f>SUMIF(Mercado_Receita!$T$2:$T$1039,"44682A3aEnergia horáriaNão se aplicaNão se aplicaNão se aplicaNão se aplicaFora ponta",Mercado_Receita!$N$2:$N$1039)</f>
        <v>18.375</v>
      </c>
      <c r="O5" s="14">
        <f>SUMIF(Mercado_Receita!$T$2:$T$1039,"44713A3aEnergia horáriaNão se aplicaNão se aplicaNão se aplicaNão se aplicaFora ponta",Mercado_Receita!$N$2:$N$1039)</f>
        <v>15.797000000000001</v>
      </c>
      <c r="P5" s="14">
        <f>SUMIF(Mercado_Receita!$T$2:$T$1039,"44743A3aEnergia horáriaNão se aplicaNão se aplicaNão se aplicaNão se aplicaFora ponta",Mercado_Receita!$N$2:$N$1039)</f>
        <v>18.327000000000002</v>
      </c>
      <c r="Q5" s="14">
        <f>SUMIF(Mercado_Receita!$T$2:$T$1039,"44774A3aEnergia horáriaNão se aplicaNão se aplicaNão se aplicaNão se aplicaFora ponta",Mercado_Receita!$N$2:$N$1039)</f>
        <v>17.324999999999999</v>
      </c>
      <c r="R5" s="14">
        <f>SUMIF(Mercado_Receita!$T$2:$T$1039,"44805A3aEnergia horáriaNão se aplicaNão se aplicaNão se aplicaNão se aplicaFora ponta",Mercado_Receita!$N$2:$N$1039)</f>
        <v>14.699</v>
      </c>
      <c r="S5" s="14">
        <f>SUMIF(Mercado_Receita!$T$2:$T$1039,"44835A3aEnergia horáriaNão se aplicaNão se aplicaNão se aplicaNão se aplicaFora ponta",Mercado_Receita!$N$2:$N$1039)</f>
        <v>13.042</v>
      </c>
      <c r="T5" s="14">
        <f>SUMIF(Mercado_Receita!$T$2:$T$1039,"44866A3aEnergia horáriaNão se aplicaNão se aplicaNão se aplicaNão se aplicaFora ponta",Mercado_Receita!$N$2:$N$1039)</f>
        <v>13.042</v>
      </c>
      <c r="U5" s="14">
        <f t="shared" si="0"/>
        <v>189.88</v>
      </c>
      <c r="V5" s="14"/>
      <c r="W5" s="14"/>
    </row>
    <row r="6" spans="1:30" ht="11.25" customHeight="1" x14ac:dyDescent="0.25">
      <c r="A6" s="104"/>
      <c r="B6" s="12" t="s">
        <v>86</v>
      </c>
      <c r="C6" s="12" t="s">
        <v>25</v>
      </c>
      <c r="D6" s="12" t="s">
        <v>25</v>
      </c>
      <c r="E6" s="12" t="s">
        <v>25</v>
      </c>
      <c r="F6" s="12" t="s">
        <v>25</v>
      </c>
      <c r="G6" s="14" t="s">
        <v>84</v>
      </c>
      <c r="H6" s="14" t="s">
        <v>79</v>
      </c>
      <c r="I6" s="14">
        <f>SUMIF(Mercado_Receita!$T$2:$T$1039,"44531A3aEnergia convencionalNão se aplicaNão se aplicaNão se aplicaNão se aplicaNão se aplica",Mercado_Receita!$N$2:$N$1039)</f>
        <v>0</v>
      </c>
      <c r="J6" s="14">
        <f>SUMIF(Mercado_Receita!$T$2:$T$1039,"44562A3aEnergia convencionalNão se aplicaNão se aplicaNão se aplicaNão se aplicaNão se aplica",Mercado_Receita!$N$2:$N$1039)</f>
        <v>0</v>
      </c>
      <c r="K6" s="14">
        <f>SUMIF(Mercado_Receita!$T$2:$T$1039,"44593A3aEnergia convencionalNão se aplicaNão se aplicaNão se aplicaNão se aplicaNão se aplica",Mercado_Receita!$N$2:$N$1039)</f>
        <v>0</v>
      </c>
      <c r="L6" s="14">
        <f>SUMIF(Mercado_Receita!$T$2:$T$1039,"44621A3aEnergia convencionalNão se aplicaNão se aplicaNão se aplicaNão se aplicaNão se aplica",Mercado_Receita!$N$2:$N$1039)</f>
        <v>0</v>
      </c>
      <c r="M6" s="14">
        <f>SUMIF(Mercado_Receita!$T$2:$T$1039,"44652A3aEnergia convencionalNão se aplicaNão se aplicaNão se aplicaNão se aplicaNão se aplica",Mercado_Receita!$N$2:$N$1039)</f>
        <v>0</v>
      </c>
      <c r="N6" s="14">
        <f>SUMIF(Mercado_Receita!$T$2:$T$1039,"44682A3aEnergia convencionalNão se aplicaNão se aplicaNão se aplicaNão se aplicaNão se aplica",Mercado_Receita!$N$2:$N$1039)</f>
        <v>0</v>
      </c>
      <c r="O6" s="14">
        <f>SUMIF(Mercado_Receita!$T$2:$T$1039,"44713A3aEnergia convencionalNão se aplicaNão se aplicaNão se aplicaNão se aplicaNão se aplica",Mercado_Receita!$N$2:$N$1039)</f>
        <v>0</v>
      </c>
      <c r="P6" s="14">
        <f>SUMIF(Mercado_Receita!$T$2:$T$1039,"44743A3aEnergia convencionalNão se aplicaNão se aplicaNão se aplicaNão se aplicaNão se aplica",Mercado_Receita!$N$2:$N$1039)</f>
        <v>0</v>
      </c>
      <c r="Q6" s="14">
        <f>SUMIF(Mercado_Receita!$T$2:$T$1039,"44774A3aEnergia convencionalNão se aplicaNão se aplicaNão se aplicaNão se aplicaNão se aplica",Mercado_Receita!$N$2:$N$1039)</f>
        <v>0</v>
      </c>
      <c r="R6" s="14">
        <f>SUMIF(Mercado_Receita!$T$2:$T$1039,"44805A3aEnergia convencionalNão se aplicaNão se aplicaNão se aplicaNão se aplicaNão se aplica",Mercado_Receita!$N$2:$N$1039)</f>
        <v>0</v>
      </c>
      <c r="S6" s="14">
        <f>SUMIF(Mercado_Receita!$T$2:$T$1039,"44835A3aEnergia convencionalNão se aplicaNão se aplicaNão se aplicaNão se aplicaNão se aplica",Mercado_Receita!$N$2:$N$1039)</f>
        <v>0</v>
      </c>
      <c r="T6" s="14">
        <f>SUMIF(Mercado_Receita!$T$2:$T$1039,"44866A3aEnergia convencionalNão se aplicaNão se aplicaNão se aplicaNão se aplicaNão se aplica",Mercado_Receita!$N$2:$N$1039)</f>
        <v>0</v>
      </c>
      <c r="U6" s="14">
        <f t="shared" si="0"/>
        <v>0</v>
      </c>
      <c r="V6" s="14"/>
      <c r="W6" s="14"/>
    </row>
    <row r="7" spans="1:30" ht="11.25" customHeight="1" x14ac:dyDescent="0.25">
      <c r="A7" s="103" t="s">
        <v>41</v>
      </c>
      <c r="B7" s="103" t="s">
        <v>78</v>
      </c>
      <c r="C7" s="103" t="s">
        <v>25</v>
      </c>
      <c r="D7" s="103" t="s">
        <v>25</v>
      </c>
      <c r="E7" s="103" t="s">
        <v>25</v>
      </c>
      <c r="F7" s="103" t="s">
        <v>25</v>
      </c>
      <c r="G7" s="14" t="s">
        <v>80</v>
      </c>
      <c r="H7" s="14" t="s">
        <v>79</v>
      </c>
      <c r="I7" s="14">
        <f>SUMIF(Mercado_Receita!$T$2:$T$1039,"44531A4Energia horáriaNão se aplicaNão se aplicaNão se aplicaNão se aplicaPonta",Mercado_Receita!$N$2:$N$1039)</f>
        <v>1516.3910000000003</v>
      </c>
      <c r="J7" s="14">
        <f>SUMIF(Mercado_Receita!$T$2:$T$1039,"44562A4Energia horáriaNão se aplicaNão se aplicaNão se aplicaNão se aplicaPonta",Mercado_Receita!$N$2:$N$1039)</f>
        <v>1278.7839999999999</v>
      </c>
      <c r="K7" s="14">
        <f>SUMIF(Mercado_Receita!$T$2:$T$1039,"44593A4Energia horáriaNão se aplicaNão se aplicaNão se aplicaNão se aplicaPonta",Mercado_Receita!$N$2:$N$1039)</f>
        <v>1235.5629999999999</v>
      </c>
      <c r="L7" s="14">
        <f>SUMIF(Mercado_Receita!$T$2:$T$1039,"44621A4Energia horáriaNão se aplicaNão se aplicaNão se aplicaNão se aplicaPonta",Mercado_Receita!$N$2:$N$1039)</f>
        <v>1401.7379999999996</v>
      </c>
      <c r="M7" s="14">
        <f>SUMIF(Mercado_Receita!$T$2:$T$1039,"44652A4Energia horáriaNão se aplicaNão se aplicaNão se aplicaNão se aplicaPonta",Mercado_Receita!$N$2:$N$1039)</f>
        <v>1269.604</v>
      </c>
      <c r="N7" s="14">
        <f>SUMIF(Mercado_Receita!$T$2:$T$1039,"44682A4Energia horáriaNão se aplicaNão se aplicaNão se aplicaNão se aplicaPonta",Mercado_Receita!$N$2:$N$1039)</f>
        <v>1435.6519999999998</v>
      </c>
      <c r="O7" s="14">
        <f>SUMIF(Mercado_Receita!$T$2:$T$1039,"44713A4Energia horáriaNão se aplicaNão se aplicaNão se aplicaNão se aplicaPonta",Mercado_Receita!$N$2:$N$1039)</f>
        <v>1692.8989999999999</v>
      </c>
      <c r="P7" s="14">
        <f>SUMIF(Mercado_Receita!$T$2:$T$1039,"44743A4Energia horáriaNão se aplicaNão se aplicaNão se aplicaNão se aplicaPonta",Mercado_Receita!$N$2:$N$1039)</f>
        <v>1403.1899999999998</v>
      </c>
      <c r="Q7" s="14">
        <f>SUMIF(Mercado_Receita!$T$2:$T$1039,"44774A4Energia horáriaNão se aplicaNão se aplicaNão se aplicaNão se aplicaPonta",Mercado_Receita!$N$2:$N$1039)</f>
        <v>1705.8829999999996</v>
      </c>
      <c r="R7" s="14">
        <f>SUMIF(Mercado_Receita!$T$2:$T$1039,"44805A4Energia horáriaNão se aplicaNão se aplicaNão se aplicaNão se aplicaPonta",Mercado_Receita!$N$2:$N$1039)</f>
        <v>1638.1679999999999</v>
      </c>
      <c r="S7" s="14">
        <f>SUMIF(Mercado_Receita!$T$2:$T$1039,"44835A4Energia horáriaNão se aplicaNão se aplicaNão se aplicaNão se aplicaPonta",Mercado_Receita!$N$2:$N$1039)</f>
        <v>1537.9649999999995</v>
      </c>
      <c r="T7" s="14">
        <f>SUMIF(Mercado_Receita!$T$2:$T$1039,"44866A4Energia horáriaNão se aplicaNão se aplicaNão se aplicaNão se aplicaPonta",Mercado_Receita!$N$2:$N$1039)</f>
        <v>1537.9649999999995</v>
      </c>
      <c r="U7" s="14">
        <f t="shared" si="0"/>
        <v>17653.802</v>
      </c>
      <c r="V7" s="14"/>
      <c r="W7" s="14"/>
    </row>
    <row r="8" spans="1:30" ht="11.25" customHeight="1" x14ac:dyDescent="0.25">
      <c r="A8" s="104"/>
      <c r="B8" s="104"/>
      <c r="C8" s="104"/>
      <c r="D8" s="104"/>
      <c r="E8" s="104"/>
      <c r="F8" s="104"/>
      <c r="G8" s="14" t="s">
        <v>81</v>
      </c>
      <c r="H8" s="14" t="s">
        <v>79</v>
      </c>
      <c r="I8" s="14">
        <f>SUMIF(Mercado_Receita!$T$2:$T$1039,"44531A4Energia horáriaNão se aplicaNão se aplicaNão se aplicaNão se aplicaFora ponta",Mercado_Receita!$N$2:$N$1039)</f>
        <v>17074.370000000006</v>
      </c>
      <c r="J8" s="14">
        <f>SUMIF(Mercado_Receita!$T$2:$T$1039,"44562A4Energia horáriaNão se aplicaNão se aplicaNão se aplicaNão se aplicaFora ponta",Mercado_Receita!$N$2:$N$1039)</f>
        <v>15392.706000000002</v>
      </c>
      <c r="K8" s="14">
        <f>SUMIF(Mercado_Receita!$T$2:$T$1039,"44593A4Energia horáriaNão se aplicaNão se aplicaNão se aplicaNão se aplicaFora ponta",Mercado_Receita!$N$2:$N$1039)</f>
        <v>14715.483</v>
      </c>
      <c r="L8" s="14">
        <f>SUMIF(Mercado_Receita!$T$2:$T$1039,"44621A4Energia horáriaNão se aplicaNão se aplicaNão se aplicaNão se aplicaFora ponta",Mercado_Receita!$N$2:$N$1039)</f>
        <v>16833.618999999999</v>
      </c>
      <c r="M8" s="14">
        <f>SUMIF(Mercado_Receita!$T$2:$T$1039,"44652A4Energia horáriaNão se aplicaNão se aplicaNão se aplicaNão se aplicaFora ponta",Mercado_Receita!$N$2:$N$1039)</f>
        <v>16003.186</v>
      </c>
      <c r="N8" s="14">
        <f>SUMIF(Mercado_Receita!$T$2:$T$1039,"44682A4Energia horáriaNão se aplicaNão se aplicaNão se aplicaNão se aplicaFora ponta",Mercado_Receita!$N$2:$N$1039)</f>
        <v>17158.312999999998</v>
      </c>
      <c r="O8" s="14">
        <f>SUMIF(Mercado_Receita!$T$2:$T$1039,"44713A4Energia horáriaNão se aplicaNão se aplicaNão se aplicaNão se aplicaFora ponta",Mercado_Receita!$N$2:$N$1039)</f>
        <v>16959.626</v>
      </c>
      <c r="P8" s="14">
        <f>SUMIF(Mercado_Receita!$T$2:$T$1039,"44743A4Energia horáriaNão se aplicaNão se aplicaNão se aplicaNão se aplicaFora ponta",Mercado_Receita!$N$2:$N$1039)</f>
        <v>16473.489000000001</v>
      </c>
      <c r="Q8" s="14">
        <f>SUMIF(Mercado_Receita!$T$2:$T$1039,"44774A4Energia horáriaNão se aplicaNão se aplicaNão se aplicaNão se aplicaFora ponta",Mercado_Receita!$N$2:$N$1039)</f>
        <v>18428.976000000002</v>
      </c>
      <c r="R8" s="14">
        <f>SUMIF(Mercado_Receita!$T$2:$T$1039,"44805A4Energia horáriaNão se aplicaNão se aplicaNão se aplicaNão se aplicaFora ponta",Mercado_Receita!$N$2:$N$1039)</f>
        <v>19301.274000000001</v>
      </c>
      <c r="S8" s="14">
        <f>SUMIF(Mercado_Receita!$T$2:$T$1039,"44835A4Energia horáriaNão se aplicaNão se aplicaNão se aplicaNão se aplicaFora ponta",Mercado_Receita!$N$2:$N$1039)</f>
        <v>19602.714999999997</v>
      </c>
      <c r="T8" s="14">
        <f>SUMIF(Mercado_Receita!$T$2:$T$1039,"44866A4Energia horáriaNão se aplicaNão se aplicaNão se aplicaNão se aplicaFora ponta",Mercado_Receita!$N$2:$N$1039)</f>
        <v>19602.714999999997</v>
      </c>
      <c r="U8" s="14">
        <f t="shared" si="0"/>
        <v>207546.47200000001</v>
      </c>
      <c r="V8" s="14"/>
      <c r="W8" s="14"/>
    </row>
    <row r="9" spans="1:30" ht="11.25" customHeight="1" x14ac:dyDescent="0.25">
      <c r="A9" s="104"/>
      <c r="B9" s="12" t="s">
        <v>86</v>
      </c>
      <c r="C9" s="12" t="s">
        <v>25</v>
      </c>
      <c r="D9" s="12" t="s">
        <v>25</v>
      </c>
      <c r="E9" s="12" t="s">
        <v>25</v>
      </c>
      <c r="F9" s="12" t="s">
        <v>25</v>
      </c>
      <c r="G9" s="14" t="s">
        <v>84</v>
      </c>
      <c r="H9" s="14" t="s">
        <v>79</v>
      </c>
      <c r="I9" s="14">
        <f>SUMIF(Mercado_Receita!$T$2:$T$1039,"44531A4Energia convencionalNão se aplicaNão se aplicaNão se aplicaNão se aplicaNão se aplica",Mercado_Receita!$N$2:$N$1039)</f>
        <v>0</v>
      </c>
      <c r="J9" s="14">
        <f>SUMIF(Mercado_Receita!$T$2:$T$1039,"44562A4Energia convencionalNão se aplicaNão se aplicaNão se aplicaNão se aplicaNão se aplica",Mercado_Receita!$N$2:$N$1039)</f>
        <v>0</v>
      </c>
      <c r="K9" s="14">
        <f>SUMIF(Mercado_Receita!$T$2:$T$1039,"44593A4Energia convencionalNão se aplicaNão se aplicaNão se aplicaNão se aplicaNão se aplica",Mercado_Receita!$N$2:$N$1039)</f>
        <v>0</v>
      </c>
      <c r="L9" s="14">
        <f>SUMIF(Mercado_Receita!$T$2:$T$1039,"44621A4Energia convencionalNão se aplicaNão se aplicaNão se aplicaNão se aplicaNão se aplica",Mercado_Receita!$N$2:$N$1039)</f>
        <v>0</v>
      </c>
      <c r="M9" s="14">
        <f>SUMIF(Mercado_Receita!$T$2:$T$1039,"44652A4Energia convencionalNão se aplicaNão se aplicaNão se aplicaNão se aplicaNão se aplica",Mercado_Receita!$N$2:$N$1039)</f>
        <v>0</v>
      </c>
      <c r="N9" s="14">
        <f>SUMIF(Mercado_Receita!$T$2:$T$1039,"44682A4Energia convencionalNão se aplicaNão se aplicaNão se aplicaNão se aplicaNão se aplica",Mercado_Receita!$N$2:$N$1039)</f>
        <v>0</v>
      </c>
      <c r="O9" s="14">
        <f>SUMIF(Mercado_Receita!$T$2:$T$1039,"44713A4Energia convencionalNão se aplicaNão se aplicaNão se aplicaNão se aplicaNão se aplica",Mercado_Receita!$N$2:$N$1039)</f>
        <v>0</v>
      </c>
      <c r="P9" s="14">
        <f>SUMIF(Mercado_Receita!$T$2:$T$1039,"44743A4Energia convencionalNão se aplicaNão se aplicaNão se aplicaNão se aplicaNão se aplica",Mercado_Receita!$N$2:$N$1039)</f>
        <v>0</v>
      </c>
      <c r="Q9" s="14">
        <f>SUMIF(Mercado_Receita!$T$2:$T$1039,"44774A4Energia convencionalNão se aplicaNão se aplicaNão se aplicaNão se aplicaNão se aplica",Mercado_Receita!$N$2:$N$1039)</f>
        <v>0</v>
      </c>
      <c r="R9" s="14">
        <f>SUMIF(Mercado_Receita!$T$2:$T$1039,"44805A4Energia convencionalNão se aplicaNão se aplicaNão se aplicaNão se aplicaNão se aplica",Mercado_Receita!$N$2:$N$1039)</f>
        <v>0</v>
      </c>
      <c r="S9" s="14">
        <f>SUMIF(Mercado_Receita!$T$2:$T$1039,"44835A4Energia convencionalNão se aplicaNão se aplicaNão se aplicaNão se aplicaNão se aplica",Mercado_Receita!$N$2:$N$1039)</f>
        <v>0</v>
      </c>
      <c r="T9" s="14">
        <f>SUMIF(Mercado_Receita!$T$2:$T$1039,"44866A4Energia convencionalNão se aplicaNão se aplicaNão se aplicaNão se aplicaNão se aplica",Mercado_Receita!$N$2:$N$1039)</f>
        <v>0</v>
      </c>
      <c r="U9" s="14">
        <f t="shared" si="0"/>
        <v>0</v>
      </c>
      <c r="V9" s="14"/>
      <c r="W9" s="14"/>
    </row>
    <row r="10" spans="1:30" ht="11.25" customHeight="1" x14ac:dyDescent="0.25">
      <c r="A10" s="103" t="s">
        <v>22</v>
      </c>
      <c r="B10" s="103" t="s">
        <v>78</v>
      </c>
      <c r="C10" s="103" t="s">
        <v>24</v>
      </c>
      <c r="D10" s="103" t="s">
        <v>24</v>
      </c>
      <c r="E10" s="103" t="s">
        <v>25</v>
      </c>
      <c r="F10" s="103" t="s">
        <v>25</v>
      </c>
      <c r="G10" s="14" t="s">
        <v>80</v>
      </c>
      <c r="H10" s="14" t="s">
        <v>79</v>
      </c>
      <c r="I10" s="14">
        <f>SUMIF(Mercado_Receita!$T$2:$T$1039,"44531B1Energia horáriaResidencialResidencialNão se aplicaNão se aplicaPonta",Mercado_Receita!$N$2:$N$1039)</f>
        <v>1.653</v>
      </c>
      <c r="J10" s="14">
        <f>SUMIF(Mercado_Receita!$T$2:$T$1039,"44562B1Energia horáriaResidencialResidencialNão se aplicaNão se aplicaPonta",Mercado_Receita!$N$2:$N$1039)</f>
        <v>1.2730000000000001</v>
      </c>
      <c r="K10" s="14">
        <f>SUMIF(Mercado_Receita!$T$2:$T$1039,"44593B1Energia horáriaResidencialResidencialNão se aplicaNão se aplicaPonta",Mercado_Receita!$N$2:$N$1039)</f>
        <v>0.83399999999999996</v>
      </c>
      <c r="L10" s="14">
        <f>SUMIF(Mercado_Receita!$T$2:$T$1039,"44621B1Energia horáriaResidencialResidencialNão se aplicaNão se aplicaPonta",Mercado_Receita!$N$2:$N$1039)</f>
        <v>0.80400000000000005</v>
      </c>
      <c r="M10" s="14">
        <f>SUMIF(Mercado_Receita!$T$2:$T$1039,"44652B1Energia horáriaResidencialResidencialNão se aplicaNão se aplicaPonta",Mercado_Receita!$N$2:$N$1039)</f>
        <v>1.206</v>
      </c>
      <c r="N10" s="14">
        <f>SUMIF(Mercado_Receita!$T$2:$T$1039,"44682B1Energia horáriaResidencialResidencialNão se aplicaNão se aplicaPonta",Mercado_Receita!$N$2:$N$1039)</f>
        <v>1.2410000000000001</v>
      </c>
      <c r="O10" s="14">
        <f>SUMIF(Mercado_Receita!$T$2:$T$1039,"44713B1Energia horáriaResidencialResidencialNão se aplicaNão se aplicaPonta",Mercado_Receita!$N$2:$N$1039)</f>
        <v>1.4039999999999999</v>
      </c>
      <c r="P10" s="14">
        <f>SUMIF(Mercado_Receita!$T$2:$T$1039,"44743B1Energia horáriaResidencialResidencialNão se aplicaNão se aplicaPonta",Mercado_Receita!$N$2:$N$1039)</f>
        <v>2.1219999999999999</v>
      </c>
      <c r="Q10" s="14">
        <f>SUMIF(Mercado_Receita!$T$2:$T$1039,"44774B1Energia horáriaResidencialResidencialNão se aplicaNão se aplicaPonta",Mercado_Receita!$N$2:$N$1039)</f>
        <v>0.37500000000000006</v>
      </c>
      <c r="R10" s="14">
        <f>SUMIF(Mercado_Receita!$T$2:$T$1039,"44805B1Energia horáriaResidencialResidencialNão se aplicaNão se aplicaPonta",Mercado_Receita!$N$2:$N$1039)</f>
        <v>1.411</v>
      </c>
      <c r="S10" s="14">
        <f>SUMIF(Mercado_Receita!$T$2:$T$1039,"44835B1Energia horáriaResidencialResidencialNão se aplicaNão se aplicaPonta",Mercado_Receita!$N$2:$N$1039)</f>
        <v>1.337</v>
      </c>
      <c r="T10" s="14">
        <f>SUMIF(Mercado_Receita!$T$2:$T$1039,"44866B1Energia horáriaResidencialResidencialNão se aplicaNão se aplicaPonta",Mercado_Receita!$N$2:$N$1039)</f>
        <v>1.337</v>
      </c>
      <c r="U10" s="14">
        <f t="shared" si="0"/>
        <v>14.996999999999998</v>
      </c>
      <c r="V10" s="14"/>
      <c r="W10" s="14"/>
    </row>
    <row r="11" spans="1:30" ht="11.25" customHeight="1" x14ac:dyDescent="0.25">
      <c r="A11" s="104"/>
      <c r="B11" s="104"/>
      <c r="C11" s="104"/>
      <c r="D11" s="104"/>
      <c r="E11" s="104"/>
      <c r="F11" s="104"/>
      <c r="G11" s="14" t="s">
        <v>90</v>
      </c>
      <c r="H11" s="14" t="s">
        <v>79</v>
      </c>
      <c r="I11" s="14">
        <f>SUMIF(Mercado_Receita!$T$2:$T$1039,"44531B1Energia horáriaResidencialResidencialNão se aplicaNão se aplicaIntermediário",Mercado_Receita!$N$2:$N$1039)</f>
        <v>1.462</v>
      </c>
      <c r="J11" s="14">
        <f>SUMIF(Mercado_Receita!$T$2:$T$1039,"44562B1Energia horáriaResidencialResidencialNão se aplicaNão se aplicaIntermediário",Mercado_Receita!$N$2:$N$1039)</f>
        <v>1.083</v>
      </c>
      <c r="K11" s="14">
        <f>SUMIF(Mercado_Receita!$T$2:$T$1039,"44593B1Energia horáriaResidencialResidencialNão se aplicaNão se aplicaIntermediário",Mercado_Receita!$N$2:$N$1039)</f>
        <v>0.94299999999999995</v>
      </c>
      <c r="L11" s="14">
        <f>SUMIF(Mercado_Receita!$T$2:$T$1039,"44621B1Energia horáriaResidencialResidencialNão se aplicaNão se aplicaIntermediário",Mercado_Receita!$N$2:$N$1039)</f>
        <v>0.83699999999999997</v>
      </c>
      <c r="M11" s="14">
        <f>SUMIF(Mercado_Receita!$T$2:$T$1039,"44652B1Energia horáriaResidencialResidencialNão se aplicaNão se aplicaIntermediário",Mercado_Receita!$N$2:$N$1039)</f>
        <v>1.002</v>
      </c>
      <c r="N11" s="14">
        <f>SUMIF(Mercado_Receita!$T$2:$T$1039,"44682B1Energia horáriaResidencialResidencialNão se aplicaNão se aplicaIntermediário",Mercado_Receita!$N$2:$N$1039)</f>
        <v>0.89700000000000002</v>
      </c>
      <c r="O11" s="14">
        <f>SUMIF(Mercado_Receita!$T$2:$T$1039,"44713B1Energia horáriaResidencialResidencialNão se aplicaNão se aplicaIntermediário",Mercado_Receita!$N$2:$N$1039)</f>
        <v>1.3120000000000001</v>
      </c>
      <c r="P11" s="14">
        <f>SUMIF(Mercado_Receita!$T$2:$T$1039,"44743B1Energia horáriaResidencialResidencialNão se aplicaNão se aplicaIntermediário",Mercado_Receita!$N$2:$N$1039)</f>
        <v>1.679</v>
      </c>
      <c r="Q11" s="14">
        <f>SUMIF(Mercado_Receita!$T$2:$T$1039,"44774B1Energia horáriaResidencialResidencialNão se aplicaNão se aplicaIntermediário",Mercado_Receita!$N$2:$N$1039)</f>
        <v>0.35300000000000009</v>
      </c>
      <c r="R11" s="14">
        <f>SUMIF(Mercado_Receita!$T$2:$T$1039,"44805B1Energia horáriaResidencialResidencialNão se aplicaNão se aplicaIntermediário",Mercado_Receita!$N$2:$N$1039)</f>
        <v>1.2629999999999999</v>
      </c>
      <c r="S11" s="14">
        <f>SUMIF(Mercado_Receita!$T$2:$T$1039,"44835B1Energia horáriaResidencialResidencialNão se aplicaNão se aplicaIntermediário",Mercado_Receita!$N$2:$N$1039)</f>
        <v>1.2230000000000001</v>
      </c>
      <c r="T11" s="14">
        <f>SUMIF(Mercado_Receita!$T$2:$T$1039,"44866B1Energia horáriaResidencialResidencialNão se aplicaNão se aplicaIntermediário",Mercado_Receita!$N$2:$N$1039)</f>
        <v>1.2230000000000001</v>
      </c>
      <c r="U11" s="14">
        <f t="shared" si="0"/>
        <v>13.277000000000001</v>
      </c>
      <c r="V11" s="14"/>
      <c r="W11" s="14"/>
    </row>
    <row r="12" spans="1:30" ht="11.25" customHeight="1" x14ac:dyDescent="0.25">
      <c r="A12" s="104"/>
      <c r="B12" s="104"/>
      <c r="C12" s="104"/>
      <c r="D12" s="104"/>
      <c r="E12" s="104"/>
      <c r="F12" s="104"/>
      <c r="G12" s="14" t="s">
        <v>81</v>
      </c>
      <c r="H12" s="14" t="s">
        <v>79</v>
      </c>
      <c r="I12" s="14">
        <f>SUMIF(Mercado_Receita!$T$2:$T$1039,"44531B1Energia horáriaResidencialResidencialNão se aplicaNão se aplicaFora ponta",Mercado_Receita!$N$2:$N$1039)</f>
        <v>19.745999999999999</v>
      </c>
      <c r="J12" s="14">
        <f>SUMIF(Mercado_Receita!$T$2:$T$1039,"44562B1Energia horáriaResidencialResidencialNão se aplicaNão se aplicaFora ponta",Mercado_Receita!$N$2:$N$1039)</f>
        <v>15.263</v>
      </c>
      <c r="K12" s="14">
        <f>SUMIF(Mercado_Receita!$T$2:$T$1039,"44593B1Energia horáriaResidencialResidencialNão se aplicaNão se aplicaFora ponta",Mercado_Receita!$N$2:$N$1039)</f>
        <v>14.493</v>
      </c>
      <c r="L12" s="14">
        <f>SUMIF(Mercado_Receita!$T$2:$T$1039,"44621B1Energia horáriaResidencialResidencialNão se aplicaNão se aplicaFora ponta",Mercado_Receita!$N$2:$N$1039)</f>
        <v>13.952</v>
      </c>
      <c r="M12" s="14">
        <f>SUMIF(Mercado_Receita!$T$2:$T$1039,"44652B1Energia horáriaResidencialResidencialNão se aplicaNão se aplicaFora ponta",Mercado_Receita!$N$2:$N$1039)</f>
        <v>14.739000000000001</v>
      </c>
      <c r="N12" s="14">
        <f>SUMIF(Mercado_Receita!$T$2:$T$1039,"44682B1Energia horáriaResidencialResidencialNão se aplicaNão se aplicaFora ponta",Mercado_Receita!$N$2:$N$1039)</f>
        <v>13.596</v>
      </c>
      <c r="O12" s="14">
        <f>SUMIF(Mercado_Receita!$T$2:$T$1039,"44713B1Energia horáriaResidencialResidencialNão se aplicaNão se aplicaFora ponta",Mercado_Receita!$N$2:$N$1039)</f>
        <v>19.535</v>
      </c>
      <c r="P12" s="14">
        <f>SUMIF(Mercado_Receita!$T$2:$T$1039,"44743B1Energia horáriaResidencialResidencialNão se aplicaNão se aplicaFora ponta",Mercado_Receita!$N$2:$N$1039)</f>
        <v>26.469000000000001</v>
      </c>
      <c r="Q12" s="14">
        <f>SUMIF(Mercado_Receita!$T$2:$T$1039,"44774B1Energia horáriaResidencialResidencialNão se aplicaNão se aplicaFora ponta",Mercado_Receita!$N$2:$N$1039)</f>
        <v>0.30700000000000038</v>
      </c>
      <c r="R12" s="14">
        <f>SUMIF(Mercado_Receita!$T$2:$T$1039,"44805B1Energia horáriaResidencialResidencialNão se aplicaNão se aplicaFora ponta",Mercado_Receita!$N$2:$N$1039)</f>
        <v>19.670000000000002</v>
      </c>
      <c r="S12" s="14">
        <f>SUMIF(Mercado_Receita!$T$2:$T$1039,"44835B1Energia horáriaResidencialResidencialNão se aplicaNão se aplicaFora ponta",Mercado_Receita!$N$2:$N$1039)</f>
        <v>19.352</v>
      </c>
      <c r="T12" s="14">
        <f>SUMIF(Mercado_Receita!$T$2:$T$1039,"44866B1Energia horáriaResidencialResidencialNão se aplicaNão se aplicaFora ponta",Mercado_Receita!$N$2:$N$1039)</f>
        <v>19.352</v>
      </c>
      <c r="U12" s="14">
        <f t="shared" si="0"/>
        <v>196.47399999999999</v>
      </c>
      <c r="V12" s="14"/>
      <c r="W12" s="14"/>
    </row>
    <row r="13" spans="1:30" ht="11.25" customHeight="1" x14ac:dyDescent="0.25">
      <c r="A13" s="104"/>
      <c r="B13" s="103" t="s">
        <v>86</v>
      </c>
      <c r="C13" s="103" t="s">
        <v>24</v>
      </c>
      <c r="D13" s="12" t="s">
        <v>24</v>
      </c>
      <c r="E13" s="12" t="s">
        <v>25</v>
      </c>
      <c r="F13" s="12" t="s">
        <v>25</v>
      </c>
      <c r="G13" s="14" t="s">
        <v>84</v>
      </c>
      <c r="H13" s="14" t="s">
        <v>79</v>
      </c>
      <c r="I13" s="14">
        <f>SUMIF(Mercado_Receita!$T$2:$T$1039,"44531B1Energia convencionalResidencialResidencialNão se aplicaNão se aplicaNão se aplica",Mercado_Receita!$N$2:$N$1039)</f>
        <v>38912.549000000006</v>
      </c>
      <c r="J13" s="14">
        <f>SUMIF(Mercado_Receita!$T$2:$T$1039,"44562B1Energia convencionalResidencialResidencialNão se aplicaNão se aplicaNão se aplica",Mercado_Receita!$N$2:$N$1039)</f>
        <v>34242.777000000002</v>
      </c>
      <c r="K13" s="14">
        <f>SUMIF(Mercado_Receita!$T$2:$T$1039,"44593B1Energia convencionalResidencialResidencialNão se aplicaNão se aplicaNão se aplica",Mercado_Receita!$N$2:$N$1039)</f>
        <v>29506.952000000005</v>
      </c>
      <c r="L13" s="14">
        <f>SUMIF(Mercado_Receita!$T$2:$T$1039,"44621B1Energia convencionalResidencialResidencialNão se aplicaNão se aplicaNão se aplica",Mercado_Receita!$N$2:$N$1039)</f>
        <v>33351.103000000003</v>
      </c>
      <c r="M13" s="14">
        <f>SUMIF(Mercado_Receita!$T$2:$T$1039,"44652B1Energia convencionalResidencialResidencialNão se aplicaNão se aplicaNão se aplica",Mercado_Receita!$N$2:$N$1039)</f>
        <v>31498.460000000006</v>
      </c>
      <c r="N13" s="14">
        <f>SUMIF(Mercado_Receita!$T$2:$T$1039,"44682B1Energia convencionalResidencialResidencialNão se aplicaNão se aplicaNão se aplica",Mercado_Receita!$N$2:$N$1039)</f>
        <v>37177.412000000004</v>
      </c>
      <c r="O13" s="14">
        <f>SUMIF(Mercado_Receita!$T$2:$T$1039,"44713B1Energia convencionalResidencialResidencialNão se aplicaNão se aplicaNão se aplica",Mercado_Receita!$N$2:$N$1039)</f>
        <v>38328.291999999994</v>
      </c>
      <c r="P13" s="14">
        <f>SUMIF(Mercado_Receita!$T$2:$T$1039,"44743B1Energia convencionalResidencialResidencialNão se aplicaNão se aplicaNão se aplica",Mercado_Receita!$N$2:$N$1039)</f>
        <v>37077.500999999997</v>
      </c>
      <c r="Q13" s="14">
        <f>SUMIF(Mercado_Receita!$T$2:$T$1039,"44774B1Energia convencionalResidencialResidencialNão se aplicaNão se aplicaNão se aplica",Mercado_Receita!$N$2:$N$1039)</f>
        <v>40463.209000000003</v>
      </c>
      <c r="R13" s="14">
        <f>SUMIF(Mercado_Receita!$T$2:$T$1039,"44805B1Energia convencionalResidencialResidencialNão se aplicaNão se aplicaNão se aplica",Mercado_Receita!$N$2:$N$1039)</f>
        <v>42889.721000000005</v>
      </c>
      <c r="S13" s="14">
        <f>SUMIF(Mercado_Receita!$T$2:$T$1039,"44835B1Energia convencionalResidencialResidencialNão se aplicaNão se aplicaNão se aplica",Mercado_Receita!$N$2:$N$1039)</f>
        <v>44137.840000000004</v>
      </c>
      <c r="T13" s="14">
        <f>SUMIF(Mercado_Receita!$T$2:$T$1039,"44866B1Energia convencionalResidencialResidencialNão se aplicaNão se aplicaNão se aplica",Mercado_Receita!$N$2:$N$1039)</f>
        <v>44137.840000000004</v>
      </c>
      <c r="U13" s="14">
        <f t="shared" si="0"/>
        <v>451723.65600000008</v>
      </c>
      <c r="V13" s="14"/>
      <c r="W13" s="14"/>
    </row>
    <row r="14" spans="1:30" ht="11.25" customHeight="1" x14ac:dyDescent="0.25">
      <c r="A14" s="104"/>
      <c r="B14" s="104"/>
      <c r="C14" s="104"/>
      <c r="D14" s="12" t="s">
        <v>29</v>
      </c>
      <c r="E14" s="12" t="s">
        <v>25</v>
      </c>
      <c r="F14" s="12" t="s">
        <v>25</v>
      </c>
      <c r="G14" s="14" t="s">
        <v>84</v>
      </c>
      <c r="H14" s="14" t="s">
        <v>79</v>
      </c>
      <c r="I14" s="14">
        <f>SUMIF(Mercado_Receita!$T$2:$T$1039,"44531B1Energia convencionalResidencialResidencial baixa renda – faixa 01Não se aplicaNão se aplicaNão se aplica",Mercado_Receita!$N$2:$N$1039)</f>
        <v>882.66</v>
      </c>
      <c r="J14" s="14">
        <f>SUMIF(Mercado_Receita!$T$2:$T$1039,"44562B1Energia convencionalResidencialResidencial baixa renda – faixa 01Não se aplicaNão se aplicaNão se aplica",Mercado_Receita!$N$2:$N$1039)</f>
        <v>1002.364</v>
      </c>
      <c r="K14" s="14">
        <f>SUMIF(Mercado_Receita!$T$2:$T$1039,"44593B1Energia convencionalResidencialResidencial baixa renda – faixa 01Não se aplicaNão se aplicaNão se aplica",Mercado_Receita!$N$2:$N$1039)</f>
        <v>981.14300000000003</v>
      </c>
      <c r="L14" s="14">
        <f>SUMIF(Mercado_Receita!$T$2:$T$1039,"44621B1Energia convencionalResidencialResidencial baixa renda – faixa 01Não se aplicaNão se aplicaNão se aplica",Mercado_Receita!$N$2:$N$1039)</f>
        <v>970.12699999999995</v>
      </c>
      <c r="M14" s="14">
        <f>SUMIF(Mercado_Receita!$T$2:$T$1039,"44652B1Energia convencionalResidencialResidencial baixa renda – faixa 01Não se aplicaNão se aplicaNão se aplica",Mercado_Receita!$N$2:$N$1039)</f>
        <v>1028.835</v>
      </c>
      <c r="N14" s="14">
        <f>SUMIF(Mercado_Receita!$T$2:$T$1039,"44682B1Energia convencionalResidencialResidencial baixa renda – faixa 01Não se aplicaNão se aplicaNão se aplica",Mercado_Receita!$N$2:$N$1039)</f>
        <v>1029.931</v>
      </c>
      <c r="O14" s="14">
        <f>SUMIF(Mercado_Receita!$T$2:$T$1039,"44713B1Energia convencionalResidencialResidencial baixa renda – faixa 01Não se aplicaNão se aplicaNão se aplica",Mercado_Receita!$N$2:$N$1039)</f>
        <v>1065.4669999999999</v>
      </c>
      <c r="P14" s="14">
        <f>SUMIF(Mercado_Receita!$T$2:$T$1039,"44743B1Energia convencionalResidencialResidencial baixa renda – faixa 01Não se aplicaNão se aplicaNão se aplica",Mercado_Receita!$N$2:$N$1039)</f>
        <v>1095.454</v>
      </c>
      <c r="Q14" s="14">
        <f>SUMIF(Mercado_Receita!$T$2:$T$1039,"44774B1Energia convencionalResidencialResidencial baixa renda – faixa 01Não se aplicaNão se aplicaNão se aplica",Mercado_Receita!$N$2:$N$1039)</f>
        <v>1130.2730000000001</v>
      </c>
      <c r="R14" s="14">
        <f>SUMIF(Mercado_Receita!$T$2:$T$1039,"44805B1Energia convencionalResidencialResidencial baixa renda – faixa 01Não se aplicaNão se aplicaNão se aplica",Mercado_Receita!$N$2:$N$1039)</f>
        <v>1668.3109999999999</v>
      </c>
      <c r="S14" s="14">
        <f>SUMIF(Mercado_Receita!$T$2:$T$1039,"44835B1Energia convencionalResidencialResidencial baixa renda – faixa 01Não se aplicaNão se aplicaNão se aplica",Mercado_Receita!$N$2:$N$1039)</f>
        <v>2212.0910000000003</v>
      </c>
      <c r="T14" s="14">
        <f>SUMIF(Mercado_Receita!$T$2:$T$1039,"44866B1Energia convencionalResidencialResidencial baixa renda – faixa 01Não se aplicaNão se aplicaNão se aplica",Mercado_Receita!$N$2:$N$1039)</f>
        <v>2212.0910000000003</v>
      </c>
      <c r="U14" s="14">
        <f t="shared" si="0"/>
        <v>15278.746999999999</v>
      </c>
      <c r="V14" s="14"/>
      <c r="W14" s="14"/>
    </row>
    <row r="15" spans="1:30" ht="11.25" customHeight="1" x14ac:dyDescent="0.25">
      <c r="A15" s="104"/>
      <c r="B15" s="104"/>
      <c r="C15" s="104"/>
      <c r="D15" s="12" t="s">
        <v>30</v>
      </c>
      <c r="E15" s="12" t="s">
        <v>25</v>
      </c>
      <c r="F15" s="12" t="s">
        <v>25</v>
      </c>
      <c r="G15" s="14" t="s">
        <v>84</v>
      </c>
      <c r="H15" s="14" t="s">
        <v>79</v>
      </c>
      <c r="I15" s="14">
        <f>SUMIF(Mercado_Receita!$T$2:$T$1039,"44531B1Energia convencionalResidencialResidencial baixa renda – faixa 02Não se aplicaNão se aplicaNão se aplica",Mercado_Receita!$N$2:$N$1039)</f>
        <v>1312.615</v>
      </c>
      <c r="J15" s="14">
        <f>SUMIF(Mercado_Receita!$T$2:$T$1039,"44562B1Energia convencionalResidencialResidencial baixa renda – faixa 02Não se aplicaNão se aplicaNão se aplica",Mercado_Receita!$N$2:$N$1039)</f>
        <v>1495.4660000000001</v>
      </c>
      <c r="K15" s="14">
        <f>SUMIF(Mercado_Receita!$T$2:$T$1039,"44593B1Energia convencionalResidencialResidencial baixa renda – faixa 02Não se aplicaNão se aplicaNão se aplica",Mercado_Receita!$N$2:$N$1039)</f>
        <v>1516</v>
      </c>
      <c r="L15" s="14">
        <f>SUMIF(Mercado_Receita!$T$2:$T$1039,"44621B1Energia convencionalResidencialResidencial baixa renda – faixa 02Não se aplicaNão se aplicaNão se aplica",Mercado_Receita!$N$2:$N$1039)</f>
        <v>1533.3779999999999</v>
      </c>
      <c r="M15" s="14">
        <f>SUMIF(Mercado_Receita!$T$2:$T$1039,"44652B1Energia convencionalResidencialResidencial baixa renda – faixa 02Não se aplicaNão se aplicaNão se aplica",Mercado_Receita!$N$2:$N$1039)</f>
        <v>1636.4750000000001</v>
      </c>
      <c r="N15" s="14">
        <f>SUMIF(Mercado_Receita!$T$2:$T$1039,"44682B1Energia convencionalResidencialResidencial baixa renda – faixa 02Não se aplicaNão se aplicaNão se aplica",Mercado_Receita!$N$2:$N$1039)</f>
        <v>1654.0920000000001</v>
      </c>
      <c r="O15" s="14">
        <f>SUMIF(Mercado_Receita!$T$2:$T$1039,"44713B1Energia convencionalResidencialResidencial baixa renda – faixa 02Não se aplicaNão se aplicaNão se aplica",Mercado_Receita!$N$2:$N$1039)</f>
        <v>1743.9470000000001</v>
      </c>
      <c r="P15" s="14">
        <f>SUMIF(Mercado_Receita!$T$2:$T$1039,"44743B1Energia convencionalResidencialResidencial baixa renda – faixa 02Não se aplicaNão se aplicaNão se aplica",Mercado_Receita!$N$2:$N$1039)</f>
        <v>1826.886</v>
      </c>
      <c r="Q15" s="14">
        <f>SUMIF(Mercado_Receita!$T$2:$T$1039,"44774B1Energia convencionalResidencialResidencial baixa renda – faixa 02Não se aplicaNão se aplicaNão se aplica",Mercado_Receita!$N$2:$N$1039)</f>
        <v>1915.673</v>
      </c>
      <c r="R15" s="14">
        <f>SUMIF(Mercado_Receita!$T$2:$T$1039,"44805B1Energia convencionalResidencialResidencial baixa renda – faixa 02Não se aplicaNão se aplicaNão se aplica",Mercado_Receita!$N$2:$N$1039)</f>
        <v>2143.8209999999999</v>
      </c>
      <c r="S15" s="14">
        <f>SUMIF(Mercado_Receita!$T$2:$T$1039,"44835B1Energia convencionalResidencialResidencial baixa renda – faixa 02Não se aplicaNão se aplicaNão se aplica",Mercado_Receita!$N$2:$N$1039)</f>
        <v>2594.201</v>
      </c>
      <c r="T15" s="14">
        <f>SUMIF(Mercado_Receita!$T$2:$T$1039,"44866B1Energia convencionalResidencialResidencial baixa renda – faixa 02Não se aplicaNão se aplicaNão se aplica",Mercado_Receita!$N$2:$N$1039)</f>
        <v>2594.201</v>
      </c>
      <c r="U15" s="14">
        <f t="shared" si="0"/>
        <v>21966.755000000005</v>
      </c>
      <c r="V15" s="14"/>
      <c r="W15" s="14"/>
    </row>
    <row r="16" spans="1:30" ht="11.25" customHeight="1" x14ac:dyDescent="0.25">
      <c r="A16" s="104"/>
      <c r="B16" s="104"/>
      <c r="C16" s="104"/>
      <c r="D16" s="12" t="s">
        <v>31</v>
      </c>
      <c r="E16" s="12" t="s">
        <v>25</v>
      </c>
      <c r="F16" s="12" t="s">
        <v>25</v>
      </c>
      <c r="G16" s="14" t="s">
        <v>84</v>
      </c>
      <c r="H16" s="14" t="s">
        <v>79</v>
      </c>
      <c r="I16" s="14">
        <f>SUMIF(Mercado_Receita!$T$2:$T$1039,"44531B1Energia convencionalResidencialResidencial baixa renda – faixa 03Não se aplicaNão se aplicaNão se aplica",Mercado_Receita!$N$2:$N$1039)</f>
        <v>1438.981</v>
      </c>
      <c r="J16" s="14">
        <f>SUMIF(Mercado_Receita!$T$2:$T$1039,"44562B1Energia convencionalResidencialResidencial baixa renda – faixa 03Não se aplicaNão se aplicaNão se aplica",Mercado_Receita!$N$2:$N$1039)</f>
        <v>1568.837</v>
      </c>
      <c r="K16" s="14">
        <f>SUMIF(Mercado_Receita!$T$2:$T$1039,"44593B1Energia convencionalResidencialResidencial baixa renda – faixa 03Não se aplicaNão se aplicaNão se aplica",Mercado_Receita!$N$2:$N$1039)</f>
        <v>1491.9169999999999</v>
      </c>
      <c r="L16" s="14">
        <f>SUMIF(Mercado_Receita!$T$2:$T$1039,"44621B1Energia convencionalResidencialResidencial baixa renda – faixa 03Não se aplicaNão se aplicaNão se aplica",Mercado_Receita!$N$2:$N$1039)</f>
        <v>1580.0640000000001</v>
      </c>
      <c r="M16" s="14">
        <f>SUMIF(Mercado_Receita!$T$2:$T$1039,"44652B1Energia convencionalResidencialResidencial baixa renda – faixa 03Não se aplicaNão se aplicaNão se aplica",Mercado_Receita!$N$2:$N$1039)</f>
        <v>1646.9540000000002</v>
      </c>
      <c r="N16" s="14">
        <f>SUMIF(Mercado_Receita!$T$2:$T$1039,"44682B1Energia convencionalResidencialResidencial baixa renda – faixa 03Não se aplicaNão se aplicaNão se aplica",Mercado_Receita!$N$2:$N$1039)</f>
        <v>1763.367</v>
      </c>
      <c r="O16" s="14">
        <f>SUMIF(Mercado_Receita!$T$2:$T$1039,"44713B1Energia convencionalResidencialResidencial baixa renda – faixa 03Não se aplicaNão se aplicaNão se aplica",Mercado_Receita!$N$2:$N$1039)</f>
        <v>1887.473</v>
      </c>
      <c r="P16" s="14">
        <f>SUMIF(Mercado_Receita!$T$2:$T$1039,"44743B1Energia convencionalResidencialResidencial baixa renda – faixa 03Não se aplicaNão se aplicaNão se aplica",Mercado_Receita!$N$2:$N$1039)</f>
        <v>1958.4259999999999</v>
      </c>
      <c r="Q16" s="14">
        <f>SUMIF(Mercado_Receita!$T$2:$T$1039,"44774B1Energia convencionalResidencialResidencial baixa renda – faixa 03Não se aplicaNão se aplicaNão se aplica",Mercado_Receita!$N$2:$N$1039)</f>
        <v>2130.7780000000002</v>
      </c>
      <c r="R16" s="14">
        <f>SUMIF(Mercado_Receita!$T$2:$T$1039,"44805B1Energia convencionalResidencialResidencial baixa renda – faixa 03Não se aplicaNão se aplicaNão se aplica",Mercado_Receita!$N$2:$N$1039)</f>
        <v>2472.3780000000002</v>
      </c>
      <c r="S16" s="14">
        <f>SUMIF(Mercado_Receita!$T$2:$T$1039,"44835B1Energia convencionalResidencialResidencial baixa renda – faixa 03Não se aplicaNão se aplicaNão se aplica",Mercado_Receita!$N$2:$N$1039)</f>
        <v>3072.1379999999999</v>
      </c>
      <c r="T16" s="14">
        <f>SUMIF(Mercado_Receita!$T$2:$T$1039,"44866B1Energia convencionalResidencialResidencial baixa renda – faixa 03Não se aplicaNão se aplicaNão se aplica",Mercado_Receita!$N$2:$N$1039)</f>
        <v>3072.1379999999999</v>
      </c>
      <c r="U16" s="14">
        <f t="shared" si="0"/>
        <v>24083.450999999997</v>
      </c>
      <c r="V16" s="14"/>
      <c r="W16" s="14"/>
    </row>
    <row r="17" spans="1:23" ht="11.25" customHeight="1" x14ac:dyDescent="0.25">
      <c r="A17" s="104"/>
      <c r="B17" s="104"/>
      <c r="C17" s="104"/>
      <c r="D17" s="12" t="s">
        <v>32</v>
      </c>
      <c r="E17" s="12" t="s">
        <v>25</v>
      </c>
      <c r="F17" s="12" t="s">
        <v>25</v>
      </c>
      <c r="G17" s="14" t="s">
        <v>84</v>
      </c>
      <c r="H17" s="14" t="s">
        <v>79</v>
      </c>
      <c r="I17" s="14">
        <f>SUMIF(Mercado_Receita!$T$2:$T$1039,"44531B1Energia convencionalResidencialResidencial baixa renda – faixa 04Não se aplicaNão se aplicaNão se aplica",Mercado_Receita!$N$2:$N$1039)</f>
        <v>1783.93</v>
      </c>
      <c r="J17" s="14">
        <f>SUMIF(Mercado_Receita!$T$2:$T$1039,"44562B1Energia convencionalResidencialResidencial baixa renda – faixa 04Não se aplicaNão se aplicaNão se aplica",Mercado_Receita!$N$2:$N$1039)</f>
        <v>1791.1510000000001</v>
      </c>
      <c r="K17" s="14">
        <f>SUMIF(Mercado_Receita!$T$2:$T$1039,"44593B1Energia convencionalResidencialResidencial baixa renda – faixa 04Não se aplicaNão se aplicaNão se aplica",Mercado_Receita!$N$2:$N$1039)</f>
        <v>1368.0360000000001</v>
      </c>
      <c r="L17" s="14">
        <f>SUMIF(Mercado_Receita!$T$2:$T$1039,"44621B1Energia convencionalResidencialResidencial baixa renda – faixa 04Não se aplicaNão se aplicaNão se aplica",Mercado_Receita!$N$2:$N$1039)</f>
        <v>1504.9169999999999</v>
      </c>
      <c r="M17" s="14">
        <f>SUMIF(Mercado_Receita!$T$2:$T$1039,"44652B1Energia convencionalResidencialResidencial baixa renda – faixa 04Não se aplicaNão se aplicaNão se aplica",Mercado_Receita!$N$2:$N$1039)</f>
        <v>1585.0800000000002</v>
      </c>
      <c r="N17" s="14">
        <f>SUMIF(Mercado_Receita!$T$2:$T$1039,"44682B1Energia convencionalResidencialResidencial baixa renda – faixa 04Não se aplicaNão se aplicaNão se aplica",Mercado_Receita!$N$2:$N$1039)</f>
        <v>2060.5330000000004</v>
      </c>
      <c r="O17" s="14">
        <f>SUMIF(Mercado_Receita!$T$2:$T$1039,"44713B1Energia convencionalResidencialResidencial baixa renda – faixa 04Não se aplicaNão se aplicaNão se aplica",Mercado_Receita!$N$2:$N$1039)</f>
        <v>2201.7999999999997</v>
      </c>
      <c r="P17" s="14">
        <f>SUMIF(Mercado_Receita!$T$2:$T$1039,"44743B1Energia convencionalResidencialResidencial baixa renda – faixa 04Não se aplicaNão se aplicaNão se aplica",Mercado_Receita!$N$2:$N$1039)</f>
        <v>2287.9369999999999</v>
      </c>
      <c r="Q17" s="14">
        <f>SUMIF(Mercado_Receita!$T$2:$T$1039,"44774B1Energia convencionalResidencialResidencial baixa renda – faixa 04Não se aplicaNão se aplicaNão se aplica",Mercado_Receita!$N$2:$N$1039)</f>
        <v>2674.9289999999996</v>
      </c>
      <c r="R17" s="14">
        <f>SUMIF(Mercado_Receita!$T$2:$T$1039,"44805B1Energia convencionalResidencialResidencial baixa renda – faixa 04Não se aplicaNão se aplicaNão se aplica",Mercado_Receita!$N$2:$N$1039)</f>
        <v>3537.89</v>
      </c>
      <c r="S17" s="14">
        <f>SUMIF(Mercado_Receita!$T$2:$T$1039,"44835B1Energia convencionalResidencialResidencial baixa renda – faixa 04Não se aplicaNão se aplicaNão se aplica",Mercado_Receita!$N$2:$N$1039)</f>
        <v>4787.4670000000006</v>
      </c>
      <c r="T17" s="14">
        <f>SUMIF(Mercado_Receita!$T$2:$T$1039,"44866B1Energia convencionalResidencialResidencial baixa renda – faixa 04Não se aplicaNão se aplicaNão se aplica",Mercado_Receita!$N$2:$N$1039)</f>
        <v>4787.4670000000006</v>
      </c>
      <c r="U17" s="14">
        <f t="shared" si="0"/>
        <v>30371.136999999999</v>
      </c>
      <c r="V17" s="14"/>
      <c r="W17" s="14"/>
    </row>
    <row r="18" spans="1:23" ht="11.25" customHeight="1" x14ac:dyDescent="0.25">
      <c r="A18" s="104"/>
      <c r="B18" s="103" t="s">
        <v>91</v>
      </c>
      <c r="C18" s="103" t="s">
        <v>24</v>
      </c>
      <c r="D18" s="12" t="s">
        <v>24</v>
      </c>
      <c r="E18" s="12" t="s">
        <v>25</v>
      </c>
      <c r="F18" s="12" t="s">
        <v>25</v>
      </c>
      <c r="G18" s="14" t="s">
        <v>84</v>
      </c>
      <c r="H18" s="14" t="s">
        <v>79</v>
      </c>
      <c r="I18" s="14">
        <f>SUMIF(Mercado_Receita!$T$2:$T$1039,"44531B1Energia convencional pré-pagamentoResidencialResidencialNão se aplicaNão se aplicaNão se aplica",Mercado_Receita!$N$2:$N$1039)</f>
        <v>0</v>
      </c>
      <c r="J18" s="14">
        <f>SUMIF(Mercado_Receita!$T$2:$T$1039,"44562B1Energia convencional pré-pagamentoResidencialResidencialNão se aplicaNão se aplicaNão se aplica",Mercado_Receita!$N$2:$N$1039)</f>
        <v>0</v>
      </c>
      <c r="K18" s="14">
        <f>SUMIF(Mercado_Receita!$T$2:$T$1039,"44593B1Energia convencional pré-pagamentoResidencialResidencialNão se aplicaNão se aplicaNão se aplica",Mercado_Receita!$N$2:$N$1039)</f>
        <v>0</v>
      </c>
      <c r="L18" s="14">
        <f>SUMIF(Mercado_Receita!$T$2:$T$1039,"44621B1Energia convencional pré-pagamentoResidencialResidencialNão se aplicaNão se aplicaNão se aplica",Mercado_Receita!$N$2:$N$1039)</f>
        <v>0</v>
      </c>
      <c r="M18" s="14">
        <f>SUMIF(Mercado_Receita!$T$2:$T$1039,"44652B1Energia convencional pré-pagamentoResidencialResidencialNão se aplicaNão se aplicaNão se aplica",Mercado_Receita!$N$2:$N$1039)</f>
        <v>0</v>
      </c>
      <c r="N18" s="14">
        <f>SUMIF(Mercado_Receita!$T$2:$T$1039,"44682B1Energia convencional pré-pagamentoResidencialResidencialNão se aplicaNão se aplicaNão se aplica",Mercado_Receita!$N$2:$N$1039)</f>
        <v>0</v>
      </c>
      <c r="O18" s="14">
        <f>SUMIF(Mercado_Receita!$T$2:$T$1039,"44713B1Energia convencional pré-pagamentoResidencialResidencialNão se aplicaNão se aplicaNão se aplica",Mercado_Receita!$N$2:$N$1039)</f>
        <v>0</v>
      </c>
      <c r="P18" s="14">
        <f>SUMIF(Mercado_Receita!$T$2:$T$1039,"44743B1Energia convencional pré-pagamentoResidencialResidencialNão se aplicaNão se aplicaNão se aplica",Mercado_Receita!$N$2:$N$1039)</f>
        <v>0</v>
      </c>
      <c r="Q18" s="14">
        <f>SUMIF(Mercado_Receita!$T$2:$T$1039,"44774B1Energia convencional pré-pagamentoResidencialResidencialNão se aplicaNão se aplicaNão se aplica",Mercado_Receita!$N$2:$N$1039)</f>
        <v>0</v>
      </c>
      <c r="R18" s="14">
        <f>SUMIF(Mercado_Receita!$T$2:$T$1039,"44805B1Energia convencional pré-pagamentoResidencialResidencialNão se aplicaNão se aplicaNão se aplica",Mercado_Receita!$N$2:$N$1039)</f>
        <v>0</v>
      </c>
      <c r="S18" s="14">
        <f>SUMIF(Mercado_Receita!$T$2:$T$1039,"44835B1Energia convencional pré-pagamentoResidencialResidencialNão se aplicaNão se aplicaNão se aplica",Mercado_Receita!$N$2:$N$1039)</f>
        <v>0</v>
      </c>
      <c r="T18" s="14">
        <f>SUMIF(Mercado_Receita!$T$2:$T$1039,"44866B1Energia convencional pré-pagamentoResidencialResidencialNão se aplicaNão se aplicaNão se aplica",Mercado_Receita!$N$2:$N$1039)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04"/>
      <c r="B19" s="104"/>
      <c r="C19" s="104"/>
      <c r="D19" s="12" t="s">
        <v>29</v>
      </c>
      <c r="E19" s="12" t="s">
        <v>25</v>
      </c>
      <c r="F19" s="12" t="s">
        <v>25</v>
      </c>
      <c r="G19" s="14" t="s">
        <v>84</v>
      </c>
      <c r="H19" s="14" t="s">
        <v>79</v>
      </c>
      <c r="I19" s="14">
        <f>SUMIF(Mercado_Receita!$T$2:$T$1039,"44531B1Energia convencional pré-pagamentoResidencialResidencial baixa renda – faixa 01Não se aplicaNão se aplicaNão se aplica",Mercado_Receita!$N$2:$N$1039)</f>
        <v>0</v>
      </c>
      <c r="J19" s="14">
        <f>SUMIF(Mercado_Receita!$T$2:$T$1039,"44562B1Energia convencional pré-pagamentoResidencialResidencial baixa renda – faixa 01Não se aplicaNão se aplicaNão se aplica",Mercado_Receita!$N$2:$N$1039)</f>
        <v>0</v>
      </c>
      <c r="K19" s="14">
        <f>SUMIF(Mercado_Receita!$T$2:$T$1039,"44593B1Energia convencional pré-pagamentoResidencialResidencial baixa renda – faixa 01Não se aplicaNão se aplicaNão se aplica",Mercado_Receita!$N$2:$N$1039)</f>
        <v>0</v>
      </c>
      <c r="L19" s="14">
        <f>SUMIF(Mercado_Receita!$T$2:$T$1039,"44621B1Energia convencional pré-pagamentoResidencialResidencial baixa renda – faixa 01Não se aplicaNão se aplicaNão se aplica",Mercado_Receita!$N$2:$N$1039)</f>
        <v>0</v>
      </c>
      <c r="M19" s="14">
        <f>SUMIF(Mercado_Receita!$T$2:$T$1039,"44652B1Energia convencional pré-pagamentoResidencialResidencial baixa renda – faixa 01Não se aplicaNão se aplicaNão se aplica",Mercado_Receita!$N$2:$N$1039)</f>
        <v>0</v>
      </c>
      <c r="N19" s="14">
        <f>SUMIF(Mercado_Receita!$T$2:$T$1039,"44682B1Energia convencional pré-pagamentoResidencialResidencial baixa renda – faixa 01Não se aplicaNão se aplicaNão se aplica",Mercado_Receita!$N$2:$N$1039)</f>
        <v>0</v>
      </c>
      <c r="O19" s="14">
        <f>SUMIF(Mercado_Receita!$T$2:$T$1039,"44713B1Energia convencional pré-pagamentoResidencialResidencial baixa renda – faixa 01Não se aplicaNão se aplicaNão se aplica",Mercado_Receita!$N$2:$N$1039)</f>
        <v>0</v>
      </c>
      <c r="P19" s="14">
        <f>SUMIF(Mercado_Receita!$T$2:$T$1039,"44743B1Energia convencional pré-pagamentoResidencialResidencial baixa renda – faixa 01Não se aplicaNão se aplicaNão se aplica",Mercado_Receita!$N$2:$N$1039)</f>
        <v>0</v>
      </c>
      <c r="Q19" s="14">
        <f>SUMIF(Mercado_Receita!$T$2:$T$1039,"44774B1Energia convencional pré-pagamentoResidencialResidencial baixa renda – faixa 01Não se aplicaNão se aplicaNão se aplica",Mercado_Receita!$N$2:$N$1039)</f>
        <v>0</v>
      </c>
      <c r="R19" s="14">
        <f>SUMIF(Mercado_Receita!$T$2:$T$1039,"44805B1Energia convencional pré-pagamentoResidencialResidencial baixa renda – faixa 01Não se aplicaNão se aplicaNão se aplica",Mercado_Receita!$N$2:$N$1039)</f>
        <v>0</v>
      </c>
      <c r="S19" s="14">
        <f>SUMIF(Mercado_Receita!$T$2:$T$1039,"44835B1Energia convencional pré-pagamentoResidencialResidencial baixa renda – faixa 01Não se aplicaNão se aplicaNão se aplica",Mercado_Receita!$N$2:$N$1039)</f>
        <v>0</v>
      </c>
      <c r="T19" s="14">
        <f>SUMIF(Mercado_Receita!$T$2:$T$1039,"44866B1Energia convencional pré-pagamentoResidencialResidencial baixa renda – faixa 01Não se aplicaNão se aplicaNão se aplica",Mercado_Receita!$N$2:$N$1039)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04"/>
      <c r="B20" s="104"/>
      <c r="C20" s="104"/>
      <c r="D20" s="12" t="s">
        <v>30</v>
      </c>
      <c r="E20" s="12" t="s">
        <v>25</v>
      </c>
      <c r="F20" s="12" t="s">
        <v>25</v>
      </c>
      <c r="G20" s="14" t="s">
        <v>84</v>
      </c>
      <c r="H20" s="14" t="s">
        <v>79</v>
      </c>
      <c r="I20" s="14">
        <f>SUMIF(Mercado_Receita!$T$2:$T$1039,"44531B1Energia convencional pré-pagamentoResidencialResidencial baixa renda – faixa 02Não se aplicaNão se aplicaNão se aplica",Mercado_Receita!$N$2:$N$1039)</f>
        <v>0</v>
      </c>
      <c r="J20" s="14">
        <f>SUMIF(Mercado_Receita!$T$2:$T$1039,"44562B1Energia convencional pré-pagamentoResidencialResidencial baixa renda – faixa 02Não se aplicaNão se aplicaNão se aplica",Mercado_Receita!$N$2:$N$1039)</f>
        <v>0</v>
      </c>
      <c r="K20" s="14">
        <f>SUMIF(Mercado_Receita!$T$2:$T$1039,"44593B1Energia convencional pré-pagamentoResidencialResidencial baixa renda – faixa 02Não se aplicaNão se aplicaNão se aplica",Mercado_Receita!$N$2:$N$1039)</f>
        <v>0</v>
      </c>
      <c r="L20" s="14">
        <f>SUMIF(Mercado_Receita!$T$2:$T$1039,"44621B1Energia convencional pré-pagamentoResidencialResidencial baixa renda – faixa 02Não se aplicaNão se aplicaNão se aplica",Mercado_Receita!$N$2:$N$1039)</f>
        <v>0</v>
      </c>
      <c r="M20" s="14">
        <f>SUMIF(Mercado_Receita!$T$2:$T$1039,"44652B1Energia convencional pré-pagamentoResidencialResidencial baixa renda – faixa 02Não se aplicaNão se aplicaNão se aplica",Mercado_Receita!$N$2:$N$1039)</f>
        <v>0</v>
      </c>
      <c r="N20" s="14">
        <f>SUMIF(Mercado_Receita!$T$2:$T$1039,"44682B1Energia convencional pré-pagamentoResidencialResidencial baixa renda – faixa 02Não se aplicaNão se aplicaNão se aplica",Mercado_Receita!$N$2:$N$1039)</f>
        <v>0</v>
      </c>
      <c r="O20" s="14">
        <f>SUMIF(Mercado_Receita!$T$2:$T$1039,"44713B1Energia convencional pré-pagamentoResidencialResidencial baixa renda – faixa 02Não se aplicaNão se aplicaNão se aplica",Mercado_Receita!$N$2:$N$1039)</f>
        <v>0</v>
      </c>
      <c r="P20" s="14">
        <f>SUMIF(Mercado_Receita!$T$2:$T$1039,"44743B1Energia convencional pré-pagamentoResidencialResidencial baixa renda – faixa 02Não se aplicaNão se aplicaNão se aplica",Mercado_Receita!$N$2:$N$1039)</f>
        <v>0</v>
      </c>
      <c r="Q20" s="14">
        <f>SUMIF(Mercado_Receita!$T$2:$T$1039,"44774B1Energia convencional pré-pagamentoResidencialResidencial baixa renda – faixa 02Não se aplicaNão se aplicaNão se aplica",Mercado_Receita!$N$2:$N$1039)</f>
        <v>0</v>
      </c>
      <c r="R20" s="14">
        <f>SUMIF(Mercado_Receita!$T$2:$T$1039,"44805B1Energia convencional pré-pagamentoResidencialResidencial baixa renda – faixa 02Não se aplicaNão se aplicaNão se aplica",Mercado_Receita!$N$2:$N$1039)</f>
        <v>0</v>
      </c>
      <c r="S20" s="14">
        <f>SUMIF(Mercado_Receita!$T$2:$T$1039,"44835B1Energia convencional pré-pagamentoResidencialResidencial baixa renda – faixa 02Não se aplicaNão se aplicaNão se aplica",Mercado_Receita!$N$2:$N$1039)</f>
        <v>0</v>
      </c>
      <c r="T20" s="14">
        <f>SUMIF(Mercado_Receita!$T$2:$T$1039,"44866B1Energia convencional pré-pagamentoResidencialResidencial baixa renda – faixa 02Não se aplicaNão se aplicaNão se aplica",Mercado_Receita!$N$2:$N$1039)</f>
        <v>0</v>
      </c>
      <c r="U20" s="14">
        <f t="shared" si="0"/>
        <v>0</v>
      </c>
      <c r="V20" s="14"/>
      <c r="W20" s="14"/>
    </row>
    <row r="21" spans="1:23" ht="11.25" customHeight="1" x14ac:dyDescent="0.25">
      <c r="A21" s="104"/>
      <c r="B21" s="104"/>
      <c r="C21" s="104"/>
      <c r="D21" s="12" t="s">
        <v>31</v>
      </c>
      <c r="E21" s="12" t="s">
        <v>25</v>
      </c>
      <c r="F21" s="12" t="s">
        <v>25</v>
      </c>
      <c r="G21" s="14" t="s">
        <v>84</v>
      </c>
      <c r="H21" s="14" t="s">
        <v>79</v>
      </c>
      <c r="I21" s="14">
        <f>SUMIF(Mercado_Receita!$T$2:$T$1039,"44531B1Energia convencional pré-pagamentoResidencialResidencial baixa renda – faixa 03Não se aplicaNão se aplicaNão se aplica",Mercado_Receita!$N$2:$N$1039)</f>
        <v>0</v>
      </c>
      <c r="J21" s="14">
        <f>SUMIF(Mercado_Receita!$T$2:$T$1039,"44562B1Energia convencional pré-pagamentoResidencialResidencial baixa renda – faixa 03Não se aplicaNão se aplicaNão se aplica",Mercado_Receita!$N$2:$N$1039)</f>
        <v>0</v>
      </c>
      <c r="K21" s="14">
        <f>SUMIF(Mercado_Receita!$T$2:$T$1039,"44593B1Energia convencional pré-pagamentoResidencialResidencial baixa renda – faixa 03Não se aplicaNão se aplicaNão se aplica",Mercado_Receita!$N$2:$N$1039)</f>
        <v>0</v>
      </c>
      <c r="L21" s="14">
        <f>SUMIF(Mercado_Receita!$T$2:$T$1039,"44621B1Energia convencional pré-pagamentoResidencialResidencial baixa renda – faixa 03Não se aplicaNão se aplicaNão se aplica",Mercado_Receita!$N$2:$N$1039)</f>
        <v>0</v>
      </c>
      <c r="M21" s="14">
        <f>SUMIF(Mercado_Receita!$T$2:$T$1039,"44652B1Energia convencional pré-pagamentoResidencialResidencial baixa renda – faixa 03Não se aplicaNão se aplicaNão se aplica",Mercado_Receita!$N$2:$N$1039)</f>
        <v>0</v>
      </c>
      <c r="N21" s="14">
        <f>SUMIF(Mercado_Receita!$T$2:$T$1039,"44682B1Energia convencional pré-pagamentoResidencialResidencial baixa renda – faixa 03Não se aplicaNão se aplicaNão se aplica",Mercado_Receita!$N$2:$N$1039)</f>
        <v>0</v>
      </c>
      <c r="O21" s="14">
        <f>SUMIF(Mercado_Receita!$T$2:$T$1039,"44713B1Energia convencional pré-pagamentoResidencialResidencial baixa renda – faixa 03Não se aplicaNão se aplicaNão se aplica",Mercado_Receita!$N$2:$N$1039)</f>
        <v>0</v>
      </c>
      <c r="P21" s="14">
        <f>SUMIF(Mercado_Receita!$T$2:$T$1039,"44743B1Energia convencional pré-pagamentoResidencialResidencial baixa renda – faixa 03Não se aplicaNão se aplicaNão se aplica",Mercado_Receita!$N$2:$N$1039)</f>
        <v>0</v>
      </c>
      <c r="Q21" s="14">
        <f>SUMIF(Mercado_Receita!$T$2:$T$1039,"44774B1Energia convencional pré-pagamentoResidencialResidencial baixa renda – faixa 03Não se aplicaNão se aplicaNão se aplica",Mercado_Receita!$N$2:$N$1039)</f>
        <v>0</v>
      </c>
      <c r="R21" s="14">
        <f>SUMIF(Mercado_Receita!$T$2:$T$1039,"44805B1Energia convencional pré-pagamentoResidencialResidencial baixa renda – faixa 03Não se aplicaNão se aplicaNão se aplica",Mercado_Receita!$N$2:$N$1039)</f>
        <v>0</v>
      </c>
      <c r="S21" s="14">
        <f>SUMIF(Mercado_Receita!$T$2:$T$1039,"44835B1Energia convencional pré-pagamentoResidencialResidencial baixa renda – faixa 03Não se aplicaNão se aplicaNão se aplica",Mercado_Receita!$N$2:$N$1039)</f>
        <v>0</v>
      </c>
      <c r="T21" s="14">
        <f>SUMIF(Mercado_Receita!$T$2:$T$1039,"44866B1Energia convencional pré-pagamentoResidencialResidencial baixa renda – faixa 03Não se aplicaNão se aplicaNão se aplica",Mercado_Receita!$N$2:$N$1039)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4"/>
      <c r="B22" s="104"/>
      <c r="C22" s="104"/>
      <c r="D22" s="12" t="s">
        <v>32</v>
      </c>
      <c r="E22" s="12" t="s">
        <v>25</v>
      </c>
      <c r="F22" s="12" t="s">
        <v>25</v>
      </c>
      <c r="G22" s="14" t="s">
        <v>84</v>
      </c>
      <c r="H22" s="14" t="s">
        <v>79</v>
      </c>
      <c r="I22" s="14">
        <f>SUMIF(Mercado_Receita!$T$2:$T$1039,"44531B1Energia convencional pré-pagamentoResidencialResidencial baixa renda – faixa 04Não se aplicaNão se aplicaNão se aplica",Mercado_Receita!$N$2:$N$1039)</f>
        <v>0</v>
      </c>
      <c r="J22" s="14">
        <f>SUMIF(Mercado_Receita!$T$2:$T$1039,"44562B1Energia convencional pré-pagamentoResidencialResidencial baixa renda – faixa 04Não se aplicaNão se aplicaNão se aplica",Mercado_Receita!$N$2:$N$1039)</f>
        <v>0</v>
      </c>
      <c r="K22" s="14">
        <f>SUMIF(Mercado_Receita!$T$2:$T$1039,"44593B1Energia convencional pré-pagamentoResidencialResidencial baixa renda – faixa 04Não se aplicaNão se aplicaNão se aplica",Mercado_Receita!$N$2:$N$1039)</f>
        <v>0</v>
      </c>
      <c r="L22" s="14">
        <f>SUMIF(Mercado_Receita!$T$2:$T$1039,"44621B1Energia convencional pré-pagamentoResidencialResidencial baixa renda – faixa 04Não se aplicaNão se aplicaNão se aplica",Mercado_Receita!$N$2:$N$1039)</f>
        <v>0</v>
      </c>
      <c r="M22" s="14">
        <f>SUMIF(Mercado_Receita!$T$2:$T$1039,"44652B1Energia convencional pré-pagamentoResidencialResidencial baixa renda – faixa 04Não se aplicaNão se aplicaNão se aplica",Mercado_Receita!$N$2:$N$1039)</f>
        <v>0</v>
      </c>
      <c r="N22" s="14">
        <f>SUMIF(Mercado_Receita!$T$2:$T$1039,"44682B1Energia convencional pré-pagamentoResidencialResidencial baixa renda – faixa 04Não se aplicaNão se aplicaNão se aplica",Mercado_Receita!$N$2:$N$1039)</f>
        <v>0</v>
      </c>
      <c r="O22" s="14">
        <f>SUMIF(Mercado_Receita!$T$2:$T$1039,"44713B1Energia convencional pré-pagamentoResidencialResidencial baixa renda – faixa 04Não se aplicaNão se aplicaNão se aplica",Mercado_Receita!$N$2:$N$1039)</f>
        <v>0</v>
      </c>
      <c r="P22" s="14">
        <f>SUMIF(Mercado_Receita!$T$2:$T$1039,"44743B1Energia convencional pré-pagamentoResidencialResidencial baixa renda – faixa 04Não se aplicaNão se aplicaNão se aplica",Mercado_Receita!$N$2:$N$1039)</f>
        <v>0</v>
      </c>
      <c r="Q22" s="14">
        <f>SUMIF(Mercado_Receita!$T$2:$T$1039,"44774B1Energia convencional pré-pagamentoResidencialResidencial baixa renda – faixa 04Não se aplicaNão se aplicaNão se aplica",Mercado_Receita!$N$2:$N$1039)</f>
        <v>0</v>
      </c>
      <c r="R22" s="14">
        <f>SUMIF(Mercado_Receita!$T$2:$T$1039,"44805B1Energia convencional pré-pagamentoResidencialResidencial baixa renda – faixa 04Não se aplicaNão se aplicaNão se aplica",Mercado_Receita!$N$2:$N$1039)</f>
        <v>0</v>
      </c>
      <c r="S22" s="14">
        <f>SUMIF(Mercado_Receita!$T$2:$T$1039,"44835B1Energia convencional pré-pagamentoResidencialResidencial baixa renda – faixa 04Não se aplicaNão se aplicaNão se aplica",Mercado_Receita!$N$2:$N$1039)</f>
        <v>0</v>
      </c>
      <c r="T22" s="14">
        <f>SUMIF(Mercado_Receita!$T$2:$T$1039,"44866B1Energia convencional pré-pagamentoResidencialResidencial baixa renda – faixa 04Não se aplicaNão se aplicaNão se aplica",Mercado_Receita!$N$2:$N$1039)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3" t="s">
        <v>45</v>
      </c>
      <c r="B23" s="103" t="s">
        <v>78</v>
      </c>
      <c r="C23" s="103" t="s">
        <v>46</v>
      </c>
      <c r="D23" s="103" t="s">
        <v>25</v>
      </c>
      <c r="E23" s="103" t="s">
        <v>25</v>
      </c>
      <c r="F23" s="103" t="s">
        <v>25</v>
      </c>
      <c r="G23" s="14" t="s">
        <v>80</v>
      </c>
      <c r="H23" s="14" t="s">
        <v>79</v>
      </c>
      <c r="I23" s="14">
        <f>SUMIF(Mercado_Receita!$T$2:$T$1039,"44531B2Energia horáriaRuralNão se aplicaNão se aplicaNão se aplicaPonta",Mercado_Receita!$N$2:$N$1039)</f>
        <v>0</v>
      </c>
      <c r="J23" s="14">
        <f>SUMIF(Mercado_Receita!$T$2:$T$1039,"44562B2Energia horáriaRuralNão se aplicaNão se aplicaNão se aplicaPonta",Mercado_Receita!$N$2:$N$1039)</f>
        <v>0</v>
      </c>
      <c r="K23" s="14">
        <f>SUMIF(Mercado_Receita!$T$2:$T$1039,"44593B2Energia horáriaRuralNão se aplicaNão se aplicaNão se aplicaPonta",Mercado_Receita!$N$2:$N$1039)</f>
        <v>0</v>
      </c>
      <c r="L23" s="14">
        <f>SUMIF(Mercado_Receita!$T$2:$T$1039,"44621B2Energia horáriaRuralNão se aplicaNão se aplicaNão se aplicaPonta",Mercado_Receita!$N$2:$N$1039)</f>
        <v>0</v>
      </c>
      <c r="M23" s="14">
        <f>SUMIF(Mercado_Receita!$T$2:$T$1039,"44652B2Energia horáriaRuralNão se aplicaNão se aplicaNão se aplicaPonta",Mercado_Receita!$N$2:$N$1039)</f>
        <v>0</v>
      </c>
      <c r="N23" s="14">
        <f>SUMIF(Mercado_Receita!$T$2:$T$1039,"44682B2Energia horáriaRuralNão se aplicaNão se aplicaNão se aplicaPonta",Mercado_Receita!$N$2:$N$1039)</f>
        <v>0</v>
      </c>
      <c r="O23" s="14">
        <f>SUMIF(Mercado_Receita!$T$2:$T$1039,"44713B2Energia horáriaRuralNão se aplicaNão se aplicaNão se aplicaPonta",Mercado_Receita!$N$2:$N$1039)</f>
        <v>0</v>
      </c>
      <c r="P23" s="14">
        <f>SUMIF(Mercado_Receita!$T$2:$T$1039,"44743B2Energia horáriaRuralNão se aplicaNão se aplicaNão se aplicaPonta",Mercado_Receita!$N$2:$N$1039)</f>
        <v>0</v>
      </c>
      <c r="Q23" s="14">
        <f>SUMIF(Mercado_Receita!$T$2:$T$1039,"44774B2Energia horáriaRuralNão se aplicaNão se aplicaNão se aplicaPonta",Mercado_Receita!$N$2:$N$1039)</f>
        <v>0</v>
      </c>
      <c r="R23" s="14">
        <f>SUMIF(Mercado_Receita!$T$2:$T$1039,"44805B2Energia horáriaRuralNão se aplicaNão se aplicaNão se aplicaPonta",Mercado_Receita!$N$2:$N$1039)</f>
        <v>0</v>
      </c>
      <c r="S23" s="14">
        <f>SUMIF(Mercado_Receita!$T$2:$T$1039,"44835B2Energia horáriaRuralNão se aplicaNão se aplicaNão se aplicaPonta",Mercado_Receita!$N$2:$N$1039)</f>
        <v>0</v>
      </c>
      <c r="T23" s="14">
        <f>SUMIF(Mercado_Receita!$T$2:$T$1039,"44866B2Energia horáriaRuralNão se aplicaNão se aplicaNão se aplicaPonta",Mercado_Receita!$N$2:$N$1039)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4"/>
      <c r="B24" s="104"/>
      <c r="C24" s="104"/>
      <c r="D24" s="104"/>
      <c r="E24" s="104"/>
      <c r="F24" s="104"/>
      <c r="G24" s="14" t="s">
        <v>90</v>
      </c>
      <c r="H24" s="14" t="s">
        <v>79</v>
      </c>
      <c r="I24" s="14">
        <f>SUMIF(Mercado_Receita!$T$2:$T$1039,"44531B2Energia horáriaRuralNão se aplicaNão se aplicaNão se aplicaIntermediário",Mercado_Receita!$N$2:$N$1039)</f>
        <v>0</v>
      </c>
      <c r="J24" s="14">
        <f>SUMIF(Mercado_Receita!$T$2:$T$1039,"44562B2Energia horáriaRuralNão se aplicaNão se aplicaNão se aplicaIntermediário",Mercado_Receita!$N$2:$N$1039)</f>
        <v>0</v>
      </c>
      <c r="K24" s="14">
        <f>SUMIF(Mercado_Receita!$T$2:$T$1039,"44593B2Energia horáriaRuralNão se aplicaNão se aplicaNão se aplicaIntermediário",Mercado_Receita!$N$2:$N$1039)</f>
        <v>0</v>
      </c>
      <c r="L24" s="14">
        <f>SUMIF(Mercado_Receita!$T$2:$T$1039,"44621B2Energia horáriaRuralNão se aplicaNão se aplicaNão se aplicaIntermediário",Mercado_Receita!$N$2:$N$1039)</f>
        <v>0</v>
      </c>
      <c r="M24" s="14">
        <f>SUMIF(Mercado_Receita!$T$2:$T$1039,"44652B2Energia horáriaRuralNão se aplicaNão se aplicaNão se aplicaIntermediário",Mercado_Receita!$N$2:$N$1039)</f>
        <v>0</v>
      </c>
      <c r="N24" s="14">
        <f>SUMIF(Mercado_Receita!$T$2:$T$1039,"44682B2Energia horáriaRuralNão se aplicaNão se aplicaNão se aplicaIntermediário",Mercado_Receita!$N$2:$N$1039)</f>
        <v>0</v>
      </c>
      <c r="O24" s="14">
        <f>SUMIF(Mercado_Receita!$T$2:$T$1039,"44713B2Energia horáriaRuralNão se aplicaNão se aplicaNão se aplicaIntermediário",Mercado_Receita!$N$2:$N$1039)</f>
        <v>0</v>
      </c>
      <c r="P24" s="14">
        <f>SUMIF(Mercado_Receita!$T$2:$T$1039,"44743B2Energia horáriaRuralNão se aplicaNão se aplicaNão se aplicaIntermediário",Mercado_Receita!$N$2:$N$1039)</f>
        <v>0</v>
      </c>
      <c r="Q24" s="14">
        <f>SUMIF(Mercado_Receita!$T$2:$T$1039,"44774B2Energia horáriaRuralNão se aplicaNão se aplicaNão se aplicaIntermediário",Mercado_Receita!$N$2:$N$1039)</f>
        <v>0</v>
      </c>
      <c r="R24" s="14">
        <f>SUMIF(Mercado_Receita!$T$2:$T$1039,"44805B2Energia horáriaRuralNão se aplicaNão se aplicaNão se aplicaIntermediário",Mercado_Receita!$N$2:$N$1039)</f>
        <v>0</v>
      </c>
      <c r="S24" s="14">
        <f>SUMIF(Mercado_Receita!$T$2:$T$1039,"44835B2Energia horáriaRuralNão se aplicaNão se aplicaNão se aplicaIntermediário",Mercado_Receita!$N$2:$N$1039)</f>
        <v>0</v>
      </c>
      <c r="T24" s="14">
        <f>SUMIF(Mercado_Receita!$T$2:$T$1039,"44866B2Energia horáriaRuralNão se aplicaNão se aplicaNão se aplicaIntermediário",Mercado_Receita!$N$2:$N$1039)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4"/>
      <c r="B25" s="104"/>
      <c r="C25" s="104"/>
      <c r="D25" s="104"/>
      <c r="E25" s="104"/>
      <c r="F25" s="104"/>
      <c r="G25" s="14" t="s">
        <v>81</v>
      </c>
      <c r="H25" s="14" t="s">
        <v>79</v>
      </c>
      <c r="I25" s="14">
        <f>SUMIF(Mercado_Receita!$T$2:$T$1039,"44531B2Energia horáriaRuralNão se aplicaNão se aplicaNão se aplicaFora ponta",Mercado_Receita!$N$2:$N$1039)</f>
        <v>0</v>
      </c>
      <c r="J25" s="14">
        <f>SUMIF(Mercado_Receita!$T$2:$T$1039,"44562B2Energia horáriaRuralNão se aplicaNão se aplicaNão se aplicaFora ponta",Mercado_Receita!$N$2:$N$1039)</f>
        <v>0</v>
      </c>
      <c r="K25" s="14">
        <f>SUMIF(Mercado_Receita!$T$2:$T$1039,"44593B2Energia horáriaRuralNão se aplicaNão se aplicaNão se aplicaFora ponta",Mercado_Receita!$N$2:$N$1039)</f>
        <v>0</v>
      </c>
      <c r="L25" s="14">
        <f>SUMIF(Mercado_Receita!$T$2:$T$1039,"44621B2Energia horáriaRuralNão se aplicaNão se aplicaNão se aplicaFora ponta",Mercado_Receita!$N$2:$N$1039)</f>
        <v>0</v>
      </c>
      <c r="M25" s="14">
        <f>SUMIF(Mercado_Receita!$T$2:$T$1039,"44652B2Energia horáriaRuralNão se aplicaNão se aplicaNão se aplicaFora ponta",Mercado_Receita!$N$2:$N$1039)</f>
        <v>0</v>
      </c>
      <c r="N25" s="14">
        <f>SUMIF(Mercado_Receita!$T$2:$T$1039,"44682B2Energia horáriaRuralNão se aplicaNão se aplicaNão se aplicaFora ponta",Mercado_Receita!$N$2:$N$1039)</f>
        <v>0</v>
      </c>
      <c r="O25" s="14">
        <f>SUMIF(Mercado_Receita!$T$2:$T$1039,"44713B2Energia horáriaRuralNão se aplicaNão se aplicaNão se aplicaFora ponta",Mercado_Receita!$N$2:$N$1039)</f>
        <v>0</v>
      </c>
      <c r="P25" s="14">
        <f>SUMIF(Mercado_Receita!$T$2:$T$1039,"44743B2Energia horáriaRuralNão se aplicaNão se aplicaNão se aplicaFora ponta",Mercado_Receita!$N$2:$N$1039)</f>
        <v>0</v>
      </c>
      <c r="Q25" s="14">
        <f>SUMIF(Mercado_Receita!$T$2:$T$1039,"44774B2Energia horáriaRuralNão se aplicaNão se aplicaNão se aplicaFora ponta",Mercado_Receita!$N$2:$N$1039)</f>
        <v>0</v>
      </c>
      <c r="R25" s="14">
        <f>SUMIF(Mercado_Receita!$T$2:$T$1039,"44805B2Energia horáriaRuralNão se aplicaNão se aplicaNão se aplicaFora ponta",Mercado_Receita!$N$2:$N$1039)</f>
        <v>0</v>
      </c>
      <c r="S25" s="14">
        <f>SUMIF(Mercado_Receita!$T$2:$T$1039,"44835B2Energia horáriaRuralNão se aplicaNão se aplicaNão se aplicaFora ponta",Mercado_Receita!$N$2:$N$1039)</f>
        <v>0</v>
      </c>
      <c r="T25" s="14">
        <f>SUMIF(Mercado_Receita!$T$2:$T$1039,"44866B2Energia horáriaRuralNão se aplicaNão se aplicaNão se aplicaFora ponta",Mercado_Receita!$N$2:$N$1039)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4"/>
      <c r="B26" s="12" t="s">
        <v>86</v>
      </c>
      <c r="C26" s="12" t="s">
        <v>46</v>
      </c>
      <c r="D26" s="12" t="s">
        <v>25</v>
      </c>
      <c r="E26" s="12" t="s">
        <v>25</v>
      </c>
      <c r="F26" s="12" t="s">
        <v>25</v>
      </c>
      <c r="G26" s="14" t="s">
        <v>84</v>
      </c>
      <c r="H26" s="14" t="s">
        <v>79</v>
      </c>
      <c r="I26" s="14">
        <f>SUMIF(Mercado_Receita!$T$2:$T$1039,"44531B2Energia convencionalRuralNão se aplicaNão se aplicaNão se aplicaNão se aplica",Mercado_Receita!$N$2:$N$1039)</f>
        <v>351.404</v>
      </c>
      <c r="J26" s="14">
        <f>SUMIF(Mercado_Receita!$T$2:$T$1039,"44562B2Energia convencionalRuralNão se aplicaNão se aplicaNão se aplicaNão se aplica",Mercado_Receita!$N$2:$N$1039)</f>
        <v>338.39099999999996</v>
      </c>
      <c r="K26" s="14">
        <f>SUMIF(Mercado_Receita!$T$2:$T$1039,"44593B2Energia convencionalRuralNão se aplicaNão se aplicaNão se aplicaNão se aplica",Mercado_Receita!$N$2:$N$1039)</f>
        <v>259.42999999999995</v>
      </c>
      <c r="L26" s="14">
        <f>SUMIF(Mercado_Receita!$T$2:$T$1039,"44621B2Energia convencionalRuralNão se aplicaNão se aplicaNão se aplicaNão se aplica",Mercado_Receita!$N$2:$N$1039)</f>
        <v>307.80599999999998</v>
      </c>
      <c r="M26" s="14">
        <f>SUMIF(Mercado_Receita!$T$2:$T$1039,"44652B2Energia convencionalRuralNão se aplicaNão se aplicaNão se aplicaNão se aplica",Mercado_Receita!$N$2:$N$1039)</f>
        <v>288.11500000000001</v>
      </c>
      <c r="N26" s="14">
        <f>SUMIF(Mercado_Receita!$T$2:$T$1039,"44682B2Energia convencionalRuralNão se aplicaNão se aplicaNão se aplicaNão se aplica",Mercado_Receita!$N$2:$N$1039)</f>
        <v>327.97</v>
      </c>
      <c r="O26" s="14">
        <f>SUMIF(Mercado_Receita!$T$2:$T$1039,"44713B2Energia convencionalRuralNão se aplicaNão se aplicaNão se aplicaNão se aplica",Mercado_Receita!$N$2:$N$1039)</f>
        <v>378.43999999999994</v>
      </c>
      <c r="P26" s="14">
        <f>SUMIF(Mercado_Receita!$T$2:$T$1039,"44743B2Energia convencionalRuralNão se aplicaNão se aplicaNão se aplicaNão se aplica",Mercado_Receita!$N$2:$N$1039)</f>
        <v>367.04399999999998</v>
      </c>
      <c r="Q26" s="14">
        <f>SUMIF(Mercado_Receita!$T$2:$T$1039,"44774B2Energia convencionalRuralNão se aplicaNão se aplicaNão se aplicaNão se aplica",Mercado_Receita!$N$2:$N$1039)</f>
        <v>360.27800000000002</v>
      </c>
      <c r="R26" s="14">
        <f>SUMIF(Mercado_Receita!$T$2:$T$1039,"44805B2Energia convencionalRuralNão se aplicaNão se aplicaNão se aplicaNão se aplica",Mercado_Receita!$N$2:$N$1039)</f>
        <v>365.19499999999999</v>
      </c>
      <c r="S26" s="14">
        <f>SUMIF(Mercado_Receita!$T$2:$T$1039,"44835B2Energia convencionalRuralNão se aplicaNão se aplicaNão se aplicaNão se aplica",Mercado_Receita!$N$2:$N$1039)</f>
        <v>401.01600000000002</v>
      </c>
      <c r="T26" s="14">
        <f>SUMIF(Mercado_Receita!$T$2:$T$1039,"44866B2Energia convencionalRuralNão se aplicaNão se aplicaNão se aplicaNão se aplica",Mercado_Receita!$N$2:$N$1039)</f>
        <v>401.01600000000002</v>
      </c>
      <c r="U26" s="14">
        <f t="shared" si="0"/>
        <v>4146.1049999999996</v>
      </c>
      <c r="V26" s="14"/>
      <c r="W26" s="14"/>
    </row>
    <row r="27" spans="1:23" ht="11.25" customHeight="1" x14ac:dyDescent="0.25">
      <c r="A27" s="104"/>
      <c r="B27" s="103" t="s">
        <v>78</v>
      </c>
      <c r="C27" s="103" t="s">
        <v>46</v>
      </c>
      <c r="D27" s="103" t="s">
        <v>93</v>
      </c>
      <c r="E27" s="103" t="s">
        <v>25</v>
      </c>
      <c r="F27" s="103" t="s">
        <v>25</v>
      </c>
      <c r="G27" s="14" t="s">
        <v>80</v>
      </c>
      <c r="H27" s="14" t="s">
        <v>79</v>
      </c>
      <c r="I27" s="14">
        <f>SUMIF(Mercado_Receita!$T$2:$T$1039,"44531B2Energia horáriaRuralCooperativa de eletrificação ruralNão se aplicaNão se aplicaPonta",Mercado_Receita!$N$2:$N$1039)</f>
        <v>0</v>
      </c>
      <c r="J27" s="14">
        <f>SUMIF(Mercado_Receita!$T$2:$T$1039,"44562B2Energia horáriaRuralCooperativa de eletrificação ruralNão se aplicaNão se aplicaPonta",Mercado_Receita!$N$2:$N$1039)</f>
        <v>0</v>
      </c>
      <c r="K27" s="14">
        <f>SUMIF(Mercado_Receita!$T$2:$T$1039,"44593B2Energia horáriaRuralCooperativa de eletrificação ruralNão se aplicaNão se aplicaPonta",Mercado_Receita!$N$2:$N$1039)</f>
        <v>0</v>
      </c>
      <c r="L27" s="14">
        <f>SUMIF(Mercado_Receita!$T$2:$T$1039,"44621B2Energia horáriaRuralCooperativa de eletrificação ruralNão se aplicaNão se aplicaPonta",Mercado_Receita!$N$2:$N$1039)</f>
        <v>0</v>
      </c>
      <c r="M27" s="14">
        <f>SUMIF(Mercado_Receita!$T$2:$T$1039,"44652B2Energia horáriaRuralCooperativa de eletrificação ruralNão se aplicaNão se aplicaPonta",Mercado_Receita!$N$2:$N$1039)</f>
        <v>0</v>
      </c>
      <c r="N27" s="14">
        <f>SUMIF(Mercado_Receita!$T$2:$T$1039,"44682B2Energia horáriaRuralCooperativa de eletrificação ruralNão se aplicaNão se aplicaPonta",Mercado_Receita!$N$2:$N$1039)</f>
        <v>0</v>
      </c>
      <c r="O27" s="14">
        <f>SUMIF(Mercado_Receita!$T$2:$T$1039,"44713B2Energia horáriaRuralCooperativa de eletrificação ruralNão se aplicaNão se aplicaPonta",Mercado_Receita!$N$2:$N$1039)</f>
        <v>0</v>
      </c>
      <c r="P27" s="14">
        <f>SUMIF(Mercado_Receita!$T$2:$T$1039,"44743B2Energia horáriaRuralCooperativa de eletrificação ruralNão se aplicaNão se aplicaPonta",Mercado_Receita!$N$2:$N$1039)</f>
        <v>0</v>
      </c>
      <c r="Q27" s="14">
        <f>SUMIF(Mercado_Receita!$T$2:$T$1039,"44774B2Energia horáriaRuralCooperativa de eletrificação ruralNão se aplicaNão se aplicaPonta",Mercado_Receita!$N$2:$N$1039)</f>
        <v>0</v>
      </c>
      <c r="R27" s="14">
        <f>SUMIF(Mercado_Receita!$T$2:$T$1039,"44805B2Energia horáriaRuralCooperativa de eletrificação ruralNão se aplicaNão se aplicaPonta",Mercado_Receita!$N$2:$N$1039)</f>
        <v>0</v>
      </c>
      <c r="S27" s="14">
        <f>SUMIF(Mercado_Receita!$T$2:$T$1039,"44835B2Energia horáriaRuralCooperativa de eletrificação ruralNão se aplicaNão se aplicaPonta",Mercado_Receita!$N$2:$N$1039)</f>
        <v>0</v>
      </c>
      <c r="T27" s="14">
        <f>SUMIF(Mercado_Receita!$T$2:$T$1039,"44866B2Energia horáriaRuralCooperativa de eletrificação ruralNão se aplicaNão se aplicaPonta",Mercado_Receita!$N$2:$N$1039)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4"/>
      <c r="B28" s="104"/>
      <c r="C28" s="104"/>
      <c r="D28" s="104"/>
      <c r="E28" s="104"/>
      <c r="F28" s="104"/>
      <c r="G28" s="14" t="s">
        <v>90</v>
      </c>
      <c r="H28" s="14" t="s">
        <v>79</v>
      </c>
      <c r="I28" s="14">
        <f>SUMIF(Mercado_Receita!$T$2:$T$1039,"44531B2Energia horáriaRuralCooperativa de eletrificação ruralNão se aplicaNão se aplicaIntermediário",Mercado_Receita!$N$2:$N$1039)</f>
        <v>0</v>
      </c>
      <c r="J28" s="14">
        <f>SUMIF(Mercado_Receita!$T$2:$T$1039,"44562B2Energia horáriaRuralCooperativa de eletrificação ruralNão se aplicaNão se aplicaIntermediário",Mercado_Receita!$N$2:$N$1039)</f>
        <v>0</v>
      </c>
      <c r="K28" s="14">
        <f>SUMIF(Mercado_Receita!$T$2:$T$1039,"44593B2Energia horáriaRuralCooperativa de eletrificação ruralNão se aplicaNão se aplicaIntermediário",Mercado_Receita!$N$2:$N$1039)</f>
        <v>0</v>
      </c>
      <c r="L28" s="14">
        <f>SUMIF(Mercado_Receita!$T$2:$T$1039,"44621B2Energia horáriaRuralCooperativa de eletrificação ruralNão se aplicaNão se aplicaIntermediário",Mercado_Receita!$N$2:$N$1039)</f>
        <v>0</v>
      </c>
      <c r="M28" s="14">
        <f>SUMIF(Mercado_Receita!$T$2:$T$1039,"44652B2Energia horáriaRuralCooperativa de eletrificação ruralNão se aplicaNão se aplicaIntermediário",Mercado_Receita!$N$2:$N$1039)</f>
        <v>0</v>
      </c>
      <c r="N28" s="14">
        <f>SUMIF(Mercado_Receita!$T$2:$T$1039,"44682B2Energia horáriaRuralCooperativa de eletrificação ruralNão se aplicaNão se aplicaIntermediário",Mercado_Receita!$N$2:$N$1039)</f>
        <v>0</v>
      </c>
      <c r="O28" s="14">
        <f>SUMIF(Mercado_Receita!$T$2:$T$1039,"44713B2Energia horáriaRuralCooperativa de eletrificação ruralNão se aplicaNão se aplicaIntermediário",Mercado_Receita!$N$2:$N$1039)</f>
        <v>0</v>
      </c>
      <c r="P28" s="14">
        <f>SUMIF(Mercado_Receita!$T$2:$T$1039,"44743B2Energia horáriaRuralCooperativa de eletrificação ruralNão se aplicaNão se aplicaIntermediário",Mercado_Receita!$N$2:$N$1039)</f>
        <v>0</v>
      </c>
      <c r="Q28" s="14">
        <f>SUMIF(Mercado_Receita!$T$2:$T$1039,"44774B2Energia horáriaRuralCooperativa de eletrificação ruralNão se aplicaNão se aplicaIntermediário",Mercado_Receita!$N$2:$N$1039)</f>
        <v>0</v>
      </c>
      <c r="R28" s="14">
        <f>SUMIF(Mercado_Receita!$T$2:$T$1039,"44805B2Energia horáriaRuralCooperativa de eletrificação ruralNão se aplicaNão se aplicaIntermediário",Mercado_Receita!$N$2:$N$1039)</f>
        <v>0</v>
      </c>
      <c r="S28" s="14">
        <f>SUMIF(Mercado_Receita!$T$2:$T$1039,"44835B2Energia horáriaRuralCooperativa de eletrificação ruralNão se aplicaNão se aplicaIntermediário",Mercado_Receita!$N$2:$N$1039)</f>
        <v>0</v>
      </c>
      <c r="T28" s="14">
        <f>SUMIF(Mercado_Receita!$T$2:$T$1039,"44866B2Energia horáriaRuralCooperativa de eletrificação ruralNão se aplicaNão se aplicaIntermediário",Mercado_Receita!$N$2:$N$1039)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04"/>
      <c r="B29" s="104"/>
      <c r="C29" s="104"/>
      <c r="D29" s="104"/>
      <c r="E29" s="104"/>
      <c r="F29" s="104"/>
      <c r="G29" s="14" t="s">
        <v>81</v>
      </c>
      <c r="H29" s="14" t="s">
        <v>79</v>
      </c>
      <c r="I29" s="14">
        <f>SUMIF(Mercado_Receita!$T$2:$T$1039,"44531B2Energia horáriaRuralCooperativa de eletrificação ruralNão se aplicaNão se aplicaFora ponta",Mercado_Receita!$N$2:$N$1039)</f>
        <v>0</v>
      </c>
      <c r="J29" s="14">
        <f>SUMIF(Mercado_Receita!$T$2:$T$1039,"44562B2Energia horáriaRuralCooperativa de eletrificação ruralNão se aplicaNão se aplicaFora ponta",Mercado_Receita!$N$2:$N$1039)</f>
        <v>0</v>
      </c>
      <c r="K29" s="14">
        <f>SUMIF(Mercado_Receita!$T$2:$T$1039,"44593B2Energia horáriaRuralCooperativa de eletrificação ruralNão se aplicaNão se aplicaFora ponta",Mercado_Receita!$N$2:$N$1039)</f>
        <v>0</v>
      </c>
      <c r="L29" s="14">
        <f>SUMIF(Mercado_Receita!$T$2:$T$1039,"44621B2Energia horáriaRuralCooperativa de eletrificação ruralNão se aplicaNão se aplicaFora ponta",Mercado_Receita!$N$2:$N$1039)</f>
        <v>0</v>
      </c>
      <c r="M29" s="14">
        <f>SUMIF(Mercado_Receita!$T$2:$T$1039,"44652B2Energia horáriaRuralCooperativa de eletrificação ruralNão se aplicaNão se aplicaFora ponta",Mercado_Receita!$N$2:$N$1039)</f>
        <v>0</v>
      </c>
      <c r="N29" s="14">
        <f>SUMIF(Mercado_Receita!$T$2:$T$1039,"44682B2Energia horáriaRuralCooperativa de eletrificação ruralNão se aplicaNão se aplicaFora ponta",Mercado_Receita!$N$2:$N$1039)</f>
        <v>0</v>
      </c>
      <c r="O29" s="14">
        <f>SUMIF(Mercado_Receita!$T$2:$T$1039,"44713B2Energia horáriaRuralCooperativa de eletrificação ruralNão se aplicaNão se aplicaFora ponta",Mercado_Receita!$N$2:$N$1039)</f>
        <v>0</v>
      </c>
      <c r="P29" s="14">
        <f>SUMIF(Mercado_Receita!$T$2:$T$1039,"44743B2Energia horáriaRuralCooperativa de eletrificação ruralNão se aplicaNão se aplicaFora ponta",Mercado_Receita!$N$2:$N$1039)</f>
        <v>0</v>
      </c>
      <c r="Q29" s="14">
        <f>SUMIF(Mercado_Receita!$T$2:$T$1039,"44774B2Energia horáriaRuralCooperativa de eletrificação ruralNão se aplicaNão se aplicaFora ponta",Mercado_Receita!$N$2:$N$1039)</f>
        <v>0</v>
      </c>
      <c r="R29" s="14">
        <f>SUMIF(Mercado_Receita!$T$2:$T$1039,"44805B2Energia horáriaRuralCooperativa de eletrificação ruralNão se aplicaNão se aplicaFora ponta",Mercado_Receita!$N$2:$N$1039)</f>
        <v>0</v>
      </c>
      <c r="S29" s="14">
        <f>SUMIF(Mercado_Receita!$T$2:$T$1039,"44835B2Energia horáriaRuralCooperativa de eletrificação ruralNão se aplicaNão se aplicaFora ponta",Mercado_Receita!$N$2:$N$1039)</f>
        <v>0</v>
      </c>
      <c r="T29" s="14">
        <f>SUMIF(Mercado_Receita!$T$2:$T$1039,"44866B2Energia horáriaRuralCooperativa de eletrificação ruralNão se aplicaNão se aplicaFora ponta",Mercado_Receita!$N$2:$N$1039)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4"/>
      <c r="B30" s="12" t="s">
        <v>86</v>
      </c>
      <c r="C30" s="12" t="s">
        <v>46</v>
      </c>
      <c r="D30" s="12" t="s">
        <v>93</v>
      </c>
      <c r="E30" s="12" t="s">
        <v>25</v>
      </c>
      <c r="F30" s="12" t="s">
        <v>25</v>
      </c>
      <c r="G30" s="14" t="s">
        <v>84</v>
      </c>
      <c r="H30" s="14" t="s">
        <v>79</v>
      </c>
      <c r="I30" s="14">
        <f>SUMIF(Mercado_Receita!$T$2:$T$1039,"44531B2Energia convencionalRuralCooperativa de eletrificação ruralNão se aplicaNão se aplicaNão se aplica",Mercado_Receita!$N$2:$N$1039)</f>
        <v>0</v>
      </c>
      <c r="J30" s="14">
        <f>SUMIF(Mercado_Receita!$T$2:$T$1039,"44562B2Energia convencionalRuralCooperativa de eletrificação ruralNão se aplicaNão se aplicaNão se aplica",Mercado_Receita!$N$2:$N$1039)</f>
        <v>0</v>
      </c>
      <c r="K30" s="14">
        <f>SUMIF(Mercado_Receita!$T$2:$T$1039,"44593B2Energia convencionalRuralCooperativa de eletrificação ruralNão se aplicaNão se aplicaNão se aplica",Mercado_Receita!$N$2:$N$1039)</f>
        <v>0</v>
      </c>
      <c r="L30" s="14">
        <f>SUMIF(Mercado_Receita!$T$2:$T$1039,"44621B2Energia convencionalRuralCooperativa de eletrificação ruralNão se aplicaNão se aplicaNão se aplica",Mercado_Receita!$N$2:$N$1039)</f>
        <v>0</v>
      </c>
      <c r="M30" s="14">
        <f>SUMIF(Mercado_Receita!$T$2:$T$1039,"44652B2Energia convencionalRuralCooperativa de eletrificação ruralNão se aplicaNão se aplicaNão se aplica",Mercado_Receita!$N$2:$N$1039)</f>
        <v>0</v>
      </c>
      <c r="N30" s="14">
        <f>SUMIF(Mercado_Receita!$T$2:$T$1039,"44682B2Energia convencionalRuralCooperativa de eletrificação ruralNão se aplicaNão se aplicaNão se aplica",Mercado_Receita!$N$2:$N$1039)</f>
        <v>0</v>
      </c>
      <c r="O30" s="14">
        <f>SUMIF(Mercado_Receita!$T$2:$T$1039,"44713B2Energia convencionalRuralCooperativa de eletrificação ruralNão se aplicaNão se aplicaNão se aplica",Mercado_Receita!$N$2:$N$1039)</f>
        <v>0</v>
      </c>
      <c r="P30" s="14">
        <f>SUMIF(Mercado_Receita!$T$2:$T$1039,"44743B2Energia convencionalRuralCooperativa de eletrificação ruralNão se aplicaNão se aplicaNão se aplica",Mercado_Receita!$N$2:$N$1039)</f>
        <v>0</v>
      </c>
      <c r="Q30" s="14">
        <f>SUMIF(Mercado_Receita!$T$2:$T$1039,"44774B2Energia convencionalRuralCooperativa de eletrificação ruralNão se aplicaNão se aplicaNão se aplica",Mercado_Receita!$N$2:$N$1039)</f>
        <v>0</v>
      </c>
      <c r="R30" s="14">
        <f>SUMIF(Mercado_Receita!$T$2:$T$1039,"44805B2Energia convencionalRuralCooperativa de eletrificação ruralNão se aplicaNão se aplicaNão se aplica",Mercado_Receita!$N$2:$N$1039)</f>
        <v>0</v>
      </c>
      <c r="S30" s="14">
        <f>SUMIF(Mercado_Receita!$T$2:$T$1039,"44835B2Energia convencionalRuralCooperativa de eletrificação ruralNão se aplicaNão se aplicaNão se aplica",Mercado_Receita!$N$2:$N$1039)</f>
        <v>0</v>
      </c>
      <c r="T30" s="14">
        <f>SUMIF(Mercado_Receita!$T$2:$T$1039,"44866B2Energia convencionalRuralCooperativa de eletrificação ruralNão se aplicaNão se aplicaNão se aplica",Mercado_Receita!$N$2:$N$1039)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4"/>
      <c r="B31" s="103" t="s">
        <v>78</v>
      </c>
      <c r="C31" s="103" t="s">
        <v>46</v>
      </c>
      <c r="D31" s="103" t="s">
        <v>94</v>
      </c>
      <c r="E31" s="103" t="s">
        <v>25</v>
      </c>
      <c r="F31" s="103" t="s">
        <v>25</v>
      </c>
      <c r="G31" s="14" t="s">
        <v>80</v>
      </c>
      <c r="H31" s="14" t="s">
        <v>79</v>
      </c>
      <c r="I31" s="14">
        <f>SUMIF(Mercado_Receita!$T$2:$T$1039,"44531B2Energia horáriaRuralServiço público de irrigação ruralNão se aplicaNão se aplicaPonta",Mercado_Receita!$N$2:$N$1039)</f>
        <v>0</v>
      </c>
      <c r="J31" s="14">
        <f>SUMIF(Mercado_Receita!$T$2:$T$1039,"44562B2Energia horáriaRuralServiço público de irrigação ruralNão se aplicaNão se aplicaPonta",Mercado_Receita!$N$2:$N$1039)</f>
        <v>0</v>
      </c>
      <c r="K31" s="14">
        <f>SUMIF(Mercado_Receita!$T$2:$T$1039,"44593B2Energia horáriaRuralServiço público de irrigação ruralNão se aplicaNão se aplicaPonta",Mercado_Receita!$N$2:$N$1039)</f>
        <v>0</v>
      </c>
      <c r="L31" s="14">
        <f>SUMIF(Mercado_Receita!$T$2:$T$1039,"44621B2Energia horáriaRuralServiço público de irrigação ruralNão se aplicaNão se aplicaPonta",Mercado_Receita!$N$2:$N$1039)</f>
        <v>0</v>
      </c>
      <c r="M31" s="14">
        <f>SUMIF(Mercado_Receita!$T$2:$T$1039,"44652B2Energia horáriaRuralServiço público de irrigação ruralNão se aplicaNão se aplicaPonta",Mercado_Receita!$N$2:$N$1039)</f>
        <v>0</v>
      </c>
      <c r="N31" s="14">
        <f>SUMIF(Mercado_Receita!$T$2:$T$1039,"44682B2Energia horáriaRuralServiço público de irrigação ruralNão se aplicaNão se aplicaPonta",Mercado_Receita!$N$2:$N$1039)</f>
        <v>0</v>
      </c>
      <c r="O31" s="14">
        <f>SUMIF(Mercado_Receita!$T$2:$T$1039,"44713B2Energia horáriaRuralServiço público de irrigação ruralNão se aplicaNão se aplicaPonta",Mercado_Receita!$N$2:$N$1039)</f>
        <v>0</v>
      </c>
      <c r="P31" s="14">
        <f>SUMIF(Mercado_Receita!$T$2:$T$1039,"44743B2Energia horáriaRuralServiço público de irrigação ruralNão se aplicaNão se aplicaPonta",Mercado_Receita!$N$2:$N$1039)</f>
        <v>0</v>
      </c>
      <c r="Q31" s="14">
        <f>SUMIF(Mercado_Receita!$T$2:$T$1039,"44774B2Energia horáriaRuralServiço público de irrigação ruralNão se aplicaNão se aplicaPonta",Mercado_Receita!$N$2:$N$1039)</f>
        <v>0</v>
      </c>
      <c r="R31" s="14">
        <f>SUMIF(Mercado_Receita!$T$2:$T$1039,"44805B2Energia horáriaRuralServiço público de irrigação ruralNão se aplicaNão se aplicaPonta",Mercado_Receita!$N$2:$N$1039)</f>
        <v>0</v>
      </c>
      <c r="S31" s="14">
        <f>SUMIF(Mercado_Receita!$T$2:$T$1039,"44835B2Energia horáriaRuralServiço público de irrigação ruralNão se aplicaNão se aplicaPonta",Mercado_Receita!$N$2:$N$1039)</f>
        <v>0</v>
      </c>
      <c r="T31" s="14">
        <f>SUMIF(Mercado_Receita!$T$2:$T$1039,"44866B2Energia horáriaRuralServiço público de irrigação ruralNão se aplicaNão se aplicaPonta",Mercado_Receita!$N$2:$N$1039)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4"/>
      <c r="B32" s="104"/>
      <c r="C32" s="104"/>
      <c r="D32" s="104"/>
      <c r="E32" s="104"/>
      <c r="F32" s="104"/>
      <c r="G32" s="14" t="s">
        <v>90</v>
      </c>
      <c r="H32" s="14" t="s">
        <v>79</v>
      </c>
      <c r="I32" s="14">
        <f>SUMIF(Mercado_Receita!$T$2:$T$1039,"44531B2Energia horáriaRuralServiço público de irrigação ruralNão se aplicaNão se aplicaIntermediário",Mercado_Receita!$N$2:$N$1039)</f>
        <v>0</v>
      </c>
      <c r="J32" s="14">
        <f>SUMIF(Mercado_Receita!$T$2:$T$1039,"44562B2Energia horáriaRuralServiço público de irrigação ruralNão se aplicaNão se aplicaIntermediário",Mercado_Receita!$N$2:$N$1039)</f>
        <v>0</v>
      </c>
      <c r="K32" s="14">
        <f>SUMIF(Mercado_Receita!$T$2:$T$1039,"44593B2Energia horáriaRuralServiço público de irrigação ruralNão se aplicaNão se aplicaIntermediário",Mercado_Receita!$N$2:$N$1039)</f>
        <v>0</v>
      </c>
      <c r="L32" s="14">
        <f>SUMIF(Mercado_Receita!$T$2:$T$1039,"44621B2Energia horáriaRuralServiço público de irrigação ruralNão se aplicaNão se aplicaIntermediário",Mercado_Receita!$N$2:$N$1039)</f>
        <v>0</v>
      </c>
      <c r="M32" s="14">
        <f>SUMIF(Mercado_Receita!$T$2:$T$1039,"44652B2Energia horáriaRuralServiço público de irrigação ruralNão se aplicaNão se aplicaIntermediário",Mercado_Receita!$N$2:$N$1039)</f>
        <v>0</v>
      </c>
      <c r="N32" s="14">
        <f>SUMIF(Mercado_Receita!$T$2:$T$1039,"44682B2Energia horáriaRuralServiço público de irrigação ruralNão se aplicaNão se aplicaIntermediário",Mercado_Receita!$N$2:$N$1039)</f>
        <v>0</v>
      </c>
      <c r="O32" s="14">
        <f>SUMIF(Mercado_Receita!$T$2:$T$1039,"44713B2Energia horáriaRuralServiço público de irrigação ruralNão se aplicaNão se aplicaIntermediário",Mercado_Receita!$N$2:$N$1039)</f>
        <v>0</v>
      </c>
      <c r="P32" s="14">
        <f>SUMIF(Mercado_Receita!$T$2:$T$1039,"44743B2Energia horáriaRuralServiço público de irrigação ruralNão se aplicaNão se aplicaIntermediário",Mercado_Receita!$N$2:$N$1039)</f>
        <v>0</v>
      </c>
      <c r="Q32" s="14">
        <f>SUMIF(Mercado_Receita!$T$2:$T$1039,"44774B2Energia horáriaRuralServiço público de irrigação ruralNão se aplicaNão se aplicaIntermediário",Mercado_Receita!$N$2:$N$1039)</f>
        <v>0</v>
      </c>
      <c r="R32" s="14">
        <f>SUMIF(Mercado_Receita!$T$2:$T$1039,"44805B2Energia horáriaRuralServiço público de irrigação ruralNão se aplicaNão se aplicaIntermediário",Mercado_Receita!$N$2:$N$1039)</f>
        <v>0</v>
      </c>
      <c r="S32" s="14">
        <f>SUMIF(Mercado_Receita!$T$2:$T$1039,"44835B2Energia horáriaRuralServiço público de irrigação ruralNão se aplicaNão se aplicaIntermediário",Mercado_Receita!$N$2:$N$1039)</f>
        <v>0</v>
      </c>
      <c r="T32" s="14">
        <f>SUMIF(Mercado_Receita!$T$2:$T$1039,"44866B2Energia horáriaRuralServiço público de irrigação ruralNão se aplicaNão se aplicaIntermediário",Mercado_Receita!$N$2:$N$1039)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04"/>
      <c r="B33" s="104"/>
      <c r="C33" s="104"/>
      <c r="D33" s="104"/>
      <c r="E33" s="104"/>
      <c r="F33" s="104"/>
      <c r="G33" s="14" t="s">
        <v>81</v>
      </c>
      <c r="H33" s="14" t="s">
        <v>79</v>
      </c>
      <c r="I33" s="14">
        <f>SUMIF(Mercado_Receita!$T$2:$T$1039,"44531B2Energia horáriaRuralServiço público de irrigação ruralNão se aplicaNão se aplicaFora ponta",Mercado_Receita!$N$2:$N$1039)</f>
        <v>0</v>
      </c>
      <c r="J33" s="14">
        <f>SUMIF(Mercado_Receita!$T$2:$T$1039,"44562B2Energia horáriaRuralServiço público de irrigação ruralNão se aplicaNão se aplicaFora ponta",Mercado_Receita!$N$2:$N$1039)</f>
        <v>0</v>
      </c>
      <c r="K33" s="14">
        <f>SUMIF(Mercado_Receita!$T$2:$T$1039,"44593B2Energia horáriaRuralServiço público de irrigação ruralNão se aplicaNão se aplicaFora ponta",Mercado_Receita!$N$2:$N$1039)</f>
        <v>0</v>
      </c>
      <c r="L33" s="14">
        <f>SUMIF(Mercado_Receita!$T$2:$T$1039,"44621B2Energia horáriaRuralServiço público de irrigação ruralNão se aplicaNão se aplicaFora ponta",Mercado_Receita!$N$2:$N$1039)</f>
        <v>0</v>
      </c>
      <c r="M33" s="14">
        <f>SUMIF(Mercado_Receita!$T$2:$T$1039,"44652B2Energia horáriaRuralServiço público de irrigação ruralNão se aplicaNão se aplicaFora ponta",Mercado_Receita!$N$2:$N$1039)</f>
        <v>0</v>
      </c>
      <c r="N33" s="14">
        <f>SUMIF(Mercado_Receita!$T$2:$T$1039,"44682B2Energia horáriaRuralServiço público de irrigação ruralNão se aplicaNão se aplicaFora ponta",Mercado_Receita!$N$2:$N$1039)</f>
        <v>0</v>
      </c>
      <c r="O33" s="14">
        <f>SUMIF(Mercado_Receita!$T$2:$T$1039,"44713B2Energia horáriaRuralServiço público de irrigação ruralNão se aplicaNão se aplicaFora ponta",Mercado_Receita!$N$2:$N$1039)</f>
        <v>0</v>
      </c>
      <c r="P33" s="14">
        <f>SUMIF(Mercado_Receita!$T$2:$T$1039,"44743B2Energia horáriaRuralServiço público de irrigação ruralNão se aplicaNão se aplicaFora ponta",Mercado_Receita!$N$2:$N$1039)</f>
        <v>0</v>
      </c>
      <c r="Q33" s="14">
        <f>SUMIF(Mercado_Receita!$T$2:$T$1039,"44774B2Energia horáriaRuralServiço público de irrigação ruralNão se aplicaNão se aplicaFora ponta",Mercado_Receita!$N$2:$N$1039)</f>
        <v>0</v>
      </c>
      <c r="R33" s="14">
        <f>SUMIF(Mercado_Receita!$T$2:$T$1039,"44805B2Energia horáriaRuralServiço público de irrigação ruralNão se aplicaNão se aplicaFora ponta",Mercado_Receita!$N$2:$N$1039)</f>
        <v>0</v>
      </c>
      <c r="S33" s="14">
        <f>SUMIF(Mercado_Receita!$T$2:$T$1039,"44835B2Energia horáriaRuralServiço público de irrigação ruralNão se aplicaNão se aplicaFora ponta",Mercado_Receita!$N$2:$N$1039)</f>
        <v>0</v>
      </c>
      <c r="T33" s="14">
        <f>SUMIF(Mercado_Receita!$T$2:$T$1039,"44866B2Energia horáriaRuralServiço público de irrigação ruralNão se aplicaNão se aplicaFora ponta",Mercado_Receita!$N$2:$N$1039)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04"/>
      <c r="B34" s="12" t="s">
        <v>86</v>
      </c>
      <c r="C34" s="12" t="s">
        <v>46</v>
      </c>
      <c r="D34" s="12" t="s">
        <v>94</v>
      </c>
      <c r="E34" s="12" t="s">
        <v>25</v>
      </c>
      <c r="F34" s="12" t="s">
        <v>25</v>
      </c>
      <c r="G34" s="14" t="s">
        <v>84</v>
      </c>
      <c r="H34" s="14" t="s">
        <v>79</v>
      </c>
      <c r="I34" s="14">
        <f>SUMIF(Mercado_Receita!$T$2:$T$1039,"44531B2Energia convencionalRuralServiço público de irrigação ruralNão se aplicaNão se aplicaNão se aplica",Mercado_Receita!$N$2:$N$1039)</f>
        <v>0</v>
      </c>
      <c r="J34" s="14">
        <f>SUMIF(Mercado_Receita!$T$2:$T$1039,"44562B2Energia convencionalRuralServiço público de irrigação ruralNão se aplicaNão se aplicaNão se aplica",Mercado_Receita!$N$2:$N$1039)</f>
        <v>0</v>
      </c>
      <c r="K34" s="14">
        <f>SUMIF(Mercado_Receita!$T$2:$T$1039,"44593B2Energia convencionalRuralServiço público de irrigação ruralNão se aplicaNão se aplicaNão se aplica",Mercado_Receita!$N$2:$N$1039)</f>
        <v>0</v>
      </c>
      <c r="L34" s="14">
        <f>SUMIF(Mercado_Receita!$T$2:$T$1039,"44621B2Energia convencionalRuralServiço público de irrigação ruralNão se aplicaNão se aplicaNão se aplica",Mercado_Receita!$N$2:$N$1039)</f>
        <v>0</v>
      </c>
      <c r="M34" s="14">
        <f>SUMIF(Mercado_Receita!$T$2:$T$1039,"44652B2Energia convencionalRuralServiço público de irrigação ruralNão se aplicaNão se aplicaNão se aplica",Mercado_Receita!$N$2:$N$1039)</f>
        <v>0</v>
      </c>
      <c r="N34" s="14">
        <f>SUMIF(Mercado_Receita!$T$2:$T$1039,"44682B2Energia convencionalRuralServiço público de irrigação ruralNão se aplicaNão se aplicaNão se aplica",Mercado_Receita!$N$2:$N$1039)</f>
        <v>0</v>
      </c>
      <c r="O34" s="14">
        <f>SUMIF(Mercado_Receita!$T$2:$T$1039,"44713B2Energia convencionalRuralServiço público de irrigação ruralNão se aplicaNão se aplicaNão se aplica",Mercado_Receita!$N$2:$N$1039)</f>
        <v>0</v>
      </c>
      <c r="P34" s="14">
        <f>SUMIF(Mercado_Receita!$T$2:$T$1039,"44743B2Energia convencionalRuralServiço público de irrigação ruralNão se aplicaNão se aplicaNão se aplica",Mercado_Receita!$N$2:$N$1039)</f>
        <v>0</v>
      </c>
      <c r="Q34" s="14">
        <f>SUMIF(Mercado_Receita!$T$2:$T$1039,"44774B2Energia convencionalRuralServiço público de irrigação ruralNão se aplicaNão se aplicaNão se aplica",Mercado_Receita!$N$2:$N$1039)</f>
        <v>0</v>
      </c>
      <c r="R34" s="14">
        <f>SUMIF(Mercado_Receita!$T$2:$T$1039,"44805B2Energia convencionalRuralServiço público de irrigação ruralNão se aplicaNão se aplicaNão se aplica",Mercado_Receita!$N$2:$N$1039)</f>
        <v>0</v>
      </c>
      <c r="S34" s="14">
        <f>SUMIF(Mercado_Receita!$T$2:$T$1039,"44835B2Energia convencionalRuralServiço público de irrigação ruralNão se aplicaNão se aplicaNão se aplica",Mercado_Receita!$N$2:$N$1039)</f>
        <v>0</v>
      </c>
      <c r="T34" s="14">
        <f>SUMIF(Mercado_Receita!$T$2:$T$1039,"44866B2Energia convencionalRuralServiço público de irrigação ruralNão se aplicaNão se aplicaNão se aplica",Mercado_Receita!$N$2:$N$1039)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04"/>
      <c r="B35" s="103" t="s">
        <v>91</v>
      </c>
      <c r="C35" s="103" t="s">
        <v>46</v>
      </c>
      <c r="D35" s="12" t="s">
        <v>25</v>
      </c>
      <c r="E35" s="12" t="s">
        <v>25</v>
      </c>
      <c r="F35" s="12" t="s">
        <v>25</v>
      </c>
      <c r="G35" s="14" t="s">
        <v>84</v>
      </c>
      <c r="H35" s="14" t="s">
        <v>79</v>
      </c>
      <c r="I35" s="14">
        <f>SUMIF(Mercado_Receita!$T$2:$T$1039,"44531B2Energia convencional pré-pagamentoRuralNão se aplicaNão se aplicaNão se aplicaNão se aplica",Mercado_Receita!$N$2:$N$1039)</f>
        <v>0</v>
      </c>
      <c r="J35" s="14">
        <f>SUMIF(Mercado_Receita!$T$2:$T$1039,"44562B2Energia convencional pré-pagamentoRuralNão se aplicaNão se aplicaNão se aplicaNão se aplica",Mercado_Receita!$N$2:$N$1039)</f>
        <v>0</v>
      </c>
      <c r="K35" s="14">
        <f>SUMIF(Mercado_Receita!$T$2:$T$1039,"44593B2Energia convencional pré-pagamentoRuralNão se aplicaNão se aplicaNão se aplicaNão se aplica",Mercado_Receita!$N$2:$N$1039)</f>
        <v>0</v>
      </c>
      <c r="L35" s="14">
        <f>SUMIF(Mercado_Receita!$T$2:$T$1039,"44621B2Energia convencional pré-pagamentoRuralNão se aplicaNão se aplicaNão se aplicaNão se aplica",Mercado_Receita!$N$2:$N$1039)</f>
        <v>0</v>
      </c>
      <c r="M35" s="14">
        <f>SUMIF(Mercado_Receita!$T$2:$T$1039,"44652B2Energia convencional pré-pagamentoRuralNão se aplicaNão se aplicaNão se aplicaNão se aplica",Mercado_Receita!$N$2:$N$1039)</f>
        <v>0</v>
      </c>
      <c r="N35" s="14">
        <f>SUMIF(Mercado_Receita!$T$2:$T$1039,"44682B2Energia convencional pré-pagamentoRuralNão se aplicaNão se aplicaNão se aplicaNão se aplica",Mercado_Receita!$N$2:$N$1039)</f>
        <v>0</v>
      </c>
      <c r="O35" s="14">
        <f>SUMIF(Mercado_Receita!$T$2:$T$1039,"44713B2Energia convencional pré-pagamentoRuralNão se aplicaNão se aplicaNão se aplicaNão se aplica",Mercado_Receita!$N$2:$N$1039)</f>
        <v>0</v>
      </c>
      <c r="P35" s="14">
        <f>SUMIF(Mercado_Receita!$T$2:$T$1039,"44743B2Energia convencional pré-pagamentoRuralNão se aplicaNão se aplicaNão se aplicaNão se aplica",Mercado_Receita!$N$2:$N$1039)</f>
        <v>0</v>
      </c>
      <c r="Q35" s="14">
        <f>SUMIF(Mercado_Receita!$T$2:$T$1039,"44774B2Energia convencional pré-pagamentoRuralNão se aplicaNão se aplicaNão se aplicaNão se aplica",Mercado_Receita!$N$2:$N$1039)</f>
        <v>0</v>
      </c>
      <c r="R35" s="14">
        <f>SUMIF(Mercado_Receita!$T$2:$T$1039,"44805B2Energia convencional pré-pagamentoRuralNão se aplicaNão se aplicaNão se aplicaNão se aplica",Mercado_Receita!$N$2:$N$1039)</f>
        <v>0</v>
      </c>
      <c r="S35" s="14">
        <f>SUMIF(Mercado_Receita!$T$2:$T$1039,"44835B2Energia convencional pré-pagamentoRuralNão se aplicaNão se aplicaNão se aplicaNão se aplica",Mercado_Receita!$N$2:$N$1039)</f>
        <v>0</v>
      </c>
      <c r="T35" s="14">
        <f>SUMIF(Mercado_Receita!$T$2:$T$1039,"44866B2Energia convencional pré-pagamentoRuralNão se aplicaNão se aplicaNão se aplicaNão se aplica",Mercado_Receita!$N$2:$N$1039)</f>
        <v>0</v>
      </c>
      <c r="U35" s="14">
        <f t="shared" si="0"/>
        <v>0</v>
      </c>
      <c r="V35" s="14"/>
      <c r="W35" s="14"/>
    </row>
    <row r="36" spans="1:23" ht="11.25" customHeight="1" x14ac:dyDescent="0.25">
      <c r="A36" s="104"/>
      <c r="B36" s="104"/>
      <c r="C36" s="104"/>
      <c r="D36" s="12" t="s">
        <v>93</v>
      </c>
      <c r="E36" s="12" t="s">
        <v>25</v>
      </c>
      <c r="F36" s="12" t="s">
        <v>25</v>
      </c>
      <c r="G36" s="14" t="s">
        <v>84</v>
      </c>
      <c r="H36" s="14" t="s">
        <v>79</v>
      </c>
      <c r="I36" s="14">
        <f>SUMIF(Mercado_Receita!$T$2:$T$1039,"44531B2Energia convencional pré-pagamentoRuralCooperativa de eletrificação ruralNão se aplicaNão se aplicaNão se aplica",Mercado_Receita!$N$2:$N$1039)</f>
        <v>0</v>
      </c>
      <c r="J36" s="14">
        <f>SUMIF(Mercado_Receita!$T$2:$T$1039,"44562B2Energia convencional pré-pagamentoRuralCooperativa de eletrificação ruralNão se aplicaNão se aplicaNão se aplica",Mercado_Receita!$N$2:$N$1039)</f>
        <v>0</v>
      </c>
      <c r="K36" s="14">
        <f>SUMIF(Mercado_Receita!$T$2:$T$1039,"44593B2Energia convencional pré-pagamentoRuralCooperativa de eletrificação ruralNão se aplicaNão se aplicaNão se aplica",Mercado_Receita!$N$2:$N$1039)</f>
        <v>0</v>
      </c>
      <c r="L36" s="14">
        <f>SUMIF(Mercado_Receita!$T$2:$T$1039,"44621B2Energia convencional pré-pagamentoRuralCooperativa de eletrificação ruralNão se aplicaNão se aplicaNão se aplica",Mercado_Receita!$N$2:$N$1039)</f>
        <v>0</v>
      </c>
      <c r="M36" s="14">
        <f>SUMIF(Mercado_Receita!$T$2:$T$1039,"44652B2Energia convencional pré-pagamentoRuralCooperativa de eletrificação ruralNão se aplicaNão se aplicaNão se aplica",Mercado_Receita!$N$2:$N$1039)</f>
        <v>0</v>
      </c>
      <c r="N36" s="14">
        <f>SUMIF(Mercado_Receita!$T$2:$T$1039,"44682B2Energia convencional pré-pagamentoRuralCooperativa de eletrificação ruralNão se aplicaNão se aplicaNão se aplica",Mercado_Receita!$N$2:$N$1039)</f>
        <v>0</v>
      </c>
      <c r="O36" s="14">
        <f>SUMIF(Mercado_Receita!$T$2:$T$1039,"44713B2Energia convencional pré-pagamentoRuralCooperativa de eletrificação ruralNão se aplicaNão se aplicaNão se aplica",Mercado_Receita!$N$2:$N$1039)</f>
        <v>0</v>
      </c>
      <c r="P36" s="14">
        <f>SUMIF(Mercado_Receita!$T$2:$T$1039,"44743B2Energia convencional pré-pagamentoRuralCooperativa de eletrificação ruralNão se aplicaNão se aplicaNão se aplica",Mercado_Receita!$N$2:$N$1039)</f>
        <v>0</v>
      </c>
      <c r="Q36" s="14">
        <f>SUMIF(Mercado_Receita!$T$2:$T$1039,"44774B2Energia convencional pré-pagamentoRuralCooperativa de eletrificação ruralNão se aplicaNão se aplicaNão se aplica",Mercado_Receita!$N$2:$N$1039)</f>
        <v>0</v>
      </c>
      <c r="R36" s="14">
        <f>SUMIF(Mercado_Receita!$T$2:$T$1039,"44805B2Energia convencional pré-pagamentoRuralCooperativa de eletrificação ruralNão se aplicaNão se aplicaNão se aplica",Mercado_Receita!$N$2:$N$1039)</f>
        <v>0</v>
      </c>
      <c r="S36" s="14">
        <f>SUMIF(Mercado_Receita!$T$2:$T$1039,"44835B2Energia convencional pré-pagamentoRuralCooperativa de eletrificação ruralNão se aplicaNão se aplicaNão se aplica",Mercado_Receita!$N$2:$N$1039)</f>
        <v>0</v>
      </c>
      <c r="T36" s="14">
        <f>SUMIF(Mercado_Receita!$T$2:$T$1039,"44866B2Energia convencional pré-pagamentoRuralCooperativa de eletrificação ruralNão se aplicaNão se aplicaNão se aplica",Mercado_Receita!$N$2:$N$1039)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4"/>
      <c r="B37" s="104"/>
      <c r="C37" s="104"/>
      <c r="D37" s="12" t="s">
        <v>94</v>
      </c>
      <c r="E37" s="12" t="s">
        <v>25</v>
      </c>
      <c r="F37" s="12" t="s">
        <v>25</v>
      </c>
      <c r="G37" s="14" t="s">
        <v>84</v>
      </c>
      <c r="H37" s="14" t="s">
        <v>79</v>
      </c>
      <c r="I37" s="14">
        <f>SUMIF(Mercado_Receita!$T$2:$T$1039,"44531B2Energia convencional pré-pagamentoRuralServiço público de irrigação ruralNão se aplicaNão se aplicaNão se aplica",Mercado_Receita!$N$2:$N$1039)</f>
        <v>0</v>
      </c>
      <c r="J37" s="14">
        <f>SUMIF(Mercado_Receita!$T$2:$T$1039,"44562B2Energia convencional pré-pagamentoRuralServiço público de irrigação ruralNão se aplicaNão se aplicaNão se aplica",Mercado_Receita!$N$2:$N$1039)</f>
        <v>0</v>
      </c>
      <c r="K37" s="14">
        <f>SUMIF(Mercado_Receita!$T$2:$T$1039,"44593B2Energia convencional pré-pagamentoRuralServiço público de irrigação ruralNão se aplicaNão se aplicaNão se aplica",Mercado_Receita!$N$2:$N$1039)</f>
        <v>0</v>
      </c>
      <c r="L37" s="14">
        <f>SUMIF(Mercado_Receita!$T$2:$T$1039,"44621B2Energia convencional pré-pagamentoRuralServiço público de irrigação ruralNão se aplicaNão se aplicaNão se aplica",Mercado_Receita!$N$2:$N$1039)</f>
        <v>0</v>
      </c>
      <c r="M37" s="14">
        <f>SUMIF(Mercado_Receita!$T$2:$T$1039,"44652B2Energia convencional pré-pagamentoRuralServiço público de irrigação ruralNão se aplicaNão se aplicaNão se aplica",Mercado_Receita!$N$2:$N$1039)</f>
        <v>0</v>
      </c>
      <c r="N37" s="14">
        <f>SUMIF(Mercado_Receita!$T$2:$T$1039,"44682B2Energia convencional pré-pagamentoRuralServiço público de irrigação ruralNão se aplicaNão se aplicaNão se aplica",Mercado_Receita!$N$2:$N$1039)</f>
        <v>0</v>
      </c>
      <c r="O37" s="14">
        <f>SUMIF(Mercado_Receita!$T$2:$T$1039,"44713B2Energia convencional pré-pagamentoRuralServiço público de irrigação ruralNão se aplicaNão se aplicaNão se aplica",Mercado_Receita!$N$2:$N$1039)</f>
        <v>0</v>
      </c>
      <c r="P37" s="14">
        <f>SUMIF(Mercado_Receita!$T$2:$T$1039,"44743B2Energia convencional pré-pagamentoRuralServiço público de irrigação ruralNão se aplicaNão se aplicaNão se aplica",Mercado_Receita!$N$2:$N$1039)</f>
        <v>0</v>
      </c>
      <c r="Q37" s="14">
        <f>SUMIF(Mercado_Receita!$T$2:$T$1039,"44774B2Energia convencional pré-pagamentoRuralServiço público de irrigação ruralNão se aplicaNão se aplicaNão se aplica",Mercado_Receita!$N$2:$N$1039)</f>
        <v>0</v>
      </c>
      <c r="R37" s="14">
        <f>SUMIF(Mercado_Receita!$T$2:$T$1039,"44805B2Energia convencional pré-pagamentoRuralServiço público de irrigação ruralNão se aplicaNão se aplicaNão se aplica",Mercado_Receita!$N$2:$N$1039)</f>
        <v>0</v>
      </c>
      <c r="S37" s="14">
        <f>SUMIF(Mercado_Receita!$T$2:$T$1039,"44835B2Energia convencional pré-pagamentoRuralServiço público de irrigação ruralNão se aplicaNão se aplicaNão se aplica",Mercado_Receita!$N$2:$N$1039)</f>
        <v>0</v>
      </c>
      <c r="T37" s="14">
        <f>SUMIF(Mercado_Receita!$T$2:$T$1039,"44866B2Energia convencional pré-pagamentoRuralServiço público de irrigação ruralNão se aplicaNão se aplicaNão se aplica",Mercado_Receita!$N$2:$N$1039)</f>
        <v>0</v>
      </c>
      <c r="U37" s="14">
        <f t="shared" si="0"/>
        <v>0</v>
      </c>
      <c r="V37" s="14"/>
      <c r="W37" s="14"/>
    </row>
    <row r="38" spans="1:23" ht="11.25" customHeight="1" x14ac:dyDescent="0.25">
      <c r="A38" s="103" t="s">
        <v>37</v>
      </c>
      <c r="B38" s="103" t="s">
        <v>78</v>
      </c>
      <c r="C38" s="103" t="s">
        <v>25</v>
      </c>
      <c r="D38" s="103" t="s">
        <v>25</v>
      </c>
      <c r="E38" s="103" t="s">
        <v>25</v>
      </c>
      <c r="F38" s="103" t="s">
        <v>25</v>
      </c>
      <c r="G38" s="14" t="s">
        <v>80</v>
      </c>
      <c r="H38" s="14" t="s">
        <v>79</v>
      </c>
      <c r="I38" s="14">
        <f>SUMIF(Mercado_Receita!$T$2:$T$1039,"44531B3Energia horáriaNão se aplicaNão se aplicaNão se aplicaNão se aplicaPonta",Mercado_Receita!$N$2:$N$1039)</f>
        <v>2.137</v>
      </c>
      <c r="J38" s="14">
        <f>SUMIF(Mercado_Receita!$T$2:$T$1039,"44562B3Energia horáriaNão se aplicaNão se aplicaNão se aplicaNão se aplicaPonta",Mercado_Receita!$N$2:$N$1039)</f>
        <v>1.9179999999999999</v>
      </c>
      <c r="K38" s="14">
        <f>SUMIF(Mercado_Receita!$T$2:$T$1039,"44593B3Energia horáriaNão se aplicaNão se aplicaNão se aplicaNão se aplicaPonta",Mercado_Receita!$N$2:$N$1039)</f>
        <v>1.895</v>
      </c>
      <c r="L38" s="14">
        <f>SUMIF(Mercado_Receita!$T$2:$T$1039,"44621B3Energia horáriaNão se aplicaNão se aplicaNão se aplicaNão se aplicaPonta",Mercado_Receita!$N$2:$N$1039)</f>
        <v>1.6059999999999999</v>
      </c>
      <c r="M38" s="14">
        <f>SUMIF(Mercado_Receita!$T$2:$T$1039,"44652B3Energia horáriaNão se aplicaNão se aplicaNão se aplicaNão se aplicaPonta",Mercado_Receita!$N$2:$N$1039)</f>
        <v>1.7289999999999999</v>
      </c>
      <c r="N38" s="14">
        <f>SUMIF(Mercado_Receita!$T$2:$T$1039,"44682B3Energia horáriaNão se aplicaNão se aplicaNão se aplicaNão se aplicaPonta",Mercado_Receita!$N$2:$N$1039)</f>
        <v>2.3010000000000002</v>
      </c>
      <c r="O38" s="14">
        <f>SUMIF(Mercado_Receita!$T$2:$T$1039,"44713B3Energia horáriaNão se aplicaNão se aplicaNão se aplicaNão se aplicaPonta",Mercado_Receita!$N$2:$N$1039)</f>
        <v>2.5070000000000001</v>
      </c>
      <c r="P38" s="14">
        <f>SUMIF(Mercado_Receita!$T$2:$T$1039,"44743B3Energia horáriaNão se aplicaNão se aplicaNão se aplicaNão se aplicaPonta",Mercado_Receita!$N$2:$N$1039)</f>
        <v>1.831</v>
      </c>
      <c r="Q38" s="14">
        <f>SUMIF(Mercado_Receita!$T$2:$T$1039,"44774B3Energia horáriaNão se aplicaNão se aplicaNão se aplicaNão se aplicaPonta",Mercado_Receita!$N$2:$N$1039)</f>
        <v>1.7950000000000002</v>
      </c>
      <c r="R38" s="14">
        <f>SUMIF(Mercado_Receita!$T$2:$T$1039,"44805B3Energia horáriaNão se aplicaNão se aplicaNão se aplicaNão se aplicaPonta",Mercado_Receita!$N$2:$N$1039)</f>
        <v>2.4529999999999998</v>
      </c>
      <c r="S38" s="14">
        <f>SUMIF(Mercado_Receita!$T$2:$T$1039,"44835B3Energia horáriaNão se aplicaNão se aplicaNão se aplicaNão se aplicaPonta",Mercado_Receita!$N$2:$N$1039)</f>
        <v>2.4769999999999999</v>
      </c>
      <c r="T38" s="14">
        <f>SUMIF(Mercado_Receita!$T$2:$T$1039,"44866B3Energia horáriaNão se aplicaNão se aplicaNão se aplicaNão se aplicaPonta",Mercado_Receita!$N$2:$N$1039)</f>
        <v>2.4769999999999999</v>
      </c>
      <c r="U38" s="14">
        <f t="shared" si="0"/>
        <v>25.125999999999998</v>
      </c>
      <c r="V38" s="14"/>
      <c r="W38" s="14"/>
    </row>
    <row r="39" spans="1:23" ht="11.25" customHeight="1" x14ac:dyDescent="0.25">
      <c r="A39" s="104"/>
      <c r="B39" s="104"/>
      <c r="C39" s="104"/>
      <c r="D39" s="104"/>
      <c r="E39" s="104"/>
      <c r="F39" s="104"/>
      <c r="G39" s="14" t="s">
        <v>90</v>
      </c>
      <c r="H39" s="14" t="s">
        <v>79</v>
      </c>
      <c r="I39" s="14">
        <f>SUMIF(Mercado_Receita!$T$2:$T$1039,"44531B3Energia horáriaNão se aplicaNão se aplicaNão se aplicaNão se aplicaIntermediário",Mercado_Receita!$N$2:$N$1039)</f>
        <v>2.21</v>
      </c>
      <c r="J39" s="14">
        <f>SUMIF(Mercado_Receita!$T$2:$T$1039,"44562B3Energia horáriaNão se aplicaNão se aplicaNão se aplicaNão se aplicaIntermediário",Mercado_Receita!$N$2:$N$1039)</f>
        <v>2.032</v>
      </c>
      <c r="K39" s="14">
        <f>SUMIF(Mercado_Receita!$T$2:$T$1039,"44593B3Energia horáriaNão se aplicaNão se aplicaNão se aplicaNão se aplicaIntermediário",Mercado_Receita!$N$2:$N$1039)</f>
        <v>1.68</v>
      </c>
      <c r="L39" s="14">
        <f>SUMIF(Mercado_Receita!$T$2:$T$1039,"44621B3Energia horáriaNão se aplicaNão se aplicaNão se aplicaNão se aplicaIntermediário",Mercado_Receita!$N$2:$N$1039)</f>
        <v>1.607</v>
      </c>
      <c r="M39" s="14">
        <f>SUMIF(Mercado_Receita!$T$2:$T$1039,"44652B3Energia horáriaNão se aplicaNão se aplicaNão se aplicaNão se aplicaIntermediário",Mercado_Receita!$N$2:$N$1039)</f>
        <v>3.16</v>
      </c>
      <c r="N39" s="14">
        <f>SUMIF(Mercado_Receita!$T$2:$T$1039,"44682B3Energia horáriaNão se aplicaNão se aplicaNão se aplicaNão se aplicaIntermediário",Mercado_Receita!$N$2:$N$1039)</f>
        <v>1.8290000000000002</v>
      </c>
      <c r="O39" s="14">
        <f>SUMIF(Mercado_Receita!$T$2:$T$1039,"44713B3Energia horáriaNão se aplicaNão se aplicaNão se aplicaNão se aplicaIntermediário",Mercado_Receita!$N$2:$N$1039)</f>
        <v>2.399</v>
      </c>
      <c r="P39" s="14">
        <f>SUMIF(Mercado_Receita!$T$2:$T$1039,"44743B3Energia horáriaNão se aplicaNão se aplicaNão se aplicaNão se aplicaIntermediário",Mercado_Receita!$N$2:$N$1039)</f>
        <v>1.643</v>
      </c>
      <c r="Q39" s="14">
        <f>SUMIF(Mercado_Receita!$T$2:$T$1039,"44774B3Energia horáriaNão se aplicaNão se aplicaNão se aplicaNão se aplicaIntermediário",Mercado_Receita!$N$2:$N$1039)</f>
        <v>2.0630000000000002</v>
      </c>
      <c r="R39" s="14">
        <f>SUMIF(Mercado_Receita!$T$2:$T$1039,"44805B3Energia horáriaNão se aplicaNão se aplicaNão se aplicaNão se aplicaIntermediário",Mercado_Receita!$N$2:$N$1039)</f>
        <v>2.5100000000000002</v>
      </c>
      <c r="S39" s="14">
        <f>SUMIF(Mercado_Receita!$T$2:$T$1039,"44835B3Energia horáriaNão se aplicaNão se aplicaNão se aplicaNão se aplicaIntermediário",Mercado_Receita!$N$2:$N$1039)</f>
        <v>3.1360000000000001</v>
      </c>
      <c r="T39" s="14">
        <f>SUMIF(Mercado_Receita!$T$2:$T$1039,"44866B3Energia horáriaNão se aplicaNão se aplicaNão se aplicaNão se aplicaIntermediário",Mercado_Receita!$N$2:$N$1039)</f>
        <v>3.1360000000000001</v>
      </c>
      <c r="U39" s="14">
        <f t="shared" si="0"/>
        <v>27.405000000000001</v>
      </c>
      <c r="V39" s="14"/>
      <c r="W39" s="14"/>
    </row>
    <row r="40" spans="1:23" ht="11.25" customHeight="1" x14ac:dyDescent="0.25">
      <c r="A40" s="104"/>
      <c r="B40" s="104"/>
      <c r="C40" s="104"/>
      <c r="D40" s="104"/>
      <c r="E40" s="104"/>
      <c r="F40" s="104"/>
      <c r="G40" s="14" t="s">
        <v>81</v>
      </c>
      <c r="H40" s="14" t="s">
        <v>79</v>
      </c>
      <c r="I40" s="14">
        <f>SUMIF(Mercado_Receita!$T$2:$T$1039,"44531B3Energia horáriaNão se aplicaNão se aplicaNão se aplicaNão se aplicaFora ponta",Mercado_Receita!$N$2:$N$1039)</f>
        <v>44.750999999999998</v>
      </c>
      <c r="J40" s="14">
        <f>SUMIF(Mercado_Receita!$T$2:$T$1039,"44562B3Energia horáriaNão se aplicaNão se aplicaNão se aplicaNão se aplicaFora ponta",Mercado_Receita!$N$2:$N$1039)</f>
        <v>41.4</v>
      </c>
      <c r="K40" s="14">
        <f>SUMIF(Mercado_Receita!$T$2:$T$1039,"44593B3Energia horáriaNão se aplicaNão se aplicaNão se aplicaNão se aplicaFora ponta",Mercado_Receita!$N$2:$N$1039)</f>
        <v>31.459</v>
      </c>
      <c r="L40" s="14">
        <f>SUMIF(Mercado_Receita!$T$2:$T$1039,"44621B3Energia horáriaNão se aplicaNão se aplicaNão se aplicaNão se aplicaFora ponta",Mercado_Receita!$N$2:$N$1039)</f>
        <v>32.954000000000001</v>
      </c>
      <c r="M40" s="14">
        <f>SUMIF(Mercado_Receita!$T$2:$T$1039,"44652B3Energia horáriaNão se aplicaNão se aplicaNão se aplicaNão se aplicaFora ponta",Mercado_Receita!$N$2:$N$1039)</f>
        <v>40.923000000000002</v>
      </c>
      <c r="N40" s="14">
        <f>SUMIF(Mercado_Receita!$T$2:$T$1039,"44682B3Energia horáriaNão se aplicaNão se aplicaNão se aplicaNão se aplicaFora ponta",Mercado_Receita!$N$2:$N$1039)</f>
        <v>52.167999999999999</v>
      </c>
      <c r="O40" s="14">
        <f>SUMIF(Mercado_Receita!$T$2:$T$1039,"44713B3Energia horáriaNão se aplicaNão se aplicaNão se aplicaNão se aplicaFora ponta",Mercado_Receita!$N$2:$N$1039)</f>
        <v>49.518999999999998</v>
      </c>
      <c r="P40" s="14">
        <f>SUMIF(Mercado_Receita!$T$2:$T$1039,"44743B3Energia horáriaNão se aplicaNão se aplicaNão se aplicaNão se aplicaFora ponta",Mercado_Receita!$N$2:$N$1039)</f>
        <v>41.451999999999998</v>
      </c>
      <c r="Q40" s="14">
        <f>SUMIF(Mercado_Receita!$T$2:$T$1039,"44774B3Energia horáriaNão se aplicaNão se aplicaNão se aplicaNão se aplicaFora ponta",Mercado_Receita!$N$2:$N$1039)</f>
        <v>46.8</v>
      </c>
      <c r="R40" s="14">
        <f>SUMIF(Mercado_Receita!$T$2:$T$1039,"44805B3Energia horáriaNão se aplicaNão se aplicaNão se aplicaNão se aplicaFora ponta",Mercado_Receita!$N$2:$N$1039)</f>
        <v>55.094000000000001</v>
      </c>
      <c r="S40" s="14">
        <f>SUMIF(Mercado_Receita!$T$2:$T$1039,"44835B3Energia horáriaNão se aplicaNão se aplicaNão se aplicaNão se aplicaFora ponta",Mercado_Receita!$N$2:$N$1039)</f>
        <v>76.827000000000012</v>
      </c>
      <c r="T40" s="14">
        <f>SUMIF(Mercado_Receita!$T$2:$T$1039,"44866B3Energia horáriaNão se aplicaNão se aplicaNão se aplicaNão se aplicaFora ponta",Mercado_Receita!$N$2:$N$1039)</f>
        <v>76.827000000000012</v>
      </c>
      <c r="U40" s="14">
        <f t="shared" si="0"/>
        <v>590.17399999999998</v>
      </c>
      <c r="V40" s="14"/>
      <c r="W40" s="14"/>
    </row>
    <row r="41" spans="1:23" ht="11.25" customHeight="1" x14ac:dyDescent="0.25">
      <c r="A41" s="104"/>
      <c r="B41" s="12" t="s">
        <v>86</v>
      </c>
      <c r="C41" s="12" t="s">
        <v>25</v>
      </c>
      <c r="D41" s="12" t="s">
        <v>25</v>
      </c>
      <c r="E41" s="12" t="s">
        <v>25</v>
      </c>
      <c r="F41" s="12" t="s">
        <v>25</v>
      </c>
      <c r="G41" s="14" t="s">
        <v>84</v>
      </c>
      <c r="H41" s="14" t="s">
        <v>79</v>
      </c>
      <c r="I41" s="14">
        <f>SUMIF(Mercado_Receita!$T$2:$T$1039,"44531B3Energia convencionalNão se aplicaNão se aplicaNão se aplicaNão se aplicaNão se aplica",Mercado_Receita!$N$2:$N$1039)</f>
        <v>15109.663</v>
      </c>
      <c r="J41" s="14">
        <f>SUMIF(Mercado_Receita!$T$2:$T$1039,"44562B3Energia convencionalNão se aplicaNão se aplicaNão se aplicaNão se aplicaNão se aplica",Mercado_Receita!$N$2:$N$1039)</f>
        <v>13582.971</v>
      </c>
      <c r="K41" s="14">
        <f>SUMIF(Mercado_Receita!$T$2:$T$1039,"44593B3Energia convencionalNão se aplicaNão se aplicaNão se aplicaNão se aplicaNão se aplica",Mercado_Receita!$N$2:$N$1039)</f>
        <v>11830.082</v>
      </c>
      <c r="L41" s="14">
        <f>SUMIF(Mercado_Receita!$T$2:$T$1039,"44621B3Energia convencionalNão se aplicaNão se aplicaNão se aplicaNão se aplicaNão se aplica",Mercado_Receita!$N$2:$N$1039)</f>
        <v>13467.876000000002</v>
      </c>
      <c r="M41" s="14">
        <f>SUMIF(Mercado_Receita!$T$2:$T$1039,"44652B3Energia convencionalNão se aplicaNão se aplicaNão se aplicaNão se aplicaNão se aplica",Mercado_Receita!$N$2:$N$1039)</f>
        <v>13436.296999999997</v>
      </c>
      <c r="N41" s="14">
        <f>SUMIF(Mercado_Receita!$T$2:$T$1039,"44682B3Energia convencionalNão se aplicaNão se aplicaNão se aplicaNão se aplicaNão se aplica",Mercado_Receita!$N$2:$N$1039)</f>
        <v>14584.251999999999</v>
      </c>
      <c r="O41" s="14">
        <f>SUMIF(Mercado_Receita!$T$2:$T$1039,"44713B3Energia convencionalNão se aplicaNão se aplicaNão se aplicaNão se aplicaNão se aplica",Mercado_Receita!$N$2:$N$1039)</f>
        <v>15694.596</v>
      </c>
      <c r="P41" s="14">
        <f>SUMIF(Mercado_Receita!$T$2:$T$1039,"44743B3Energia convencionalNão se aplicaNão se aplicaNão se aplicaNão se aplicaNão se aplica",Mercado_Receita!$N$2:$N$1039)</f>
        <v>13981.990000000002</v>
      </c>
      <c r="Q41" s="14">
        <f>SUMIF(Mercado_Receita!$T$2:$T$1039,"44774B3Energia convencionalNão se aplicaNão se aplicaNão se aplicaNão se aplicaNão se aplica",Mercado_Receita!$N$2:$N$1039)</f>
        <v>15957.638999999999</v>
      </c>
      <c r="R41" s="14">
        <f>SUMIF(Mercado_Receita!$T$2:$T$1039,"44805B3Energia convencionalNão se aplicaNão se aplicaNão se aplicaNão se aplicaNão se aplica",Mercado_Receita!$N$2:$N$1039)</f>
        <v>17036.12</v>
      </c>
      <c r="S41" s="14">
        <f>SUMIF(Mercado_Receita!$T$2:$T$1039,"44835B3Energia convencionalNão se aplicaNão se aplicaNão se aplicaNão se aplicaNão se aplica",Mercado_Receita!$N$2:$N$1039)</f>
        <v>18373.384999999998</v>
      </c>
      <c r="T41" s="14">
        <f>SUMIF(Mercado_Receita!$T$2:$T$1039,"44866B3Energia convencionalNão se aplicaNão se aplicaNão se aplicaNão se aplicaNão se aplica",Mercado_Receita!$N$2:$N$1039)</f>
        <v>18373.384999999998</v>
      </c>
      <c r="U41" s="14">
        <f t="shared" si="0"/>
        <v>181428.25600000002</v>
      </c>
      <c r="V41" s="14"/>
      <c r="W41" s="14"/>
    </row>
    <row r="42" spans="1:23" ht="11.25" customHeight="1" x14ac:dyDescent="0.25">
      <c r="A42" s="104"/>
      <c r="B42" s="12" t="s">
        <v>91</v>
      </c>
      <c r="C42" s="12" t="s">
        <v>25</v>
      </c>
      <c r="D42" s="12" t="s">
        <v>25</v>
      </c>
      <c r="E42" s="12" t="s">
        <v>25</v>
      </c>
      <c r="F42" s="12" t="s">
        <v>25</v>
      </c>
      <c r="G42" s="14" t="s">
        <v>84</v>
      </c>
      <c r="H42" s="14" t="s">
        <v>79</v>
      </c>
      <c r="I42" s="14">
        <f>SUMIF(Mercado_Receita!$T$2:$T$1039,"44531B3Energia convencional pré-pagamentoNão se aplicaNão se aplicaNão se aplicaNão se aplicaNão se aplica",Mercado_Receita!$N$2:$N$1039)</f>
        <v>0</v>
      </c>
      <c r="J42" s="14">
        <f>SUMIF(Mercado_Receita!$T$2:$T$1039,"44562B3Energia convencional pré-pagamentoNão se aplicaNão se aplicaNão se aplicaNão se aplicaNão se aplica",Mercado_Receita!$N$2:$N$1039)</f>
        <v>0</v>
      </c>
      <c r="K42" s="14">
        <f>SUMIF(Mercado_Receita!$T$2:$T$1039,"44593B3Energia convencional pré-pagamentoNão se aplicaNão se aplicaNão se aplicaNão se aplicaNão se aplica",Mercado_Receita!$N$2:$N$1039)</f>
        <v>0</v>
      </c>
      <c r="L42" s="14">
        <f>SUMIF(Mercado_Receita!$T$2:$T$1039,"44621B3Energia convencional pré-pagamentoNão se aplicaNão se aplicaNão se aplicaNão se aplicaNão se aplica",Mercado_Receita!$N$2:$N$1039)</f>
        <v>0</v>
      </c>
      <c r="M42" s="14">
        <f>SUMIF(Mercado_Receita!$T$2:$T$1039,"44652B3Energia convencional pré-pagamentoNão se aplicaNão se aplicaNão se aplicaNão se aplicaNão se aplica",Mercado_Receita!$N$2:$N$1039)</f>
        <v>0</v>
      </c>
      <c r="N42" s="14">
        <f>SUMIF(Mercado_Receita!$T$2:$T$1039,"44682B3Energia convencional pré-pagamentoNão se aplicaNão se aplicaNão se aplicaNão se aplicaNão se aplica",Mercado_Receita!$N$2:$N$1039)</f>
        <v>0</v>
      </c>
      <c r="O42" s="14">
        <f>SUMIF(Mercado_Receita!$T$2:$T$1039,"44713B3Energia convencional pré-pagamentoNão se aplicaNão se aplicaNão se aplicaNão se aplicaNão se aplica",Mercado_Receita!$N$2:$N$1039)</f>
        <v>0</v>
      </c>
      <c r="P42" s="14">
        <f>SUMIF(Mercado_Receita!$T$2:$T$1039,"44743B3Energia convencional pré-pagamentoNão se aplicaNão se aplicaNão se aplicaNão se aplicaNão se aplica",Mercado_Receita!$N$2:$N$1039)</f>
        <v>0</v>
      </c>
      <c r="Q42" s="14">
        <f>SUMIF(Mercado_Receita!$T$2:$T$1039,"44774B3Energia convencional pré-pagamentoNão se aplicaNão se aplicaNão se aplicaNão se aplicaNão se aplica",Mercado_Receita!$N$2:$N$1039)</f>
        <v>0</v>
      </c>
      <c r="R42" s="14">
        <f>SUMIF(Mercado_Receita!$T$2:$T$1039,"44805B3Energia convencional pré-pagamentoNão se aplicaNão se aplicaNão se aplicaNão se aplicaNão se aplica",Mercado_Receita!$N$2:$N$1039)</f>
        <v>0</v>
      </c>
      <c r="S42" s="14">
        <f>SUMIF(Mercado_Receita!$T$2:$T$1039,"44835B3Energia convencional pré-pagamentoNão se aplicaNão se aplicaNão se aplicaNão se aplicaNão se aplica",Mercado_Receita!$N$2:$N$1039)</f>
        <v>0</v>
      </c>
      <c r="T42" s="14">
        <f>SUMIF(Mercado_Receita!$T$2:$T$1039,"44866B3Energia convencional pré-pagamentoNão se aplicaNão se aplicaNão se aplicaNão se aplicaNão se aplica",Mercado_Receita!$N$2:$N$1039)</f>
        <v>0</v>
      </c>
      <c r="U42" s="14">
        <f t="shared" si="0"/>
        <v>0</v>
      </c>
      <c r="V42" s="14"/>
      <c r="W42" s="14"/>
    </row>
    <row r="43" spans="1:23" ht="11.25" customHeight="1" x14ac:dyDescent="0.25">
      <c r="A43" s="103" t="s">
        <v>48</v>
      </c>
      <c r="B43" s="103" t="s">
        <v>86</v>
      </c>
      <c r="C43" s="103" t="s">
        <v>49</v>
      </c>
      <c r="D43" s="12" t="s">
        <v>50</v>
      </c>
      <c r="E43" s="12" t="s">
        <v>25</v>
      </c>
      <c r="F43" s="12" t="s">
        <v>25</v>
      </c>
      <c r="G43" s="14" t="s">
        <v>84</v>
      </c>
      <c r="H43" s="14" t="s">
        <v>79</v>
      </c>
      <c r="I43" s="14">
        <f>SUMIF(Mercado_Receita!$T$2:$T$1039,"44531B4Energia convencionalIluminação públicaIluminação pública – B4aNão se aplicaNão se aplicaNão se aplica",Mercado_Receita!$N$2:$N$1039)</f>
        <v>2874.451</v>
      </c>
      <c r="J43" s="14">
        <f>SUMIF(Mercado_Receita!$T$2:$T$1039,"44562B4Energia convencionalIluminação públicaIluminação pública – B4aNão se aplicaNão se aplicaNão se aplica",Mercado_Receita!$N$2:$N$1039)</f>
        <v>2871.97</v>
      </c>
      <c r="K43" s="14">
        <f>SUMIF(Mercado_Receita!$T$2:$T$1039,"44593B4Energia convencionalIluminação públicaIluminação pública – B4aNão se aplicaNão se aplicaNão se aplica",Mercado_Receita!$N$2:$N$1039)</f>
        <v>2586.9229999999998</v>
      </c>
      <c r="L43" s="14">
        <f>SUMIF(Mercado_Receita!$T$2:$T$1039,"44621B4Energia convencionalIluminação públicaIluminação pública – B4aNão se aplicaNão se aplicaNão se aplica",Mercado_Receita!$N$2:$N$1039)</f>
        <v>2763.259</v>
      </c>
      <c r="M43" s="14">
        <f>SUMIF(Mercado_Receita!$T$2:$T$1039,"44652B4Energia convencionalIluminação públicaIluminação pública – B4aNão se aplicaNão se aplicaNão se aplica",Mercado_Receita!$N$2:$N$1039)</f>
        <v>2732.0239999999999</v>
      </c>
      <c r="N43" s="14">
        <f>SUMIF(Mercado_Receita!$T$2:$T$1039,"44682B4Energia convencionalIluminação públicaIluminação pública – B4aNão se aplicaNão se aplicaNão se aplica",Mercado_Receita!$N$2:$N$1039)</f>
        <v>2827.2690000000002</v>
      </c>
      <c r="O43" s="14">
        <f>SUMIF(Mercado_Receita!$T$2:$T$1039,"44713B4Energia convencionalIluminação públicaIluminação pública – B4aNão se aplicaNão se aplicaNão se aplica",Mercado_Receita!$N$2:$N$1039)</f>
        <v>3943.5160000000001</v>
      </c>
      <c r="P43" s="14">
        <f>SUMIF(Mercado_Receita!$T$2:$T$1039,"44743B4Energia convencionalIluminação públicaIluminação pública – B4aNão se aplicaNão se aplicaNão se aplica",Mercado_Receita!$N$2:$N$1039)</f>
        <v>2991.4449999999997</v>
      </c>
      <c r="Q43" s="14">
        <f>SUMIF(Mercado_Receita!$T$2:$T$1039,"44774B4Energia convencionalIluminação públicaIluminação pública – B4aNão se aplicaNão se aplicaNão se aplica",Mercado_Receita!$N$2:$N$1039)</f>
        <v>4028.8229999999999</v>
      </c>
      <c r="R43" s="14">
        <f>SUMIF(Mercado_Receita!$T$2:$T$1039,"44805B4Energia convencionalIluminação públicaIluminação pública – B4aNão se aplicaNão se aplicaNão se aplica",Mercado_Receita!$N$2:$N$1039)</f>
        <v>3721.9229999999998</v>
      </c>
      <c r="S43" s="14">
        <f>SUMIF(Mercado_Receita!$T$2:$T$1039,"44835B4Energia convencionalIluminação públicaIluminação pública – B4aNão se aplicaNão se aplicaNão se aplica",Mercado_Receita!$N$2:$N$1039)</f>
        <v>4071.0349999999999</v>
      </c>
      <c r="T43" s="14">
        <f>SUMIF(Mercado_Receita!$T$2:$T$1039,"44866B4Energia convencionalIluminação públicaIluminação pública – B4aNão se aplicaNão se aplicaNão se aplica",Mercado_Receita!$N$2:$N$1039)</f>
        <v>4071.0349999999999</v>
      </c>
      <c r="U43" s="14">
        <f t="shared" si="0"/>
        <v>39483.672999999995</v>
      </c>
      <c r="V43" s="14"/>
      <c r="W43" s="14"/>
    </row>
    <row r="44" spans="1:23" ht="11.25" customHeight="1" x14ac:dyDescent="0.25">
      <c r="A44" s="104"/>
      <c r="B44" s="104"/>
      <c r="C44" s="104"/>
      <c r="D44" s="14" t="s">
        <v>95</v>
      </c>
      <c r="E44" s="14" t="s">
        <v>25</v>
      </c>
      <c r="F44" s="14" t="s">
        <v>25</v>
      </c>
      <c r="G44" s="14" t="s">
        <v>84</v>
      </c>
      <c r="H44" s="14" t="s">
        <v>79</v>
      </c>
      <c r="I44" s="14">
        <f>SUMIF(Mercado_Receita!$T$2:$T$1039,"44531B4Energia convencionalIluminação públicaIluminação pública – B4bNão se aplicaNão se aplicaNão se aplica",Mercado_Receita!$N$2:$N$1039)</f>
        <v>0</v>
      </c>
      <c r="J44" s="14">
        <f>SUMIF(Mercado_Receita!$T$2:$T$1039,"44562B4Energia convencionalIluminação públicaIluminação pública – B4bNão se aplicaNão se aplicaNão se aplica",Mercado_Receita!$N$2:$N$1039)</f>
        <v>0</v>
      </c>
      <c r="K44" s="14">
        <f>SUMIF(Mercado_Receita!$T$2:$T$1039,"44593B4Energia convencionalIluminação públicaIluminação pública – B4bNão se aplicaNão se aplicaNão se aplica",Mercado_Receita!$N$2:$N$1039)</f>
        <v>0</v>
      </c>
      <c r="L44" s="14">
        <f>SUMIF(Mercado_Receita!$T$2:$T$1039,"44621B4Energia convencionalIluminação públicaIluminação pública – B4bNão se aplicaNão se aplicaNão se aplica",Mercado_Receita!$N$2:$N$1039)</f>
        <v>0</v>
      </c>
      <c r="M44" s="14">
        <f>SUMIF(Mercado_Receita!$T$2:$T$1039,"44652B4Energia convencionalIluminação públicaIluminação pública – B4bNão se aplicaNão se aplicaNão se aplica",Mercado_Receita!$N$2:$N$1039)</f>
        <v>0</v>
      </c>
      <c r="N44" s="14">
        <f>SUMIF(Mercado_Receita!$T$2:$T$1039,"44682B4Energia convencionalIluminação públicaIluminação pública – B4bNão se aplicaNão se aplicaNão se aplica",Mercado_Receita!$N$2:$N$1039)</f>
        <v>0</v>
      </c>
      <c r="O44" s="14">
        <f>SUMIF(Mercado_Receita!$T$2:$T$1039,"44713B4Energia convencionalIluminação públicaIluminação pública – B4bNão se aplicaNão se aplicaNão se aplica",Mercado_Receita!$N$2:$N$1039)</f>
        <v>0</v>
      </c>
      <c r="P44" s="14">
        <f>SUMIF(Mercado_Receita!$T$2:$T$1039,"44743B4Energia convencionalIluminação públicaIluminação pública – B4bNão se aplicaNão se aplicaNão se aplica",Mercado_Receita!$N$2:$N$1039)</f>
        <v>0</v>
      </c>
      <c r="Q44" s="14">
        <f>SUMIF(Mercado_Receita!$T$2:$T$1039,"44774B4Energia convencionalIluminação públicaIluminação pública – B4bNão se aplicaNão se aplicaNão se aplica",Mercado_Receita!$N$2:$N$1039)</f>
        <v>0</v>
      </c>
      <c r="R44" s="14">
        <f>SUMIF(Mercado_Receita!$T$2:$T$1039,"44805B4Energia convencionalIluminação públicaIluminação pública – B4bNão se aplicaNão se aplicaNão se aplica",Mercado_Receita!$N$2:$N$1039)</f>
        <v>0</v>
      </c>
      <c r="S44" s="14">
        <f>SUMIF(Mercado_Receita!$T$2:$T$1039,"44835B4Energia convencionalIluminação públicaIluminação pública – B4bNão se aplicaNão se aplicaNão se aplica",Mercado_Receita!$N$2:$N$1039)</f>
        <v>0</v>
      </c>
      <c r="T44" s="14">
        <f>SUMIF(Mercado_Receita!$T$2:$T$1039,"44866B4Energia convencionalIluminação públicaIluminação pública – B4bNão se aplicaNão se aplicaNão se aplica",Mercado_Receita!$N$2:$N$1039)</f>
        <v>0</v>
      </c>
      <c r="U44" s="14">
        <f t="shared" si="0"/>
        <v>0</v>
      </c>
      <c r="V44" s="14"/>
      <c r="W44" s="14"/>
    </row>
    <row r="45" spans="1:23" ht="11.25" customHeight="1" x14ac:dyDescent="0.25">
      <c r="A45" s="105" t="s">
        <v>643</v>
      </c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4"/>
      <c r="W45" s="14"/>
    </row>
  </sheetData>
  <mergeCells count="56">
    <mergeCell ref="A2:A3"/>
    <mergeCell ref="F2:F3"/>
    <mergeCell ref="E2:E3"/>
    <mergeCell ref="D2:D3"/>
    <mergeCell ref="C2:C3"/>
    <mergeCell ref="B2:B3"/>
    <mergeCell ref="A7:A9"/>
    <mergeCell ref="F4:F5"/>
    <mergeCell ref="E4:E5"/>
    <mergeCell ref="D4:D5"/>
    <mergeCell ref="C4:C5"/>
    <mergeCell ref="B4:B5"/>
    <mergeCell ref="A4:A6"/>
    <mergeCell ref="F7:F8"/>
    <mergeCell ref="E7:E8"/>
    <mergeCell ref="D7:D8"/>
    <mergeCell ref="C7:C8"/>
    <mergeCell ref="B7:B8"/>
    <mergeCell ref="C18:C22"/>
    <mergeCell ref="B18:B22"/>
    <mergeCell ref="A10:A22"/>
    <mergeCell ref="F23:F25"/>
    <mergeCell ref="E23:E25"/>
    <mergeCell ref="D23:D25"/>
    <mergeCell ref="C23:C25"/>
    <mergeCell ref="B23:B25"/>
    <mergeCell ref="F10:F12"/>
    <mergeCell ref="E10:E12"/>
    <mergeCell ref="D10:D12"/>
    <mergeCell ref="C10:C12"/>
    <mergeCell ref="B10:B12"/>
    <mergeCell ref="C13:C17"/>
    <mergeCell ref="B13:B17"/>
    <mergeCell ref="C27:C29"/>
    <mergeCell ref="B27:B29"/>
    <mergeCell ref="F31:F33"/>
    <mergeCell ref="E31:E33"/>
    <mergeCell ref="D31:D33"/>
    <mergeCell ref="C31:C33"/>
    <mergeCell ref="B31:B33"/>
    <mergeCell ref="A43:A44"/>
    <mergeCell ref="B43:B44"/>
    <mergeCell ref="C43:C44"/>
    <mergeCell ref="A45:U45"/>
    <mergeCell ref="C35:C37"/>
    <mergeCell ref="B35:B37"/>
    <mergeCell ref="A23:A37"/>
    <mergeCell ref="F38:F40"/>
    <mergeCell ref="E38:E40"/>
    <mergeCell ref="D38:D40"/>
    <mergeCell ref="C38:C40"/>
    <mergeCell ref="B38:B40"/>
    <mergeCell ref="A38:A42"/>
    <mergeCell ref="F27:F29"/>
    <mergeCell ref="E27:E29"/>
    <mergeCell ref="D27:D29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67F2-BD8C-460D-99DC-821A1447BF78}">
  <sheetPr codeName="Planilha6"/>
  <dimension ref="A1:AD200"/>
  <sheetViews>
    <sheetView showGridLines="0" topLeftCell="A25" workbookViewId="0">
      <selection activeCell="I63" sqref="I63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12.140625" style="16" bestFit="1" customWidth="1"/>
    <col min="7" max="11" width="9.140625" style="16"/>
    <col min="12" max="12" width="34.140625" style="16" bestFit="1" customWidth="1"/>
    <col min="13" max="13" width="12.28515625" style="16" bestFit="1" customWidth="1"/>
    <col min="14" max="14" width="36.140625" style="16" bestFit="1" customWidth="1"/>
    <col min="15" max="15" width="30.7109375" style="16" customWidth="1"/>
    <col min="16" max="16" width="13.5703125" style="16" bestFit="1" customWidth="1"/>
    <col min="17" max="17" width="10" style="16" bestFit="1" customWidth="1"/>
    <col min="18" max="18" width="14.5703125" style="16" bestFit="1" customWidth="1"/>
    <col min="19" max="19" width="31.1406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53.28515625" style="16" bestFit="1" customWidth="1"/>
    <col min="25" max="26" width="5" style="16" bestFit="1" customWidth="1"/>
    <col min="27" max="27" width="5.7109375" style="16" bestFit="1" customWidth="1"/>
    <col min="28" max="16384" width="9.140625" style="16"/>
  </cols>
  <sheetData>
    <row r="1" spans="1:30" ht="12" customHeight="1" x14ac:dyDescent="0.2">
      <c r="A1" s="10" t="s">
        <v>683</v>
      </c>
      <c r="B1" s="10" t="s">
        <v>684</v>
      </c>
      <c r="C1" s="10" t="s">
        <v>685</v>
      </c>
      <c r="D1" s="10" t="s">
        <v>686</v>
      </c>
      <c r="E1" s="10" t="s">
        <v>687</v>
      </c>
      <c r="F1" s="10" t="s">
        <v>688</v>
      </c>
      <c r="G1" s="7"/>
      <c r="H1" s="7"/>
      <c r="I1" s="7"/>
      <c r="J1" s="7"/>
      <c r="K1" s="7"/>
      <c r="L1" s="114" t="s">
        <v>689</v>
      </c>
      <c r="M1" s="114"/>
      <c r="N1" s="7"/>
      <c r="O1" s="107" t="s">
        <v>775</v>
      </c>
      <c r="P1" s="108"/>
      <c r="Q1" s="108"/>
      <c r="R1" s="108"/>
      <c r="S1" s="108"/>
      <c r="T1" s="108"/>
      <c r="U1" s="108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15" t="s">
        <v>644</v>
      </c>
      <c r="B2" s="115" t="s">
        <v>645</v>
      </c>
      <c r="C2" s="18" t="s">
        <v>730</v>
      </c>
      <c r="D2" s="15">
        <v>22372988.094348121</v>
      </c>
      <c r="E2" s="15">
        <v>-511218.24048191495</v>
      </c>
      <c r="F2" s="15">
        <v>989033.5690054592</v>
      </c>
      <c r="G2" s="17"/>
      <c r="H2" s="17"/>
      <c r="I2" s="17"/>
      <c r="J2" s="17"/>
      <c r="K2" s="17"/>
      <c r="L2" s="32" t="s">
        <v>690</v>
      </c>
      <c r="M2" s="93">
        <v>0.12849229385386174</v>
      </c>
      <c r="N2" s="17"/>
      <c r="O2" s="44" t="s">
        <v>57</v>
      </c>
      <c r="P2" s="44" t="s">
        <v>39</v>
      </c>
      <c r="Q2" s="44" t="s">
        <v>42</v>
      </c>
      <c r="R2" s="44" t="s">
        <v>41</v>
      </c>
      <c r="S2" s="44" t="s">
        <v>776</v>
      </c>
      <c r="T2" s="44" t="s">
        <v>87</v>
      </c>
      <c r="U2" s="44"/>
      <c r="V2" s="17"/>
      <c r="W2" s="17"/>
      <c r="X2" s="32" t="s">
        <v>743</v>
      </c>
      <c r="Y2" s="17"/>
      <c r="Z2" s="17"/>
      <c r="AA2" s="17" t="s">
        <v>784</v>
      </c>
      <c r="AB2" s="17"/>
      <c r="AC2" s="17"/>
      <c r="AD2" s="17"/>
    </row>
    <row r="3" spans="1:30" ht="12" customHeight="1" x14ac:dyDescent="0.2">
      <c r="A3" s="116"/>
      <c r="B3" s="116"/>
      <c r="C3" s="18" t="s">
        <v>646</v>
      </c>
      <c r="D3" s="15">
        <v>916742.14863132499</v>
      </c>
      <c r="E3" s="15">
        <v>49080.99651351686</v>
      </c>
      <c r="F3" s="15">
        <v>0</v>
      </c>
      <c r="G3" s="17"/>
      <c r="H3" s="17"/>
      <c r="I3" s="17"/>
      <c r="J3" s="17"/>
      <c r="K3" s="17"/>
      <c r="L3" s="32" t="s">
        <v>691</v>
      </c>
      <c r="M3" s="93"/>
      <c r="N3" s="17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777</v>
      </c>
      <c r="V3" s="17"/>
      <c r="W3" s="17"/>
      <c r="X3" s="32"/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6"/>
      <c r="B4" s="116"/>
      <c r="C4" s="18" t="s">
        <v>647</v>
      </c>
      <c r="D4" s="15">
        <f>$M$22-D$30</f>
        <v>4108047.7492148024</v>
      </c>
      <c r="E4" s="15">
        <f>IF((D4+D$30)&lt;&gt;0,$M$20*D4/(D4+D$30),0)</f>
        <v>0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692</v>
      </c>
      <c r="M4" s="93">
        <v>5.8952819237679366E-2</v>
      </c>
      <c r="N4" s="17"/>
      <c r="O4" s="45">
        <v>1</v>
      </c>
      <c r="P4" s="45">
        <v>1</v>
      </c>
      <c r="Q4" s="45">
        <v>1</v>
      </c>
      <c r="R4" s="45">
        <v>1</v>
      </c>
      <c r="S4" s="45">
        <v>1</v>
      </c>
      <c r="T4" s="45">
        <v>1</v>
      </c>
      <c r="U4" s="45" t="s">
        <v>58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6"/>
      <c r="B5" s="116"/>
      <c r="C5" s="18" t="s">
        <v>648</v>
      </c>
      <c r="D5" s="15">
        <v>0</v>
      </c>
      <c r="E5" s="15">
        <v>0</v>
      </c>
      <c r="F5" s="15">
        <v>0</v>
      </c>
      <c r="G5" s="17"/>
      <c r="H5" s="17"/>
      <c r="I5" s="17"/>
      <c r="J5" s="17"/>
      <c r="K5" s="17"/>
      <c r="L5" s="32" t="s">
        <v>693</v>
      </c>
      <c r="M5" s="93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6"/>
      <c r="B6" s="116"/>
      <c r="C6" s="18" t="s">
        <v>649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694</v>
      </c>
      <c r="M6" s="93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6"/>
      <c r="B7" s="116"/>
      <c r="C7" s="18" t="s">
        <v>650</v>
      </c>
      <c r="D7" s="15">
        <v>36457203.136740267</v>
      </c>
      <c r="E7" s="15">
        <v>2546557.2603031173</v>
      </c>
      <c r="F7" s="15">
        <v>13742306.890799999</v>
      </c>
      <c r="G7" s="17"/>
      <c r="H7" s="17"/>
      <c r="I7" s="17"/>
      <c r="J7" s="17"/>
      <c r="K7" s="17"/>
      <c r="L7" s="32" t="s">
        <v>695</v>
      </c>
      <c r="M7" s="32">
        <f>M8+M9+M10+M11</f>
        <v>588670.12455559324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6"/>
      <c r="B8" s="116"/>
      <c r="C8" s="18" t="s">
        <v>651</v>
      </c>
      <c r="D8" s="15">
        <v>14599119.686686665</v>
      </c>
      <c r="E8" s="15">
        <v>1040911.9664008766</v>
      </c>
      <c r="F8" s="15">
        <v>5428655.5210999995</v>
      </c>
      <c r="G8" s="17"/>
      <c r="H8" s="17"/>
      <c r="I8" s="17"/>
      <c r="J8" s="17"/>
      <c r="K8" s="17"/>
      <c r="L8" s="94" t="s">
        <v>696</v>
      </c>
      <c r="M8" s="32">
        <v>186968.55856689322</v>
      </c>
      <c r="N8" s="17"/>
      <c r="O8" s="32" t="s">
        <v>729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6"/>
      <c r="B9" s="116"/>
      <c r="C9" s="18" t="s">
        <v>652</v>
      </c>
      <c r="D9" s="15"/>
      <c r="E9" s="15"/>
      <c r="F9" s="15"/>
      <c r="G9" s="17"/>
      <c r="H9" s="17"/>
      <c r="I9" s="17"/>
      <c r="J9" s="17"/>
      <c r="K9" s="17"/>
      <c r="L9" s="95" t="s">
        <v>697</v>
      </c>
      <c r="M9" s="32">
        <v>356901.10918869998</v>
      </c>
      <c r="N9" s="17"/>
      <c r="O9" s="32" t="s">
        <v>734</v>
      </c>
      <c r="P9" s="45">
        <f>SUM(Mercado_Receita!$J$2:$J$1039)</f>
        <v>2432342</v>
      </c>
      <c r="Q9" s="45">
        <v>2432342</v>
      </c>
      <c r="R9" s="45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6"/>
      <c r="B10" s="117"/>
      <c r="C10" s="18" t="s">
        <v>653</v>
      </c>
      <c r="D10" s="15">
        <f>SUM(D$2:D9)</f>
        <v>78454100.815621182</v>
      </c>
      <c r="E10" s="15">
        <f>SUM(E$2:E9)</f>
        <v>3125331.9827355957</v>
      </c>
      <c r="F10" s="15">
        <f>SUM(F$2:F9)</f>
        <v>20159995.980905458</v>
      </c>
      <c r="G10" s="17"/>
      <c r="H10" s="17"/>
      <c r="I10" s="17"/>
      <c r="J10" s="17"/>
      <c r="K10" s="17"/>
      <c r="L10" s="94" t="s">
        <v>698</v>
      </c>
      <c r="M10" s="32">
        <v>15117.255830459537</v>
      </c>
      <c r="N10" s="17"/>
      <c r="O10" s="32" t="s">
        <v>735</v>
      </c>
      <c r="P10" s="45">
        <f>SUM(Mercado_Receita!$L$2:$L$1039)</f>
        <v>1081943.8849999993</v>
      </c>
      <c r="Q10" s="45">
        <v>1081943.885</v>
      </c>
      <c r="R10" s="45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6"/>
      <c r="B11" s="115" t="s">
        <v>654</v>
      </c>
      <c r="C11" s="18" t="s">
        <v>655</v>
      </c>
      <c r="D11" s="15">
        <v>42135694.28899999</v>
      </c>
      <c r="E11" s="15">
        <v>-6455532.2363079749</v>
      </c>
      <c r="F11" s="15">
        <f>IF((+$D$11+$D$12+$D$16+$D$17+$D$39)&lt;&gt;0,$M$19*$D$11/(+$D$11+$D$12+$D$16+$D$17+$D$39),0)</f>
        <v>2073902.0646832099</v>
      </c>
      <c r="G11" s="17"/>
      <c r="H11" s="17"/>
      <c r="I11" s="17"/>
      <c r="J11" s="17"/>
      <c r="K11" s="17"/>
      <c r="L11" s="94" t="s">
        <v>699</v>
      </c>
      <c r="M11" s="32">
        <v>29683.200969540459</v>
      </c>
      <c r="N11" s="17"/>
      <c r="O11" s="32" t="s">
        <v>736</v>
      </c>
      <c r="P11" s="45">
        <f>SUM(Mercado_Receita!$N$2:$N$1039)</f>
        <v>1067904.9709999992</v>
      </c>
      <c r="Q11" s="45">
        <v>1067904.9709999999</v>
      </c>
      <c r="R11" s="45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6"/>
      <c r="B12" s="116"/>
      <c r="C12" s="18" t="s">
        <v>656</v>
      </c>
      <c r="D12" s="15">
        <v>5487920.1139999982</v>
      </c>
      <c r="E12" s="15">
        <v>47045.350917512202</v>
      </c>
      <c r="F12" s="15">
        <f>IF((+$D$11+$D$12+$D$16+$D$17+$D$39)&lt;&gt;0,$M$19*$D$12/(+$D$11+$D$12+$D$16+$D$17+$D$39),0)</f>
        <v>270113.23884159565</v>
      </c>
      <c r="G12" s="17"/>
      <c r="H12" s="17"/>
      <c r="I12" s="17"/>
      <c r="J12" s="17"/>
      <c r="K12" s="17"/>
      <c r="L12" s="32" t="s">
        <v>700</v>
      </c>
      <c r="M12" s="32">
        <v>1656575.0955555933</v>
      </c>
      <c r="N12" s="17"/>
      <c r="O12" s="32" t="s">
        <v>737</v>
      </c>
      <c r="P12" s="45">
        <f>SUMIF('MERCADO TUSD'!$H$2:$H$64,"kW",'MERCADO TUSD'!$U$2:$U$64)</f>
        <v>2432342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6"/>
      <c r="B13" s="116"/>
      <c r="C13" s="18" t="s">
        <v>657</v>
      </c>
      <c r="D13" s="15">
        <f>-$M$51+206080.596971719</f>
        <v>206080.596971719</v>
      </c>
      <c r="E13" s="15">
        <v>-3105.523480323669</v>
      </c>
      <c r="F13" s="15">
        <v>0</v>
      </c>
      <c r="G13" s="17"/>
      <c r="H13" s="17"/>
      <c r="I13" s="17"/>
      <c r="J13" s="17"/>
      <c r="K13" s="17"/>
      <c r="L13" s="32" t="s">
        <v>701</v>
      </c>
      <c r="M13" s="32">
        <v>25520.477590965464</v>
      </c>
      <c r="N13" s="17"/>
      <c r="O13" s="32" t="s">
        <v>738</v>
      </c>
      <c r="P13" s="45">
        <f>SUMIF('MERCADO TUSD'!$H$2:$H$64,"MWh",'MERCADO TUSD'!$U$2:$U$64)</f>
        <v>1081943.8850000002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6"/>
      <c r="B14" s="116"/>
      <c r="C14" s="18" t="s">
        <v>658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702</v>
      </c>
      <c r="M14" s="32">
        <v>196.76612749558893</v>
      </c>
      <c r="N14" s="17"/>
      <c r="O14" s="32" t="s">
        <v>739</v>
      </c>
      <c r="P14" s="45">
        <f>SUMIF('MERCADO TE'!$H$2:$H$44,"MWh",'MERCADO TE'!$U$2:$U$44)</f>
        <v>1067904.9710000001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6"/>
      <c r="B15" s="116"/>
      <c r="C15" s="18" t="s">
        <v>659</v>
      </c>
      <c r="D15" s="15">
        <v>0</v>
      </c>
      <c r="E15" s="15">
        <v>0</v>
      </c>
      <c r="F15" s="15">
        <v>0</v>
      </c>
      <c r="G15" s="17"/>
      <c r="H15" s="17"/>
      <c r="I15" s="17"/>
      <c r="J15" s="17"/>
      <c r="K15" s="17"/>
      <c r="L15" s="32" t="s">
        <v>703</v>
      </c>
      <c r="M15" s="32">
        <f>M14*M12</f>
        <v>325957866.45810926</v>
      </c>
      <c r="N15" s="17"/>
      <c r="O15" s="32" t="s">
        <v>740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6"/>
      <c r="B16" s="116"/>
      <c r="C16" s="18" t="s">
        <v>660</v>
      </c>
      <c r="D16" s="15">
        <v>0</v>
      </c>
      <c r="E16" s="15">
        <v>0</v>
      </c>
      <c r="F16" s="15">
        <f>IF((+$D$11+$D$12+$D$16+$D$17+$D$39)&lt;&gt;0,$M$19*$D$16/(+$D$11+$D$12+$D$16+$D$17+$D$39),0)</f>
        <v>0</v>
      </c>
      <c r="G16" s="17"/>
      <c r="H16" s="17"/>
      <c r="I16" s="17"/>
      <c r="J16" s="17"/>
      <c r="K16" s="17"/>
      <c r="L16" s="32" t="s">
        <v>704</v>
      </c>
      <c r="M16" s="32">
        <v>-146150049.24116006</v>
      </c>
      <c r="N16" s="17"/>
      <c r="O16" s="32" t="s">
        <v>741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6"/>
      <c r="B17" s="116"/>
      <c r="C17" s="18" t="s">
        <v>661</v>
      </c>
      <c r="D17" s="15">
        <v>132655.01</v>
      </c>
      <c r="E17" s="15">
        <v>3001.4104081403348</v>
      </c>
      <c r="F17" s="15">
        <f>IF((+$D$11+$D$12+$D$16+$D$17+$D$39)&lt;&gt;0,$M$19*$D$17/(+$D$11+$D$12+$D$16+$D$17+$D$39),0)</f>
        <v>6529.2266751943253</v>
      </c>
      <c r="G17" s="17"/>
      <c r="H17" s="17"/>
      <c r="I17" s="17"/>
      <c r="J17" s="17"/>
      <c r="K17" s="17"/>
      <c r="L17" s="32" t="s">
        <v>705</v>
      </c>
      <c r="M17" s="32">
        <v>97203937.606899992</v>
      </c>
      <c r="N17" s="17"/>
      <c r="O17" s="32" t="s">
        <v>742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6"/>
      <c r="B18" s="117"/>
      <c r="C18" s="18" t="s">
        <v>653</v>
      </c>
      <c r="D18" s="15">
        <f>SUM(D$11:D17)</f>
        <v>47962350.009971708</v>
      </c>
      <c r="E18" s="15">
        <f>SUM(E$11:E17)</f>
        <v>-6408590.9984626463</v>
      </c>
      <c r="F18" s="15">
        <f>SUM(F$11:F17)</f>
        <v>2350544.5301999999</v>
      </c>
      <c r="G18" s="17"/>
      <c r="H18" s="17"/>
      <c r="I18" s="17"/>
      <c r="J18" s="17"/>
      <c r="K18" s="17"/>
      <c r="L18" s="32" t="s">
        <v>706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6"/>
      <c r="B19" s="115" t="s">
        <v>662</v>
      </c>
      <c r="C19" s="18" t="s">
        <v>663</v>
      </c>
      <c r="D19" s="15">
        <v>276302163.34839129</v>
      </c>
      <c r="E19" s="15">
        <v>942776.39571014885</v>
      </c>
      <c r="F19" s="15">
        <v>0</v>
      </c>
      <c r="G19" s="17"/>
      <c r="H19" s="17"/>
      <c r="I19" s="17"/>
      <c r="J19" s="17"/>
      <c r="K19" s="17"/>
      <c r="L19" s="32" t="s">
        <v>707</v>
      </c>
      <c r="M19" s="32">
        <v>2350544.5301999999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6"/>
      <c r="B20" s="117"/>
      <c r="C20" s="18" t="s">
        <v>653</v>
      </c>
      <c r="D20" s="15">
        <f>SUM(D$19:D19)</f>
        <v>276302163.34839129</v>
      </c>
      <c r="E20" s="15">
        <f>SUM(E$19:E19)</f>
        <v>942776.39571014885</v>
      </c>
      <c r="F20" s="15">
        <f>SUM(F$19:F19)</f>
        <v>0</v>
      </c>
      <c r="G20" s="17"/>
      <c r="H20" s="17"/>
      <c r="I20" s="17"/>
      <c r="J20" s="17"/>
      <c r="K20" s="17"/>
      <c r="L20" s="32" t="s">
        <v>708</v>
      </c>
      <c r="M20" s="32">
        <v>0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6"/>
      <c r="B21" s="115" t="s">
        <v>664</v>
      </c>
      <c r="C21" s="18" t="s">
        <v>665</v>
      </c>
      <c r="D21" s="15"/>
      <c r="E21" s="15">
        <f>IF($D$47&lt;&gt;0,(1-$D$46/$D$47)*-51606110.7,0)+0</f>
        <v>-35005959.495061576</v>
      </c>
      <c r="F21" s="15"/>
      <c r="G21" s="17"/>
      <c r="H21" s="17"/>
      <c r="I21" s="17"/>
      <c r="J21" s="17"/>
      <c r="K21" s="17"/>
      <c r="L21" s="32" t="s">
        <v>709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6"/>
      <c r="B22" s="116"/>
      <c r="C22" s="18" t="s">
        <v>666</v>
      </c>
      <c r="D22" s="15"/>
      <c r="E22" s="15"/>
      <c r="F22" s="15"/>
      <c r="G22" s="17"/>
      <c r="H22" s="17"/>
      <c r="I22" s="17"/>
      <c r="J22" s="17"/>
      <c r="K22" s="17"/>
      <c r="L22" s="32" t="s">
        <v>731</v>
      </c>
      <c r="M22" s="32">
        <v>6542096.9254482072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6"/>
      <c r="B23" s="117"/>
      <c r="C23" s="18" t="s">
        <v>653</v>
      </c>
      <c r="D23" s="15">
        <f>SUM(D$21:D22)</f>
        <v>0</v>
      </c>
      <c r="E23" s="15">
        <f>SUM(E$21:E22)</f>
        <v>-35005959.495061576</v>
      </c>
      <c r="F23" s="15">
        <f>SUM(F$21:F22)</f>
        <v>0</v>
      </c>
      <c r="G23" s="17"/>
      <c r="H23" s="17"/>
      <c r="I23" s="17"/>
      <c r="J23" s="17"/>
      <c r="K23" s="17"/>
      <c r="L23" s="32" t="s">
        <v>710</v>
      </c>
      <c r="M23" s="32">
        <v>22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6"/>
      <c r="B24" s="115" t="s">
        <v>667</v>
      </c>
      <c r="C24" s="18" t="s">
        <v>668</v>
      </c>
      <c r="D24" s="15">
        <f>$M$14*$M$8</f>
        <v>36789079.232639797</v>
      </c>
      <c r="E24" s="15">
        <f>$M$16*$M$8/$M$12</f>
        <v>-16495155.646376276</v>
      </c>
      <c r="F24" s="15">
        <f>$M$17*$M$8/$M$12</f>
        <v>10970876.086539844</v>
      </c>
      <c r="G24" s="17"/>
      <c r="H24" s="17"/>
      <c r="I24" s="17"/>
      <c r="J24" s="17"/>
      <c r="K24" s="17"/>
      <c r="L24" s="32" t="s">
        <v>711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6"/>
      <c r="B25" s="116"/>
      <c r="C25" s="18" t="s">
        <v>669</v>
      </c>
      <c r="D25" s="15">
        <f>$M$14*$M$10</f>
        <v>2974563.8881196366</v>
      </c>
      <c r="E25" s="15">
        <f>$M$16*$M$10/$M$12</f>
        <v>-1333708.1367095383</v>
      </c>
      <c r="F25" s="15">
        <f>$M$17*$M$10/$M$12</f>
        <v>887045.08263701608</v>
      </c>
      <c r="G25" s="17"/>
      <c r="H25" s="17"/>
      <c r="I25" s="17"/>
      <c r="J25" s="17"/>
      <c r="K25" s="17"/>
      <c r="L25" s="32" t="s">
        <v>712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6"/>
      <c r="B26" s="116"/>
      <c r="C26" s="18" t="s">
        <v>670</v>
      </c>
      <c r="D26" s="15">
        <f>$M$14*$M$9</f>
        <v>70226049.153940842</v>
      </c>
      <c r="E26" s="15">
        <f>$M$16*$M$9/$M$12</f>
        <v>-31487322.743228253</v>
      </c>
      <c r="F26" s="15">
        <f>$M$17*$M$9/$M$12</f>
        <v>20942119.220847331</v>
      </c>
      <c r="G26" s="17"/>
      <c r="H26" s="17"/>
      <c r="I26" s="17"/>
      <c r="J26" s="17"/>
      <c r="K26" s="17"/>
      <c r="L26" s="32" t="s">
        <v>713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6"/>
      <c r="B27" s="116"/>
      <c r="C27" s="18" t="s">
        <v>671</v>
      </c>
      <c r="D27" s="15">
        <v>13671788.874339724</v>
      </c>
      <c r="E27" s="15">
        <v>8831.0443689418025</v>
      </c>
      <c r="F27" s="15">
        <v>0</v>
      </c>
      <c r="G27" s="17"/>
      <c r="H27" s="17"/>
      <c r="I27" s="17"/>
      <c r="J27" s="17"/>
      <c r="K27" s="17"/>
      <c r="L27" s="32" t="s">
        <v>714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6"/>
      <c r="B28" s="117"/>
      <c r="C28" s="18" t="s">
        <v>653</v>
      </c>
      <c r="D28" s="15">
        <f>SUM(D$24:D27)</f>
        <v>123661481.14904001</v>
      </c>
      <c r="E28" s="15">
        <f>SUM(E$24:E27)</f>
        <v>-49307355.48194512</v>
      </c>
      <c r="F28" s="15">
        <f>SUM(F$24:F27)</f>
        <v>32800040.390024193</v>
      </c>
      <c r="G28" s="17"/>
      <c r="H28" s="17"/>
      <c r="I28" s="17"/>
      <c r="J28" s="17"/>
      <c r="K28" s="17"/>
      <c r="L28" s="32" t="s">
        <v>715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17"/>
      <c r="B29" s="111" t="s">
        <v>653</v>
      </c>
      <c r="C29" s="113"/>
      <c r="D29" s="15">
        <f>SUMIF(C$2:C28,"SUBTOTAL",D$2:D28)</f>
        <v>526380095.32302415</v>
      </c>
      <c r="E29" s="15">
        <f>SUMIF(C$2:C28,"SUBTOTAL",E$2:E28)</f>
        <v>-86653797.597023606</v>
      </c>
      <c r="F29" s="15">
        <f>SUMIF(C$2:C28,"SUBTOTAL",F$2:F28)</f>
        <v>55310580.901129648</v>
      </c>
      <c r="G29" s="17"/>
      <c r="H29" s="17"/>
      <c r="I29" s="17"/>
      <c r="J29" s="17"/>
      <c r="K29" s="17"/>
      <c r="L29" s="32" t="s">
        <v>716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15" t="s">
        <v>672</v>
      </c>
      <c r="B30" s="115" t="s">
        <v>645</v>
      </c>
      <c r="C30" s="18" t="s">
        <v>647</v>
      </c>
      <c r="D30" s="15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2434049.1762334048</v>
      </c>
      <c r="E30" s="15">
        <f>IF((D30+D$4)&lt;&gt;0,$M$20*D30/(D30+D$4),0)</f>
        <v>0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717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6"/>
      <c r="B31" s="116"/>
      <c r="C31" s="18" t="s">
        <v>673</v>
      </c>
      <c r="D31" s="15">
        <v>36602503.159999996</v>
      </c>
      <c r="E31" s="15">
        <v>14515474.191817597</v>
      </c>
      <c r="F31" s="15">
        <v>20821697.545299999</v>
      </c>
      <c r="G31" s="17"/>
      <c r="H31" s="17"/>
      <c r="I31" s="17"/>
      <c r="J31" s="17"/>
      <c r="K31" s="17"/>
      <c r="L31" s="32" t="s">
        <v>718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6"/>
      <c r="B32" s="116"/>
      <c r="C32" s="18" t="s">
        <v>674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719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6"/>
      <c r="B33" s="116"/>
      <c r="C33" s="18" t="s">
        <v>733</v>
      </c>
      <c r="D33" s="15">
        <v>12668948.439127613</v>
      </c>
      <c r="E33" s="15">
        <v>-833357.30925666564</v>
      </c>
      <c r="F33" s="15">
        <v>560051.04179454083</v>
      </c>
      <c r="G33" s="17"/>
      <c r="H33" s="17"/>
      <c r="I33" s="17"/>
      <c r="J33" s="17"/>
      <c r="K33" s="17"/>
      <c r="L33" s="32" t="s">
        <v>720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6"/>
      <c r="B34" s="116"/>
      <c r="C34" s="18" t="s">
        <v>675</v>
      </c>
      <c r="D34" s="15">
        <v>-18059343.579999998</v>
      </c>
      <c r="E34" s="15">
        <v>0</v>
      </c>
      <c r="F34" s="15">
        <v>0</v>
      </c>
      <c r="G34" s="17"/>
      <c r="H34" s="17"/>
      <c r="I34" s="17"/>
      <c r="J34" s="17"/>
      <c r="K34" s="17"/>
      <c r="L34" s="32" t="s">
        <v>721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6"/>
      <c r="B35" s="117"/>
      <c r="C35" s="18" t="s">
        <v>653</v>
      </c>
      <c r="D35" s="15">
        <f>SUM(D$30:D34)</f>
        <v>33646157.195361018</v>
      </c>
      <c r="E35" s="15">
        <f>SUM(E$30:E34)</f>
        <v>13682116.882560931</v>
      </c>
      <c r="F35" s="15">
        <f>SUM(F$30:F34)</f>
        <v>21381748.587094542</v>
      </c>
      <c r="G35" s="17"/>
      <c r="H35" s="17"/>
      <c r="I35" s="17"/>
      <c r="J35" s="17"/>
      <c r="K35" s="17"/>
      <c r="L35" s="32" t="s">
        <v>722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6"/>
      <c r="B36" s="115" t="s">
        <v>676</v>
      </c>
      <c r="C36" s="18" t="s">
        <v>677</v>
      </c>
      <c r="D36" s="15">
        <f>$M$14*($M$12-$M$7)</f>
        <v>210127525.67695919</v>
      </c>
      <c r="E36" s="15">
        <f>$M$16*($M$12-$M$7)/$M$12</f>
        <v>-94215085.398337662</v>
      </c>
      <c r="F36" s="15">
        <f>$M$17*($M$12-$M$7)/$M$12</f>
        <v>62662156.668706685</v>
      </c>
      <c r="G36" s="17"/>
      <c r="H36" s="17"/>
      <c r="I36" s="17"/>
      <c r="J36" s="17"/>
      <c r="K36" s="17"/>
      <c r="L36" s="32" t="s">
        <v>723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6"/>
      <c r="B37" s="117"/>
      <c r="C37" s="18" t="s">
        <v>653</v>
      </c>
      <c r="D37" s="15">
        <f>SUM(D$36:D36)</f>
        <v>210127525.67695919</v>
      </c>
      <c r="E37" s="15">
        <f>SUM(E$36:E36)</f>
        <v>-94215085.398337662</v>
      </c>
      <c r="F37" s="15">
        <f>SUM(F$36:F36)</f>
        <v>62662156.668706685</v>
      </c>
      <c r="G37" s="17"/>
      <c r="H37" s="17"/>
      <c r="I37" s="17"/>
      <c r="J37" s="17"/>
      <c r="K37" s="17"/>
      <c r="L37" s="32" t="s">
        <v>724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6"/>
      <c r="B38" s="115" t="s">
        <v>654</v>
      </c>
      <c r="C38" s="18" t="s">
        <v>678</v>
      </c>
      <c r="D38" s="15">
        <v>0</v>
      </c>
      <c r="E38" s="15">
        <v>0</v>
      </c>
      <c r="F38" s="15">
        <v>0</v>
      </c>
      <c r="G38" s="17"/>
      <c r="H38" s="17"/>
      <c r="I38" s="17"/>
      <c r="J38" s="17"/>
      <c r="K38" s="17"/>
      <c r="L38" s="32" t="s">
        <v>725</v>
      </c>
      <c r="M38" s="32">
        <f>IFERROR(VLOOKUP("Convencional1RuralNão se aplicaRURALB2",Descontos!B1:U88,VLOOKUP("Convencional1RuralNão se aplicaRURALB2",Descontos!B1:U88,20,FALSE)+12,FALSE),100)</f>
        <v>0.06</v>
      </c>
      <c r="N38" s="17" t="s">
        <v>778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6"/>
      <c r="B39" s="116"/>
      <c r="C39" s="18" t="s">
        <v>679</v>
      </c>
      <c r="D39" s="15">
        <v>0</v>
      </c>
      <c r="E39" s="15">
        <v>0</v>
      </c>
      <c r="F39" s="15">
        <f>IF((+$D$11+$D$12+$D$16+$D$17+$D$39)&lt;&gt;0,$M$19*$D$39/(+$D$11+$D$12+$D$16+$D$17+$D$39),0)</f>
        <v>0</v>
      </c>
      <c r="G39" s="17"/>
      <c r="H39" s="17"/>
      <c r="I39" s="17"/>
      <c r="J39" s="17"/>
      <c r="K39" s="17"/>
      <c r="L39" s="32" t="s">
        <v>726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7">
        <v>0.3</v>
      </c>
      <c r="O39" s="17" t="s">
        <v>795</v>
      </c>
      <c r="P39" s="17" t="s">
        <v>796</v>
      </c>
      <c r="Q39" s="17" t="s">
        <v>797</v>
      </c>
      <c r="R39" s="17" t="s">
        <v>798</v>
      </c>
      <c r="S39" s="17" t="s">
        <v>1</v>
      </c>
      <c r="T39" s="17" t="s">
        <v>799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6"/>
      <c r="B40" s="116"/>
      <c r="C40" s="18" t="s">
        <v>680</v>
      </c>
      <c r="D40" s="15"/>
      <c r="E40" s="15">
        <v>0</v>
      </c>
      <c r="F40" s="15">
        <v>0</v>
      </c>
      <c r="G40" s="17"/>
      <c r="H40" s="17"/>
      <c r="I40" s="17"/>
      <c r="J40" s="17"/>
      <c r="K40" s="17"/>
      <c r="L40" s="32" t="s">
        <v>727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6"/>
      <c r="B41" s="117"/>
      <c r="C41" s="18" t="s">
        <v>653</v>
      </c>
      <c r="D41" s="15">
        <f>SUM(D$38:D40)</f>
        <v>0</v>
      </c>
      <c r="E41" s="15">
        <f>SUM(E$38:E40)</f>
        <v>0</v>
      </c>
      <c r="F41" s="15">
        <f>SUM(F$38:F40)</f>
        <v>0</v>
      </c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6"/>
      <c r="B42" s="115" t="s">
        <v>664</v>
      </c>
      <c r="C42" s="18" t="s">
        <v>665</v>
      </c>
      <c r="D42" s="15"/>
      <c r="E42" s="15">
        <f>IF($D$47&lt;&gt;0,($D$46/$D$47)* -51606110.7,0)+0</f>
        <v>-16600151.204938425</v>
      </c>
      <c r="F42" s="15"/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6"/>
      <c r="B43" s="117"/>
      <c r="C43" s="18" t="s">
        <v>653</v>
      </c>
      <c r="D43" s="15">
        <f>SUM(D$42:D42)</f>
        <v>0</v>
      </c>
      <c r="E43" s="15">
        <f>SUM(E$42:E42)</f>
        <v>-16600151.204938425</v>
      </c>
      <c r="F43" s="15">
        <f>SUM(F$42:F42)</f>
        <v>0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6"/>
      <c r="B44" s="115" t="s">
        <v>667</v>
      </c>
      <c r="C44" s="18" t="s">
        <v>681</v>
      </c>
      <c r="D44" s="15">
        <f>$M$14*$M$11</f>
        <v>5840648.5064497869</v>
      </c>
      <c r="E44" s="15">
        <f>$M$16*$M$11/$M$12</f>
        <v>-2618777.3165083188</v>
      </c>
      <c r="F44" s="15">
        <f>$M$17*$M$11/$M$12</f>
        <v>1741740.5481691037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16"/>
      <c r="B45" s="117"/>
      <c r="C45" s="18" t="s">
        <v>653</v>
      </c>
      <c r="D45" s="15">
        <f>SUM(D$44:D44)</f>
        <v>5840648.5064497869</v>
      </c>
      <c r="E45" s="15">
        <f>SUM(E$44:E44)</f>
        <v>-2618777.3165083188</v>
      </c>
      <c r="F45" s="15">
        <f>SUM(F$44:F44)</f>
        <v>1741740.5481691037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17"/>
      <c r="B46" s="111" t="s">
        <v>653</v>
      </c>
      <c r="C46" s="113"/>
      <c r="D46" s="15">
        <f>SUMIF(C$30:C45,"SUBTOTAL",D$30:D45)</f>
        <v>249614331.37876999</v>
      </c>
      <c r="E46" s="15">
        <f>SUMIF(C$30:C45,"SUBTOTAL",E$30:E45)</f>
        <v>-99751897.037223473</v>
      </c>
      <c r="F46" s="15">
        <f>SUMIF(C$30:C45,"SUBTOTAL",F$30:F45)</f>
        <v>85785645.803970337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11" t="s">
        <v>682</v>
      </c>
      <c r="B47" s="112"/>
      <c r="C47" s="113"/>
      <c r="D47" s="15">
        <f>SUMIF(C$2:C46,"SUBTOTAL",D$2:D46)</f>
        <v>775994426.70179415</v>
      </c>
      <c r="E47" s="15">
        <f>SUMIF(C$2:C46,"SUBTOTAL",E$2:E46)</f>
        <v>-186405694.63424706</v>
      </c>
      <c r="F47" s="15">
        <f>SUMIF(C$2:C46,"SUBTOTAL",F$2:F46)</f>
        <v>141096226.70509997</v>
      </c>
      <c r="G47" s="17"/>
      <c r="H47" s="17"/>
      <c r="I47" s="17"/>
      <c r="J47" s="17"/>
      <c r="K47" s="17"/>
      <c r="L47" s="17"/>
      <c r="M47" s="17"/>
      <c r="N47" s="17"/>
      <c r="O47" s="51"/>
      <c r="P47" s="51"/>
      <c r="Q47" s="51"/>
      <c r="R47" s="51"/>
      <c r="S47" s="51"/>
      <c r="T47" s="51"/>
      <c r="U47" s="17"/>
      <c r="V47" s="17"/>
      <c r="W47" s="17"/>
      <c r="X47" s="17"/>
      <c r="Y47" s="17"/>
      <c r="Z47" s="17"/>
      <c r="AA47" s="17"/>
      <c r="AB47" s="17"/>
      <c r="AC47" s="17"/>
      <c r="AD47" s="17"/>
    </row>
    <row r="48" spans="1:30" ht="12" customHeight="1" x14ac:dyDescent="0.25">
      <c r="A48" s="109" t="s">
        <v>773</v>
      </c>
      <c r="B48" s="110"/>
      <c r="C48" s="110"/>
      <c r="D48" s="42">
        <f ca="1">'TUSD BE'!$AM$69+'TUSD BE'!$AM$73+'TE BE'!$AB$49</f>
        <v>775994426.70179415</v>
      </c>
      <c r="E48" s="42">
        <f ca="1">'TUSD BF'!$AM$69+'TE BF'!$AB$49</f>
        <v>-186405694.63424706</v>
      </c>
      <c r="F48" s="42">
        <f ca="1">'TUSD CVA'!$AM$69+'TE CVA'!$AB$49</f>
        <v>141096226.70509997</v>
      </c>
      <c r="L48" s="92"/>
      <c r="M48" s="32"/>
      <c r="O48" s="51"/>
      <c r="P48" s="51"/>
      <c r="Q48" s="51"/>
      <c r="R48" s="51"/>
      <c r="S48" s="51"/>
      <c r="T48" s="51"/>
    </row>
    <row r="49" spans="1:20" ht="12" customHeight="1" x14ac:dyDescent="0.25">
      <c r="A49" s="109" t="s">
        <v>774</v>
      </c>
      <c r="B49" s="110"/>
      <c r="C49" s="110"/>
      <c r="D49" s="43" t="str">
        <f ca="1">IF(ABS(D48-D47)&gt;1,"ERRO","OK")</f>
        <v>OK</v>
      </c>
      <c r="E49" s="43" t="str">
        <f ca="1">IF(ABS(E48-E47)&gt;1,"ERRO","OK")</f>
        <v>OK</v>
      </c>
      <c r="F49" s="43" t="str">
        <f ca="1">IF(ABS(F48-F47)&gt;1,"ERRO","OK")</f>
        <v>OK</v>
      </c>
      <c r="L49" s="92"/>
      <c r="M49" s="32"/>
      <c r="O49" s="51"/>
      <c r="P49" s="51"/>
      <c r="Q49" s="51"/>
      <c r="R49" s="51"/>
      <c r="S49" s="51"/>
      <c r="T49" s="51"/>
    </row>
    <row r="50" spans="1:20" ht="12" customHeight="1" x14ac:dyDescent="0.25">
      <c r="L50" s="92"/>
      <c r="M50" s="32"/>
      <c r="O50" s="51"/>
      <c r="P50" s="51"/>
      <c r="Q50" s="51"/>
      <c r="R50" s="51"/>
      <c r="S50" s="51"/>
      <c r="T50" s="51"/>
    </row>
    <row r="51" spans="1:20" ht="12" customHeight="1" x14ac:dyDescent="0.25">
      <c r="L51" s="68" t="s">
        <v>728</v>
      </c>
      <c r="M51" s="76">
        <v>0</v>
      </c>
      <c r="O51" s="51"/>
      <c r="P51" s="51"/>
      <c r="Q51" s="51"/>
      <c r="R51" s="51"/>
      <c r="S51" s="51"/>
      <c r="T51" s="51"/>
    </row>
    <row r="52" spans="1:20" ht="12" customHeight="1" x14ac:dyDescent="0.25">
      <c r="E52" s="16" t="s">
        <v>918</v>
      </c>
      <c r="F52" s="78">
        <f ca="1">D48+E48+F48</f>
        <v>730684958.77264702</v>
      </c>
      <c r="O52" s="51"/>
      <c r="P52" s="51"/>
      <c r="Q52" s="51"/>
      <c r="R52" s="51"/>
      <c r="S52" s="51"/>
      <c r="T52" s="51"/>
    </row>
    <row r="53" spans="1:20" ht="12" customHeight="1" x14ac:dyDescent="0.25">
      <c r="E53" s="16" t="s">
        <v>917</v>
      </c>
      <c r="F53" s="78">
        <f ca="1">EFEITO!AU12+SUM(SUBSIDIO!AJ2:AJ9)</f>
        <v>730684958.77264667</v>
      </c>
      <c r="O53" s="51"/>
      <c r="P53" s="51"/>
      <c r="Q53" s="51"/>
      <c r="R53" s="51"/>
      <c r="S53" s="51"/>
      <c r="T53" s="51"/>
    </row>
    <row r="54" spans="1:20" ht="12" customHeight="1" x14ac:dyDescent="0.25">
      <c r="E54" s="16" t="s">
        <v>919</v>
      </c>
      <c r="F54" s="78">
        <v>730684958.77264702</v>
      </c>
      <c r="O54" s="51"/>
      <c r="P54" s="51"/>
      <c r="Q54" s="51"/>
      <c r="R54" s="51"/>
      <c r="S54" s="51"/>
      <c r="T54" s="51"/>
    </row>
    <row r="55" spans="1:20" ht="12" customHeight="1" x14ac:dyDescent="0.25">
      <c r="G55" s="78"/>
      <c r="O55" s="51"/>
      <c r="P55" s="51"/>
      <c r="Q55" s="51"/>
      <c r="R55" s="51"/>
      <c r="S55" s="51"/>
      <c r="T55" s="51"/>
    </row>
    <row r="56" spans="1:20" ht="12" customHeight="1" x14ac:dyDescent="0.25">
      <c r="O56" s="51"/>
      <c r="P56" s="51"/>
      <c r="Q56" s="51"/>
      <c r="R56" s="51"/>
      <c r="S56" s="51"/>
      <c r="T56" s="51"/>
    </row>
    <row r="57" spans="1:20" ht="12" customHeight="1" x14ac:dyDescent="0.25">
      <c r="O57" s="51"/>
      <c r="P57" s="51"/>
      <c r="Q57" s="51"/>
      <c r="R57" s="51"/>
      <c r="S57" s="51"/>
      <c r="T57" s="51"/>
    </row>
    <row r="58" spans="1:20" ht="12" customHeight="1" x14ac:dyDescent="0.25">
      <c r="O58" s="51"/>
      <c r="P58" s="51"/>
      <c r="Q58" s="51"/>
      <c r="R58" s="51"/>
      <c r="S58" s="51"/>
      <c r="T58" s="51"/>
    </row>
    <row r="59" spans="1:20" ht="12" customHeight="1" x14ac:dyDescent="0.25">
      <c r="O59" s="51"/>
      <c r="P59" s="51"/>
      <c r="Q59" s="51"/>
      <c r="R59" s="51"/>
      <c r="S59" s="51"/>
      <c r="T59" s="51"/>
    </row>
    <row r="60" spans="1:20" ht="12" customHeight="1" x14ac:dyDescent="0.25">
      <c r="O60" s="51"/>
      <c r="P60" s="51"/>
      <c r="Q60" s="51"/>
      <c r="R60" s="51"/>
      <c r="S60" s="51"/>
      <c r="T60" s="51"/>
    </row>
    <row r="61" spans="1:20" ht="12" customHeight="1" x14ac:dyDescent="0.25">
      <c r="O61" s="51"/>
      <c r="P61" s="51"/>
      <c r="Q61" s="51"/>
      <c r="R61" s="51"/>
      <c r="S61" s="51"/>
      <c r="T61" s="51"/>
    </row>
    <row r="62" spans="1:20" ht="12" customHeight="1" x14ac:dyDescent="0.25">
      <c r="O62" s="51"/>
      <c r="P62" s="51"/>
      <c r="Q62" s="51"/>
      <c r="R62" s="51"/>
      <c r="S62" s="51"/>
      <c r="T62" s="51"/>
    </row>
    <row r="63" spans="1:20" ht="12" customHeight="1" x14ac:dyDescent="0.25">
      <c r="O63" s="51"/>
      <c r="P63" s="51"/>
      <c r="Q63" s="51"/>
      <c r="R63" s="51"/>
      <c r="S63" s="51"/>
      <c r="T63" s="51"/>
    </row>
    <row r="64" spans="1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795</v>
      </c>
      <c r="P101" s="51" t="s">
        <v>800</v>
      </c>
      <c r="Q101" s="51" t="s">
        <v>801</v>
      </c>
      <c r="R101" s="51" t="s">
        <v>802</v>
      </c>
      <c r="S101" s="51" t="s">
        <v>803</v>
      </c>
      <c r="T101" s="51" t="s">
        <v>804</v>
      </c>
      <c r="U101" s="51" t="s">
        <v>805</v>
      </c>
      <c r="V101" s="51" t="s">
        <v>806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38</v>
      </c>
      <c r="P102" s="51" t="s">
        <v>40</v>
      </c>
      <c r="Q102" s="51" t="s">
        <v>41</v>
      </c>
      <c r="R102" s="51" t="s">
        <v>46</v>
      </c>
      <c r="S102" s="51" t="s">
        <v>25</v>
      </c>
      <c r="T102" s="51" t="s">
        <v>807</v>
      </c>
      <c r="U102" s="51">
        <v>4</v>
      </c>
      <c r="V102" s="51">
        <v>0.1</v>
      </c>
      <c r="W102" s="51">
        <v>0.08</v>
      </c>
      <c r="X102" s="51">
        <v>0.06</v>
      </c>
      <c r="Y102" s="51">
        <v>0.04</v>
      </c>
      <c r="Z102" s="51">
        <v>0.02</v>
      </c>
      <c r="AA102" s="51">
        <v>0</v>
      </c>
      <c r="AB102" s="51"/>
      <c r="AC102" s="51"/>
      <c r="AD102" s="51"/>
    </row>
    <row r="103" spans="15:30" ht="12" customHeight="1" x14ac:dyDescent="0.25">
      <c r="O103" s="51" t="s">
        <v>38</v>
      </c>
      <c r="P103" s="51" t="s">
        <v>40</v>
      </c>
      <c r="Q103" s="51" t="s">
        <v>41</v>
      </c>
      <c r="R103" s="51" t="s">
        <v>51</v>
      </c>
      <c r="S103" s="51" t="s">
        <v>52</v>
      </c>
      <c r="T103" s="51" t="s">
        <v>808</v>
      </c>
      <c r="U103" s="51">
        <v>4</v>
      </c>
      <c r="V103" s="51">
        <v>0.15</v>
      </c>
      <c r="W103" s="51">
        <v>0.12</v>
      </c>
      <c r="X103" s="51">
        <v>0.09</v>
      </c>
      <c r="Y103" s="51">
        <v>0.06</v>
      </c>
      <c r="Z103" s="51">
        <v>0.03</v>
      </c>
      <c r="AA103" s="51">
        <v>0</v>
      </c>
      <c r="AB103" s="51"/>
      <c r="AC103" s="51"/>
      <c r="AD103" s="51"/>
    </row>
    <row r="104" spans="15:30" ht="12" customHeight="1" x14ac:dyDescent="0.25">
      <c r="O104" s="51" t="s">
        <v>38</v>
      </c>
      <c r="P104" s="51" t="s">
        <v>809</v>
      </c>
      <c r="Q104" s="51" t="s">
        <v>45</v>
      </c>
      <c r="R104" s="51" t="s">
        <v>46</v>
      </c>
      <c r="S104" s="51" t="s">
        <v>93</v>
      </c>
      <c r="T104" s="51" t="s">
        <v>808</v>
      </c>
      <c r="U104" s="51">
        <v>4</v>
      </c>
      <c r="V104" s="51">
        <v>0.3</v>
      </c>
      <c r="W104" s="51">
        <v>0.24</v>
      </c>
      <c r="X104" s="51">
        <v>0.18</v>
      </c>
      <c r="Y104" s="51">
        <v>0.12</v>
      </c>
      <c r="Z104" s="51">
        <v>0.06</v>
      </c>
      <c r="AA104" s="51">
        <v>0</v>
      </c>
      <c r="AB104" s="51"/>
      <c r="AC104" s="51"/>
      <c r="AD104" s="51"/>
    </row>
    <row r="105" spans="15:30" ht="12" customHeight="1" x14ac:dyDescent="0.25">
      <c r="O105" s="51" t="s">
        <v>38</v>
      </c>
      <c r="P105" s="51" t="s">
        <v>33</v>
      </c>
      <c r="Q105" s="51" t="s">
        <v>45</v>
      </c>
      <c r="R105" s="51" t="s">
        <v>46</v>
      </c>
      <c r="S105" s="51" t="s">
        <v>25</v>
      </c>
      <c r="T105" s="51" t="s">
        <v>46</v>
      </c>
      <c r="U105" s="51">
        <v>4</v>
      </c>
      <c r="V105" s="51">
        <v>0.3</v>
      </c>
      <c r="W105" s="51">
        <v>0.24</v>
      </c>
      <c r="X105" s="51">
        <v>0.18</v>
      </c>
      <c r="Y105" s="51">
        <v>0.12</v>
      </c>
      <c r="Z105" s="51">
        <v>0.06</v>
      </c>
      <c r="AA105" s="51">
        <v>0</v>
      </c>
      <c r="AB105" s="51"/>
      <c r="AC105" s="51"/>
      <c r="AD105" s="51"/>
    </row>
    <row r="106" spans="15:30" ht="12" customHeight="1" x14ac:dyDescent="0.25">
      <c r="O106" s="51" t="s">
        <v>38</v>
      </c>
      <c r="P106" s="51" t="s">
        <v>809</v>
      </c>
      <c r="Q106" s="51" t="s">
        <v>45</v>
      </c>
      <c r="R106" s="51" t="s">
        <v>46</v>
      </c>
      <c r="S106" s="51" t="s">
        <v>94</v>
      </c>
      <c r="T106" s="51" t="s">
        <v>808</v>
      </c>
      <c r="U106" s="51">
        <v>4</v>
      </c>
      <c r="V106" s="51">
        <v>0.4</v>
      </c>
      <c r="W106" s="51">
        <v>0.32</v>
      </c>
      <c r="X106" s="51">
        <v>0.24</v>
      </c>
      <c r="Y106" s="51">
        <v>0.16</v>
      </c>
      <c r="Z106" s="51">
        <v>0.08</v>
      </c>
      <c r="AA106" s="51">
        <v>0</v>
      </c>
      <c r="AB106" s="51"/>
      <c r="AC106" s="51"/>
      <c r="AD106" s="51"/>
    </row>
    <row r="107" spans="15:30" ht="12" customHeight="1" x14ac:dyDescent="0.25">
      <c r="O107" s="51" t="s">
        <v>38</v>
      </c>
      <c r="P107" s="51" t="s">
        <v>33</v>
      </c>
      <c r="Q107" s="51" t="s">
        <v>37</v>
      </c>
      <c r="R107" s="51" t="s">
        <v>51</v>
      </c>
      <c r="S107" s="51" t="s">
        <v>52</v>
      </c>
      <c r="T107" s="51" t="s">
        <v>808</v>
      </c>
      <c r="U107" s="51">
        <v>4</v>
      </c>
      <c r="V107" s="51">
        <v>0.15</v>
      </c>
      <c r="W107" s="51">
        <v>0.12</v>
      </c>
      <c r="X107" s="51">
        <v>0.09</v>
      </c>
      <c r="Y107" s="51">
        <v>0.06</v>
      </c>
      <c r="Z107" s="51">
        <v>0.03</v>
      </c>
      <c r="AA107" s="51">
        <v>0</v>
      </c>
      <c r="AB107" s="51"/>
      <c r="AC107" s="51"/>
      <c r="AD107" s="51"/>
    </row>
    <row r="108" spans="15:30" ht="12" customHeight="1" x14ac:dyDescent="0.25">
      <c r="O108" s="51" t="s">
        <v>38</v>
      </c>
      <c r="P108" s="51" t="s">
        <v>23</v>
      </c>
      <c r="Q108" s="51" t="s">
        <v>41</v>
      </c>
      <c r="R108" s="51" t="s">
        <v>46</v>
      </c>
      <c r="S108" s="51" t="s">
        <v>25</v>
      </c>
      <c r="T108" s="51" t="s">
        <v>807</v>
      </c>
      <c r="U108" s="51">
        <v>4</v>
      </c>
      <c r="V108" s="51">
        <v>0.1</v>
      </c>
      <c r="W108" s="51">
        <v>0.08</v>
      </c>
      <c r="X108" s="51">
        <v>0.06</v>
      </c>
      <c r="Y108" s="51">
        <v>0.04</v>
      </c>
      <c r="Z108" s="51">
        <v>0.02</v>
      </c>
      <c r="AA108" s="51">
        <v>0</v>
      </c>
      <c r="AB108" s="51"/>
      <c r="AC108" s="51"/>
      <c r="AD108" s="51"/>
    </row>
    <row r="109" spans="15:30" ht="12" customHeight="1" x14ac:dyDescent="0.25">
      <c r="O109" s="51" t="s">
        <v>38</v>
      </c>
      <c r="P109" s="51" t="s">
        <v>810</v>
      </c>
      <c r="Q109" s="51" t="s">
        <v>41</v>
      </c>
      <c r="R109" s="51" t="s">
        <v>51</v>
      </c>
      <c r="S109" s="51" t="s">
        <v>52</v>
      </c>
      <c r="T109" s="51" t="s">
        <v>808</v>
      </c>
      <c r="U109" s="51">
        <v>4</v>
      </c>
      <c r="V109" s="51">
        <v>0.15</v>
      </c>
      <c r="W109" s="51">
        <v>0.12</v>
      </c>
      <c r="X109" s="51">
        <v>0.09</v>
      </c>
      <c r="Y109" s="51">
        <v>0.06</v>
      </c>
      <c r="Z109" s="51">
        <v>0.03</v>
      </c>
      <c r="AA109" s="51">
        <v>0</v>
      </c>
      <c r="AB109" s="51"/>
      <c r="AC109" s="51"/>
      <c r="AD109" s="51"/>
    </row>
    <row r="110" spans="15:30" ht="12" customHeight="1" x14ac:dyDescent="0.25">
      <c r="O110" s="51" t="s">
        <v>38</v>
      </c>
      <c r="P110" s="51" t="s">
        <v>23</v>
      </c>
      <c r="Q110" s="51" t="s">
        <v>45</v>
      </c>
      <c r="R110" s="51" t="s">
        <v>46</v>
      </c>
      <c r="S110" s="51" t="s">
        <v>93</v>
      </c>
      <c r="T110" s="51" t="s">
        <v>808</v>
      </c>
      <c r="U110" s="51">
        <v>4</v>
      </c>
      <c r="V110" s="51">
        <v>0.3</v>
      </c>
      <c r="W110" s="51">
        <v>0.24</v>
      </c>
      <c r="X110" s="51">
        <v>0.18</v>
      </c>
      <c r="Y110" s="51">
        <v>0.12</v>
      </c>
      <c r="Z110" s="51">
        <v>0.06</v>
      </c>
      <c r="AA110" s="51">
        <v>0</v>
      </c>
      <c r="AB110" s="51"/>
      <c r="AC110" s="51"/>
      <c r="AD110" s="51"/>
    </row>
    <row r="111" spans="15:30" ht="12" customHeight="1" x14ac:dyDescent="0.25">
      <c r="O111" s="51" t="s">
        <v>38</v>
      </c>
      <c r="P111" s="51" t="s">
        <v>23</v>
      </c>
      <c r="Q111" s="51" t="s">
        <v>45</v>
      </c>
      <c r="R111" s="51" t="s">
        <v>46</v>
      </c>
      <c r="S111" s="51" t="s">
        <v>25</v>
      </c>
      <c r="T111" s="51" t="s">
        <v>46</v>
      </c>
      <c r="U111" s="51">
        <v>4</v>
      </c>
      <c r="V111" s="51">
        <v>0.3</v>
      </c>
      <c r="W111" s="51">
        <v>0.24</v>
      </c>
      <c r="X111" s="51">
        <v>0.18</v>
      </c>
      <c r="Y111" s="51">
        <v>0.12</v>
      </c>
      <c r="Z111" s="51">
        <v>0.06</v>
      </c>
      <c r="AA111" s="51">
        <v>0</v>
      </c>
      <c r="AB111" s="51"/>
      <c r="AC111" s="51"/>
      <c r="AD111" s="51"/>
    </row>
    <row r="112" spans="15:30" ht="12" customHeight="1" x14ac:dyDescent="0.25">
      <c r="O112" s="51" t="s">
        <v>38</v>
      </c>
      <c r="P112" s="51" t="s">
        <v>23</v>
      </c>
      <c r="Q112" s="51" t="s">
        <v>45</v>
      </c>
      <c r="R112" s="51" t="s">
        <v>46</v>
      </c>
      <c r="S112" s="51" t="s">
        <v>94</v>
      </c>
      <c r="T112" s="51" t="s">
        <v>808</v>
      </c>
      <c r="U112" s="51">
        <v>4</v>
      </c>
      <c r="V112" s="51">
        <v>0.4</v>
      </c>
      <c r="W112" s="51">
        <v>0.32</v>
      </c>
      <c r="X112" s="51">
        <v>0.24</v>
      </c>
      <c r="Y112" s="51">
        <v>0.16</v>
      </c>
      <c r="Z112" s="51">
        <v>0.08</v>
      </c>
      <c r="AA112" s="51">
        <v>0</v>
      </c>
      <c r="AB112" s="51"/>
      <c r="AC112" s="51"/>
      <c r="AD112" s="51"/>
    </row>
    <row r="113" spans="15:30" ht="12" customHeight="1" x14ac:dyDescent="0.25">
      <c r="O113" s="51" t="s">
        <v>38</v>
      </c>
      <c r="P113" s="51" t="s">
        <v>23</v>
      </c>
      <c r="Q113" s="51" t="s">
        <v>37</v>
      </c>
      <c r="R113" s="51" t="s">
        <v>51</v>
      </c>
      <c r="S113" s="51" t="s">
        <v>52</v>
      </c>
      <c r="T113" s="51" t="s">
        <v>808</v>
      </c>
      <c r="U113" s="51">
        <v>4</v>
      </c>
      <c r="V113" s="51">
        <v>0.15</v>
      </c>
      <c r="W113" s="51">
        <v>0.12</v>
      </c>
      <c r="X113" s="51">
        <v>0.09</v>
      </c>
      <c r="Y113" s="51">
        <v>0.06</v>
      </c>
      <c r="Z113" s="51">
        <v>0.03</v>
      </c>
      <c r="AA113" s="51">
        <v>0</v>
      </c>
      <c r="AB113" s="51"/>
      <c r="AC113" s="51"/>
      <c r="AD113" s="51"/>
    </row>
    <row r="114" spans="15:30" ht="12" customHeight="1" x14ac:dyDescent="0.25">
      <c r="O114" s="51" t="s">
        <v>38</v>
      </c>
      <c r="P114" s="51" t="s">
        <v>43</v>
      </c>
      <c r="Q114" s="51" t="s">
        <v>41</v>
      </c>
      <c r="R114" s="51" t="s">
        <v>46</v>
      </c>
      <c r="S114" s="51" t="s">
        <v>25</v>
      </c>
      <c r="T114" s="51" t="s">
        <v>807</v>
      </c>
      <c r="U114" s="51">
        <v>4</v>
      </c>
      <c r="V114" s="51">
        <v>0.1</v>
      </c>
      <c r="W114" s="51">
        <v>0.08</v>
      </c>
      <c r="X114" s="51">
        <v>0.06</v>
      </c>
      <c r="Y114" s="51">
        <v>0.04</v>
      </c>
      <c r="Z114" s="51">
        <v>0.02</v>
      </c>
      <c r="AA114" s="51">
        <v>0</v>
      </c>
      <c r="AB114" s="51"/>
      <c r="AC114" s="51"/>
      <c r="AD114" s="51"/>
    </row>
    <row r="115" spans="15:30" ht="12" customHeight="1" x14ac:dyDescent="0.25">
      <c r="O115" s="51" t="s">
        <v>38</v>
      </c>
      <c r="P115" s="51" t="s">
        <v>43</v>
      </c>
      <c r="Q115" s="51" t="s">
        <v>41</v>
      </c>
      <c r="R115" s="51" t="s">
        <v>51</v>
      </c>
      <c r="S115" s="51" t="s">
        <v>52</v>
      </c>
      <c r="T115" s="51" t="s">
        <v>808</v>
      </c>
      <c r="U115" s="51">
        <v>4</v>
      </c>
      <c r="V115" s="51">
        <v>0.15</v>
      </c>
      <c r="W115" s="51">
        <v>0.12</v>
      </c>
      <c r="X115" s="51">
        <v>0.09</v>
      </c>
      <c r="Y115" s="51">
        <v>0.06</v>
      </c>
      <c r="Z115" s="51">
        <v>0.03</v>
      </c>
      <c r="AA115" s="51">
        <v>0</v>
      </c>
      <c r="AB115" s="51"/>
      <c r="AC115" s="51"/>
      <c r="AD115" s="51"/>
    </row>
    <row r="116" spans="15:30" ht="12" customHeight="1" x14ac:dyDescent="0.25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</mergeCells>
  <pageMargins left="0.511811024" right="0.511811024" top="0.78740157499999996" bottom="0.78740157499999996" header="0.31496062000000002" footer="0.31496062000000002"/>
  <pageSetup orientation="portrait" horizontalDpi="300" verticalDpi="0" copies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578CC-DB1E-4448-A94D-ADE4DCA41827}">
  <sheetPr codeName="Planilha7"/>
  <dimension ref="A1:AP67"/>
  <sheetViews>
    <sheetView showGridLines="0" topLeftCell="C44" workbookViewId="0">
      <selection activeCell="K78" sqref="K78:P7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8" width="10.85546875" style="9" bestFit="1" customWidth="1"/>
    <col min="19" max="19" width="10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745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P1" s="119" t="s">
        <v>746</v>
      </c>
    </row>
    <row r="2" spans="1:42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P2" s="122"/>
    </row>
    <row r="3" spans="1:42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/>
      <c r="U3" s="119" t="s">
        <v>654</v>
      </c>
      <c r="V3" s="119"/>
      <c r="W3" s="119"/>
      <c r="X3" s="119"/>
      <c r="Y3" s="119"/>
      <c r="Z3" s="119"/>
      <c r="AA3" s="119"/>
      <c r="AB3" s="119"/>
      <c r="AC3" s="119" t="s">
        <v>662</v>
      </c>
      <c r="AD3" s="119"/>
      <c r="AE3" s="119" t="s">
        <v>664</v>
      </c>
      <c r="AF3" s="119"/>
      <c r="AG3" s="119"/>
      <c r="AH3" s="119" t="s">
        <v>667</v>
      </c>
      <c r="AI3" s="119"/>
      <c r="AJ3" s="119"/>
      <c r="AK3" s="119"/>
      <c r="AL3" s="119"/>
      <c r="AM3" s="119" t="s">
        <v>653</v>
      </c>
      <c r="AP3" s="122"/>
    </row>
    <row r="4" spans="1:42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41" t="s">
        <v>730</v>
      </c>
      <c r="M4" s="41" t="s">
        <v>646</v>
      </c>
      <c r="N4" s="41" t="s">
        <v>647</v>
      </c>
      <c r="O4" s="41" t="s">
        <v>648</v>
      </c>
      <c r="P4" s="41" t="s">
        <v>649</v>
      </c>
      <c r="Q4" s="41" t="s">
        <v>650</v>
      </c>
      <c r="R4" s="41" t="s">
        <v>651</v>
      </c>
      <c r="S4" s="41" t="s">
        <v>652</v>
      </c>
      <c r="T4" s="41" t="s">
        <v>653</v>
      </c>
      <c r="U4" s="41" t="s">
        <v>655</v>
      </c>
      <c r="V4" s="41" t="s">
        <v>656</v>
      </c>
      <c r="W4" s="41" t="s">
        <v>657</v>
      </c>
      <c r="X4" s="41" t="s">
        <v>658</v>
      </c>
      <c r="Y4" s="41" t="s">
        <v>659</v>
      </c>
      <c r="Z4" s="41" t="s">
        <v>660</v>
      </c>
      <c r="AA4" s="41" t="s">
        <v>661</v>
      </c>
      <c r="AB4" s="41" t="s">
        <v>653</v>
      </c>
      <c r="AC4" s="41" t="s">
        <v>663</v>
      </c>
      <c r="AD4" s="41" t="s">
        <v>653</v>
      </c>
      <c r="AE4" s="41" t="s">
        <v>665</v>
      </c>
      <c r="AF4" s="41" t="s">
        <v>666</v>
      </c>
      <c r="AG4" s="41" t="s">
        <v>653</v>
      </c>
      <c r="AH4" s="41" t="s">
        <v>668</v>
      </c>
      <c r="AI4" s="41" t="s">
        <v>669</v>
      </c>
      <c r="AJ4" s="41" t="s">
        <v>670</v>
      </c>
      <c r="AK4" s="41" t="s">
        <v>671</v>
      </c>
      <c r="AL4" s="41" t="s">
        <v>653</v>
      </c>
      <c r="AM4" s="120"/>
      <c r="AP4" s="122"/>
    </row>
    <row r="5" spans="1:42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40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0.13850000000000001</v>
      </c>
      <c r="AB5" s="39"/>
      <c r="AC5" s="39">
        <v>6.7584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/>
    </row>
    <row r="6" spans="1:42" ht="11.25" customHeight="1" x14ac:dyDescent="0.25">
      <c r="A6" s="118"/>
      <c r="B6" s="118"/>
      <c r="C6" s="118"/>
      <c r="D6" s="118"/>
      <c r="E6" s="118"/>
      <c r="F6" s="40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/>
      <c r="AC6" s="39">
        <v>1.1558999999999999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/>
    </row>
    <row r="7" spans="1:42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6.9394</v>
      </c>
      <c r="V7" s="39">
        <v>1.5077</v>
      </c>
      <c r="W7" s="39">
        <v>4.0899999999999999E-2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30.340599999999998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7.9288999999999996</v>
      </c>
      <c r="V8" s="39">
        <v>1.7753000000000001</v>
      </c>
      <c r="W8" s="39">
        <v>4.3900000000000002E-2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3.9239999999999999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/>
      <c r="AC9" s="39">
        <v>0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>
        <v>1</v>
      </c>
    </row>
    <row r="10" spans="1:42" ht="11.25" customHeight="1" x14ac:dyDescent="0.25">
      <c r="A10" s="118"/>
      <c r="B10" s="118"/>
      <c r="C10" s="118"/>
      <c r="D10" s="118"/>
      <c r="E10" s="40" t="s">
        <v>85</v>
      </c>
      <c r="F10" s="40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v>0</v>
      </c>
      <c r="AB10" s="39"/>
      <c r="AC10" s="39">
        <v>0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6.9394</v>
      </c>
      <c r="V11" s="39">
        <v>1.5077</v>
      </c>
      <c r="W11" s="39">
        <v>4.0899999999999999E-2</v>
      </c>
      <c r="X11" s="39">
        <v>0</v>
      </c>
      <c r="Y11" s="39">
        <v>0</v>
      </c>
      <c r="Z11" s="39">
        <v>0</v>
      </c>
      <c r="AA11" s="39">
        <v>0</v>
      </c>
      <c r="AB11" s="39"/>
      <c r="AC11" s="39">
        <v>36.803899999999999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3.8147000000000002</v>
      </c>
      <c r="V12" s="39">
        <v>0.85409999999999997</v>
      </c>
      <c r="W12" s="39">
        <v>2.1100000000000001E-2</v>
      </c>
      <c r="X12" s="39">
        <v>0</v>
      </c>
      <c r="Y12" s="39">
        <v>0</v>
      </c>
      <c r="Z12" s="39">
        <v>0</v>
      </c>
      <c r="AA12" s="39">
        <v>0</v>
      </c>
      <c r="AB12" s="39"/>
      <c r="AC12" s="39">
        <v>13.141500000000001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/>
      <c r="AC13" s="39">
        <v>0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18"/>
      <c r="B14" s="118"/>
      <c r="C14" s="118"/>
      <c r="D14" s="118"/>
      <c r="E14" s="40" t="s">
        <v>85</v>
      </c>
      <c r="F14" s="40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0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18"/>
      <c r="B15" s="40" t="s">
        <v>58</v>
      </c>
      <c r="C15" s="40" t="s">
        <v>25</v>
      </c>
      <c r="D15" s="40" t="s">
        <v>25</v>
      </c>
      <c r="E15" s="40" t="s">
        <v>25</v>
      </c>
      <c r="F15" s="40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8.4440000000000008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/>
    </row>
    <row r="16" spans="1:42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3.8147000000000002</v>
      </c>
      <c r="V16" s="39">
        <v>0.85409999999999997</v>
      </c>
      <c r="W16" s="39">
        <v>2.1100000000000001E-2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13.141500000000001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166.89269999999999</v>
      </c>
      <c r="V17" s="39">
        <v>36.261099999999999</v>
      </c>
      <c r="W17" s="39">
        <v>0.9839</v>
      </c>
      <c r="X17" s="39">
        <v>0</v>
      </c>
      <c r="Y17" s="39">
        <v>0</v>
      </c>
      <c r="Z17" s="39">
        <v>0</v>
      </c>
      <c r="AA17" s="39">
        <v>0</v>
      </c>
      <c r="AB17" s="39"/>
      <c r="AC17" s="39">
        <v>885.13440000000003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/>
      <c r="AC18" s="39">
        <v>0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166.89269999999999</v>
      </c>
      <c r="V19" s="39">
        <v>36.261099999999999</v>
      </c>
      <c r="W19" s="39">
        <v>0.9839</v>
      </c>
      <c r="X19" s="39">
        <v>0</v>
      </c>
      <c r="Y19" s="39">
        <v>0</v>
      </c>
      <c r="Z19" s="39">
        <v>0</v>
      </c>
      <c r="AA19" s="39">
        <v>0</v>
      </c>
      <c r="AB19" s="39"/>
      <c r="AC19" s="39">
        <v>885.13440000000003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/>
      <c r="AC20" s="39">
        <v>0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v>6.9394</v>
      </c>
      <c r="V21" s="39">
        <v>1.5077</v>
      </c>
      <c r="W21" s="39">
        <v>4.0899999999999999E-2</v>
      </c>
      <c r="X21" s="39">
        <v>0</v>
      </c>
      <c r="Y21" s="39">
        <v>0</v>
      </c>
      <c r="Z21" s="39">
        <v>0</v>
      </c>
      <c r="AA21" s="39">
        <v>0</v>
      </c>
      <c r="AB21" s="39"/>
      <c r="AC21" s="39">
        <v>36.803899999999999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v>1</v>
      </c>
    </row>
    <row r="22" spans="1:42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v>3.8147000000000002</v>
      </c>
      <c r="V22" s="39">
        <v>0.85409999999999997</v>
      </c>
      <c r="W22" s="39">
        <v>2.1100000000000001E-2</v>
      </c>
      <c r="X22" s="39">
        <v>0</v>
      </c>
      <c r="Y22" s="39">
        <v>0</v>
      </c>
      <c r="Z22" s="39">
        <v>0</v>
      </c>
      <c r="AA22" s="39">
        <v>0</v>
      </c>
      <c r="AB22" s="39"/>
      <c r="AC22" s="39">
        <v>13.141500000000001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/>
      <c r="AC23" s="39">
        <v>0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v>1</v>
      </c>
    </row>
    <row r="24" spans="1:42" ht="11.25" customHeight="1" x14ac:dyDescent="0.25">
      <c r="A24" s="118"/>
      <c r="B24" s="118"/>
      <c r="C24" s="118"/>
      <c r="D24" s="118"/>
      <c r="E24" s="40" t="s">
        <v>85</v>
      </c>
      <c r="F24" s="40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/>
      <c r="AC24" s="39">
        <v>0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v>1</v>
      </c>
    </row>
    <row r="25" spans="1:42" ht="11.25" customHeight="1" x14ac:dyDescent="0.25">
      <c r="A25" s="118"/>
      <c r="B25" s="40" t="s">
        <v>58</v>
      </c>
      <c r="C25" s="40" t="s">
        <v>25</v>
      </c>
      <c r="D25" s="40" t="s">
        <v>25</v>
      </c>
      <c r="E25" s="40" t="s">
        <v>25</v>
      </c>
      <c r="F25" s="40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/>
      <c r="AC25" s="39">
        <v>8.4440000000000008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/>
    </row>
    <row r="26" spans="1:42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v>3.8147000000000002</v>
      </c>
      <c r="V26" s="39">
        <v>0.85409999999999997</v>
      </c>
      <c r="W26" s="39">
        <v>2.1100000000000001E-2</v>
      </c>
      <c r="X26" s="39">
        <v>0</v>
      </c>
      <c r="Y26" s="39">
        <v>0</v>
      </c>
      <c r="Z26" s="39">
        <v>0</v>
      </c>
      <c r="AA26" s="39">
        <v>0</v>
      </c>
      <c r="AB26" s="39"/>
      <c r="AC26" s="39">
        <v>13.141500000000001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v>166.89269999999999</v>
      </c>
      <c r="V27" s="39">
        <v>36.261099999999999</v>
      </c>
      <c r="W27" s="39">
        <v>0.9839</v>
      </c>
      <c r="X27" s="39">
        <v>0</v>
      </c>
      <c r="Y27" s="39">
        <v>0</v>
      </c>
      <c r="Z27" s="39">
        <v>0</v>
      </c>
      <c r="AA27" s="39">
        <v>0</v>
      </c>
      <c r="AB27" s="39"/>
      <c r="AC27" s="39">
        <v>885.13440000000003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v>0</v>
      </c>
      <c r="AB28" s="39"/>
      <c r="AC28" s="39">
        <v>0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v>1</v>
      </c>
    </row>
    <row r="29" spans="1:42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v>166.89269999999999</v>
      </c>
      <c r="V29" s="39">
        <v>36.261099999999999</v>
      </c>
      <c r="W29" s="39">
        <v>0.9839</v>
      </c>
      <c r="X29" s="39">
        <v>0</v>
      </c>
      <c r="Y29" s="39">
        <v>0</v>
      </c>
      <c r="Z29" s="39">
        <v>0</v>
      </c>
      <c r="AA29" s="39">
        <v>0</v>
      </c>
      <c r="AB29" s="39"/>
      <c r="AC29" s="39">
        <v>885.13440000000003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v>1</v>
      </c>
    </row>
    <row r="30" spans="1:42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/>
      <c r="AC30" s="39">
        <v>0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v>1</v>
      </c>
    </row>
    <row r="31" spans="1:42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40" t="s">
        <v>88</v>
      </c>
      <c r="F31" s="40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/>
      <c r="AC31" s="39">
        <v>8.3620999999999999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/>
    </row>
    <row r="32" spans="1:42" ht="11.25" customHeight="1" x14ac:dyDescent="0.25">
      <c r="A32" s="118"/>
      <c r="B32" s="118"/>
      <c r="C32" s="118"/>
      <c r="D32" s="118"/>
      <c r="E32" s="40" t="s">
        <v>89</v>
      </c>
      <c r="F32" s="40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v>0</v>
      </c>
      <c r="V32" s="39">
        <v>0</v>
      </c>
      <c r="W32" s="39">
        <v>0</v>
      </c>
      <c r="X32" s="39">
        <v>0</v>
      </c>
      <c r="Y32" s="39">
        <v>0</v>
      </c>
      <c r="Z32" s="39">
        <v>0</v>
      </c>
      <c r="AA32" s="39">
        <v>0</v>
      </c>
      <c r="AB32" s="39"/>
      <c r="AC32" s="39">
        <v>19.075099999999999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/>
    </row>
    <row r="33" spans="1:42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v>81.637600000000006</v>
      </c>
      <c r="V33" s="39">
        <v>18.011299999999999</v>
      </c>
      <c r="W33" s="39">
        <v>0.46629999999999999</v>
      </c>
      <c r="X33" s="39">
        <v>0</v>
      </c>
      <c r="Y33" s="39">
        <v>0</v>
      </c>
      <c r="Z33" s="39">
        <v>0</v>
      </c>
      <c r="AA33" s="39">
        <v>0</v>
      </c>
      <c r="AB33" s="39"/>
      <c r="AC33" s="39">
        <v>698.65660000000003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v>1</v>
      </c>
    </row>
    <row r="34" spans="1:42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v>48.982500000000002</v>
      </c>
      <c r="V34" s="39">
        <v>10.806800000000001</v>
      </c>
      <c r="W34" s="39">
        <v>0.27979999999999999</v>
      </c>
      <c r="X34" s="39">
        <v>0</v>
      </c>
      <c r="Y34" s="39">
        <v>0</v>
      </c>
      <c r="Z34" s="39">
        <v>0</v>
      </c>
      <c r="AA34" s="39">
        <v>0</v>
      </c>
      <c r="AB34" s="39"/>
      <c r="AC34" s="39">
        <v>419.19400000000002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v>16.327500000000001</v>
      </c>
      <c r="V35" s="39">
        <v>3.6023000000000001</v>
      </c>
      <c r="W35" s="39">
        <v>9.3299999999999994E-2</v>
      </c>
      <c r="X35" s="39">
        <v>0</v>
      </c>
      <c r="Y35" s="39">
        <v>0</v>
      </c>
      <c r="Z35" s="39">
        <v>0</v>
      </c>
      <c r="AA35" s="39">
        <v>0</v>
      </c>
      <c r="AB35" s="39"/>
      <c r="AC35" s="39">
        <v>139.7313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v>1</v>
      </c>
    </row>
    <row r="36" spans="1:42" ht="11.25" customHeight="1" x14ac:dyDescent="0.25">
      <c r="A36" s="118"/>
      <c r="B36" s="118" t="s">
        <v>23</v>
      </c>
      <c r="C36" s="118" t="s">
        <v>24</v>
      </c>
      <c r="D36" s="40" t="s">
        <v>24</v>
      </c>
      <c r="E36" s="40" t="s">
        <v>25</v>
      </c>
      <c r="F36" s="40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v>25.119199999999999</v>
      </c>
      <c r="V36" s="39">
        <v>5.5419</v>
      </c>
      <c r="W36" s="39">
        <v>0.14349999999999999</v>
      </c>
      <c r="X36" s="39">
        <v>0</v>
      </c>
      <c r="Y36" s="39">
        <v>0</v>
      </c>
      <c r="Z36" s="39">
        <v>0</v>
      </c>
      <c r="AA36" s="39">
        <v>0</v>
      </c>
      <c r="AB36" s="39"/>
      <c r="AC36" s="39">
        <v>214.97130000000001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v>1</v>
      </c>
    </row>
    <row r="37" spans="1:42" ht="11.25" customHeight="1" x14ac:dyDescent="0.25">
      <c r="A37" s="118"/>
      <c r="B37" s="118"/>
      <c r="C37" s="118"/>
      <c r="D37" s="40" t="s">
        <v>29</v>
      </c>
      <c r="E37" s="40" t="s">
        <v>25</v>
      </c>
      <c r="F37" s="40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f>(1 - CUSTOS!$M$24)*25.1192</f>
        <v>25.119199999999999</v>
      </c>
      <c r="V37" s="39">
        <f>(1 - CUSTOS!$M$24)*5.5419</f>
        <v>5.5419</v>
      </c>
      <c r="W37" s="39">
        <f>(1 - CUSTOS!$M$24)*0.1435</f>
        <v>0.14349999999999999</v>
      </c>
      <c r="X37" s="39">
        <v>0</v>
      </c>
      <c r="Y37" s="39">
        <v>0</v>
      </c>
      <c r="Z37" s="39">
        <v>0</v>
      </c>
      <c r="AA37" s="39">
        <v>0</v>
      </c>
      <c r="AB37" s="39"/>
      <c r="AC37" s="39">
        <f>(1 - CUSTOS!$M$24)*214.9713</f>
        <v>214.97130000000001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CUSTOS!$M$24)&lt;&gt;0,1/(1 - CUSTOS!$M$24),1)</f>
        <v>1</v>
      </c>
    </row>
    <row r="38" spans="1:42" ht="11.25" customHeight="1" x14ac:dyDescent="0.25">
      <c r="A38" s="118"/>
      <c r="B38" s="118"/>
      <c r="C38" s="118"/>
      <c r="D38" s="40" t="s">
        <v>30</v>
      </c>
      <c r="E38" s="40" t="s">
        <v>25</v>
      </c>
      <c r="F38" s="40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f>(1 - CUSTOS!$M$25)*25.1192</f>
        <v>25.119199999999999</v>
      </c>
      <c r="V38" s="39">
        <f>(1 - CUSTOS!$M$25)*5.5419</f>
        <v>5.5419</v>
      </c>
      <c r="W38" s="39">
        <f>(1 - CUSTOS!$M$25)*0.1435</f>
        <v>0.14349999999999999</v>
      </c>
      <c r="X38" s="39">
        <v>0</v>
      </c>
      <c r="Y38" s="39">
        <v>0</v>
      </c>
      <c r="Z38" s="39">
        <v>0</v>
      </c>
      <c r="AA38" s="39">
        <v>0</v>
      </c>
      <c r="AB38" s="39"/>
      <c r="AC38" s="39">
        <f>(1 - CUSTOS!$M$25)*214.9713</f>
        <v>214.97130000000001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CUSTOS!$M$25)&lt;&gt;0,1/(1 - CUSTOS!$M$25),1)</f>
        <v>1</v>
      </c>
    </row>
    <row r="39" spans="1:42" ht="11.25" customHeight="1" x14ac:dyDescent="0.25">
      <c r="A39" s="118"/>
      <c r="B39" s="118"/>
      <c r="C39" s="118"/>
      <c r="D39" s="40" t="s">
        <v>31</v>
      </c>
      <c r="E39" s="40" t="s">
        <v>25</v>
      </c>
      <c r="F39" s="40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f>(1 - CUSTOS!$M$26)*25.1192</f>
        <v>25.119199999999999</v>
      </c>
      <c r="V39" s="39">
        <f>(1 - CUSTOS!$M$26)*5.5419</f>
        <v>5.5419</v>
      </c>
      <c r="W39" s="39">
        <f>(1 - CUSTOS!$M$26)*0.1435</f>
        <v>0.14349999999999999</v>
      </c>
      <c r="X39" s="39">
        <v>0</v>
      </c>
      <c r="Y39" s="39">
        <v>0</v>
      </c>
      <c r="Z39" s="39">
        <v>0</v>
      </c>
      <c r="AA39" s="39">
        <v>0</v>
      </c>
      <c r="AB39" s="39"/>
      <c r="AC39" s="39">
        <f>(1 - CUSTOS!$M$26)*214.9713</f>
        <v>214.97130000000001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CUSTOS!$M$26)&lt;&gt;0,1/(1 - CUSTOS!$M$26),1)</f>
        <v>1</v>
      </c>
    </row>
    <row r="40" spans="1:42" ht="11.25" customHeight="1" x14ac:dyDescent="0.25">
      <c r="A40" s="118"/>
      <c r="B40" s="118"/>
      <c r="C40" s="118"/>
      <c r="D40" s="40" t="s">
        <v>32</v>
      </c>
      <c r="E40" s="40" t="s">
        <v>25</v>
      </c>
      <c r="F40" s="40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f>(1 - CUSTOS!$M$27)*25.1192</f>
        <v>25.119199999999999</v>
      </c>
      <c r="V40" s="39">
        <f>(1 - CUSTOS!$M$27)*5.5419</f>
        <v>5.5419</v>
      </c>
      <c r="W40" s="39">
        <f>(1 - CUSTOS!$M$27)*0.1435</f>
        <v>0.14349999999999999</v>
      </c>
      <c r="X40" s="39">
        <v>0</v>
      </c>
      <c r="Y40" s="39">
        <v>0</v>
      </c>
      <c r="Z40" s="39">
        <v>0</v>
      </c>
      <c r="AA40" s="39">
        <v>0</v>
      </c>
      <c r="AB40" s="39"/>
      <c r="AC40" s="39">
        <f>(1 - CUSTOS!$M$27)*214.9713</f>
        <v>214.97130000000001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CUSTOS!$M$27)&lt;&gt;0,1/(1 - CUSTOS!$M$27),1)</f>
        <v>1</v>
      </c>
    </row>
    <row r="41" spans="1:42" ht="11.25" customHeight="1" x14ac:dyDescent="0.25">
      <c r="A41" s="118"/>
      <c r="B41" s="118" t="s">
        <v>92</v>
      </c>
      <c r="C41" s="118" t="s">
        <v>24</v>
      </c>
      <c r="D41" s="40" t="s">
        <v>24</v>
      </c>
      <c r="E41" s="40" t="s">
        <v>25</v>
      </c>
      <c r="F41" s="40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v>25.119199999999999</v>
      </c>
      <c r="V41" s="39">
        <v>5.5419</v>
      </c>
      <c r="W41" s="39">
        <v>0.14349999999999999</v>
      </c>
      <c r="X41" s="39">
        <v>0</v>
      </c>
      <c r="Y41" s="39">
        <v>0</v>
      </c>
      <c r="Z41" s="39">
        <v>0</v>
      </c>
      <c r="AA41" s="39">
        <v>0</v>
      </c>
      <c r="AB41" s="39"/>
      <c r="AC41" s="39">
        <v>214.97130000000001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v>1</v>
      </c>
    </row>
    <row r="42" spans="1:42" ht="11.25" customHeight="1" x14ac:dyDescent="0.25">
      <c r="A42" s="118"/>
      <c r="B42" s="118"/>
      <c r="C42" s="118"/>
      <c r="D42" s="40" t="s">
        <v>29</v>
      </c>
      <c r="E42" s="40" t="s">
        <v>25</v>
      </c>
      <c r="F42" s="40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f>(1 - CUSTOS!$M$24)*25.1192</f>
        <v>25.119199999999999</v>
      </c>
      <c r="V42" s="39">
        <f>(1 - CUSTOS!$M$24)*5.5419</f>
        <v>5.5419</v>
      </c>
      <c r="W42" s="39">
        <f>(1 - CUSTOS!$M$24)*0.1435</f>
        <v>0.14349999999999999</v>
      </c>
      <c r="X42" s="39">
        <v>0</v>
      </c>
      <c r="Y42" s="39">
        <v>0</v>
      </c>
      <c r="Z42" s="39">
        <v>0</v>
      </c>
      <c r="AA42" s="39">
        <v>0</v>
      </c>
      <c r="AB42" s="39"/>
      <c r="AC42" s="39">
        <f>(1 - CUSTOS!$M$24)*214.9713</f>
        <v>214.97130000000001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CUSTOS!$M$24)&lt;&gt;0,1/(1 - CUSTOS!$M$24),1)</f>
        <v>1</v>
      </c>
    </row>
    <row r="43" spans="1:42" ht="11.25" customHeight="1" x14ac:dyDescent="0.25">
      <c r="A43" s="118"/>
      <c r="B43" s="118"/>
      <c r="C43" s="118"/>
      <c r="D43" s="40" t="s">
        <v>30</v>
      </c>
      <c r="E43" s="40" t="s">
        <v>25</v>
      </c>
      <c r="F43" s="40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f>(1 - CUSTOS!$M$25)*25.1192</f>
        <v>25.119199999999999</v>
      </c>
      <c r="V43" s="39">
        <f>(1 - CUSTOS!$M$25)*5.5419</f>
        <v>5.5419</v>
      </c>
      <c r="W43" s="39">
        <f>(1 - CUSTOS!$M$25)*0.1435</f>
        <v>0.14349999999999999</v>
      </c>
      <c r="X43" s="39">
        <v>0</v>
      </c>
      <c r="Y43" s="39">
        <v>0</v>
      </c>
      <c r="Z43" s="39">
        <v>0</v>
      </c>
      <c r="AA43" s="39">
        <v>0</v>
      </c>
      <c r="AB43" s="39"/>
      <c r="AC43" s="39">
        <f>(1 - CUSTOS!$M$25)*214.9713</f>
        <v>214.97130000000001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CUSTOS!$M$25)&lt;&gt;0,1/(1 - CUSTOS!$M$25),1)</f>
        <v>1</v>
      </c>
    </row>
    <row r="44" spans="1:42" ht="11.25" customHeight="1" x14ac:dyDescent="0.25">
      <c r="A44" s="118"/>
      <c r="B44" s="118"/>
      <c r="C44" s="118"/>
      <c r="D44" s="40" t="s">
        <v>31</v>
      </c>
      <c r="E44" s="40" t="s">
        <v>25</v>
      </c>
      <c r="F44" s="40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f>(1 - CUSTOS!$M$26)*25.1192</f>
        <v>25.119199999999999</v>
      </c>
      <c r="V44" s="39">
        <f>(1 - CUSTOS!$M$26)*5.5419</f>
        <v>5.5419</v>
      </c>
      <c r="W44" s="39">
        <f>(1 - CUSTOS!$M$26)*0.1435</f>
        <v>0.14349999999999999</v>
      </c>
      <c r="X44" s="39">
        <v>0</v>
      </c>
      <c r="Y44" s="39">
        <v>0</v>
      </c>
      <c r="Z44" s="39">
        <v>0</v>
      </c>
      <c r="AA44" s="39">
        <v>0</v>
      </c>
      <c r="AB44" s="39"/>
      <c r="AC44" s="39">
        <f>(1 - CUSTOS!$M$26)*214.9713</f>
        <v>214.97130000000001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CUSTOS!$M$26)&lt;&gt;0,1/(1 - CUSTOS!$M$26),1)</f>
        <v>1</v>
      </c>
    </row>
    <row r="45" spans="1:42" ht="11.25" customHeight="1" x14ac:dyDescent="0.25">
      <c r="A45" s="118"/>
      <c r="B45" s="118"/>
      <c r="C45" s="118"/>
      <c r="D45" s="40" t="s">
        <v>32</v>
      </c>
      <c r="E45" s="40" t="s">
        <v>25</v>
      </c>
      <c r="F45" s="40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f>(1 - CUSTOS!$M$27)*25.1192</f>
        <v>25.119199999999999</v>
      </c>
      <c r="V45" s="39">
        <f>(1 - CUSTOS!$M$27)*5.5419</f>
        <v>5.5419</v>
      </c>
      <c r="W45" s="39">
        <f>(1 - CUSTOS!$M$27)*0.1435</f>
        <v>0.14349999999999999</v>
      </c>
      <c r="X45" s="39">
        <v>0</v>
      </c>
      <c r="Y45" s="39">
        <v>0</v>
      </c>
      <c r="Z45" s="39">
        <v>0</v>
      </c>
      <c r="AA45" s="39">
        <v>0</v>
      </c>
      <c r="AB45" s="39"/>
      <c r="AC45" s="39">
        <f>(1 - CUSTOS!$M$27)*214.9713</f>
        <v>214.97130000000001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CUSTOS!$M$27)&lt;&gt;0,1/(1 - CUSTOS!$M$27),1)</f>
        <v>1</v>
      </c>
    </row>
    <row r="46" spans="1:42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f>(1 - CUSTOS!$M$28)*81.6376</f>
        <v>81.637600000000006</v>
      </c>
      <c r="V46" s="39">
        <f>(1 - CUSTOS!$M$28)*18.0113</f>
        <v>18.011299999999999</v>
      </c>
      <c r="W46" s="39">
        <f>(1 - CUSTOS!$M$28)*0.4663</f>
        <v>0.46629999999999999</v>
      </c>
      <c r="X46" s="39">
        <v>0</v>
      </c>
      <c r="Y46" s="39">
        <v>0</v>
      </c>
      <c r="Z46" s="39">
        <v>0</v>
      </c>
      <c r="AA46" s="39">
        <v>0</v>
      </c>
      <c r="AB46" s="39"/>
      <c r="AC46" s="39">
        <f>(1 - CUSTOS!$M$28)*698.6566</f>
        <v>698.65660000000003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CUSTOS!$M$28)&lt;&gt;0,1/(1 - CUSTOS!$M$28),1)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f>(1 - CUSTOS!$M$28)*48.9825</f>
        <v>48.982500000000002</v>
      </c>
      <c r="V47" s="39">
        <f>(1 - CUSTOS!$M$28)*10.8068</f>
        <v>10.806800000000001</v>
      </c>
      <c r="W47" s="39">
        <f>(1 - CUSTOS!$M$28)*0.2798</f>
        <v>0.27979999999999999</v>
      </c>
      <c r="X47" s="39">
        <v>0</v>
      </c>
      <c r="Y47" s="39">
        <v>0</v>
      </c>
      <c r="Z47" s="39">
        <v>0</v>
      </c>
      <c r="AA47" s="39">
        <v>0</v>
      </c>
      <c r="AB47" s="39"/>
      <c r="AC47" s="39">
        <f>(1 - CUSTOS!$M$28)*419.194</f>
        <v>419.19400000000002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CUSTOS!$M$28)&lt;&gt;0,1/(1 - CUSTOS!$M$28),1)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f>(1 - CUSTOS!$M$28)*16.3275</f>
        <v>16.327500000000001</v>
      </c>
      <c r="V48" s="39">
        <f>(1 - CUSTOS!$M$28)*3.6023</f>
        <v>3.6023000000000001</v>
      </c>
      <c r="W48" s="39">
        <f>(1 - CUSTOS!$M$28)*0.0933</f>
        <v>9.3299999999999994E-2</v>
      </c>
      <c r="X48" s="39">
        <v>0</v>
      </c>
      <c r="Y48" s="39">
        <v>0</v>
      </c>
      <c r="Z48" s="39">
        <v>0</v>
      </c>
      <c r="AA48" s="39">
        <v>0</v>
      </c>
      <c r="AB48" s="39"/>
      <c r="AC48" s="39">
        <f>(1 - CUSTOS!$M$28)*139.7313</f>
        <v>139.7313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CUSTOS!$M$28)&lt;&gt;0,1/(1 - CUSTOS!$M$28),1)</f>
        <v>1</v>
      </c>
    </row>
    <row r="49" spans="1:42" ht="11.25" customHeight="1" x14ac:dyDescent="0.25">
      <c r="A49" s="118"/>
      <c r="B49" s="40" t="s">
        <v>23</v>
      </c>
      <c r="C49" s="40" t="s">
        <v>46</v>
      </c>
      <c r="D49" s="40" t="s">
        <v>25</v>
      </c>
      <c r="E49" s="40" t="s">
        <v>25</v>
      </c>
      <c r="F49" s="40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f>(1 - CUSTOS!$M$28)*25.1192</f>
        <v>25.119199999999999</v>
      </c>
      <c r="V49" s="39">
        <f>(1 - CUSTOS!$M$28)*5.5419</f>
        <v>5.5419</v>
      </c>
      <c r="W49" s="39">
        <f>(1 - CUSTOS!$M$28)*0.1435</f>
        <v>0.14349999999999999</v>
      </c>
      <c r="X49" s="39">
        <v>0</v>
      </c>
      <c r="Y49" s="39">
        <v>0</v>
      </c>
      <c r="Z49" s="39">
        <v>0</v>
      </c>
      <c r="AA49" s="39">
        <v>0</v>
      </c>
      <c r="AB49" s="39"/>
      <c r="AC49" s="39">
        <f>(1 - CUSTOS!$M$28)*214.9713</f>
        <v>214.97130000000001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CUSTOS!$M$28)&lt;&gt;0,1/(1 - CUSTOS!$M$28),1)</f>
        <v>1</v>
      </c>
    </row>
    <row r="50" spans="1:42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f>(1 - CUSTOS!$M$29)*81.6376</f>
        <v>81.637600000000006</v>
      </c>
      <c r="V50" s="39">
        <f>(1 - CUSTOS!$M$29)*18.0113</f>
        <v>18.011299999999999</v>
      </c>
      <c r="W50" s="39">
        <f>(1 - CUSTOS!$M$29)*0.4663</f>
        <v>0.46629999999999999</v>
      </c>
      <c r="X50" s="39">
        <v>0</v>
      </c>
      <c r="Y50" s="39">
        <v>0</v>
      </c>
      <c r="Z50" s="39">
        <v>0</v>
      </c>
      <c r="AA50" s="39">
        <v>0</v>
      </c>
      <c r="AB50" s="39"/>
      <c r="AC50" s="39">
        <f>(1 - CUSTOS!$M$29)*698.6566</f>
        <v>698.65660000000003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CUSTOS!$M$29)&lt;&gt;0,1/(1 - CUSTOS!$M$29),1)</f>
        <v>1</v>
      </c>
    </row>
    <row r="51" spans="1:42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f>(1 - CUSTOS!$M$29)*48.9825</f>
        <v>48.982500000000002</v>
      </c>
      <c r="V51" s="39">
        <f>(1 - CUSTOS!$M$29)*10.8068</f>
        <v>10.806800000000001</v>
      </c>
      <c r="W51" s="39">
        <f>(1 - CUSTOS!$M$29)*0.2798</f>
        <v>0.27979999999999999</v>
      </c>
      <c r="X51" s="39">
        <v>0</v>
      </c>
      <c r="Y51" s="39">
        <v>0</v>
      </c>
      <c r="Z51" s="39">
        <v>0</v>
      </c>
      <c r="AA51" s="39">
        <v>0</v>
      </c>
      <c r="AB51" s="39"/>
      <c r="AC51" s="39">
        <f>(1 - CUSTOS!$M$29)*419.194</f>
        <v>419.19400000000002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CUSTOS!$M$29)&lt;&gt;0,1/(1 - CUSTOS!$M$29),1)</f>
        <v>1</v>
      </c>
    </row>
    <row r="52" spans="1:42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39"/>
      <c r="M52" s="39"/>
      <c r="N52" s="39"/>
      <c r="O52" s="39"/>
      <c r="P52" s="39"/>
      <c r="Q52" s="39"/>
      <c r="R52" s="39"/>
      <c r="S52" s="39"/>
      <c r="T52" s="39"/>
      <c r="U52" s="39">
        <f>(1 - CUSTOS!$M$29)*16.3275</f>
        <v>16.327500000000001</v>
      </c>
      <c r="V52" s="39">
        <f>(1 - CUSTOS!$M$29)*3.6023</f>
        <v>3.6023000000000001</v>
      </c>
      <c r="W52" s="39">
        <f>(1 - CUSTOS!$M$29)*0.0933</f>
        <v>9.3299999999999994E-2</v>
      </c>
      <c r="X52" s="39">
        <v>0</v>
      </c>
      <c r="Y52" s="39">
        <v>0</v>
      </c>
      <c r="Z52" s="39">
        <v>0</v>
      </c>
      <c r="AA52" s="39">
        <v>0</v>
      </c>
      <c r="AB52" s="39"/>
      <c r="AC52" s="39">
        <f>(1 - CUSTOS!$M$29)*139.7313</f>
        <v>139.7313</v>
      </c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P52" s="39">
        <f>IF((1 - CUSTOS!$M$29)&lt;&gt;0,1/(1 - CUSTOS!$M$29),1)</f>
        <v>1</v>
      </c>
    </row>
    <row r="53" spans="1:42" ht="11.25" customHeight="1" x14ac:dyDescent="0.25">
      <c r="A53" s="118"/>
      <c r="B53" s="40" t="s">
        <v>23</v>
      </c>
      <c r="C53" s="40" t="s">
        <v>46</v>
      </c>
      <c r="D53" s="40" t="s">
        <v>93</v>
      </c>
      <c r="E53" s="40" t="s">
        <v>25</v>
      </c>
      <c r="F53" s="40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39"/>
      <c r="M53" s="39"/>
      <c r="N53" s="39"/>
      <c r="O53" s="39"/>
      <c r="P53" s="39"/>
      <c r="Q53" s="39"/>
      <c r="R53" s="39"/>
      <c r="S53" s="39"/>
      <c r="T53" s="39"/>
      <c r="U53" s="39">
        <f>(1 - CUSTOS!$M$29)*25.1192</f>
        <v>25.119199999999999</v>
      </c>
      <c r="V53" s="39">
        <f>(1 - CUSTOS!$M$29)*5.5419</f>
        <v>5.5419</v>
      </c>
      <c r="W53" s="39">
        <f>(1 - CUSTOS!$M$29)*0.1435</f>
        <v>0.14349999999999999</v>
      </c>
      <c r="X53" s="39">
        <v>0</v>
      </c>
      <c r="Y53" s="39">
        <v>0</v>
      </c>
      <c r="Z53" s="39">
        <v>0</v>
      </c>
      <c r="AA53" s="39">
        <v>0</v>
      </c>
      <c r="AB53" s="39"/>
      <c r="AC53" s="39">
        <f>(1 - CUSTOS!$M$29)*214.9713</f>
        <v>214.97130000000001</v>
      </c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P53" s="39">
        <f>IF((1 - CUSTOS!$M$29)&lt;&gt;0,1/(1 - CUSTOS!$M$29),1)</f>
        <v>1</v>
      </c>
    </row>
    <row r="54" spans="1:42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39"/>
      <c r="M54" s="39"/>
      <c r="N54" s="39"/>
      <c r="O54" s="39"/>
      <c r="P54" s="39"/>
      <c r="Q54" s="39"/>
      <c r="R54" s="39"/>
      <c r="S54" s="39"/>
      <c r="T54" s="39"/>
      <c r="U54" s="39">
        <f>(1 - CUSTOS!$M$30)*81.6376</f>
        <v>81.637600000000006</v>
      </c>
      <c r="V54" s="39">
        <f>(1 - CUSTOS!$M$30)*18.0113</f>
        <v>18.011299999999999</v>
      </c>
      <c r="W54" s="39">
        <f>(1 - CUSTOS!$M$30)*0.4663</f>
        <v>0.46629999999999999</v>
      </c>
      <c r="X54" s="39">
        <v>0</v>
      </c>
      <c r="Y54" s="39">
        <v>0</v>
      </c>
      <c r="Z54" s="39">
        <v>0</v>
      </c>
      <c r="AA54" s="39">
        <v>0</v>
      </c>
      <c r="AB54" s="39"/>
      <c r="AC54" s="39">
        <f>(1 - CUSTOS!$M$30)*698.6566</f>
        <v>698.65660000000003</v>
      </c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P54" s="39">
        <f>IF((1 - CUSTOS!$M$30)&lt;&gt;0,1/(1 - CUSTOS!$M$30),1)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39"/>
      <c r="M55" s="39"/>
      <c r="N55" s="39"/>
      <c r="O55" s="39"/>
      <c r="P55" s="39"/>
      <c r="Q55" s="39"/>
      <c r="R55" s="39"/>
      <c r="S55" s="39"/>
      <c r="T55" s="39"/>
      <c r="U55" s="39">
        <f>(1 - CUSTOS!$M$30)*48.9825</f>
        <v>48.982500000000002</v>
      </c>
      <c r="V55" s="39">
        <f>(1 - CUSTOS!$M$30)*10.8068</f>
        <v>10.806800000000001</v>
      </c>
      <c r="W55" s="39">
        <f>(1 - CUSTOS!$M$30)*0.2798</f>
        <v>0.27979999999999999</v>
      </c>
      <c r="X55" s="39">
        <v>0</v>
      </c>
      <c r="Y55" s="39">
        <v>0</v>
      </c>
      <c r="Z55" s="39">
        <v>0</v>
      </c>
      <c r="AA55" s="39">
        <v>0</v>
      </c>
      <c r="AB55" s="39"/>
      <c r="AC55" s="39">
        <f>(1 - CUSTOS!$M$30)*419.194</f>
        <v>419.19400000000002</v>
      </c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P55" s="39">
        <f>IF((1 - CUSTOS!$M$30)&lt;&gt;0,1/(1 - CUSTOS!$M$30),1)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39"/>
      <c r="M56" s="39"/>
      <c r="N56" s="39"/>
      <c r="O56" s="39"/>
      <c r="P56" s="39"/>
      <c r="Q56" s="39"/>
      <c r="R56" s="39"/>
      <c r="S56" s="39"/>
      <c r="T56" s="39"/>
      <c r="U56" s="39">
        <f>(1 - CUSTOS!$M$30)*16.3275</f>
        <v>16.327500000000001</v>
      </c>
      <c r="V56" s="39">
        <f>(1 - CUSTOS!$M$30)*3.6023</f>
        <v>3.6023000000000001</v>
      </c>
      <c r="W56" s="39">
        <f>(1 - CUSTOS!$M$30)*0.0933</f>
        <v>9.3299999999999994E-2</v>
      </c>
      <c r="X56" s="39">
        <v>0</v>
      </c>
      <c r="Y56" s="39">
        <v>0</v>
      </c>
      <c r="Z56" s="39">
        <v>0</v>
      </c>
      <c r="AA56" s="39">
        <v>0</v>
      </c>
      <c r="AB56" s="39"/>
      <c r="AC56" s="39">
        <f>(1 - CUSTOS!$M$30)*139.7313</f>
        <v>139.7313</v>
      </c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P56" s="39">
        <f>IF((1 - CUSTOS!$M$30)&lt;&gt;0,1/(1 - CUSTOS!$M$30),1)</f>
        <v>1</v>
      </c>
    </row>
    <row r="57" spans="1:42" ht="11.25" customHeight="1" x14ac:dyDescent="0.25">
      <c r="A57" s="118"/>
      <c r="B57" s="40" t="s">
        <v>23</v>
      </c>
      <c r="C57" s="40" t="s">
        <v>46</v>
      </c>
      <c r="D57" s="40" t="s">
        <v>94</v>
      </c>
      <c r="E57" s="40" t="s">
        <v>25</v>
      </c>
      <c r="F57" s="40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39"/>
      <c r="M57" s="39"/>
      <c r="N57" s="39"/>
      <c r="O57" s="39"/>
      <c r="P57" s="39"/>
      <c r="Q57" s="39"/>
      <c r="R57" s="39"/>
      <c r="S57" s="39"/>
      <c r="T57" s="39"/>
      <c r="U57" s="39">
        <f>(1 - CUSTOS!$M$30)*25.1192</f>
        <v>25.119199999999999</v>
      </c>
      <c r="V57" s="39">
        <f>(1 - CUSTOS!$M$30)*5.5419</f>
        <v>5.5419</v>
      </c>
      <c r="W57" s="39">
        <f>(1 - CUSTOS!$M$30)*0.1435</f>
        <v>0.14349999999999999</v>
      </c>
      <c r="X57" s="39">
        <v>0</v>
      </c>
      <c r="Y57" s="39">
        <v>0</v>
      </c>
      <c r="Z57" s="39">
        <v>0</v>
      </c>
      <c r="AA57" s="39">
        <v>0</v>
      </c>
      <c r="AB57" s="39"/>
      <c r="AC57" s="39">
        <f>(1 - CUSTOS!$M$30)*214.9713</f>
        <v>214.97130000000001</v>
      </c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P57" s="39">
        <f>IF((1 - CUSTOS!$M$30)&lt;&gt;0,1/(1 - CUSTOS!$M$30),1)</f>
        <v>1</v>
      </c>
    </row>
    <row r="58" spans="1:42" ht="11.25" customHeight="1" x14ac:dyDescent="0.25">
      <c r="A58" s="118"/>
      <c r="B58" s="118" t="s">
        <v>92</v>
      </c>
      <c r="C58" s="118" t="s">
        <v>46</v>
      </c>
      <c r="D58" s="40" t="s">
        <v>25</v>
      </c>
      <c r="E58" s="40" t="s">
        <v>25</v>
      </c>
      <c r="F58" s="40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39"/>
      <c r="M58" s="39"/>
      <c r="N58" s="39"/>
      <c r="O58" s="39"/>
      <c r="P58" s="39"/>
      <c r="Q58" s="39"/>
      <c r="R58" s="39"/>
      <c r="S58" s="39"/>
      <c r="T58" s="39"/>
      <c r="U58" s="39">
        <f>(1 - CUSTOS!$M$28)*25.1192</f>
        <v>25.119199999999999</v>
      </c>
      <c r="V58" s="39">
        <f>(1 - CUSTOS!$M$28)*5.5419</f>
        <v>5.5419</v>
      </c>
      <c r="W58" s="39">
        <f>(1 - CUSTOS!$M$28)*0.1435</f>
        <v>0.14349999999999999</v>
      </c>
      <c r="X58" s="39">
        <v>0</v>
      </c>
      <c r="Y58" s="39">
        <v>0</v>
      </c>
      <c r="Z58" s="39">
        <v>0</v>
      </c>
      <c r="AA58" s="39">
        <v>0</v>
      </c>
      <c r="AB58" s="39"/>
      <c r="AC58" s="39">
        <f>(1 - CUSTOS!$M$28)*214.9713</f>
        <v>214.97130000000001</v>
      </c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P58" s="39">
        <f>IF((1 - CUSTOS!$M$28)&lt;&gt;0,1/(1 - CUSTOS!$M$28),1)</f>
        <v>1</v>
      </c>
    </row>
    <row r="59" spans="1:42" ht="11.25" customHeight="1" x14ac:dyDescent="0.25">
      <c r="A59" s="118"/>
      <c r="B59" s="118"/>
      <c r="C59" s="118"/>
      <c r="D59" s="40" t="s">
        <v>93</v>
      </c>
      <c r="E59" s="40" t="s">
        <v>25</v>
      </c>
      <c r="F59" s="40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39"/>
      <c r="M59" s="39"/>
      <c r="N59" s="39"/>
      <c r="O59" s="39"/>
      <c r="P59" s="39"/>
      <c r="Q59" s="39"/>
      <c r="R59" s="39"/>
      <c r="S59" s="39"/>
      <c r="T59" s="39"/>
      <c r="U59" s="39">
        <f>(1 - CUSTOS!$M$29)*25.1192</f>
        <v>25.119199999999999</v>
      </c>
      <c r="V59" s="39">
        <f>(1 - CUSTOS!$M$29)*5.5419</f>
        <v>5.5419</v>
      </c>
      <c r="W59" s="39">
        <f>(1 - CUSTOS!$M$29)*0.1435</f>
        <v>0.14349999999999999</v>
      </c>
      <c r="X59" s="39">
        <v>0</v>
      </c>
      <c r="Y59" s="39">
        <v>0</v>
      </c>
      <c r="Z59" s="39">
        <v>0</v>
      </c>
      <c r="AA59" s="39">
        <v>0</v>
      </c>
      <c r="AB59" s="39"/>
      <c r="AC59" s="39">
        <f>(1 - CUSTOS!$M$29)*214.9713</f>
        <v>214.97130000000001</v>
      </c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P59" s="39">
        <f>IF((1 - CUSTOS!$M$29)&lt;&gt;0,1/(1 - CUSTOS!$M$29),1)</f>
        <v>1</v>
      </c>
    </row>
    <row r="60" spans="1:42" ht="11.25" customHeight="1" x14ac:dyDescent="0.25">
      <c r="A60" s="118"/>
      <c r="B60" s="118"/>
      <c r="C60" s="118"/>
      <c r="D60" s="40" t="s">
        <v>94</v>
      </c>
      <c r="E60" s="40" t="s">
        <v>25</v>
      </c>
      <c r="F60" s="40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39"/>
      <c r="M60" s="39"/>
      <c r="N60" s="39"/>
      <c r="O60" s="39"/>
      <c r="P60" s="39"/>
      <c r="Q60" s="39"/>
      <c r="R60" s="39"/>
      <c r="S60" s="39"/>
      <c r="T60" s="39"/>
      <c r="U60" s="39">
        <f>(1 - CUSTOS!$M$30)*25.1192</f>
        <v>25.119199999999999</v>
      </c>
      <c r="V60" s="39">
        <f>(1 - CUSTOS!$M$30)*5.5419</f>
        <v>5.5419</v>
      </c>
      <c r="W60" s="39">
        <f>(1 - CUSTOS!$M$30)*0.1435</f>
        <v>0.14349999999999999</v>
      </c>
      <c r="X60" s="39">
        <v>0</v>
      </c>
      <c r="Y60" s="39">
        <v>0</v>
      </c>
      <c r="Z60" s="39">
        <v>0</v>
      </c>
      <c r="AA60" s="39">
        <v>0</v>
      </c>
      <c r="AB60" s="39"/>
      <c r="AC60" s="39">
        <f>(1 - CUSTOS!$M$30)*214.9713</f>
        <v>214.97130000000001</v>
      </c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P60" s="39">
        <f>IF((1 - CUSTOS!$M$30)&lt;&gt;0,1/(1 - CUSTOS!$M$30),1)</f>
        <v>1</v>
      </c>
    </row>
    <row r="61" spans="1:42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39"/>
      <c r="M61" s="39"/>
      <c r="N61" s="39"/>
      <c r="O61" s="39"/>
      <c r="P61" s="39"/>
      <c r="Q61" s="39"/>
      <c r="R61" s="39"/>
      <c r="S61" s="39"/>
      <c r="T61" s="39"/>
      <c r="U61" s="39">
        <f>(1 - CUSTOS!$M$31)*81.6376</f>
        <v>81.637600000000006</v>
      </c>
      <c r="V61" s="39">
        <f>(1 - CUSTOS!$M$31)*18.0113</f>
        <v>18.011299999999999</v>
      </c>
      <c r="W61" s="39">
        <f>(1 - CUSTOS!$M$31)*0.4663</f>
        <v>0.46629999999999999</v>
      </c>
      <c r="X61" s="39">
        <v>0</v>
      </c>
      <c r="Y61" s="39">
        <v>0</v>
      </c>
      <c r="Z61" s="39">
        <v>0</v>
      </c>
      <c r="AA61" s="39">
        <v>0</v>
      </c>
      <c r="AB61" s="39"/>
      <c r="AC61" s="39">
        <f>(1 - CUSTOS!$M$31)*698.6566</f>
        <v>698.65660000000003</v>
      </c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P61" s="39">
        <f>IF((1 - CUSTOS!$M$31)&lt;&gt;0,1/(1 - CUSTOS!$M$31),1)</f>
        <v>1</v>
      </c>
    </row>
    <row r="62" spans="1:42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39"/>
      <c r="M62" s="39"/>
      <c r="N62" s="39"/>
      <c r="O62" s="39"/>
      <c r="P62" s="39"/>
      <c r="Q62" s="39"/>
      <c r="R62" s="39"/>
      <c r="S62" s="39"/>
      <c r="T62" s="39"/>
      <c r="U62" s="39">
        <f>(1 - CUSTOS!$M$31)*48.9825</f>
        <v>48.982500000000002</v>
      </c>
      <c r="V62" s="39">
        <f>(1 - CUSTOS!$M$31)*10.8068</f>
        <v>10.806800000000001</v>
      </c>
      <c r="W62" s="39">
        <f>(1 - CUSTOS!$M$31)*0.2798</f>
        <v>0.27979999999999999</v>
      </c>
      <c r="X62" s="39">
        <v>0</v>
      </c>
      <c r="Y62" s="39">
        <v>0</v>
      </c>
      <c r="Z62" s="39">
        <v>0</v>
      </c>
      <c r="AA62" s="39">
        <v>0</v>
      </c>
      <c r="AB62" s="39"/>
      <c r="AC62" s="39">
        <f>(1 - CUSTOS!$M$31)*419.194</f>
        <v>419.19400000000002</v>
      </c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P62" s="39">
        <f>IF((1 - CUSTOS!$M$31)&lt;&gt;0,1/(1 - CUSTOS!$M$31),1)</f>
        <v>1</v>
      </c>
    </row>
    <row r="63" spans="1:42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39"/>
      <c r="M63" s="39"/>
      <c r="N63" s="39"/>
      <c r="O63" s="39"/>
      <c r="P63" s="39"/>
      <c r="Q63" s="39"/>
      <c r="R63" s="39"/>
      <c r="S63" s="39"/>
      <c r="T63" s="39"/>
      <c r="U63" s="39">
        <f>(1 - CUSTOS!$M$31)*16.3275</f>
        <v>16.327500000000001</v>
      </c>
      <c r="V63" s="39">
        <f>(1 - CUSTOS!$M$31)*3.6023</f>
        <v>3.6023000000000001</v>
      </c>
      <c r="W63" s="39">
        <f>(1 - CUSTOS!$M$31)*0.0933</f>
        <v>9.3299999999999994E-2</v>
      </c>
      <c r="X63" s="39">
        <v>0</v>
      </c>
      <c r="Y63" s="39">
        <v>0</v>
      </c>
      <c r="Z63" s="39">
        <v>0</v>
      </c>
      <c r="AA63" s="39">
        <v>0</v>
      </c>
      <c r="AB63" s="39"/>
      <c r="AC63" s="39">
        <f>(1 - CUSTOS!$M$31)*139.7313</f>
        <v>139.7313</v>
      </c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P63" s="39">
        <f>IF((1 - CUSTOS!$M$31)&lt;&gt;0,1/(1 - CUSTOS!$M$31),1)</f>
        <v>1</v>
      </c>
    </row>
    <row r="64" spans="1:42" ht="11.25" customHeight="1" x14ac:dyDescent="0.25">
      <c r="A64" s="118"/>
      <c r="B64" s="40" t="s">
        <v>23</v>
      </c>
      <c r="C64" s="40" t="s">
        <v>25</v>
      </c>
      <c r="D64" s="40" t="s">
        <v>25</v>
      </c>
      <c r="E64" s="40" t="s">
        <v>25</v>
      </c>
      <c r="F64" s="40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39"/>
      <c r="M64" s="39"/>
      <c r="N64" s="39"/>
      <c r="O64" s="39"/>
      <c r="P64" s="39"/>
      <c r="Q64" s="39"/>
      <c r="R64" s="39"/>
      <c r="S64" s="39"/>
      <c r="T64" s="39"/>
      <c r="U64" s="39">
        <f>(1 - CUSTOS!$M$31)*25.1192</f>
        <v>25.119199999999999</v>
      </c>
      <c r="V64" s="39">
        <f>(1 - CUSTOS!$M$31)*5.5419</f>
        <v>5.5419</v>
      </c>
      <c r="W64" s="39">
        <f>(1 - CUSTOS!$M$31)*0.1435</f>
        <v>0.14349999999999999</v>
      </c>
      <c r="X64" s="39">
        <v>0</v>
      </c>
      <c r="Y64" s="39">
        <v>0</v>
      </c>
      <c r="Z64" s="39">
        <v>0</v>
      </c>
      <c r="AA64" s="39">
        <v>0</v>
      </c>
      <c r="AB64" s="39"/>
      <c r="AC64" s="39">
        <f>(1 - CUSTOS!$M$31)*214.9713</f>
        <v>214.97130000000001</v>
      </c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P64" s="39">
        <f>IF((1 - CUSTOS!$M$31)&lt;&gt;0,1/(1 - CUSTOS!$M$31),1)</f>
        <v>1</v>
      </c>
    </row>
    <row r="65" spans="1:42" ht="11.25" customHeight="1" x14ac:dyDescent="0.25">
      <c r="A65" s="118"/>
      <c r="B65" s="40" t="s">
        <v>92</v>
      </c>
      <c r="C65" s="40" t="s">
        <v>25</v>
      </c>
      <c r="D65" s="40" t="s">
        <v>25</v>
      </c>
      <c r="E65" s="40" t="s">
        <v>25</v>
      </c>
      <c r="F65" s="40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39"/>
      <c r="M65" s="39"/>
      <c r="N65" s="39"/>
      <c r="O65" s="39"/>
      <c r="P65" s="39"/>
      <c r="Q65" s="39"/>
      <c r="R65" s="39"/>
      <c r="S65" s="39"/>
      <c r="T65" s="39"/>
      <c r="U65" s="39">
        <f>(1 - CUSTOS!$M$31)*25.1192</f>
        <v>25.119199999999999</v>
      </c>
      <c r="V65" s="39">
        <f>(1 - CUSTOS!$M$31)*5.5419</f>
        <v>5.5419</v>
      </c>
      <c r="W65" s="39">
        <f>(1 - CUSTOS!$M$31)*0.1435</f>
        <v>0.14349999999999999</v>
      </c>
      <c r="X65" s="39">
        <v>0</v>
      </c>
      <c r="Y65" s="39">
        <v>0</v>
      </c>
      <c r="Z65" s="39">
        <v>0</v>
      </c>
      <c r="AA65" s="39">
        <v>0</v>
      </c>
      <c r="AB65" s="39"/>
      <c r="AC65" s="39">
        <f>(1 - CUSTOS!$M$31)*214.9713</f>
        <v>214.97130000000001</v>
      </c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P65" s="39">
        <f>IF((1 - CUSTOS!$M$31)&lt;&gt;0,1/(1 - CUSTOS!$M$31),1)</f>
        <v>1</v>
      </c>
    </row>
    <row r="66" spans="1:42" ht="11.25" customHeight="1" x14ac:dyDescent="0.25">
      <c r="A66" s="118" t="s">
        <v>48</v>
      </c>
      <c r="B66" s="118" t="s">
        <v>23</v>
      </c>
      <c r="C66" s="118" t="s">
        <v>49</v>
      </c>
      <c r="D66" s="40" t="s">
        <v>50</v>
      </c>
      <c r="E66" s="40" t="s">
        <v>25</v>
      </c>
      <c r="F66" s="40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39"/>
      <c r="M66" s="39"/>
      <c r="N66" s="39"/>
      <c r="O66" s="39"/>
      <c r="P66" s="39"/>
      <c r="Q66" s="39"/>
      <c r="R66" s="39"/>
      <c r="S66" s="39"/>
      <c r="T66" s="39"/>
      <c r="U66" s="39">
        <f>(1 - CUSTOS!$M$32)*25.1192</f>
        <v>13.815560000000001</v>
      </c>
      <c r="V66" s="39">
        <f>(1 - CUSTOS!$M$32)*5.5419</f>
        <v>3.0480450000000001</v>
      </c>
      <c r="W66" s="39">
        <f>(1 - CUSTOS!$M$32)*0.1435</f>
        <v>7.8924999999999995E-2</v>
      </c>
      <c r="X66" s="39">
        <v>0</v>
      </c>
      <c r="Y66" s="39">
        <v>0</v>
      </c>
      <c r="Z66" s="39">
        <v>0</v>
      </c>
      <c r="AA66" s="39">
        <v>0</v>
      </c>
      <c r="AB66" s="39"/>
      <c r="AC66" s="39">
        <f>(1 - CUSTOS!$M$32)*214.9713</f>
        <v>118.23421500000002</v>
      </c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P66" s="39">
        <f>IF((1 - CUSTOS!$M$32)&lt;&gt;0,1/(1 - CUSTOS!$M$32),1)</f>
        <v>1.8181818181818181</v>
      </c>
    </row>
    <row r="67" spans="1:42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39"/>
      <c r="M67" s="39"/>
      <c r="N67" s="39"/>
      <c r="O67" s="39"/>
      <c r="P67" s="39"/>
      <c r="Q67" s="39"/>
      <c r="R67" s="39"/>
      <c r="S67" s="39"/>
      <c r="T67" s="39"/>
      <c r="U67" s="39">
        <f>(1 - CUSTOS!$M$33)*25.1192</f>
        <v>15.07152</v>
      </c>
      <c r="V67" s="39">
        <f>(1 - CUSTOS!$M$33)*5.5419</f>
        <v>3.3251399999999998</v>
      </c>
      <c r="W67" s="39">
        <f>(1 - CUSTOS!$M$33)*0.1435</f>
        <v>8.6099999999999996E-2</v>
      </c>
      <c r="X67" s="39">
        <v>0</v>
      </c>
      <c r="Y67" s="39">
        <v>0</v>
      </c>
      <c r="Z67" s="39">
        <v>0</v>
      </c>
      <c r="AA67" s="39">
        <v>0</v>
      </c>
      <c r="AB67" s="39"/>
      <c r="AC67" s="39">
        <f>(1 - CUSTOS!$M$33)*214.9713</f>
        <v>128.98277999999999</v>
      </c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P67" s="39">
        <f>IF((1 - CUSTOS!$M$33)&lt;&gt;0,1/(1 - CUSTOS!$M$33),1)</f>
        <v>1.6666666666666667</v>
      </c>
    </row>
  </sheetData>
  <mergeCells count="97"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F7:F9"/>
    <mergeCell ref="AE3:AG3"/>
    <mergeCell ref="AH3:AL3"/>
    <mergeCell ref="AM3:AM4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AM1"/>
    <mergeCell ref="A1:A4"/>
    <mergeCell ref="B1:B4"/>
    <mergeCell ref="B16:B20"/>
    <mergeCell ref="C16:C20"/>
    <mergeCell ref="D16:D20"/>
    <mergeCell ref="E16:E18"/>
    <mergeCell ref="A7:A10"/>
    <mergeCell ref="B7:B10"/>
    <mergeCell ref="C7:C10"/>
    <mergeCell ref="D7:D10"/>
    <mergeCell ref="E7:E9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A11:A20"/>
    <mergeCell ref="B11:B14"/>
    <mergeCell ref="C11:C14"/>
    <mergeCell ref="D11:D14"/>
    <mergeCell ref="E11:E13"/>
    <mergeCell ref="F11:F13"/>
    <mergeCell ref="C26:C30"/>
    <mergeCell ref="D26:D30"/>
    <mergeCell ref="E26:E28"/>
    <mergeCell ref="F26:F28"/>
    <mergeCell ref="E29:E30"/>
    <mergeCell ref="F29:F30"/>
    <mergeCell ref="A31:A32"/>
    <mergeCell ref="B31:B32"/>
    <mergeCell ref="C31:C32"/>
    <mergeCell ref="D31:D32"/>
    <mergeCell ref="A33:A45"/>
    <mergeCell ref="B33:B35"/>
    <mergeCell ref="C33:C35"/>
    <mergeCell ref="D33:D35"/>
    <mergeCell ref="E33:E35"/>
    <mergeCell ref="F33:F35"/>
    <mergeCell ref="B36:B40"/>
    <mergeCell ref="C36:C40"/>
    <mergeCell ref="B41:B45"/>
    <mergeCell ref="C41:C45"/>
    <mergeCell ref="D54:D56"/>
    <mergeCell ref="E54:E56"/>
    <mergeCell ref="F54:F56"/>
    <mergeCell ref="D46:D48"/>
    <mergeCell ref="E46:E48"/>
    <mergeCell ref="F46:F48"/>
    <mergeCell ref="D50:D52"/>
    <mergeCell ref="E50:E52"/>
    <mergeCell ref="F50:F52"/>
    <mergeCell ref="B58:B60"/>
    <mergeCell ref="C58:C60"/>
    <mergeCell ref="A61:A65"/>
    <mergeCell ref="B61:B63"/>
    <mergeCell ref="C61:C63"/>
    <mergeCell ref="A46:A60"/>
    <mergeCell ref="B46:B48"/>
    <mergeCell ref="C46:C48"/>
    <mergeCell ref="B54:B56"/>
    <mergeCell ref="C54:C56"/>
    <mergeCell ref="B50:B52"/>
    <mergeCell ref="C50:C52"/>
    <mergeCell ref="E61:E63"/>
    <mergeCell ref="F61:F63"/>
    <mergeCell ref="A66:A67"/>
    <mergeCell ref="B66:B67"/>
    <mergeCell ref="C66:C67"/>
    <mergeCell ref="D61:D63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D163B-5F05-42A7-B690-81BC5D014437}">
  <sheetPr codeName="Planilha8"/>
  <dimension ref="A1:AP89"/>
  <sheetViews>
    <sheetView showGridLines="0" topLeftCell="C44" workbookViewId="0">
      <selection activeCell="K78" sqref="K78:P7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8" width="10.85546875" style="9" bestFit="1" customWidth="1"/>
    <col min="19" max="19" width="10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745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P1" s="119" t="s">
        <v>746</v>
      </c>
    </row>
    <row r="2" spans="1:42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P2" s="122"/>
    </row>
    <row r="3" spans="1:42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/>
      <c r="U3" s="119" t="s">
        <v>654</v>
      </c>
      <c r="V3" s="119"/>
      <c r="W3" s="119"/>
      <c r="X3" s="119"/>
      <c r="Y3" s="119"/>
      <c r="Z3" s="119"/>
      <c r="AA3" s="119"/>
      <c r="AB3" s="119"/>
      <c r="AC3" s="119" t="s">
        <v>662</v>
      </c>
      <c r="AD3" s="119"/>
      <c r="AE3" s="119" t="s">
        <v>664</v>
      </c>
      <c r="AF3" s="119"/>
      <c r="AG3" s="119"/>
      <c r="AH3" s="119" t="s">
        <v>667</v>
      </c>
      <c r="AI3" s="119"/>
      <c r="AJ3" s="119"/>
      <c r="AK3" s="119"/>
      <c r="AL3" s="119"/>
      <c r="AM3" s="119" t="s">
        <v>653</v>
      </c>
      <c r="AP3" s="122"/>
    </row>
    <row r="4" spans="1:42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10" t="s">
        <v>730</v>
      </c>
      <c r="M4" s="10" t="s">
        <v>646</v>
      </c>
      <c r="N4" s="10" t="s">
        <v>647</v>
      </c>
      <c r="O4" s="10" t="s">
        <v>648</v>
      </c>
      <c r="P4" s="10" t="s">
        <v>649</v>
      </c>
      <c r="Q4" s="10" t="s">
        <v>650</v>
      </c>
      <c r="R4" s="10" t="s">
        <v>651</v>
      </c>
      <c r="S4" s="10" t="s">
        <v>652</v>
      </c>
      <c r="T4" s="10" t="s">
        <v>653</v>
      </c>
      <c r="U4" s="10" t="s">
        <v>655</v>
      </c>
      <c r="V4" s="10" t="s">
        <v>656</v>
      </c>
      <c r="W4" s="10" t="s">
        <v>657</v>
      </c>
      <c r="X4" s="10" t="s">
        <v>658</v>
      </c>
      <c r="Y4" s="10" t="s">
        <v>659</v>
      </c>
      <c r="Z4" s="10" t="s">
        <v>660</v>
      </c>
      <c r="AA4" s="10" t="s">
        <v>661</v>
      </c>
      <c r="AB4" s="10" t="s">
        <v>653</v>
      </c>
      <c r="AC4" s="10" t="s">
        <v>663</v>
      </c>
      <c r="AD4" s="10" t="s">
        <v>653</v>
      </c>
      <c r="AE4" s="10" t="s">
        <v>665</v>
      </c>
      <c r="AF4" s="10" t="s">
        <v>666</v>
      </c>
      <c r="AG4" s="10" t="s">
        <v>653</v>
      </c>
      <c r="AH4" s="10" t="s">
        <v>668</v>
      </c>
      <c r="AI4" s="10" t="s">
        <v>669</v>
      </c>
      <c r="AJ4" s="10" t="s">
        <v>670</v>
      </c>
      <c r="AK4" s="10" t="s">
        <v>671</v>
      </c>
      <c r="AL4" s="10" t="s">
        <v>653</v>
      </c>
      <c r="AM4" s="120"/>
      <c r="AP4" s="122"/>
    </row>
    <row r="5" spans="1:42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21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TRANSICAO!$U$5*CUSTOS!$O$4</f>
        <v>0</v>
      </c>
      <c r="V5" s="19">
        <f>TRANSICAO!$V$5*CUSTOS!$O$4</f>
        <v>0</v>
      </c>
      <c r="W5" s="19">
        <f>TRANSICAO!$W$5*CUSTOS!$O$4</f>
        <v>0</v>
      </c>
      <c r="X5" s="19">
        <f>TRANSICAO!$X$5*CUSTOS!$O$4</f>
        <v>0</v>
      </c>
      <c r="Y5" s="19">
        <f>TRANSICAO!$Y$5*CUSTOS!$O$4</f>
        <v>0</v>
      </c>
      <c r="Z5" s="19">
        <f>TRANSICAO!$Z$5*CUSTOS!$O$4</f>
        <v>0</v>
      </c>
      <c r="AA5" s="19">
        <f>TRANSICAO!$AA$5*CUSTOS!$O$4</f>
        <v>0.13850000000000001</v>
      </c>
      <c r="AB5" s="19">
        <f>TRANSICAO!$AB$5*CUSTOS!$O$4</f>
        <v>0</v>
      </c>
      <c r="AC5" s="19">
        <f>TRANSICAO!$AC$5*CUSTOS!$O$4</f>
        <v>6.7584</v>
      </c>
      <c r="AD5" s="19">
        <f>TRANSICAO!$AD$5*CUSTOS!$O$4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36" si="0">AJ5</f>
        <v>0</v>
      </c>
      <c r="AL5" s="19"/>
      <c r="AM5" s="19"/>
      <c r="AP5" s="19"/>
    </row>
    <row r="6" spans="1:42" ht="11.25" customHeight="1" x14ac:dyDescent="0.25">
      <c r="A6" s="118"/>
      <c r="B6" s="118"/>
      <c r="C6" s="118"/>
      <c r="D6" s="118"/>
      <c r="E6" s="118"/>
      <c r="F6" s="21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19">
        <v>0</v>
      </c>
      <c r="M6" s="19">
        <v>3.5200000000000002E-2</v>
      </c>
      <c r="N6" s="19">
        <f>0.0889</f>
        <v>8.8900000000000007E-2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TRANSICAO!$U$6*CUSTOS!$O$4</f>
        <v>0</v>
      </c>
      <c r="V6" s="19">
        <f>TRANSICAO!$V$6*CUSTOS!$O$4</f>
        <v>0</v>
      </c>
      <c r="W6" s="19">
        <f>TRANSICAO!$W$6*CUSTOS!$O$4</f>
        <v>0</v>
      </c>
      <c r="X6" s="19">
        <f>TRANSICAO!$X$6*CUSTOS!$O$4</f>
        <v>0</v>
      </c>
      <c r="Y6" s="19">
        <f>TRANSICAO!$Y$6*CUSTOS!$O$4</f>
        <v>0</v>
      </c>
      <c r="Z6" s="19">
        <f>TRANSICAO!$Z$6*CUSTOS!$O$4</f>
        <v>0</v>
      </c>
      <c r="AA6" s="19">
        <f>TRANSICAO!$AA$6*CUSTOS!$O$4</f>
        <v>0</v>
      </c>
      <c r="AB6" s="19">
        <f>TRANSICAO!$AB$6*CUSTOS!$O$4</f>
        <v>0</v>
      </c>
      <c r="AC6" s="19">
        <f>TRANSICAO!$AC$6*CUSTOS!$O$4</f>
        <v>1.1558999999999999</v>
      </c>
      <c r="AD6" s="19">
        <f>TRANSICAO!$AD$6*CUSTOS!$O$4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/>
    </row>
    <row r="7" spans="1:42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/>
      <c r="U7" s="19">
        <f>TRANSICAO!$U$7*CUSTOS!$P$3</f>
        <v>6.9394</v>
      </c>
      <c r="V7" s="19">
        <f>TRANSICAO!$V$7*CUSTOS!$P$3</f>
        <v>1.5077</v>
      </c>
      <c r="W7" s="19">
        <f>TRANSICAO!$W$7*CUSTOS!$P$3</f>
        <v>4.0899999999999999E-2</v>
      </c>
      <c r="X7" s="19">
        <f>TRANSICAO!$X$7*CUSTOS!$P$3</f>
        <v>0</v>
      </c>
      <c r="Y7" s="19">
        <f>TRANSICAO!$Y$7*CUSTOS!$P$3</f>
        <v>0</v>
      </c>
      <c r="Z7" s="19">
        <f>TRANSICAO!$Z$7*CUSTOS!$P$3</f>
        <v>0</v>
      </c>
      <c r="AA7" s="19">
        <f>TRANSICAO!$AA$7*CUSTOS!$P$3</f>
        <v>0</v>
      </c>
      <c r="AB7" s="19">
        <f>TRANSICAO!$AB$7*CUSTOS!$P$3</f>
        <v>0</v>
      </c>
      <c r="AC7" s="19">
        <f>TRANSICAO!$AC$7*CUSTOS!$P$3</f>
        <v>30.340599999999998</v>
      </c>
      <c r="AD7" s="19">
        <f>TRANSICAO!$AD$7*CUSTOS!$P$3</f>
        <v>0</v>
      </c>
      <c r="AE7" s="19">
        <v>0</v>
      </c>
      <c r="AF7" s="19">
        <v>0</v>
      </c>
      <c r="AG7" s="19"/>
      <c r="AH7" s="19">
        <v>0</v>
      </c>
      <c r="AI7" s="19">
        <v>0</v>
      </c>
      <c r="AJ7" s="19">
        <v>0</v>
      </c>
      <c r="AK7" s="19">
        <f t="shared" si="0"/>
        <v>0</v>
      </c>
      <c r="AL7" s="19"/>
      <c r="AM7" s="19"/>
      <c r="AP7" s="19">
        <v>1</v>
      </c>
    </row>
    <row r="8" spans="1:42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TRANSICAO!$U$8*CUSTOS!$P$3</f>
        <v>7.9288999999999996</v>
      </c>
      <c r="V8" s="19">
        <f>TRANSICAO!$V$8*CUSTOS!$P$3</f>
        <v>1.7753000000000001</v>
      </c>
      <c r="W8" s="19">
        <f>TRANSICAO!$W$8*CUSTOS!$P$3</f>
        <v>4.3900000000000002E-2</v>
      </c>
      <c r="X8" s="19">
        <f>TRANSICAO!$X$8*CUSTOS!$P$3</f>
        <v>0</v>
      </c>
      <c r="Y8" s="19">
        <f>TRANSICAO!$Y$8*CUSTOS!$P$3</f>
        <v>0</v>
      </c>
      <c r="Z8" s="19">
        <f>TRANSICAO!$Z$8*CUSTOS!$P$3</f>
        <v>0</v>
      </c>
      <c r="AA8" s="19">
        <f>TRANSICAO!$AA$8*CUSTOS!$P$3</f>
        <v>0</v>
      </c>
      <c r="AB8" s="19">
        <f>TRANSICAO!$AB$8*CUSTOS!$P$3</f>
        <v>0</v>
      </c>
      <c r="AC8" s="19">
        <f>TRANSICAO!$AC$8*CUSTOS!$P$3</f>
        <v>3.9239999999999999</v>
      </c>
      <c r="AD8" s="19">
        <f>TRANSICAO!$AD$8*CUSTOS!$P$3</f>
        <v>0</v>
      </c>
      <c r="AE8" s="19">
        <v>0</v>
      </c>
      <c r="AF8" s="19">
        <v>0</v>
      </c>
      <c r="AG8" s="19"/>
      <c r="AH8" s="19">
        <v>0</v>
      </c>
      <c r="AI8" s="19">
        <v>0</v>
      </c>
      <c r="AJ8" s="19">
        <v>0</v>
      </c>
      <c r="AK8" s="19">
        <f t="shared" si="0"/>
        <v>0</v>
      </c>
      <c r="AL8" s="19"/>
      <c r="AM8" s="19"/>
      <c r="AP8" s="19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19">
        <f>0.62</f>
        <v>0.62</v>
      </c>
      <c r="M9" s="19">
        <f>IF(AND((+$I$9+$I$10)&lt;&gt;0,SUMPRODUCT($I$5:$I$67,$AC$5:$AC$67,$AP$5:$AP$67)&lt;&gt;0),$M$72*SUMPRODUCT($I$7:$I$10,$AC$7:$AC$10,$AP$7:$AP$10)/SUMPRODUCT($I$5:$I$67,$AC$5:$AC$67,$AP$5:$AP$67)/(+$I$9+$I$10),0)</f>
        <v>0.2577690372567028</v>
      </c>
      <c r="N9" s="19">
        <f ca="1">(+M9+O9+R9+U9+V9+W9+X9+Y9+Z9+AA9+AC9+AH9+AI9+AJ9+AK9)*CUSTOS!$M$5</f>
        <v>0.73451780570799086</v>
      </c>
      <c r="O9" s="19">
        <v>1</v>
      </c>
      <c r="P9" s="19">
        <v>1</v>
      </c>
      <c r="Q9" s="19">
        <f>0.62</f>
        <v>0.62</v>
      </c>
      <c r="R9" s="19">
        <v>1</v>
      </c>
      <c r="S9" s="19">
        <v>1</v>
      </c>
      <c r="T9" s="19"/>
      <c r="U9" s="19">
        <f>TRANSICAO!$U$9*CUSTOS!$P$3</f>
        <v>0</v>
      </c>
      <c r="V9" s="19">
        <f>TRANSICAO!$V$9*CUSTOS!$P$3</f>
        <v>0</v>
      </c>
      <c r="W9" s="19">
        <f>TRANSICAO!$W$9*CUSTOS!$P$3</f>
        <v>0</v>
      </c>
      <c r="X9" s="19">
        <f>TRANSICAO!$X$9*CUSTOS!$P$3</f>
        <v>0</v>
      </c>
      <c r="Y9" s="19">
        <f>TRANSICAO!$Y$9*CUSTOS!$P$3</f>
        <v>0</v>
      </c>
      <c r="Z9" s="19">
        <f>TRANSICAO!$Z$9*CUSTOS!$P$3</f>
        <v>0</v>
      </c>
      <c r="AA9" s="19">
        <f>TRANSICAO!$AA$9*CUSTOS!$P$3</f>
        <v>0</v>
      </c>
      <c r="AB9" s="19">
        <f>TRANSICAO!$AB$9*CUSTOS!$P$3</f>
        <v>0</v>
      </c>
      <c r="AC9" s="19">
        <f>TRANSICAO!$AC$9*CUSTOS!$P$3</f>
        <v>0</v>
      </c>
      <c r="AD9" s="19">
        <f>TRANSICAO!$AD$9*CUSTOS!$P$3</f>
        <v>0</v>
      </c>
      <c r="AE9" s="19">
        <v>0</v>
      </c>
      <c r="AF9" s="19">
        <v>0</v>
      </c>
      <c r="AG9" s="19"/>
      <c r="AH9" s="19">
        <v>1.3886000000000001</v>
      </c>
      <c r="AI9" s="19">
        <v>1.3886000000000001</v>
      </c>
      <c r="AJ9" s="19">
        <f ca="1">$N$80</f>
        <v>34.208405766771193</v>
      </c>
      <c r="AK9" s="19">
        <f t="shared" ca="1" si="0"/>
        <v>34.208405766771193</v>
      </c>
      <c r="AL9" s="19"/>
      <c r="AM9" s="19"/>
      <c r="AP9" s="19">
        <v>1</v>
      </c>
    </row>
    <row r="10" spans="1:42" ht="11.25" customHeight="1" x14ac:dyDescent="0.25">
      <c r="A10" s="118"/>
      <c r="B10" s="118"/>
      <c r="C10" s="118"/>
      <c r="D10" s="118"/>
      <c r="E10" s="21" t="s">
        <v>85</v>
      </c>
      <c r="F10" s="21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19">
        <v>0</v>
      </c>
      <c r="M10" s="19">
        <f>IF(AND((+$I$9+$I$10)&lt;&gt;0,SUMPRODUCT($I$5:$I$67,$AC$5:$AC$67,$AP$5:$AP$67)&lt;&gt;0),$M$72*SUMPRODUCT($I$7:$I$10,$AC$7:$AC$10,$AP$7:$AP$10)/SUMPRODUCT($I$5:$I$67,$AC$5:$AC$67,$AP$5:$AP$67)/(+$I$9+$I$10),0)</f>
        <v>0.2577690372567028</v>
      </c>
      <c r="N10" s="19">
        <f ca="1">(+M10+O10+R10+U10+V10+W10+X10+Y10+Z10+AA10+AC10+AH10+AI10+AJ10+AK10)*CUSTOS!$M$5</f>
        <v>0.72451780570799085</v>
      </c>
      <c r="O10" s="19">
        <v>1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TRANSICAO!$U$10*CUSTOS!$P$3</f>
        <v>0</v>
      </c>
      <c r="V10" s="19">
        <f>TRANSICAO!$V$10*CUSTOS!$P$3</f>
        <v>0</v>
      </c>
      <c r="W10" s="19">
        <f>TRANSICAO!$W$10*CUSTOS!$P$3</f>
        <v>0</v>
      </c>
      <c r="X10" s="19">
        <f>TRANSICAO!$X$10*CUSTOS!$P$3</f>
        <v>0</v>
      </c>
      <c r="Y10" s="19">
        <f>TRANSICAO!$Y$10*CUSTOS!$P$3</f>
        <v>0</v>
      </c>
      <c r="Z10" s="19">
        <f>TRANSICAO!$Z$10*CUSTOS!$P$3</f>
        <v>0</v>
      </c>
      <c r="AA10" s="19">
        <f>TRANSICAO!$AA$10*CUSTOS!$P$3</f>
        <v>0</v>
      </c>
      <c r="AB10" s="19">
        <f>TRANSICAO!$AB$10*CUSTOS!$P$3</f>
        <v>0</v>
      </c>
      <c r="AC10" s="19">
        <f>TRANSICAO!$AC$10*CUSTOS!$P$3</f>
        <v>0</v>
      </c>
      <c r="AD10" s="19">
        <f>TRANSICAO!$AD$10*CUSTOS!$P$3</f>
        <v>0</v>
      </c>
      <c r="AE10" s="19">
        <v>0</v>
      </c>
      <c r="AF10" s="19">
        <v>0</v>
      </c>
      <c r="AG10" s="19"/>
      <c r="AH10" s="19">
        <v>1.3886000000000001</v>
      </c>
      <c r="AI10" s="19">
        <v>1.3886000000000001</v>
      </c>
      <c r="AJ10" s="19">
        <f ca="1">$N$80</f>
        <v>34.208405766771193</v>
      </c>
      <c r="AK10" s="19">
        <f t="shared" ca="1" si="0"/>
        <v>34.208405766771193</v>
      </c>
      <c r="AL10" s="19"/>
      <c r="AM10" s="19"/>
      <c r="AP10" s="19">
        <v>1</v>
      </c>
    </row>
    <row r="11" spans="1:42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/>
      <c r="U11" s="19">
        <f>TRANSICAO!$U$11*CUSTOS!$Q$3</f>
        <v>6.9394</v>
      </c>
      <c r="V11" s="19">
        <f>TRANSICAO!$V$11*CUSTOS!$Q$3</f>
        <v>1.5077</v>
      </c>
      <c r="W11" s="19">
        <f>TRANSICAO!$W$11*CUSTOS!$Q$3</f>
        <v>4.0899999999999999E-2</v>
      </c>
      <c r="X11" s="19">
        <f>TRANSICAO!$X$11*CUSTOS!$Q$3</f>
        <v>0</v>
      </c>
      <c r="Y11" s="19">
        <f>TRANSICAO!$Y$11*CUSTOS!$Q$3</f>
        <v>0</v>
      </c>
      <c r="Z11" s="19">
        <f>TRANSICAO!$Z$11*CUSTOS!$Q$3</f>
        <v>0</v>
      </c>
      <c r="AA11" s="19">
        <f>TRANSICAO!$AA$11*CUSTOS!$Q$3</f>
        <v>0</v>
      </c>
      <c r="AB11" s="19">
        <f>TRANSICAO!$AB$11*CUSTOS!$Q$3</f>
        <v>0</v>
      </c>
      <c r="AC11" s="19">
        <f>TRANSICAO!$AC$11*CUSTOS!$Q$3</f>
        <v>36.803899999999999</v>
      </c>
      <c r="AD11" s="19">
        <f>TRANSICAO!$AD$11*CUSTOS!$Q$3</f>
        <v>0</v>
      </c>
      <c r="AE11" s="19">
        <v>0</v>
      </c>
      <c r="AF11" s="19">
        <v>0</v>
      </c>
      <c r="AG11" s="19"/>
      <c r="AH11" s="19">
        <v>0</v>
      </c>
      <c r="AI11" s="19">
        <v>0</v>
      </c>
      <c r="AJ11" s="19">
        <v>0</v>
      </c>
      <c r="AK11" s="19">
        <f t="shared" si="0"/>
        <v>0</v>
      </c>
      <c r="AL11" s="19"/>
      <c r="AM11" s="19"/>
      <c r="AP11" s="19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/>
      <c r="U12" s="19">
        <f>TRANSICAO!$U$12*CUSTOS!$Q$3</f>
        <v>3.8147000000000002</v>
      </c>
      <c r="V12" s="19">
        <f>TRANSICAO!$V$12*CUSTOS!$Q$3</f>
        <v>0.85409999999999997</v>
      </c>
      <c r="W12" s="19">
        <f>TRANSICAO!$W$12*CUSTOS!$Q$3</f>
        <v>2.1100000000000001E-2</v>
      </c>
      <c r="X12" s="19">
        <f>TRANSICAO!$X$12*CUSTOS!$Q$3</f>
        <v>0</v>
      </c>
      <c r="Y12" s="19">
        <f>TRANSICAO!$Y$12*CUSTOS!$Q$3</f>
        <v>0</v>
      </c>
      <c r="Z12" s="19">
        <f>TRANSICAO!$Z$12*CUSTOS!$Q$3</f>
        <v>0</v>
      </c>
      <c r="AA12" s="19">
        <f>TRANSICAO!$AA$12*CUSTOS!$Q$3</f>
        <v>0</v>
      </c>
      <c r="AB12" s="19">
        <f>TRANSICAO!$AB$12*CUSTOS!$Q$3</f>
        <v>0</v>
      </c>
      <c r="AC12" s="19">
        <f>TRANSICAO!$AC$12*CUSTOS!$Q$3</f>
        <v>13.141500000000001</v>
      </c>
      <c r="AD12" s="19">
        <f>TRANSICAO!$AD$12*CUSTOS!$Q$3</f>
        <v>0</v>
      </c>
      <c r="AE12" s="19">
        <v>0</v>
      </c>
      <c r="AF12" s="19">
        <v>0</v>
      </c>
      <c r="AG12" s="19"/>
      <c r="AH12" s="19">
        <v>0</v>
      </c>
      <c r="AI12" s="19">
        <v>0</v>
      </c>
      <c r="AJ12" s="19">
        <v>0</v>
      </c>
      <c r="AK12" s="19">
        <f t="shared" si="0"/>
        <v>0</v>
      </c>
      <c r="AL12" s="19"/>
      <c r="AM12" s="19"/>
      <c r="AP12" s="19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19">
        <f>0.84</f>
        <v>0.84</v>
      </c>
      <c r="M13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13" s="19">
        <f ca="1">(+M13+O13+R13+U13+V13+W13+X13+Y13+Z13+AA13+AC13+AH13+AI13+AJ13+AK13)*CUSTOS!$M$5</f>
        <v>1.3363842379885342</v>
      </c>
      <c r="O13" s="19">
        <v>1</v>
      </c>
      <c r="P13" s="19">
        <v>1</v>
      </c>
      <c r="Q13" s="19">
        <f>0.84</f>
        <v>0.84</v>
      </c>
      <c r="R13" s="19">
        <v>1</v>
      </c>
      <c r="S13" s="19">
        <v>1</v>
      </c>
      <c r="T13" s="19"/>
      <c r="U13" s="19">
        <f>TRANSICAO!$U$13*CUSTOS!$Q$3</f>
        <v>0</v>
      </c>
      <c r="V13" s="19">
        <f>TRANSICAO!$V$13*CUSTOS!$Q$3</f>
        <v>0</v>
      </c>
      <c r="W13" s="19">
        <f>TRANSICAO!$W$13*CUSTOS!$Q$3</f>
        <v>0</v>
      </c>
      <c r="X13" s="19">
        <f>TRANSICAO!$X$13*CUSTOS!$Q$3</f>
        <v>0</v>
      </c>
      <c r="Y13" s="19">
        <f>TRANSICAO!$Y$13*CUSTOS!$Q$3</f>
        <v>0</v>
      </c>
      <c r="Z13" s="19">
        <f>TRANSICAO!$Z$13*CUSTOS!$Q$3</f>
        <v>0</v>
      </c>
      <c r="AA13" s="19">
        <f>TRANSICAO!$AA$13*CUSTOS!$Q$3</f>
        <v>0</v>
      </c>
      <c r="AB13" s="19">
        <f>TRANSICAO!$AB$13*CUSTOS!$Q$3</f>
        <v>0</v>
      </c>
      <c r="AC13" s="19">
        <f>TRANSICAO!$AC$13*CUSTOS!$Q$3</f>
        <v>0</v>
      </c>
      <c r="AD13" s="19">
        <f>TRANSICAO!$AD$13*CUSTOS!$Q$3</f>
        <v>0</v>
      </c>
      <c r="AE13" s="19">
        <v>0</v>
      </c>
      <c r="AF13" s="19">
        <v>0</v>
      </c>
      <c r="AG13" s="19"/>
      <c r="AH13" s="19">
        <v>1.3886000000000001</v>
      </c>
      <c r="AI13" s="19">
        <v>1.3886000000000001</v>
      </c>
      <c r="AJ13" s="19">
        <f ca="1">$N$81</f>
        <v>64.054883517352039</v>
      </c>
      <c r="AK13" s="19">
        <f t="shared" ca="1" si="0"/>
        <v>64.054883517352039</v>
      </c>
      <c r="AL13" s="19"/>
      <c r="AM13" s="19"/>
      <c r="AP13" s="19">
        <v>1</v>
      </c>
    </row>
    <row r="14" spans="1:42" ht="11.25" customHeight="1" x14ac:dyDescent="0.25">
      <c r="A14" s="118"/>
      <c r="B14" s="118"/>
      <c r="C14" s="118"/>
      <c r="D14" s="118"/>
      <c r="E14" s="21" t="s">
        <v>85</v>
      </c>
      <c r="F14" s="21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19">
        <v>0</v>
      </c>
      <c r="M14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14" s="19">
        <f ca="1">(+M14+O14+R14+U14+V14+W14+X14+Y14+Z14+AA14+AC14+AH14+AI14+AJ14+AK14)*CUSTOS!$M$5</f>
        <v>1.3263842379885342</v>
      </c>
      <c r="O14" s="19">
        <v>1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TRANSICAO!$U$14*CUSTOS!$Q$3</f>
        <v>0</v>
      </c>
      <c r="V14" s="19">
        <f>TRANSICAO!$V$14*CUSTOS!$Q$3</f>
        <v>0</v>
      </c>
      <c r="W14" s="19">
        <f>TRANSICAO!$W$14*CUSTOS!$Q$3</f>
        <v>0</v>
      </c>
      <c r="X14" s="19">
        <f>TRANSICAO!$X$14*CUSTOS!$Q$3</f>
        <v>0</v>
      </c>
      <c r="Y14" s="19">
        <f>TRANSICAO!$Y$14*CUSTOS!$Q$3</f>
        <v>0</v>
      </c>
      <c r="Z14" s="19">
        <f>TRANSICAO!$Z$14*CUSTOS!$Q$3</f>
        <v>0</v>
      </c>
      <c r="AA14" s="19">
        <f>TRANSICAO!$AA$14*CUSTOS!$Q$3</f>
        <v>0</v>
      </c>
      <c r="AB14" s="19">
        <f>TRANSICAO!$AB$14*CUSTOS!$Q$3</f>
        <v>0</v>
      </c>
      <c r="AC14" s="19">
        <f>TRANSICAO!$AC$14*CUSTOS!$Q$3</f>
        <v>0</v>
      </c>
      <c r="AD14" s="19">
        <f>TRANSICAO!$AD$14*CUSTOS!$Q$3</f>
        <v>0</v>
      </c>
      <c r="AE14" s="19">
        <v>0</v>
      </c>
      <c r="AF14" s="19">
        <v>0</v>
      </c>
      <c r="AG14" s="19"/>
      <c r="AH14" s="19">
        <v>1.3886000000000001</v>
      </c>
      <c r="AI14" s="19">
        <v>1.3886000000000001</v>
      </c>
      <c r="AJ14" s="19">
        <f ca="1">$N$81</f>
        <v>64.054883517352039</v>
      </c>
      <c r="AK14" s="19">
        <f t="shared" ca="1" si="0"/>
        <v>64.054883517352039</v>
      </c>
      <c r="AL14" s="19"/>
      <c r="AM14" s="19"/>
      <c r="AP14" s="19">
        <v>1</v>
      </c>
    </row>
    <row r="15" spans="1:42" ht="11.25" customHeight="1" x14ac:dyDescent="0.25">
      <c r="A15" s="118"/>
      <c r="B15" s="21" t="s">
        <v>58</v>
      </c>
      <c r="C15" s="21" t="s">
        <v>25</v>
      </c>
      <c r="D15" s="21" t="s">
        <v>25</v>
      </c>
      <c r="E15" s="21" t="s">
        <v>25</v>
      </c>
      <c r="F15" s="21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19">
        <v>0</v>
      </c>
      <c r="M15" s="19">
        <v>3.3799999999999997E-2</v>
      </c>
      <c r="N15" s="19">
        <f>0.0848</f>
        <v>8.48E-2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TRANSICAO!$U$15*CUSTOS!$Q$4</f>
        <v>0</v>
      </c>
      <c r="V15" s="19">
        <f>TRANSICAO!$V$15*CUSTOS!$Q$4</f>
        <v>0</v>
      </c>
      <c r="W15" s="19">
        <f>TRANSICAO!$W$15*CUSTOS!$Q$4</f>
        <v>0</v>
      </c>
      <c r="X15" s="19">
        <f>TRANSICAO!$X$15*CUSTOS!$Q$4</f>
        <v>0</v>
      </c>
      <c r="Y15" s="19">
        <f>TRANSICAO!$Y$15*CUSTOS!$Q$4</f>
        <v>0</v>
      </c>
      <c r="Z15" s="19">
        <f>TRANSICAO!$Z$15*CUSTOS!$Q$4</f>
        <v>0</v>
      </c>
      <c r="AA15" s="19">
        <f>TRANSICAO!$AA$15*CUSTOS!$Q$4</f>
        <v>0</v>
      </c>
      <c r="AB15" s="19">
        <f>TRANSICAO!$AB$15*CUSTOS!$Q$4</f>
        <v>0</v>
      </c>
      <c r="AC15" s="19">
        <f>TRANSICAO!$AC$15*CUSTOS!$Q$4</f>
        <v>8.4440000000000008</v>
      </c>
      <c r="AD15" s="19">
        <f>TRANSICAO!$AD$15*CUSTOS!$Q$4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/>
    </row>
    <row r="16" spans="1:42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TRANSICAO!$U$16*CUSTOS!$Q$3</f>
        <v>3.8147000000000002</v>
      </c>
      <c r="V16" s="19">
        <f>TRANSICAO!$V$16*CUSTOS!$Q$3</f>
        <v>0.85409999999999997</v>
      </c>
      <c r="W16" s="19">
        <f>TRANSICAO!$W$16*CUSTOS!$Q$3</f>
        <v>2.1100000000000001E-2</v>
      </c>
      <c r="X16" s="19">
        <f>TRANSICAO!$X$16*CUSTOS!$Q$3</f>
        <v>0</v>
      </c>
      <c r="Y16" s="19">
        <f>TRANSICAO!$Y$16*CUSTOS!$Q$3</f>
        <v>0</v>
      </c>
      <c r="Z16" s="19">
        <f>TRANSICAO!$Z$16*CUSTOS!$Q$3</f>
        <v>0</v>
      </c>
      <c r="AA16" s="19">
        <f>TRANSICAO!$AA$16*CUSTOS!$Q$3</f>
        <v>0</v>
      </c>
      <c r="AB16" s="19">
        <f>TRANSICAO!$AB$16*CUSTOS!$Q$3</f>
        <v>0</v>
      </c>
      <c r="AC16" s="19">
        <f>TRANSICAO!$AC$16*CUSTOS!$Q$3</f>
        <v>13.141500000000001</v>
      </c>
      <c r="AD16" s="19">
        <f>TRANSICAO!$AD$16*CUSTOS!$Q$3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19">
        <f>0.84</f>
        <v>0.84</v>
      </c>
      <c r="M17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17" s="19">
        <f ca="1">(+M17+O17+R17+U17+V17+W17+X17+Y17+Z17+AA17+AC17+AH17+AI17+AJ17+AK17)*CUSTOS!$M$5</f>
        <v>12.229105237988534</v>
      </c>
      <c r="O17" s="19">
        <v>1</v>
      </c>
      <c r="P17" s="19">
        <v>1</v>
      </c>
      <c r="Q17" s="19">
        <f>0.84</f>
        <v>0.84</v>
      </c>
      <c r="R17" s="19">
        <v>1</v>
      </c>
      <c r="S17" s="19">
        <v>1</v>
      </c>
      <c r="T17" s="19"/>
      <c r="U17" s="19">
        <f>TRANSICAO!$U$17*CUSTOS!$Q$3</f>
        <v>166.89269999999999</v>
      </c>
      <c r="V17" s="19">
        <f>TRANSICAO!$V$17*CUSTOS!$Q$3</f>
        <v>36.261099999999999</v>
      </c>
      <c r="W17" s="19">
        <f>TRANSICAO!$W$17*CUSTOS!$Q$3</f>
        <v>0.9839</v>
      </c>
      <c r="X17" s="19">
        <f>TRANSICAO!$X$17*CUSTOS!$Q$3</f>
        <v>0</v>
      </c>
      <c r="Y17" s="19">
        <f>TRANSICAO!$Y$17*CUSTOS!$Q$3</f>
        <v>0</v>
      </c>
      <c r="Z17" s="19">
        <f>TRANSICAO!$Z$17*CUSTOS!$Q$3</f>
        <v>0</v>
      </c>
      <c r="AA17" s="19">
        <f>TRANSICAO!$AA$17*CUSTOS!$Q$3</f>
        <v>0</v>
      </c>
      <c r="AB17" s="19">
        <f>TRANSICAO!$AB$17*CUSTOS!$Q$3</f>
        <v>0</v>
      </c>
      <c r="AC17" s="19">
        <f>TRANSICAO!$AC$17*CUSTOS!$Q$3</f>
        <v>885.13440000000003</v>
      </c>
      <c r="AD17" s="19">
        <f>TRANSICAO!$AD$17*CUSTOS!$Q$3</f>
        <v>0</v>
      </c>
      <c r="AE17" s="19">
        <v>0</v>
      </c>
      <c r="AF17" s="19">
        <v>0</v>
      </c>
      <c r="AG17" s="19"/>
      <c r="AH17" s="19">
        <v>1.3886000000000001</v>
      </c>
      <c r="AI17" s="19">
        <v>1.3886000000000001</v>
      </c>
      <c r="AJ17" s="19">
        <f ca="1">$N$81</f>
        <v>64.054883517352039</v>
      </c>
      <c r="AK17" s="19">
        <f t="shared" ca="1" si="0"/>
        <v>64.054883517352039</v>
      </c>
      <c r="AL17" s="19"/>
      <c r="AM17" s="19"/>
      <c r="AP17" s="19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19">
        <f>0.84</f>
        <v>0.84</v>
      </c>
      <c r="M18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18" s="19">
        <f ca="1">(+M18+O18+R18+U18+V18+W18+X18+Y18+Z18+AA18+AC18+AH18+AI18+AJ18+AK18)*CUSTOS!$M$5</f>
        <v>1.3363842379885342</v>
      </c>
      <c r="O18" s="19">
        <v>1</v>
      </c>
      <c r="P18" s="19">
        <v>1</v>
      </c>
      <c r="Q18" s="19">
        <f>0.84</f>
        <v>0.84</v>
      </c>
      <c r="R18" s="19">
        <v>1</v>
      </c>
      <c r="S18" s="19">
        <v>1</v>
      </c>
      <c r="T18" s="19"/>
      <c r="U18" s="19">
        <f>TRANSICAO!$U$18*CUSTOS!$Q$3</f>
        <v>0</v>
      </c>
      <c r="V18" s="19">
        <f>TRANSICAO!$V$18*CUSTOS!$Q$3</f>
        <v>0</v>
      </c>
      <c r="W18" s="19">
        <f>TRANSICAO!$W$18*CUSTOS!$Q$3</f>
        <v>0</v>
      </c>
      <c r="X18" s="19">
        <f>TRANSICAO!$X$18*CUSTOS!$Q$3</f>
        <v>0</v>
      </c>
      <c r="Y18" s="19">
        <f>TRANSICAO!$Y$18*CUSTOS!$Q$3</f>
        <v>0</v>
      </c>
      <c r="Z18" s="19">
        <f>TRANSICAO!$Z$18*CUSTOS!$Q$3</f>
        <v>0</v>
      </c>
      <c r="AA18" s="19">
        <f>TRANSICAO!$AA$18*CUSTOS!$Q$3</f>
        <v>0</v>
      </c>
      <c r="AB18" s="19">
        <f>TRANSICAO!$AB$18*CUSTOS!$Q$3</f>
        <v>0</v>
      </c>
      <c r="AC18" s="19">
        <f>TRANSICAO!$AC$18*CUSTOS!$Q$3</f>
        <v>0</v>
      </c>
      <c r="AD18" s="19">
        <f>TRANSICAO!$AD$18*CUSTOS!$Q$3</f>
        <v>0</v>
      </c>
      <c r="AE18" s="19">
        <v>0</v>
      </c>
      <c r="AF18" s="19">
        <v>0</v>
      </c>
      <c r="AG18" s="19"/>
      <c r="AH18" s="19">
        <v>1.3886000000000001</v>
      </c>
      <c r="AI18" s="19">
        <v>1.3886000000000001</v>
      </c>
      <c r="AJ18" s="19">
        <f ca="1">$N$81</f>
        <v>64.054883517352039</v>
      </c>
      <c r="AK18" s="19">
        <f t="shared" ca="1" si="0"/>
        <v>64.054883517352039</v>
      </c>
      <c r="AL18" s="19"/>
      <c r="AM18" s="19"/>
      <c r="AP18" s="19">
        <v>1</v>
      </c>
    </row>
    <row r="19" spans="1:42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19">
        <v>0</v>
      </c>
      <c r="M19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19" s="19">
        <f ca="1">(+M19+O19+R19+U19+V19+W19+X19+Y19+Z19+AA19+AC19+AH19+AI19+AJ19+AK19)*CUSTOS!$M$5</f>
        <v>12.219105237988533</v>
      </c>
      <c r="O19" s="19">
        <v>1</v>
      </c>
      <c r="P19" s="19">
        <v>0</v>
      </c>
      <c r="Q19" s="19">
        <v>0</v>
      </c>
      <c r="R19" s="19">
        <v>0</v>
      </c>
      <c r="S19" s="19">
        <v>0</v>
      </c>
      <c r="T19" s="19"/>
      <c r="U19" s="19">
        <f>TRANSICAO!$U$19*CUSTOS!$Q$3</f>
        <v>166.89269999999999</v>
      </c>
      <c r="V19" s="19">
        <f>TRANSICAO!$V$19*CUSTOS!$Q$3</f>
        <v>36.261099999999999</v>
      </c>
      <c r="W19" s="19">
        <f>TRANSICAO!$W$19*CUSTOS!$Q$3</f>
        <v>0.9839</v>
      </c>
      <c r="X19" s="19">
        <f>TRANSICAO!$X$19*CUSTOS!$Q$3</f>
        <v>0</v>
      </c>
      <c r="Y19" s="19">
        <f>TRANSICAO!$Y$19*CUSTOS!$Q$3</f>
        <v>0</v>
      </c>
      <c r="Z19" s="19">
        <f>TRANSICAO!$Z$19*CUSTOS!$Q$3</f>
        <v>0</v>
      </c>
      <c r="AA19" s="19">
        <f>TRANSICAO!$AA$19*CUSTOS!$Q$3</f>
        <v>0</v>
      </c>
      <c r="AB19" s="19">
        <f>TRANSICAO!$AB$19*CUSTOS!$Q$3</f>
        <v>0</v>
      </c>
      <c r="AC19" s="19">
        <f>TRANSICAO!$AC$19*CUSTOS!$Q$3</f>
        <v>885.13440000000003</v>
      </c>
      <c r="AD19" s="19">
        <f>TRANSICAO!$AD$19*CUSTOS!$Q$3</f>
        <v>0</v>
      </c>
      <c r="AE19" s="19">
        <v>0</v>
      </c>
      <c r="AF19" s="19">
        <v>0</v>
      </c>
      <c r="AG19" s="19"/>
      <c r="AH19" s="19">
        <v>1.3886000000000001</v>
      </c>
      <c r="AI19" s="19">
        <v>1.3886000000000001</v>
      </c>
      <c r="AJ19" s="19">
        <f ca="1">$N$81</f>
        <v>64.054883517352039</v>
      </c>
      <c r="AK19" s="19">
        <f t="shared" ca="1" si="0"/>
        <v>64.054883517352039</v>
      </c>
      <c r="AL19" s="19"/>
      <c r="AM19" s="19"/>
      <c r="AP19" s="19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19">
        <v>0</v>
      </c>
      <c r="M20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0" s="19">
        <f ca="1">(+M20+O20+R20+U20+V20+W20+X20+Y20+Z20+AA20+AC20+AH20+AI20+AJ20+AK20)*CUSTOS!$M$5</f>
        <v>1.3263842379885342</v>
      </c>
      <c r="O20" s="19">
        <v>1</v>
      </c>
      <c r="P20" s="19">
        <v>0</v>
      </c>
      <c r="Q20" s="19">
        <v>0</v>
      </c>
      <c r="R20" s="19">
        <v>0</v>
      </c>
      <c r="S20" s="19">
        <v>0</v>
      </c>
      <c r="T20" s="19"/>
      <c r="U20" s="19">
        <f>TRANSICAO!$U$20*CUSTOS!$Q$3</f>
        <v>0</v>
      </c>
      <c r="V20" s="19">
        <f>TRANSICAO!$V$20*CUSTOS!$Q$3</f>
        <v>0</v>
      </c>
      <c r="W20" s="19">
        <f>TRANSICAO!$W$20*CUSTOS!$Q$3</f>
        <v>0</v>
      </c>
      <c r="X20" s="19">
        <f>TRANSICAO!$X$20*CUSTOS!$Q$3</f>
        <v>0</v>
      </c>
      <c r="Y20" s="19">
        <f>TRANSICAO!$Y$20*CUSTOS!$Q$3</f>
        <v>0</v>
      </c>
      <c r="Z20" s="19">
        <f>TRANSICAO!$Z$20*CUSTOS!$Q$3</f>
        <v>0</v>
      </c>
      <c r="AA20" s="19">
        <f>TRANSICAO!$AA$20*CUSTOS!$Q$3</f>
        <v>0</v>
      </c>
      <c r="AB20" s="19">
        <f>TRANSICAO!$AB$20*CUSTOS!$Q$3</f>
        <v>0</v>
      </c>
      <c r="AC20" s="19">
        <f>TRANSICAO!$AC$20*CUSTOS!$Q$3</f>
        <v>0</v>
      </c>
      <c r="AD20" s="19">
        <f>TRANSICAO!$AD$20*CUSTOS!$Q$3</f>
        <v>0</v>
      </c>
      <c r="AE20" s="19">
        <v>0</v>
      </c>
      <c r="AF20" s="19">
        <v>0</v>
      </c>
      <c r="AG20" s="19"/>
      <c r="AH20" s="19">
        <v>1.3886000000000001</v>
      </c>
      <c r="AI20" s="19">
        <v>1.3886000000000001</v>
      </c>
      <c r="AJ20" s="19">
        <f ca="1">$N$81</f>
        <v>64.054883517352039</v>
      </c>
      <c r="AK20" s="19">
        <f t="shared" ca="1" si="0"/>
        <v>64.054883517352039</v>
      </c>
      <c r="AL20" s="19"/>
      <c r="AM20" s="19"/>
      <c r="AP20" s="19">
        <v>1</v>
      </c>
    </row>
    <row r="21" spans="1:42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/>
      <c r="U21" s="19">
        <f>TRANSICAO!$U$21*CUSTOS!$R$3</f>
        <v>6.9394</v>
      </c>
      <c r="V21" s="19">
        <f>TRANSICAO!$V$21*CUSTOS!$R$3</f>
        <v>1.5077</v>
      </c>
      <c r="W21" s="19">
        <f>TRANSICAO!$W$21*CUSTOS!$R$3</f>
        <v>4.0899999999999999E-2</v>
      </c>
      <c r="X21" s="19">
        <f>TRANSICAO!$X$21*CUSTOS!$R$3</f>
        <v>0</v>
      </c>
      <c r="Y21" s="19">
        <f>TRANSICAO!$Y$21*CUSTOS!$R$3</f>
        <v>0</v>
      </c>
      <c r="Z21" s="19">
        <f>TRANSICAO!$Z$21*CUSTOS!$R$3</f>
        <v>0</v>
      </c>
      <c r="AA21" s="19">
        <f>TRANSICAO!$AA$21*CUSTOS!$R$3</f>
        <v>0</v>
      </c>
      <c r="AB21" s="19">
        <f>TRANSICAO!$AB$21*CUSTOS!$R$3</f>
        <v>0</v>
      </c>
      <c r="AC21" s="19">
        <f>TRANSICAO!$AC$21*CUSTOS!$R$3</f>
        <v>36.803899999999999</v>
      </c>
      <c r="AD21" s="19">
        <f>TRANSICAO!$AD$21*CUSTOS!$R$3</f>
        <v>0</v>
      </c>
      <c r="AE21" s="19">
        <v>0</v>
      </c>
      <c r="AF21" s="19">
        <v>0</v>
      </c>
      <c r="AG21" s="19"/>
      <c r="AH21" s="19">
        <v>0</v>
      </c>
      <c r="AI21" s="19">
        <v>0</v>
      </c>
      <c r="AJ21" s="19">
        <v>0</v>
      </c>
      <c r="AK21" s="19">
        <f t="shared" si="0"/>
        <v>0</v>
      </c>
      <c r="AL21" s="19"/>
      <c r="AM21" s="19"/>
      <c r="AP21" s="19">
        <v>1</v>
      </c>
    </row>
    <row r="22" spans="1:42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/>
      <c r="U22" s="19">
        <f>TRANSICAO!$U$22*CUSTOS!$R$3</f>
        <v>3.8147000000000002</v>
      </c>
      <c r="V22" s="19">
        <f>TRANSICAO!$V$22*CUSTOS!$R$3</f>
        <v>0.85409999999999997</v>
      </c>
      <c r="W22" s="19">
        <f>TRANSICAO!$W$22*CUSTOS!$R$3</f>
        <v>2.1100000000000001E-2</v>
      </c>
      <c r="X22" s="19">
        <f>TRANSICAO!$X$22*CUSTOS!$R$3</f>
        <v>0</v>
      </c>
      <c r="Y22" s="19">
        <f>TRANSICAO!$Y$22*CUSTOS!$R$3</f>
        <v>0</v>
      </c>
      <c r="Z22" s="19">
        <f>TRANSICAO!$Z$22*CUSTOS!$R$3</f>
        <v>0</v>
      </c>
      <c r="AA22" s="19">
        <f>TRANSICAO!$AA$22*CUSTOS!$R$3</f>
        <v>0</v>
      </c>
      <c r="AB22" s="19">
        <f>TRANSICAO!$AB$22*CUSTOS!$R$3</f>
        <v>0</v>
      </c>
      <c r="AC22" s="19">
        <f>TRANSICAO!$AC$22*CUSTOS!$R$3</f>
        <v>13.141500000000001</v>
      </c>
      <c r="AD22" s="19">
        <f>TRANSICAO!$AD$22*CUSTOS!$R$3</f>
        <v>0</v>
      </c>
      <c r="AE22" s="19">
        <v>0</v>
      </c>
      <c r="AF22" s="19">
        <v>0</v>
      </c>
      <c r="AG22" s="19"/>
      <c r="AH22" s="19">
        <v>0</v>
      </c>
      <c r="AI22" s="19">
        <v>0</v>
      </c>
      <c r="AJ22" s="19">
        <v>0</v>
      </c>
      <c r="AK22" s="19">
        <f t="shared" si="0"/>
        <v>0</v>
      </c>
      <c r="AL22" s="19"/>
      <c r="AM22" s="19"/>
      <c r="AP22" s="19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19">
        <f>0.84</f>
        <v>0.84</v>
      </c>
      <c r="M23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3" s="19">
        <f ca="1">(+M23+O23+R23+U23+V23+W23+X23+Y23+Z23+AA23+AC23+AH23+AI23+AJ23+AK23)*CUSTOS!$M$5</f>
        <v>1.3363842379885342</v>
      </c>
      <c r="O23" s="19">
        <v>1</v>
      </c>
      <c r="P23" s="19">
        <v>1</v>
      </c>
      <c r="Q23" s="19">
        <f>0.84</f>
        <v>0.84</v>
      </c>
      <c r="R23" s="19">
        <v>1</v>
      </c>
      <c r="S23" s="19">
        <v>1</v>
      </c>
      <c r="T23" s="19"/>
      <c r="U23" s="19">
        <f>TRANSICAO!$U$23*CUSTOS!$R$3</f>
        <v>0</v>
      </c>
      <c r="V23" s="19">
        <f>TRANSICAO!$V$23*CUSTOS!$R$3</f>
        <v>0</v>
      </c>
      <c r="W23" s="19">
        <f>TRANSICAO!$W$23*CUSTOS!$R$3</f>
        <v>0</v>
      </c>
      <c r="X23" s="19">
        <f>TRANSICAO!$X$23*CUSTOS!$R$3</f>
        <v>0</v>
      </c>
      <c r="Y23" s="19">
        <f>TRANSICAO!$Y$23*CUSTOS!$R$3</f>
        <v>0</v>
      </c>
      <c r="Z23" s="19">
        <f>TRANSICAO!$Z$23*CUSTOS!$R$3</f>
        <v>0</v>
      </c>
      <c r="AA23" s="19">
        <f>TRANSICAO!$AA$23*CUSTOS!$R$3</f>
        <v>0</v>
      </c>
      <c r="AB23" s="19">
        <f>TRANSICAO!$AB$23*CUSTOS!$R$3</f>
        <v>0</v>
      </c>
      <c r="AC23" s="19">
        <f>TRANSICAO!$AC$23*CUSTOS!$R$3</f>
        <v>0</v>
      </c>
      <c r="AD23" s="19">
        <f>TRANSICAO!$AD$23*CUSTOS!$R$3</f>
        <v>0</v>
      </c>
      <c r="AE23" s="19">
        <v>0</v>
      </c>
      <c r="AF23" s="19">
        <v>0</v>
      </c>
      <c r="AG23" s="19"/>
      <c r="AH23" s="19">
        <v>1.3886000000000001</v>
      </c>
      <c r="AI23" s="19">
        <v>1.3886000000000001</v>
      </c>
      <c r="AJ23" s="19">
        <f ca="1">$N$82</f>
        <v>64.054883517352039</v>
      </c>
      <c r="AK23" s="19">
        <f t="shared" ca="1" si="0"/>
        <v>64.054883517352039</v>
      </c>
      <c r="AL23" s="19"/>
      <c r="AM23" s="19"/>
      <c r="AP23" s="19">
        <v>1</v>
      </c>
    </row>
    <row r="24" spans="1:42" ht="11.25" customHeight="1" x14ac:dyDescent="0.25">
      <c r="A24" s="118"/>
      <c r="B24" s="118"/>
      <c r="C24" s="118"/>
      <c r="D24" s="118"/>
      <c r="E24" s="21" t="s">
        <v>85</v>
      </c>
      <c r="F24" s="21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19">
        <v>0</v>
      </c>
      <c r="M24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4" s="19">
        <f ca="1">(+M24+O24+R24+U24+V24+W24+X24+Y24+Z24+AA24+AC24+AH24+AI24+AJ24+AK24)*CUSTOS!$M$5</f>
        <v>1.3263842379885342</v>
      </c>
      <c r="O24" s="19">
        <v>1</v>
      </c>
      <c r="P24" s="19">
        <v>0</v>
      </c>
      <c r="Q24" s="19">
        <v>0</v>
      </c>
      <c r="R24" s="19">
        <v>0</v>
      </c>
      <c r="S24" s="19">
        <v>0</v>
      </c>
      <c r="T24" s="19"/>
      <c r="U24" s="19">
        <f>TRANSICAO!$U$24*CUSTOS!$R$3</f>
        <v>0</v>
      </c>
      <c r="V24" s="19">
        <f>TRANSICAO!$V$24*CUSTOS!$R$3</f>
        <v>0</v>
      </c>
      <c r="W24" s="19">
        <f>TRANSICAO!$W$24*CUSTOS!$R$3</f>
        <v>0</v>
      </c>
      <c r="X24" s="19">
        <f>TRANSICAO!$X$24*CUSTOS!$R$3</f>
        <v>0</v>
      </c>
      <c r="Y24" s="19">
        <f>TRANSICAO!$Y$24*CUSTOS!$R$3</f>
        <v>0</v>
      </c>
      <c r="Z24" s="19">
        <f>TRANSICAO!$Z$24*CUSTOS!$R$3</f>
        <v>0</v>
      </c>
      <c r="AA24" s="19">
        <f>TRANSICAO!$AA$24*CUSTOS!$R$3</f>
        <v>0</v>
      </c>
      <c r="AB24" s="19">
        <f>TRANSICAO!$AB$24*CUSTOS!$R$3</f>
        <v>0</v>
      </c>
      <c r="AC24" s="19">
        <f>TRANSICAO!$AC$24*CUSTOS!$R$3</f>
        <v>0</v>
      </c>
      <c r="AD24" s="19">
        <f>TRANSICAO!$AD$24*CUSTOS!$R$3</f>
        <v>0</v>
      </c>
      <c r="AE24" s="19">
        <v>0</v>
      </c>
      <c r="AF24" s="19">
        <v>0</v>
      </c>
      <c r="AG24" s="19"/>
      <c r="AH24" s="19">
        <v>1.3886000000000001</v>
      </c>
      <c r="AI24" s="19">
        <v>1.3886000000000001</v>
      </c>
      <c r="AJ24" s="19">
        <f ca="1">$N$82</f>
        <v>64.054883517352039</v>
      </c>
      <c r="AK24" s="19">
        <f t="shared" ca="1" si="0"/>
        <v>64.054883517352039</v>
      </c>
      <c r="AL24" s="19"/>
      <c r="AM24" s="19"/>
      <c r="AP24" s="19">
        <v>1</v>
      </c>
    </row>
    <row r="25" spans="1:42" ht="11.25" customHeight="1" x14ac:dyDescent="0.25">
      <c r="A25" s="118"/>
      <c r="B25" s="21" t="s">
        <v>58</v>
      </c>
      <c r="C25" s="21" t="s">
        <v>25</v>
      </c>
      <c r="D25" s="21" t="s">
        <v>25</v>
      </c>
      <c r="E25" s="21" t="s">
        <v>25</v>
      </c>
      <c r="F25" s="21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19">
        <v>0</v>
      </c>
      <c r="M25" s="19">
        <v>3.3799999999999997E-2</v>
      </c>
      <c r="N25" s="19">
        <f>0.0848</f>
        <v>8.48E-2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/>
      <c r="U25" s="19">
        <f>TRANSICAO!$U$25*CUSTOS!$R$4</f>
        <v>0</v>
      </c>
      <c r="V25" s="19">
        <f>TRANSICAO!$V$25*CUSTOS!$R$4</f>
        <v>0</v>
      </c>
      <c r="W25" s="19">
        <f>TRANSICAO!$W$25*CUSTOS!$R$4</f>
        <v>0</v>
      </c>
      <c r="X25" s="19">
        <f>TRANSICAO!$X$25*CUSTOS!$R$4</f>
        <v>0</v>
      </c>
      <c r="Y25" s="19">
        <f>TRANSICAO!$Y$25*CUSTOS!$R$4</f>
        <v>0</v>
      </c>
      <c r="Z25" s="19">
        <f>TRANSICAO!$Z$25*CUSTOS!$R$4</f>
        <v>0</v>
      </c>
      <c r="AA25" s="19">
        <f>TRANSICAO!$AA$25*CUSTOS!$R$4</f>
        <v>0</v>
      </c>
      <c r="AB25" s="19">
        <f>TRANSICAO!$AB$25*CUSTOS!$R$4</f>
        <v>0</v>
      </c>
      <c r="AC25" s="19">
        <f>TRANSICAO!$AC$25*CUSTOS!$R$4</f>
        <v>8.4440000000000008</v>
      </c>
      <c r="AD25" s="19">
        <f>TRANSICAO!$AD$25*CUSTOS!$R$4</f>
        <v>0</v>
      </c>
      <c r="AE25" s="19">
        <v>0</v>
      </c>
      <c r="AF25" s="19">
        <v>0</v>
      </c>
      <c r="AG25" s="19"/>
      <c r="AH25" s="19">
        <v>0</v>
      </c>
      <c r="AI25" s="19">
        <v>0</v>
      </c>
      <c r="AJ25" s="19">
        <v>0</v>
      </c>
      <c r="AK25" s="19">
        <f t="shared" si="0"/>
        <v>0</v>
      </c>
      <c r="AL25" s="19"/>
      <c r="AM25" s="19"/>
      <c r="AP25" s="19"/>
    </row>
    <row r="26" spans="1:42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/>
      <c r="U26" s="19">
        <f>TRANSICAO!$U$26*CUSTOS!$R$3</f>
        <v>3.8147000000000002</v>
      </c>
      <c r="V26" s="19">
        <f>TRANSICAO!$V$26*CUSTOS!$R$3</f>
        <v>0.85409999999999997</v>
      </c>
      <c r="W26" s="19">
        <f>TRANSICAO!$W$26*CUSTOS!$R$3</f>
        <v>2.1100000000000001E-2</v>
      </c>
      <c r="X26" s="19">
        <f>TRANSICAO!$X$26*CUSTOS!$R$3</f>
        <v>0</v>
      </c>
      <c r="Y26" s="19">
        <f>TRANSICAO!$Y$26*CUSTOS!$R$3</f>
        <v>0</v>
      </c>
      <c r="Z26" s="19">
        <f>TRANSICAO!$Z$26*CUSTOS!$R$3</f>
        <v>0</v>
      </c>
      <c r="AA26" s="19">
        <f>TRANSICAO!$AA$26*CUSTOS!$R$3</f>
        <v>0</v>
      </c>
      <c r="AB26" s="19">
        <f>TRANSICAO!$AB$26*CUSTOS!$R$3</f>
        <v>0</v>
      </c>
      <c r="AC26" s="19">
        <f>TRANSICAO!$AC$26*CUSTOS!$R$3</f>
        <v>13.141500000000001</v>
      </c>
      <c r="AD26" s="19">
        <f>TRANSICAO!$AD$26*CUSTOS!$R$3</f>
        <v>0</v>
      </c>
      <c r="AE26" s="19">
        <v>0</v>
      </c>
      <c r="AF26" s="19">
        <v>0</v>
      </c>
      <c r="AG26" s="19"/>
      <c r="AH26" s="19">
        <v>0</v>
      </c>
      <c r="AI26" s="19">
        <v>0</v>
      </c>
      <c r="AJ26" s="19">
        <v>0</v>
      </c>
      <c r="AK26" s="19">
        <f t="shared" si="0"/>
        <v>0</v>
      </c>
      <c r="AL26" s="19"/>
      <c r="AM26" s="19"/>
      <c r="AP26" s="19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19">
        <f>0.84</f>
        <v>0.84</v>
      </c>
      <c r="M27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7" s="19">
        <f ca="1">(+M27+O27+R27+U27+V27+W27+X27+Y27+Z27+AA27+AC27+AH27+AI27+AJ27+AK27)*CUSTOS!$M$5</f>
        <v>12.229105237988534</v>
      </c>
      <c r="O27" s="19">
        <v>1</v>
      </c>
      <c r="P27" s="19">
        <v>1</v>
      </c>
      <c r="Q27" s="19">
        <f>0.84</f>
        <v>0.84</v>
      </c>
      <c r="R27" s="19">
        <v>1</v>
      </c>
      <c r="S27" s="19">
        <v>1</v>
      </c>
      <c r="T27" s="19"/>
      <c r="U27" s="19">
        <f>TRANSICAO!$U$27*CUSTOS!$R$3</f>
        <v>166.89269999999999</v>
      </c>
      <c r="V27" s="19">
        <f>TRANSICAO!$V$27*CUSTOS!$R$3</f>
        <v>36.261099999999999</v>
      </c>
      <c r="W27" s="19">
        <f>TRANSICAO!$W$27*CUSTOS!$R$3</f>
        <v>0.9839</v>
      </c>
      <c r="X27" s="19">
        <f>TRANSICAO!$X$27*CUSTOS!$R$3</f>
        <v>0</v>
      </c>
      <c r="Y27" s="19">
        <f>TRANSICAO!$Y$27*CUSTOS!$R$3</f>
        <v>0</v>
      </c>
      <c r="Z27" s="19">
        <f>TRANSICAO!$Z$27*CUSTOS!$R$3</f>
        <v>0</v>
      </c>
      <c r="AA27" s="19">
        <f>TRANSICAO!$AA$27*CUSTOS!$R$3</f>
        <v>0</v>
      </c>
      <c r="AB27" s="19">
        <f>TRANSICAO!$AB$27*CUSTOS!$R$3</f>
        <v>0</v>
      </c>
      <c r="AC27" s="19">
        <f>TRANSICAO!$AC$27*CUSTOS!$R$3</f>
        <v>885.13440000000003</v>
      </c>
      <c r="AD27" s="19">
        <f>TRANSICAO!$AD$27*CUSTOS!$R$3</f>
        <v>0</v>
      </c>
      <c r="AE27" s="19">
        <v>0</v>
      </c>
      <c r="AF27" s="19">
        <v>0</v>
      </c>
      <c r="AG27" s="19"/>
      <c r="AH27" s="19">
        <v>1.3886000000000001</v>
      </c>
      <c r="AI27" s="19">
        <v>1.3886000000000001</v>
      </c>
      <c r="AJ27" s="19">
        <f ca="1">$N$82</f>
        <v>64.054883517352039</v>
      </c>
      <c r="AK27" s="19">
        <f t="shared" ca="1" si="0"/>
        <v>64.054883517352039</v>
      </c>
      <c r="AL27" s="19"/>
      <c r="AM27" s="19"/>
      <c r="AP27" s="19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19">
        <f>0.84</f>
        <v>0.84</v>
      </c>
      <c r="M28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8" s="19">
        <f ca="1">(+M28+O28+R28+U28+V28+W28+X28+Y28+Z28+AA28+AC28+AH28+AI28+AJ28+AK28)*CUSTOS!$M$5</f>
        <v>1.3363842379885342</v>
      </c>
      <c r="O28" s="19">
        <v>1</v>
      </c>
      <c r="P28" s="19">
        <v>1</v>
      </c>
      <c r="Q28" s="19">
        <f>0.84</f>
        <v>0.84</v>
      </c>
      <c r="R28" s="19">
        <v>1</v>
      </c>
      <c r="S28" s="19">
        <v>1</v>
      </c>
      <c r="T28" s="19"/>
      <c r="U28" s="19">
        <f>TRANSICAO!$U$28*CUSTOS!$R$3</f>
        <v>0</v>
      </c>
      <c r="V28" s="19">
        <f>TRANSICAO!$V$28*CUSTOS!$R$3</f>
        <v>0</v>
      </c>
      <c r="W28" s="19">
        <f>TRANSICAO!$W$28*CUSTOS!$R$3</f>
        <v>0</v>
      </c>
      <c r="X28" s="19">
        <f>TRANSICAO!$X$28*CUSTOS!$R$3</f>
        <v>0</v>
      </c>
      <c r="Y28" s="19">
        <f>TRANSICAO!$Y$28*CUSTOS!$R$3</f>
        <v>0</v>
      </c>
      <c r="Z28" s="19">
        <f>TRANSICAO!$Z$28*CUSTOS!$R$3</f>
        <v>0</v>
      </c>
      <c r="AA28" s="19">
        <f>TRANSICAO!$AA$28*CUSTOS!$R$3</f>
        <v>0</v>
      </c>
      <c r="AB28" s="19">
        <f>TRANSICAO!$AB$28*CUSTOS!$R$3</f>
        <v>0</v>
      </c>
      <c r="AC28" s="19">
        <f>TRANSICAO!$AC$28*CUSTOS!$R$3</f>
        <v>0</v>
      </c>
      <c r="AD28" s="19">
        <f>TRANSICAO!$AD$28*CUSTOS!$R$3</f>
        <v>0</v>
      </c>
      <c r="AE28" s="19">
        <v>0</v>
      </c>
      <c r="AF28" s="19">
        <v>0</v>
      </c>
      <c r="AG28" s="19"/>
      <c r="AH28" s="19">
        <v>1.3886000000000001</v>
      </c>
      <c r="AI28" s="19">
        <v>1.3886000000000001</v>
      </c>
      <c r="AJ28" s="19">
        <f ca="1">$N$82</f>
        <v>64.054883517352039</v>
      </c>
      <c r="AK28" s="19">
        <f t="shared" ca="1" si="0"/>
        <v>64.054883517352039</v>
      </c>
      <c r="AL28" s="19"/>
      <c r="AM28" s="19"/>
      <c r="AP28" s="19">
        <v>1</v>
      </c>
    </row>
    <row r="29" spans="1:42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19">
        <v>0</v>
      </c>
      <c r="M29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29" s="19">
        <f ca="1">(+M29+O29+R29+U29+V29+W29+X29+Y29+Z29+AA29+AC29+AH29+AI29+AJ29+AK29)*CUSTOS!$M$5</f>
        <v>12.219105237988533</v>
      </c>
      <c r="O29" s="19">
        <v>1</v>
      </c>
      <c r="P29" s="19">
        <v>0</v>
      </c>
      <c r="Q29" s="19">
        <v>0</v>
      </c>
      <c r="R29" s="19">
        <v>0</v>
      </c>
      <c r="S29" s="19">
        <v>0</v>
      </c>
      <c r="T29" s="19"/>
      <c r="U29" s="19">
        <f>TRANSICAO!$U$29*CUSTOS!$R$3</f>
        <v>166.89269999999999</v>
      </c>
      <c r="V29" s="19">
        <f>TRANSICAO!$V$29*CUSTOS!$R$3</f>
        <v>36.261099999999999</v>
      </c>
      <c r="W29" s="19">
        <f>TRANSICAO!$W$29*CUSTOS!$R$3</f>
        <v>0.9839</v>
      </c>
      <c r="X29" s="19">
        <f>TRANSICAO!$X$29*CUSTOS!$R$3</f>
        <v>0</v>
      </c>
      <c r="Y29" s="19">
        <f>TRANSICAO!$Y$29*CUSTOS!$R$3</f>
        <v>0</v>
      </c>
      <c r="Z29" s="19">
        <f>TRANSICAO!$Z$29*CUSTOS!$R$3</f>
        <v>0</v>
      </c>
      <c r="AA29" s="19">
        <f>TRANSICAO!$AA$29*CUSTOS!$R$3</f>
        <v>0</v>
      </c>
      <c r="AB29" s="19">
        <f>TRANSICAO!$AB$29*CUSTOS!$R$3</f>
        <v>0</v>
      </c>
      <c r="AC29" s="19">
        <f>TRANSICAO!$AC$29*CUSTOS!$R$3</f>
        <v>885.13440000000003</v>
      </c>
      <c r="AD29" s="19">
        <f>TRANSICAO!$AD$29*CUSTOS!$R$3</f>
        <v>0</v>
      </c>
      <c r="AE29" s="19">
        <v>0</v>
      </c>
      <c r="AF29" s="19">
        <v>0</v>
      </c>
      <c r="AG29" s="19"/>
      <c r="AH29" s="19">
        <v>1.3886000000000001</v>
      </c>
      <c r="AI29" s="19">
        <v>1.3886000000000001</v>
      </c>
      <c r="AJ29" s="19">
        <f ca="1">$N$82</f>
        <v>64.054883517352039</v>
      </c>
      <c r="AK29" s="19">
        <f t="shared" ca="1" si="0"/>
        <v>64.054883517352039</v>
      </c>
      <c r="AL29" s="19"/>
      <c r="AM29" s="19"/>
      <c r="AP29" s="19">
        <v>1</v>
      </c>
    </row>
    <row r="30" spans="1:42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19">
        <v>0</v>
      </c>
      <c r="M30" s="19">
        <f>IF(AND((+$I$13+$I$14+$I$17+$I$18+$I$19+$I$20+$I$23+$I$24+$I$27+$I$28+$I$29+$I$30)&lt;&gt;0,SUMPRODUCT($I$5:$I$67,$AC$5:$AC$67,$AP$5:$AP$67)&lt;&gt;0),$M$72*SUMPRODUCT($I$11:$I$30,$AC$11:$AC$30,$AP$11:$AP$30)/SUMPRODUCT($I$5:$I$67,$AC$5:$AC$67,$AP$5:$AP$67)/(+$I$13+$I$14+$I$17+$I$18+$I$19+$I$20+$I$23+$I$24+$I$27+$I$28+$I$29+$I$30),0)</f>
        <v>0.75145676414933638</v>
      </c>
      <c r="N30" s="19">
        <f ca="1">(+M30+O30+R30+U30+V30+W30+X30+Y30+Z30+AA30+AC30+AH30+AI30+AJ30+AK30)*CUSTOS!$M$5</f>
        <v>1.3263842379885342</v>
      </c>
      <c r="O30" s="19">
        <v>1</v>
      </c>
      <c r="P30" s="19">
        <v>0</v>
      </c>
      <c r="Q30" s="19">
        <v>0</v>
      </c>
      <c r="R30" s="19">
        <v>0</v>
      </c>
      <c r="S30" s="19">
        <v>0</v>
      </c>
      <c r="T30" s="19"/>
      <c r="U30" s="19">
        <f>TRANSICAO!$U$30*CUSTOS!$R$3</f>
        <v>0</v>
      </c>
      <c r="V30" s="19">
        <f>TRANSICAO!$V$30*CUSTOS!$R$3</f>
        <v>0</v>
      </c>
      <c r="W30" s="19">
        <f>TRANSICAO!$W$30*CUSTOS!$R$3</f>
        <v>0</v>
      </c>
      <c r="X30" s="19">
        <f>TRANSICAO!$X$30*CUSTOS!$R$3</f>
        <v>0</v>
      </c>
      <c r="Y30" s="19">
        <f>TRANSICAO!$Y$30*CUSTOS!$R$3</f>
        <v>0</v>
      </c>
      <c r="Z30" s="19">
        <f>TRANSICAO!$Z$30*CUSTOS!$R$3</f>
        <v>0</v>
      </c>
      <c r="AA30" s="19">
        <f>TRANSICAO!$AA$30*CUSTOS!$R$3</f>
        <v>0</v>
      </c>
      <c r="AB30" s="19">
        <f>TRANSICAO!$AB$30*CUSTOS!$R$3</f>
        <v>0</v>
      </c>
      <c r="AC30" s="19">
        <f>TRANSICAO!$AC$30*CUSTOS!$R$3</f>
        <v>0</v>
      </c>
      <c r="AD30" s="19">
        <f>TRANSICAO!$AD$30*CUSTOS!$R$3</f>
        <v>0</v>
      </c>
      <c r="AE30" s="19">
        <v>0</v>
      </c>
      <c r="AF30" s="19">
        <v>0</v>
      </c>
      <c r="AG30" s="19"/>
      <c r="AH30" s="19">
        <v>1.3886000000000001</v>
      </c>
      <c r="AI30" s="19">
        <v>1.3886000000000001</v>
      </c>
      <c r="AJ30" s="19">
        <f ca="1">$N$82</f>
        <v>64.054883517352039</v>
      </c>
      <c r="AK30" s="19">
        <f t="shared" ca="1" si="0"/>
        <v>64.054883517352039</v>
      </c>
      <c r="AL30" s="19"/>
      <c r="AM30" s="19"/>
      <c r="AP30" s="19">
        <v>1</v>
      </c>
    </row>
    <row r="31" spans="1:42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21" t="s">
        <v>88</v>
      </c>
      <c r="F31" s="21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19">
        <v>0</v>
      </c>
      <c r="M31" s="19">
        <v>3.3399999999999999E-2</v>
      </c>
      <c r="N31" s="19">
        <f>0.084</f>
        <v>8.4000000000000005E-2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/>
      <c r="U31" s="19">
        <f>TRANSICAO!$U$31*CUSTOS!$T$4</f>
        <v>0</v>
      </c>
      <c r="V31" s="19">
        <f>TRANSICAO!$V$31*CUSTOS!$T$4</f>
        <v>0</v>
      </c>
      <c r="W31" s="19">
        <f>TRANSICAO!$W$31*CUSTOS!$T$4</f>
        <v>0</v>
      </c>
      <c r="X31" s="19">
        <f>TRANSICAO!$X$31*CUSTOS!$T$4</f>
        <v>0</v>
      </c>
      <c r="Y31" s="19">
        <f>TRANSICAO!$Y$31*CUSTOS!$T$4</f>
        <v>0</v>
      </c>
      <c r="Z31" s="19">
        <f>TRANSICAO!$Z$31*CUSTOS!$T$4</f>
        <v>0</v>
      </c>
      <c r="AA31" s="19">
        <f>TRANSICAO!$AA$31*CUSTOS!$T$4</f>
        <v>0</v>
      </c>
      <c r="AB31" s="19">
        <f>TRANSICAO!$AB$31*CUSTOS!$T$4</f>
        <v>0</v>
      </c>
      <c r="AC31" s="19">
        <f>TRANSICAO!$AC$31*CUSTOS!$T$4</f>
        <v>8.3620999999999999</v>
      </c>
      <c r="AD31" s="19">
        <f>TRANSICAO!$AD$31*CUSTOS!$T$4</f>
        <v>0</v>
      </c>
      <c r="AE31" s="19">
        <v>0</v>
      </c>
      <c r="AF31" s="19">
        <v>0</v>
      </c>
      <c r="AG31" s="19"/>
      <c r="AH31" s="19">
        <v>0</v>
      </c>
      <c r="AI31" s="19">
        <v>0</v>
      </c>
      <c r="AJ31" s="19">
        <v>0</v>
      </c>
      <c r="AK31" s="19">
        <f t="shared" si="0"/>
        <v>0</v>
      </c>
      <c r="AL31" s="19"/>
      <c r="AM31" s="19"/>
      <c r="AP31" s="19"/>
    </row>
    <row r="32" spans="1:42" ht="11.25" customHeight="1" x14ac:dyDescent="0.25">
      <c r="A32" s="118"/>
      <c r="B32" s="118"/>
      <c r="C32" s="118"/>
      <c r="D32" s="118"/>
      <c r="E32" s="21" t="s">
        <v>89</v>
      </c>
      <c r="F32" s="21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19">
        <v>0</v>
      </c>
      <c r="M32" s="19">
        <v>3.3399999999999999E-2</v>
      </c>
      <c r="N32" s="19">
        <f>0.084</f>
        <v>8.4000000000000005E-2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/>
      <c r="U32" s="19">
        <f>TRANSICAO!$U$32*CUSTOS!$T$4</f>
        <v>0</v>
      </c>
      <c r="V32" s="19">
        <f>TRANSICAO!$V$32*CUSTOS!$T$4</f>
        <v>0</v>
      </c>
      <c r="W32" s="19">
        <f>TRANSICAO!$W$32*CUSTOS!$T$4</f>
        <v>0</v>
      </c>
      <c r="X32" s="19">
        <f>TRANSICAO!$X$32*CUSTOS!$T$4</f>
        <v>0</v>
      </c>
      <c r="Y32" s="19">
        <f>TRANSICAO!$Y$32*CUSTOS!$T$4</f>
        <v>0</v>
      </c>
      <c r="Z32" s="19">
        <f>TRANSICAO!$Z$32*CUSTOS!$T$4</f>
        <v>0</v>
      </c>
      <c r="AA32" s="19">
        <f>TRANSICAO!$AA$32*CUSTOS!$T$4</f>
        <v>0</v>
      </c>
      <c r="AB32" s="19">
        <f>TRANSICAO!$AB$32*CUSTOS!$T$4</f>
        <v>0</v>
      </c>
      <c r="AC32" s="19">
        <f>TRANSICAO!$AC$32*CUSTOS!$T$4</f>
        <v>19.075099999999999</v>
      </c>
      <c r="AD32" s="19">
        <f>TRANSICAO!$AD$32*CUSTOS!$T$4</f>
        <v>0</v>
      </c>
      <c r="AE32" s="19">
        <v>0</v>
      </c>
      <c r="AF32" s="19">
        <v>0</v>
      </c>
      <c r="AG32" s="19"/>
      <c r="AH32" s="19">
        <v>0</v>
      </c>
      <c r="AI32" s="19">
        <v>0</v>
      </c>
      <c r="AJ32" s="19">
        <v>0</v>
      </c>
      <c r="AK32" s="19">
        <f t="shared" si="0"/>
        <v>0</v>
      </c>
      <c r="AL32" s="19"/>
      <c r="AM32" s="19"/>
      <c r="AP32" s="19"/>
    </row>
    <row r="33" spans="1:42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19">
        <f>1</f>
        <v>1</v>
      </c>
      <c r="M33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</f>
        <v>0.93318673150488263</v>
      </c>
      <c r="N33" s="19">
        <f ca="1">(+M33+O33+R33+U33+V33+W33+X33+Y33+Z33+AA33+AC33+AH33+AI33+AJ33+AK33)*CUSTOS!$M$5</f>
        <v>9.4066390148044814</v>
      </c>
      <c r="O33" s="19">
        <v>1</v>
      </c>
      <c r="P33" s="19">
        <v>1</v>
      </c>
      <c r="Q33" s="19">
        <f>1</f>
        <v>1</v>
      </c>
      <c r="R33" s="19">
        <v>1</v>
      </c>
      <c r="S33" s="19">
        <v>1</v>
      </c>
      <c r="T33" s="19"/>
      <c r="U33" s="19">
        <f>TRANSICAO!$U$33*CUSTOS!$T$3</f>
        <v>81.637600000000006</v>
      </c>
      <c r="V33" s="19">
        <f>TRANSICAO!$V$33*CUSTOS!$T$3</f>
        <v>18.011299999999999</v>
      </c>
      <c r="W33" s="19">
        <f>TRANSICAO!$W$33*CUSTOS!$T$3</f>
        <v>0.46629999999999999</v>
      </c>
      <c r="X33" s="19">
        <f>TRANSICAO!$X$33*CUSTOS!$T$3</f>
        <v>0</v>
      </c>
      <c r="Y33" s="19">
        <f>TRANSICAO!$Y$33*CUSTOS!$T$3</f>
        <v>0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698.65660000000003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v>1.3886000000000001</v>
      </c>
      <c r="AI33" s="19">
        <v>1.3886000000000001</v>
      </c>
      <c r="AJ33" s="19">
        <f ca="1">$N$83</f>
        <v>68.090857374471611</v>
      </c>
      <c r="AK33" s="19">
        <f t="shared" ca="1" si="0"/>
        <v>68.090857374471611</v>
      </c>
      <c r="AL33" s="19"/>
      <c r="AM33" s="19"/>
      <c r="AP33" s="19">
        <v>1</v>
      </c>
    </row>
    <row r="34" spans="1:42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19">
        <f>1</f>
        <v>1</v>
      </c>
      <c r="M34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</f>
        <v>0.93318673150488263</v>
      </c>
      <c r="N34" s="19">
        <f ca="1">(+M34+O34+R34+U34+V34+W34+X34+Y34+Z34+AA34+AC34+AH34+AI34+AJ34+AK34)*CUSTOS!$M$5</f>
        <v>6.2115520148044814</v>
      </c>
      <c r="O34" s="19">
        <v>1</v>
      </c>
      <c r="P34" s="19">
        <v>1</v>
      </c>
      <c r="Q34" s="19">
        <f>1</f>
        <v>1</v>
      </c>
      <c r="R34" s="19">
        <v>1</v>
      </c>
      <c r="S34" s="19">
        <v>1</v>
      </c>
      <c r="T34" s="19"/>
      <c r="U34" s="19">
        <f>TRANSICAO!$U$34*CUSTOS!$T$3</f>
        <v>48.982500000000002</v>
      </c>
      <c r="V34" s="19">
        <f>TRANSICAO!$V$34*CUSTOS!$T$3</f>
        <v>10.806800000000001</v>
      </c>
      <c r="W34" s="19">
        <f>TRANSICAO!$W$34*CUSTOS!$T$3</f>
        <v>0.27979999999999999</v>
      </c>
      <c r="X34" s="19">
        <f>TRANSICAO!$X$34*CUSTOS!$T$3</f>
        <v>0</v>
      </c>
      <c r="Y34" s="19">
        <f>TRANSICAO!$Y$34*CUSTOS!$T$3</f>
        <v>0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419.19400000000002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v>1.3886000000000001</v>
      </c>
      <c r="AI34" s="19">
        <v>1.3886000000000001</v>
      </c>
      <c r="AJ34" s="19">
        <f ca="1">$N$83</f>
        <v>68.090857374471611</v>
      </c>
      <c r="AK34" s="19">
        <f t="shared" ca="1" si="0"/>
        <v>68.090857374471611</v>
      </c>
      <c r="AL34" s="19"/>
      <c r="AM34" s="19"/>
      <c r="AP34" s="19"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19">
        <f>1</f>
        <v>1</v>
      </c>
      <c r="M35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</f>
        <v>0.93318673150488263</v>
      </c>
      <c r="N35" s="19">
        <f ca="1">(+M35+O35+R35+U35+V35+W35+X35+Y35+Z35+AA35+AC35+AH35+AI35+AJ35+AK35)*CUSTOS!$M$5</f>
        <v>3.0164650148044814</v>
      </c>
      <c r="O35" s="19">
        <v>1</v>
      </c>
      <c r="P35" s="19">
        <v>1</v>
      </c>
      <c r="Q35" s="19">
        <f>1</f>
        <v>1</v>
      </c>
      <c r="R35" s="19">
        <v>1</v>
      </c>
      <c r="S35" s="19">
        <v>1</v>
      </c>
      <c r="T35" s="19"/>
      <c r="U35" s="19">
        <f>TRANSICAO!$U$35*CUSTOS!$T$3</f>
        <v>16.327500000000001</v>
      </c>
      <c r="V35" s="19">
        <f>TRANSICAO!$V$35*CUSTOS!$T$3</f>
        <v>3.6023000000000001</v>
      </c>
      <c r="W35" s="19">
        <f>TRANSICAO!$W$35*CUSTOS!$T$3</f>
        <v>9.3299999999999994E-2</v>
      </c>
      <c r="X35" s="19">
        <f>TRANSICAO!$X$35*CUSTOS!$T$3</f>
        <v>0</v>
      </c>
      <c r="Y35" s="19">
        <f>TRANSICAO!$Y$35*CUSTOS!$T$3</f>
        <v>0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139.7313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v>1.3886000000000001</v>
      </c>
      <c r="AI35" s="19">
        <v>1.3886000000000001</v>
      </c>
      <c r="AJ35" s="19">
        <f ca="1">$N$83</f>
        <v>68.090857374471611</v>
      </c>
      <c r="AK35" s="19">
        <f t="shared" ca="1" si="0"/>
        <v>68.090857374471611</v>
      </c>
      <c r="AL35" s="19"/>
      <c r="AM35" s="19"/>
      <c r="AP35" s="19">
        <v>1</v>
      </c>
    </row>
    <row r="36" spans="1:42" ht="11.25" customHeight="1" x14ac:dyDescent="0.25">
      <c r="A36" s="118"/>
      <c r="B36" s="118" t="s">
        <v>23</v>
      </c>
      <c r="C36" s="118" t="s">
        <v>24</v>
      </c>
      <c r="D36" s="21" t="s">
        <v>24</v>
      </c>
      <c r="E36" s="21" t="s">
        <v>25</v>
      </c>
      <c r="F36" s="21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19">
        <f>1</f>
        <v>1</v>
      </c>
      <c r="M36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</f>
        <v>0.93318673150488263</v>
      </c>
      <c r="N36" s="19">
        <f ca="1">(+M36+O36+R36+U36+V36+W36+X36+Y36+Z36+AA36+AC36+AH36+AI36+AJ36+AK36)*CUSTOS!$M$5</f>
        <v>3.8766800148044815</v>
      </c>
      <c r="O36" s="19">
        <v>1</v>
      </c>
      <c r="P36" s="19">
        <v>1</v>
      </c>
      <c r="Q36" s="19">
        <f>1</f>
        <v>1</v>
      </c>
      <c r="R36" s="19">
        <v>1</v>
      </c>
      <c r="S36" s="19">
        <v>1</v>
      </c>
      <c r="T36" s="19"/>
      <c r="U36" s="19">
        <f>TRANSICAO!$U$36*CUSTOS!$T$3</f>
        <v>25.119199999999999</v>
      </c>
      <c r="V36" s="19">
        <f>TRANSICAO!$V$36*CUSTOS!$T$3</f>
        <v>5.5419</v>
      </c>
      <c r="W36" s="19">
        <f>TRANSICAO!$W$36*CUSTOS!$T$3</f>
        <v>0.14349999999999999</v>
      </c>
      <c r="X36" s="19">
        <f>TRANSICAO!$X$36*CUSTOS!$T$3</f>
        <v>0</v>
      </c>
      <c r="Y36" s="19">
        <f>TRANSICAO!$Y$36*CUSTOS!$T$3</f>
        <v>0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214.97130000000001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v>1.3886000000000001</v>
      </c>
      <c r="AI36" s="19">
        <v>1.3886000000000001</v>
      </c>
      <c r="AJ36" s="19">
        <f ca="1">$N$83</f>
        <v>68.090857374471611</v>
      </c>
      <c r="AK36" s="19">
        <f t="shared" ca="1" si="0"/>
        <v>68.090857374471611</v>
      </c>
      <c r="AL36" s="19"/>
      <c r="AM36" s="19"/>
      <c r="AP36" s="19">
        <v>1</v>
      </c>
    </row>
    <row r="37" spans="1:42" ht="11.25" customHeight="1" x14ac:dyDescent="0.25">
      <c r="A37" s="118"/>
      <c r="B37" s="118"/>
      <c r="C37" s="118"/>
      <c r="D37" s="21" t="s">
        <v>29</v>
      </c>
      <c r="E37" s="21" t="s">
        <v>25</v>
      </c>
      <c r="F37" s="21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19">
        <v>0</v>
      </c>
      <c r="M37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CUSTOS!$M$24)</f>
        <v>0.93318673150488263</v>
      </c>
      <c r="N37" s="19">
        <f ca="1">(+M37+O37+R37+U37+V37+W37+X37+Y37+Z37+AA37+AC37+AH37+AI37+AJ37+AK37)*CUSTOS!$M$5</f>
        <v>3.8666800148044813</v>
      </c>
      <c r="O37" s="19">
        <f>1 - CUSTOS!$M$24</f>
        <v>1</v>
      </c>
      <c r="P37" s="19">
        <v>0</v>
      </c>
      <c r="Q37" s="19">
        <v>0</v>
      </c>
      <c r="R37" s="19">
        <v>0</v>
      </c>
      <c r="S37" s="19">
        <f>1 - CUSTOS!$M$24</f>
        <v>1</v>
      </c>
      <c r="T37" s="19"/>
      <c r="U37" s="19">
        <f>TRANSICAO!$U$37*CUSTOS!$T$3</f>
        <v>25.119199999999999</v>
      </c>
      <c r="V37" s="19">
        <f>TRANSICAO!$V$37*CUSTOS!$T$3</f>
        <v>5.5419</v>
      </c>
      <c r="W37" s="19">
        <f>TRANSICAO!$W$37*CUSTOS!$T$3</f>
        <v>0.14349999999999999</v>
      </c>
      <c r="X37" s="19">
        <f>TRANSICAO!$X$37*CUSTOS!$T$3</f>
        <v>0</v>
      </c>
      <c r="Y37" s="19">
        <f>TRANSICAO!$Y$37*CUSTOS!$T$3</f>
        <v>0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214.97130000000001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CUSTOS!$M$24)*1.3886</f>
        <v>1.3886000000000001</v>
      </c>
      <c r="AI37" s="19">
        <f>(1 - CUSTOS!$M$24)*1.3886</f>
        <v>1.3886000000000001</v>
      </c>
      <c r="AJ37" s="19">
        <f ca="1">$N$83*(1-CUSTOS!$M$24)</f>
        <v>68.090857374471611</v>
      </c>
      <c r="AK37" s="19">
        <f t="shared" ref="AK37:AK67" ca="1" si="1">AJ37</f>
        <v>68.090857374471611</v>
      </c>
      <c r="AL37" s="19"/>
      <c r="AM37" s="19"/>
      <c r="AP37" s="19">
        <f>IF((1 - CUSTOS!$M$24)&lt;&gt;0,1/(1 - CUSTOS!$M$24),1)</f>
        <v>1</v>
      </c>
    </row>
    <row r="38" spans="1:42" ht="11.25" customHeight="1" x14ac:dyDescent="0.25">
      <c r="A38" s="118"/>
      <c r="B38" s="118"/>
      <c r="C38" s="118"/>
      <c r="D38" s="21" t="s">
        <v>30</v>
      </c>
      <c r="E38" s="21" t="s">
        <v>25</v>
      </c>
      <c r="F38" s="21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19">
        <v>0</v>
      </c>
      <c r="M38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CUSTOS!$M$25)</f>
        <v>0.93318673150488263</v>
      </c>
      <c r="N38" s="19">
        <f ca="1">(+M38+O38+R38+U38+V38+W38+X38+Y38+Z38+AA38+AC38+AH38+AI38+AJ38+AK38)*CUSTOS!$M$5</f>
        <v>3.8666800148044813</v>
      </c>
      <c r="O38" s="19">
        <f>1 - CUSTOS!$M$25</f>
        <v>1</v>
      </c>
      <c r="P38" s="19">
        <v>0</v>
      </c>
      <c r="Q38" s="19">
        <v>0</v>
      </c>
      <c r="R38" s="19">
        <v>0</v>
      </c>
      <c r="S38" s="19">
        <f>1 - CUSTOS!$M$25</f>
        <v>1</v>
      </c>
      <c r="T38" s="19"/>
      <c r="U38" s="19">
        <f>TRANSICAO!$U$38*CUSTOS!$T$3</f>
        <v>25.119199999999999</v>
      </c>
      <c r="V38" s="19">
        <f>TRANSICAO!$V$38*CUSTOS!$T$3</f>
        <v>5.5419</v>
      </c>
      <c r="W38" s="19">
        <f>TRANSICAO!$W$38*CUSTOS!$T$3</f>
        <v>0.14349999999999999</v>
      </c>
      <c r="X38" s="19">
        <f>TRANSICAO!$X$38*CUSTOS!$T$3</f>
        <v>0</v>
      </c>
      <c r="Y38" s="19">
        <f>TRANSICAO!$Y$38*CUSTOS!$T$3</f>
        <v>0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214.97130000000001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CUSTOS!$M$25)*1.3886</f>
        <v>1.3886000000000001</v>
      </c>
      <c r="AI38" s="19">
        <f>(1 - CUSTOS!$M$25)*1.3886</f>
        <v>1.3886000000000001</v>
      </c>
      <c r="AJ38" s="19">
        <f ca="1">$N$83*(1-CUSTOS!$M$25)</f>
        <v>68.090857374471611</v>
      </c>
      <c r="AK38" s="19">
        <f t="shared" ca="1" si="1"/>
        <v>68.090857374471611</v>
      </c>
      <c r="AL38" s="19"/>
      <c r="AM38" s="19"/>
      <c r="AP38" s="19">
        <f>IF((1 - CUSTOS!$M$25)&lt;&gt;0,1/(1 - CUSTOS!$M$25),1)</f>
        <v>1</v>
      </c>
    </row>
    <row r="39" spans="1:42" ht="11.25" customHeight="1" x14ac:dyDescent="0.25">
      <c r="A39" s="118"/>
      <c r="B39" s="118"/>
      <c r="C39" s="118"/>
      <c r="D39" s="21" t="s">
        <v>31</v>
      </c>
      <c r="E39" s="21" t="s">
        <v>25</v>
      </c>
      <c r="F39" s="21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19">
        <v>0</v>
      </c>
      <c r="M39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CUSTOS!$M$26)</f>
        <v>0.93318673150488263</v>
      </c>
      <c r="N39" s="19">
        <f ca="1">(+M39+O39+R39+U39+V39+W39+X39+Y39+Z39+AA39+AC39+AH39+AI39+AJ39+AK39)*CUSTOS!$M$5</f>
        <v>3.8666800148044813</v>
      </c>
      <c r="O39" s="19">
        <f>1 - CUSTOS!$M$26</f>
        <v>1</v>
      </c>
      <c r="P39" s="19">
        <v>0</v>
      </c>
      <c r="Q39" s="19">
        <v>0</v>
      </c>
      <c r="R39" s="19">
        <v>0</v>
      </c>
      <c r="S39" s="19">
        <f>1 - CUSTOS!$M$26</f>
        <v>1</v>
      </c>
      <c r="T39" s="19"/>
      <c r="U39" s="19">
        <f>TRANSICAO!$U$39*CUSTOS!$T$3</f>
        <v>25.119199999999999</v>
      </c>
      <c r="V39" s="19">
        <f>TRANSICAO!$V$39*CUSTOS!$T$3</f>
        <v>5.5419</v>
      </c>
      <c r="W39" s="19">
        <f>TRANSICAO!$W$39*CUSTOS!$T$3</f>
        <v>0.14349999999999999</v>
      </c>
      <c r="X39" s="19">
        <f>TRANSICAO!$X$39*CUSTOS!$T$3</f>
        <v>0</v>
      </c>
      <c r="Y39" s="19">
        <f>TRANSICAO!$Y$39*CUSTOS!$T$3</f>
        <v>0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214.97130000000001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CUSTOS!$M$26)*1.3886</f>
        <v>1.3886000000000001</v>
      </c>
      <c r="AI39" s="19">
        <f>(1 - CUSTOS!$M$26)*1.3886</f>
        <v>1.3886000000000001</v>
      </c>
      <c r="AJ39" s="19">
        <f ca="1">$N$83*(1-CUSTOS!$M$26)</f>
        <v>68.090857374471611</v>
      </c>
      <c r="AK39" s="19">
        <f t="shared" ca="1" si="1"/>
        <v>68.090857374471611</v>
      </c>
      <c r="AL39" s="19"/>
      <c r="AM39" s="19"/>
      <c r="AP39" s="19">
        <f>IF((1 - CUSTOS!$M$26)&lt;&gt;0,1/(1 - CUSTOS!$M$26),1)</f>
        <v>1</v>
      </c>
    </row>
    <row r="40" spans="1:42" ht="11.25" customHeight="1" x14ac:dyDescent="0.25">
      <c r="A40" s="118"/>
      <c r="B40" s="118"/>
      <c r="C40" s="118"/>
      <c r="D40" s="21" t="s">
        <v>32</v>
      </c>
      <c r="E40" s="21" t="s">
        <v>25</v>
      </c>
      <c r="F40" s="21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19">
        <v>0</v>
      </c>
      <c r="M40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CUSTOS!$M$27)</f>
        <v>0.93318673150488263</v>
      </c>
      <c r="N40" s="19">
        <f ca="1">(+M40+O40+R40+U40+V40+W40+X40+Y40+Z40+AA40+AC40+AH40+AI40+AJ40+AK40)*CUSTOS!$M$5</f>
        <v>3.8666800148044813</v>
      </c>
      <c r="O40" s="19">
        <f>1 - CUSTOS!$M$27</f>
        <v>1</v>
      </c>
      <c r="P40" s="19">
        <v>0</v>
      </c>
      <c r="Q40" s="19">
        <v>0</v>
      </c>
      <c r="R40" s="19">
        <v>0</v>
      </c>
      <c r="S40" s="19">
        <f>1 - CUSTOS!$M$27</f>
        <v>1</v>
      </c>
      <c r="T40" s="19"/>
      <c r="U40" s="19">
        <f>TRANSICAO!$U$40*CUSTOS!$T$3</f>
        <v>25.119199999999999</v>
      </c>
      <c r="V40" s="19">
        <f>TRANSICAO!$V$40*CUSTOS!$T$3</f>
        <v>5.5419</v>
      </c>
      <c r="W40" s="19">
        <f>TRANSICAO!$W$40*CUSTOS!$T$3</f>
        <v>0.14349999999999999</v>
      </c>
      <c r="X40" s="19">
        <f>TRANSICAO!$X$40*CUSTOS!$T$3</f>
        <v>0</v>
      </c>
      <c r="Y40" s="19">
        <f>TRANSICAO!$Y$40*CUSTOS!$T$3</f>
        <v>0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214.97130000000001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CUSTOS!$M$27)*1.3886</f>
        <v>1.3886000000000001</v>
      </c>
      <c r="AI40" s="19">
        <f>(1 - CUSTOS!$M$27)*1.3886</f>
        <v>1.3886000000000001</v>
      </c>
      <c r="AJ40" s="19">
        <f ca="1">$N$83*(1-CUSTOS!$M$27)</f>
        <v>68.090857374471611</v>
      </c>
      <c r="AK40" s="19">
        <f t="shared" ca="1" si="1"/>
        <v>68.090857374471611</v>
      </c>
      <c r="AL40" s="19"/>
      <c r="AM40" s="19"/>
      <c r="AP40" s="19">
        <f>IF((1 - CUSTOS!$M$27)&lt;&gt;0,1/(1 - CUSTOS!$M$27),1)</f>
        <v>1</v>
      </c>
    </row>
    <row r="41" spans="1:42" ht="11.25" customHeight="1" x14ac:dyDescent="0.25">
      <c r="A41" s="118"/>
      <c r="B41" s="118" t="s">
        <v>92</v>
      </c>
      <c r="C41" s="118" t="s">
        <v>24</v>
      </c>
      <c r="D41" s="21" t="s">
        <v>24</v>
      </c>
      <c r="E41" s="21" t="s">
        <v>25</v>
      </c>
      <c r="F41" s="21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19">
        <f>1</f>
        <v>1</v>
      </c>
      <c r="M41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</f>
        <v>0.93318673150488263</v>
      </c>
      <c r="N41" s="19">
        <f ca="1">(+M41+O41+R41+U41+V41+W41+X41+Y41+Z41+AA41+AC41+AH41+AI41+AJ41+AK41)*CUSTOS!$M$5</f>
        <v>3.8766800148044815</v>
      </c>
      <c r="O41" s="19">
        <v>1</v>
      </c>
      <c r="P41" s="19">
        <v>1</v>
      </c>
      <c r="Q41" s="19">
        <f>1</f>
        <v>1</v>
      </c>
      <c r="R41" s="19">
        <v>1</v>
      </c>
      <c r="S41" s="19">
        <v>1</v>
      </c>
      <c r="T41" s="19"/>
      <c r="U41" s="19">
        <f>TRANSICAO!$U$41*CUSTOS!$T$3</f>
        <v>25.119199999999999</v>
      </c>
      <c r="V41" s="19">
        <f>TRANSICAO!$V$41*CUSTOS!$T$3</f>
        <v>5.5419</v>
      </c>
      <c r="W41" s="19">
        <f>TRANSICAO!$W$41*CUSTOS!$T$3</f>
        <v>0.14349999999999999</v>
      </c>
      <c r="X41" s="19">
        <f>TRANSICAO!$X$41*CUSTOS!$T$3</f>
        <v>0</v>
      </c>
      <c r="Y41" s="19">
        <f>TRANSICAO!$Y$41*CUSTOS!$T$3</f>
        <v>0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214.97130000000001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v>1.3886000000000001</v>
      </c>
      <c r="AI41" s="19">
        <v>1.3886000000000001</v>
      </c>
      <c r="AJ41" s="19">
        <f ca="1">$N$83</f>
        <v>68.090857374471611</v>
      </c>
      <c r="AK41" s="19">
        <f t="shared" ca="1" si="1"/>
        <v>68.090857374471611</v>
      </c>
      <c r="AL41" s="19"/>
      <c r="AM41" s="19"/>
      <c r="AP41" s="19">
        <v>1</v>
      </c>
    </row>
    <row r="42" spans="1:42" ht="11.25" customHeight="1" x14ac:dyDescent="0.25">
      <c r="A42" s="118"/>
      <c r="B42" s="118"/>
      <c r="C42" s="118"/>
      <c r="D42" s="21" t="s">
        <v>29</v>
      </c>
      <c r="E42" s="21" t="s">
        <v>25</v>
      </c>
      <c r="F42" s="21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19">
        <v>0</v>
      </c>
      <c r="M42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CUSTOS!$M$24)</f>
        <v>0.93318673150488263</v>
      </c>
      <c r="N42" s="19">
        <f ca="1">(+M42+O42+R42+U42+V42+W42+X42+Y42+Z42+AA42+AC42+AH42+AI42+AJ42+AK42)*CUSTOS!$M$5</f>
        <v>3.8666800148044813</v>
      </c>
      <c r="O42" s="19">
        <f>1 - CUSTOS!$M$24</f>
        <v>1</v>
      </c>
      <c r="P42" s="19">
        <v>0</v>
      </c>
      <c r="Q42" s="19">
        <v>0</v>
      </c>
      <c r="R42" s="19">
        <v>0</v>
      </c>
      <c r="S42" s="19">
        <f>1 - CUSTOS!$M$24</f>
        <v>1</v>
      </c>
      <c r="T42" s="19"/>
      <c r="U42" s="19">
        <f>TRANSICAO!$U$42*CUSTOS!$T$3</f>
        <v>25.119199999999999</v>
      </c>
      <c r="V42" s="19">
        <f>TRANSICAO!$V$42*CUSTOS!$T$3</f>
        <v>5.5419</v>
      </c>
      <c r="W42" s="19">
        <f>TRANSICAO!$W$42*CUSTOS!$T$3</f>
        <v>0.14349999999999999</v>
      </c>
      <c r="X42" s="19">
        <f>TRANSICAO!$X$42*CUSTOS!$T$3</f>
        <v>0</v>
      </c>
      <c r="Y42" s="19">
        <f>TRANSICAO!$Y$42*CUSTOS!$T$3</f>
        <v>0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214.97130000000001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CUSTOS!$M$24)*1.3886</f>
        <v>1.3886000000000001</v>
      </c>
      <c r="AI42" s="19">
        <f>(1 - CUSTOS!$M$24)*1.3886</f>
        <v>1.3886000000000001</v>
      </c>
      <c r="AJ42" s="19">
        <f ca="1">$N$83*(1-CUSTOS!$M$24)</f>
        <v>68.090857374471611</v>
      </c>
      <c r="AK42" s="19">
        <f t="shared" ca="1" si="1"/>
        <v>68.090857374471611</v>
      </c>
      <c r="AL42" s="19"/>
      <c r="AM42" s="19"/>
      <c r="AP42" s="19">
        <f>IF((1 - CUSTOS!$M$24)&lt;&gt;0,1/(1 - CUSTOS!$M$24),1)</f>
        <v>1</v>
      </c>
    </row>
    <row r="43" spans="1:42" ht="11.25" customHeight="1" x14ac:dyDescent="0.25">
      <c r="A43" s="118"/>
      <c r="B43" s="118"/>
      <c r="C43" s="118"/>
      <c r="D43" s="21" t="s">
        <v>30</v>
      </c>
      <c r="E43" s="21" t="s">
        <v>25</v>
      </c>
      <c r="F43" s="21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19">
        <v>0</v>
      </c>
      <c r="M43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CUSTOS!$M$25)</f>
        <v>0.93318673150488263</v>
      </c>
      <c r="N43" s="19">
        <f ca="1">(+M43+O43+R43+U43+V43+W43+X43+Y43+Z43+AA43+AC43+AH43+AI43+AJ43+AK43)*CUSTOS!$M$5</f>
        <v>3.8666800148044813</v>
      </c>
      <c r="O43" s="19">
        <f>1 - CUSTOS!$M$25</f>
        <v>1</v>
      </c>
      <c r="P43" s="19">
        <v>0</v>
      </c>
      <c r="Q43" s="19">
        <v>0</v>
      </c>
      <c r="R43" s="19">
        <v>0</v>
      </c>
      <c r="S43" s="19">
        <f>1 - CUSTOS!$M$25</f>
        <v>1</v>
      </c>
      <c r="T43" s="19"/>
      <c r="U43" s="19">
        <f>TRANSICAO!$U$43*CUSTOS!$T$3</f>
        <v>25.119199999999999</v>
      </c>
      <c r="V43" s="19">
        <f>TRANSICAO!$V$43*CUSTOS!$T$3</f>
        <v>5.5419</v>
      </c>
      <c r="W43" s="19">
        <f>TRANSICAO!$W$43*CUSTOS!$T$3</f>
        <v>0.14349999999999999</v>
      </c>
      <c r="X43" s="19">
        <f>TRANSICAO!$X$43*CUSTOS!$T$3</f>
        <v>0</v>
      </c>
      <c r="Y43" s="19">
        <f>TRANSICAO!$Y$43*CUSTOS!$T$3</f>
        <v>0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214.97130000000001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CUSTOS!$M$25)*1.3886</f>
        <v>1.3886000000000001</v>
      </c>
      <c r="AI43" s="19">
        <f>(1 - CUSTOS!$M$25)*1.3886</f>
        <v>1.3886000000000001</v>
      </c>
      <c r="AJ43" s="19">
        <f ca="1">$N$83*(1-CUSTOS!$M$25)</f>
        <v>68.090857374471611</v>
      </c>
      <c r="AK43" s="19">
        <f t="shared" ca="1" si="1"/>
        <v>68.090857374471611</v>
      </c>
      <c r="AL43" s="19"/>
      <c r="AM43" s="19"/>
      <c r="AP43" s="19">
        <f>IF((1 - CUSTOS!$M$25)&lt;&gt;0,1/(1 - CUSTOS!$M$25),1)</f>
        <v>1</v>
      </c>
    </row>
    <row r="44" spans="1:42" ht="11.25" customHeight="1" x14ac:dyDescent="0.25">
      <c r="A44" s="118"/>
      <c r="B44" s="118"/>
      <c r="C44" s="118"/>
      <c r="D44" s="21" t="s">
        <v>31</v>
      </c>
      <c r="E44" s="21" t="s">
        <v>25</v>
      </c>
      <c r="F44" s="21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19">
        <v>0</v>
      </c>
      <c r="M44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CUSTOS!$M$26)</f>
        <v>0.93318673150488263</v>
      </c>
      <c r="N44" s="19">
        <f ca="1">(+M44+O44+R44+U44+V44+W44+X44+Y44+Z44+AA44+AC44+AH44+AI44+AJ44+AK44)*CUSTOS!$M$5</f>
        <v>3.8666800148044813</v>
      </c>
      <c r="O44" s="19">
        <f>1 - CUSTOS!$M$26</f>
        <v>1</v>
      </c>
      <c r="P44" s="19">
        <v>0</v>
      </c>
      <c r="Q44" s="19">
        <v>0</v>
      </c>
      <c r="R44" s="19">
        <v>0</v>
      </c>
      <c r="S44" s="19">
        <f>1 - CUSTOS!$M$26</f>
        <v>1</v>
      </c>
      <c r="T44" s="19"/>
      <c r="U44" s="19">
        <f>TRANSICAO!$U$44*CUSTOS!$T$3</f>
        <v>25.119199999999999</v>
      </c>
      <c r="V44" s="19">
        <f>TRANSICAO!$V$44*CUSTOS!$T$3</f>
        <v>5.5419</v>
      </c>
      <c r="W44" s="19">
        <f>TRANSICAO!$W$44*CUSTOS!$T$3</f>
        <v>0.14349999999999999</v>
      </c>
      <c r="X44" s="19">
        <f>TRANSICAO!$X$44*CUSTOS!$T$3</f>
        <v>0</v>
      </c>
      <c r="Y44" s="19">
        <f>TRANSICAO!$Y$44*CUSTOS!$T$3</f>
        <v>0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214.97130000000001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CUSTOS!$M$26)*1.3886</f>
        <v>1.3886000000000001</v>
      </c>
      <c r="AI44" s="19">
        <f>(1 - CUSTOS!$M$26)*1.3886</f>
        <v>1.3886000000000001</v>
      </c>
      <c r="AJ44" s="19">
        <f ca="1">$N$83*(1-CUSTOS!$M$26)</f>
        <v>68.090857374471611</v>
      </c>
      <c r="AK44" s="19">
        <f t="shared" ca="1" si="1"/>
        <v>68.090857374471611</v>
      </c>
      <c r="AL44" s="19"/>
      <c r="AM44" s="19"/>
      <c r="AP44" s="19">
        <f>IF((1 - CUSTOS!$M$26)&lt;&gt;0,1/(1 - CUSTOS!$M$26),1)</f>
        <v>1</v>
      </c>
    </row>
    <row r="45" spans="1:42" ht="11.25" customHeight="1" x14ac:dyDescent="0.25">
      <c r="A45" s="118"/>
      <c r="B45" s="118"/>
      <c r="C45" s="118"/>
      <c r="D45" s="21" t="s">
        <v>32</v>
      </c>
      <c r="E45" s="21" t="s">
        <v>25</v>
      </c>
      <c r="F45" s="21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19">
        <v>0</v>
      </c>
      <c r="M45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CUSTOS!$M$27)</f>
        <v>0.93318673150488263</v>
      </c>
      <c r="N45" s="19">
        <f ca="1">(+M45+O45+R45+U45+V45+W45+X45+Y45+Z45+AA45+AC45+AH45+AI45+AJ45+AK45)*CUSTOS!$M$5</f>
        <v>3.8666800148044813</v>
      </c>
      <c r="O45" s="19">
        <f>1 - CUSTOS!$M$27</f>
        <v>1</v>
      </c>
      <c r="P45" s="19">
        <v>0</v>
      </c>
      <c r="Q45" s="19">
        <v>0</v>
      </c>
      <c r="R45" s="19">
        <v>0</v>
      </c>
      <c r="S45" s="19">
        <f>1 - CUSTOS!$M$27</f>
        <v>1</v>
      </c>
      <c r="T45" s="19"/>
      <c r="U45" s="19">
        <f>TRANSICAO!$U$45*CUSTOS!$T$3</f>
        <v>25.119199999999999</v>
      </c>
      <c r="V45" s="19">
        <f>TRANSICAO!$V$45*CUSTOS!$T$3</f>
        <v>5.5419</v>
      </c>
      <c r="W45" s="19">
        <f>TRANSICAO!$W$45*CUSTOS!$T$3</f>
        <v>0.14349999999999999</v>
      </c>
      <c r="X45" s="19">
        <f>TRANSICAO!$X$45*CUSTOS!$T$3</f>
        <v>0</v>
      </c>
      <c r="Y45" s="19">
        <f>TRANSICAO!$Y$45*CUSTOS!$T$3</f>
        <v>0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214.97130000000001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CUSTOS!$M$27)*1.3886</f>
        <v>1.3886000000000001</v>
      </c>
      <c r="AI45" s="19">
        <f>(1 - CUSTOS!$M$27)*1.3886</f>
        <v>1.3886000000000001</v>
      </c>
      <c r="AJ45" s="19">
        <f ca="1">$N$83*(1-CUSTOS!$M$27)</f>
        <v>68.090857374471611</v>
      </c>
      <c r="AK45" s="19">
        <f t="shared" ca="1" si="1"/>
        <v>68.090857374471611</v>
      </c>
      <c r="AL45" s="19"/>
      <c r="AM45" s="19"/>
      <c r="AP45" s="19">
        <f>IF((1 - CUSTOS!$M$27)&lt;&gt;0,1/(1 - CUSTOS!$M$27),1)</f>
        <v>1</v>
      </c>
    </row>
    <row r="46" spans="1:42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19">
        <f>1*(1 - CUSTOS!$M$28)</f>
        <v>1</v>
      </c>
      <c r="M46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CUSTOS!$M$28)</f>
        <v>0.93318673150488263</v>
      </c>
      <c r="N46" s="19">
        <f ca="1">(+M46+O46+R46+U46+V46+W46+X46+Y46+Z46+AA46+AC46+AH46+AI46+AJ46+AK46)*CUSTOS!$M$5</f>
        <v>9.4066390148044814</v>
      </c>
      <c r="O46" s="19">
        <f>1 - CUSTOS!$M$28</f>
        <v>1</v>
      </c>
      <c r="P46" s="19">
        <f>1 - CUSTOS!$M$28</f>
        <v>1</v>
      </c>
      <c r="Q46" s="19">
        <f>1*(1 - CUSTOS!$M$28)</f>
        <v>1</v>
      </c>
      <c r="R46" s="19">
        <f>1 - CUSTOS!$M$28</f>
        <v>1</v>
      </c>
      <c r="S46" s="19">
        <f>1 - CUSTOS!$M$28</f>
        <v>1</v>
      </c>
      <c r="T46" s="19"/>
      <c r="U46" s="19">
        <f>TRANSICAO!$U$46*CUSTOS!$T$3</f>
        <v>81.637600000000006</v>
      </c>
      <c r="V46" s="19">
        <f>TRANSICAO!$V$46*CUSTOS!$T$3</f>
        <v>18.011299999999999</v>
      </c>
      <c r="W46" s="19">
        <f>TRANSICAO!$W$46*CUSTOS!$T$3</f>
        <v>0.46629999999999999</v>
      </c>
      <c r="X46" s="19">
        <f>TRANSICAO!$X$46*CUSTOS!$T$3</f>
        <v>0</v>
      </c>
      <c r="Y46" s="19">
        <f>TRANSICAO!$Y$46*CUSTOS!$T$3</f>
        <v>0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698.65660000000003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CUSTOS!$M$28)*1.3886</f>
        <v>1.3886000000000001</v>
      </c>
      <c r="AI46" s="19">
        <f>(1 - CUSTOS!$M$28)*1.3886</f>
        <v>1.3886000000000001</v>
      </c>
      <c r="AJ46" s="19">
        <f ca="1">$N$83*(1-CUSTOS!$M$28)</f>
        <v>68.090857374471611</v>
      </c>
      <c r="AK46" s="19">
        <f t="shared" ca="1" si="1"/>
        <v>68.090857374471611</v>
      </c>
      <c r="AL46" s="19"/>
      <c r="AM46" s="19"/>
      <c r="AP46" s="19">
        <f>IF((1 - CUSTOS!$M$28)&lt;&gt;0,1/(1 - CUSTOS!$M$28),1)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19">
        <f>1*(1 - CUSTOS!$M$28)</f>
        <v>1</v>
      </c>
      <c r="M47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CUSTOS!$M$28)</f>
        <v>0.93318673150488263</v>
      </c>
      <c r="N47" s="19">
        <f ca="1">(+M47+O47+R47+U47+V47+W47+X47+Y47+Z47+AA47+AC47+AH47+AI47+AJ47+AK47)*CUSTOS!$M$5</f>
        <v>6.2115520148044814</v>
      </c>
      <c r="O47" s="19">
        <f>1 - CUSTOS!$M$28</f>
        <v>1</v>
      </c>
      <c r="P47" s="19">
        <f>1 - CUSTOS!$M$28</f>
        <v>1</v>
      </c>
      <c r="Q47" s="19">
        <f>1*(1 - CUSTOS!$M$28)</f>
        <v>1</v>
      </c>
      <c r="R47" s="19">
        <f>1 - CUSTOS!$M$28</f>
        <v>1</v>
      </c>
      <c r="S47" s="19">
        <f>1 - CUSTOS!$M$28</f>
        <v>1</v>
      </c>
      <c r="T47" s="19"/>
      <c r="U47" s="19">
        <f>TRANSICAO!$U$47*CUSTOS!$T$3</f>
        <v>48.982500000000002</v>
      </c>
      <c r="V47" s="19">
        <f>TRANSICAO!$V$47*CUSTOS!$T$3</f>
        <v>10.806800000000001</v>
      </c>
      <c r="W47" s="19">
        <f>TRANSICAO!$W$47*CUSTOS!$T$3</f>
        <v>0.27979999999999999</v>
      </c>
      <c r="X47" s="19">
        <f>TRANSICAO!$X$47*CUSTOS!$T$3</f>
        <v>0</v>
      </c>
      <c r="Y47" s="19">
        <f>TRANSICAO!$Y$47*CUSTOS!$T$3</f>
        <v>0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419.19400000000002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CUSTOS!$M$28)*1.3886</f>
        <v>1.3886000000000001</v>
      </c>
      <c r="AI47" s="19">
        <f>(1 - CUSTOS!$M$28)*1.3886</f>
        <v>1.3886000000000001</v>
      </c>
      <c r="AJ47" s="19">
        <f ca="1">$N$83*(1-CUSTOS!$M$28)</f>
        <v>68.090857374471611</v>
      </c>
      <c r="AK47" s="19">
        <f t="shared" ca="1" si="1"/>
        <v>68.090857374471611</v>
      </c>
      <c r="AL47" s="19"/>
      <c r="AM47" s="19"/>
      <c r="AP47" s="19">
        <f>IF((1 - CUSTOS!$M$28)&lt;&gt;0,1/(1 - CUSTOS!$M$28),1)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19">
        <f>1*(1 - CUSTOS!$M$28)</f>
        <v>1</v>
      </c>
      <c r="M48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CUSTOS!$M$28)</f>
        <v>0.93318673150488263</v>
      </c>
      <c r="N48" s="19">
        <f ca="1">(+M48+O48+R48+U48+V48+W48+X48+Y48+Z48+AA48+AC48+AH48+AI48+AJ48+AK48)*CUSTOS!$M$5</f>
        <v>3.0164650148044814</v>
      </c>
      <c r="O48" s="19">
        <f>1 - CUSTOS!$M$28</f>
        <v>1</v>
      </c>
      <c r="P48" s="19">
        <f>1 - CUSTOS!$M$28</f>
        <v>1</v>
      </c>
      <c r="Q48" s="19">
        <f>1*(1 - CUSTOS!$M$28)</f>
        <v>1</v>
      </c>
      <c r="R48" s="19">
        <f>1 - CUSTOS!$M$28</f>
        <v>1</v>
      </c>
      <c r="S48" s="19">
        <f>1 - CUSTOS!$M$28</f>
        <v>1</v>
      </c>
      <c r="T48" s="19"/>
      <c r="U48" s="19">
        <f>TRANSICAO!$U$48*CUSTOS!$T$3</f>
        <v>16.327500000000001</v>
      </c>
      <c r="V48" s="19">
        <f>TRANSICAO!$V$48*CUSTOS!$T$3</f>
        <v>3.6023000000000001</v>
      </c>
      <c r="W48" s="19">
        <f>TRANSICAO!$W$48*CUSTOS!$T$3</f>
        <v>9.3299999999999994E-2</v>
      </c>
      <c r="X48" s="19">
        <f>TRANSICAO!$X$48*CUSTOS!$T$3</f>
        <v>0</v>
      </c>
      <c r="Y48" s="19">
        <f>TRANSICAO!$Y$48*CUSTOS!$T$3</f>
        <v>0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139.7313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CUSTOS!$M$28)*1.3886</f>
        <v>1.3886000000000001</v>
      </c>
      <c r="AI48" s="19">
        <f>(1 - CUSTOS!$M$28)*1.3886</f>
        <v>1.3886000000000001</v>
      </c>
      <c r="AJ48" s="19">
        <f ca="1">$N$83*(1-CUSTOS!$M$28)</f>
        <v>68.090857374471611</v>
      </c>
      <c r="AK48" s="19">
        <f t="shared" ca="1" si="1"/>
        <v>68.090857374471611</v>
      </c>
      <c r="AL48" s="19"/>
      <c r="AM48" s="19"/>
      <c r="AP48" s="19">
        <f>IF((1 - CUSTOS!$M$28)&lt;&gt;0,1/(1 - CUSTOS!$M$28),1)</f>
        <v>1</v>
      </c>
    </row>
    <row r="49" spans="1:42" ht="11.25" customHeight="1" x14ac:dyDescent="0.25">
      <c r="A49" s="118"/>
      <c r="B49" s="21" t="s">
        <v>23</v>
      </c>
      <c r="C49" s="21" t="s">
        <v>46</v>
      </c>
      <c r="D49" s="21" t="s">
        <v>25</v>
      </c>
      <c r="E49" s="21" t="s">
        <v>25</v>
      </c>
      <c r="F49" s="21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19">
        <f>1*(1 - CUSTOS!$M$28)</f>
        <v>1</v>
      </c>
      <c r="M49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CUSTOS!$M$28)</f>
        <v>0.93318673150488263</v>
      </c>
      <c r="N49" s="19">
        <f ca="1">(+M49+O49+R49+U49+V49+W49+X49+Y49+Z49+AA49+AC49+AH49+AI49+AJ49+AK49)*CUSTOS!$M$5</f>
        <v>3.8766800148044815</v>
      </c>
      <c r="O49" s="19">
        <f>1 - CUSTOS!$M$28</f>
        <v>1</v>
      </c>
      <c r="P49" s="19">
        <f>1 - CUSTOS!$M$28</f>
        <v>1</v>
      </c>
      <c r="Q49" s="19">
        <f>1*(1 - CUSTOS!$M$28)</f>
        <v>1</v>
      </c>
      <c r="R49" s="19">
        <f>1 - CUSTOS!$M$28</f>
        <v>1</v>
      </c>
      <c r="S49" s="19">
        <f>1 - CUSTOS!$M$28</f>
        <v>1</v>
      </c>
      <c r="T49" s="19"/>
      <c r="U49" s="19">
        <f>TRANSICAO!$U$49*CUSTOS!$T$3</f>
        <v>25.119199999999999</v>
      </c>
      <c r="V49" s="19">
        <f>TRANSICAO!$V$49*CUSTOS!$T$3</f>
        <v>5.5419</v>
      </c>
      <c r="W49" s="19">
        <f>TRANSICAO!$W$49*CUSTOS!$T$3</f>
        <v>0.14349999999999999</v>
      </c>
      <c r="X49" s="19">
        <f>TRANSICAO!$X$49*CUSTOS!$T$3</f>
        <v>0</v>
      </c>
      <c r="Y49" s="19">
        <f>TRANSICAO!$Y$49*CUSTOS!$T$3</f>
        <v>0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214.97130000000001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CUSTOS!$M$28)*1.3886</f>
        <v>1.3886000000000001</v>
      </c>
      <c r="AI49" s="19">
        <f>(1 - CUSTOS!$M$28)*1.3886</f>
        <v>1.3886000000000001</v>
      </c>
      <c r="AJ49" s="19">
        <f ca="1">$N$83*(1-CUSTOS!$M$28)</f>
        <v>68.090857374471611</v>
      </c>
      <c r="AK49" s="19">
        <f t="shared" ca="1" si="1"/>
        <v>68.090857374471611</v>
      </c>
      <c r="AL49" s="19"/>
      <c r="AM49" s="19"/>
      <c r="AP49" s="19">
        <f>IF((1 - CUSTOS!$M$28)&lt;&gt;0,1/(1 - CUSTOS!$M$28),1)</f>
        <v>1</v>
      </c>
    </row>
    <row r="50" spans="1:42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19">
        <f>1*(1 - CUSTOS!$M$29)</f>
        <v>1</v>
      </c>
      <c r="M50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CUSTOS!$M$29)</f>
        <v>0.93318673150488263</v>
      </c>
      <c r="N50" s="19">
        <f ca="1">(+M50+O50+R50+U50+V50+W50+X50+Y50+Z50+AA50+AC50+AH50+AI50+AJ50+AK50)*CUSTOS!$M$5</f>
        <v>9.4066390148044814</v>
      </c>
      <c r="O50" s="19">
        <f>1 - CUSTOS!$M$29</f>
        <v>1</v>
      </c>
      <c r="P50" s="19">
        <f>1 - CUSTOS!$M$29</f>
        <v>1</v>
      </c>
      <c r="Q50" s="19">
        <f>1*(1 - CUSTOS!$M$29)</f>
        <v>1</v>
      </c>
      <c r="R50" s="19">
        <f>1 - CUSTOS!$M$29</f>
        <v>1</v>
      </c>
      <c r="S50" s="19">
        <f>1 - CUSTOS!$M$29</f>
        <v>1</v>
      </c>
      <c r="T50" s="19"/>
      <c r="U50" s="19">
        <f>TRANSICAO!$U$50*CUSTOS!$T$3</f>
        <v>81.637600000000006</v>
      </c>
      <c r="V50" s="19">
        <f>TRANSICAO!$V$50*CUSTOS!$T$3</f>
        <v>18.011299999999999</v>
      </c>
      <c r="W50" s="19">
        <f>TRANSICAO!$W$50*CUSTOS!$T$3</f>
        <v>0.46629999999999999</v>
      </c>
      <c r="X50" s="19">
        <f>TRANSICAO!$X$50*CUSTOS!$T$3</f>
        <v>0</v>
      </c>
      <c r="Y50" s="19">
        <f>TRANSICAO!$Y$50*CUSTOS!$T$3</f>
        <v>0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698.65660000000003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CUSTOS!$M$29)*1.3886</f>
        <v>1.3886000000000001</v>
      </c>
      <c r="AI50" s="19">
        <f>(1 - CUSTOS!$M$29)*1.3886</f>
        <v>1.3886000000000001</v>
      </c>
      <c r="AJ50" s="19">
        <f ca="1">$N$83*(1-CUSTOS!$M$29)</f>
        <v>68.090857374471611</v>
      </c>
      <c r="AK50" s="19">
        <f t="shared" ca="1" si="1"/>
        <v>68.090857374471611</v>
      </c>
      <c r="AL50" s="19"/>
      <c r="AM50" s="19"/>
      <c r="AP50" s="19">
        <f>IF((1 - CUSTOS!$M$29)&lt;&gt;0,1/(1 - CUSTOS!$M$29),1)</f>
        <v>1</v>
      </c>
    </row>
    <row r="51" spans="1:42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19">
        <f>1*(1 - CUSTOS!$M$29)</f>
        <v>1</v>
      </c>
      <c r="M51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CUSTOS!$M$29)</f>
        <v>0.93318673150488263</v>
      </c>
      <c r="N51" s="19">
        <f ca="1">(+M51+O51+R51+U51+V51+W51+X51+Y51+Z51+AA51+AC51+AH51+AI51+AJ51+AK51)*CUSTOS!$M$5</f>
        <v>6.2115520148044814</v>
      </c>
      <c r="O51" s="19">
        <f>1 - CUSTOS!$M$29</f>
        <v>1</v>
      </c>
      <c r="P51" s="19">
        <f>1 - CUSTOS!$M$29</f>
        <v>1</v>
      </c>
      <c r="Q51" s="19">
        <f>1*(1 - CUSTOS!$M$29)</f>
        <v>1</v>
      </c>
      <c r="R51" s="19">
        <f>1 - CUSTOS!$M$29</f>
        <v>1</v>
      </c>
      <c r="S51" s="19">
        <f>1 - CUSTOS!$M$29</f>
        <v>1</v>
      </c>
      <c r="T51" s="19"/>
      <c r="U51" s="19">
        <f>TRANSICAO!$U$51*CUSTOS!$T$3</f>
        <v>48.982500000000002</v>
      </c>
      <c r="V51" s="19">
        <f>TRANSICAO!$V$51*CUSTOS!$T$3</f>
        <v>10.806800000000001</v>
      </c>
      <c r="W51" s="19">
        <f>TRANSICAO!$W$51*CUSTOS!$T$3</f>
        <v>0.27979999999999999</v>
      </c>
      <c r="X51" s="19">
        <f>TRANSICAO!$X$51*CUSTOS!$T$3</f>
        <v>0</v>
      </c>
      <c r="Y51" s="19">
        <f>TRANSICAO!$Y$51*CUSTOS!$T$3</f>
        <v>0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419.19400000000002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CUSTOS!$M$29)*1.3886</f>
        <v>1.3886000000000001</v>
      </c>
      <c r="AI51" s="19">
        <f>(1 - CUSTOS!$M$29)*1.3886</f>
        <v>1.3886000000000001</v>
      </c>
      <c r="AJ51" s="19">
        <f ca="1">$N$83*(1-CUSTOS!$M$29)</f>
        <v>68.090857374471611</v>
      </c>
      <c r="AK51" s="19">
        <f t="shared" ca="1" si="1"/>
        <v>68.090857374471611</v>
      </c>
      <c r="AL51" s="19"/>
      <c r="AM51" s="19"/>
      <c r="AP51" s="19">
        <f>IF((1 - CUSTOS!$M$29)&lt;&gt;0,1/(1 - CUSTOS!$M$29),1)</f>
        <v>1</v>
      </c>
    </row>
    <row r="52" spans="1:42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19">
        <f>1*(1 - CUSTOS!$M$29)</f>
        <v>1</v>
      </c>
      <c r="M52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CUSTOS!$M$29)</f>
        <v>0.93318673150488263</v>
      </c>
      <c r="N52" s="19">
        <f ca="1">(+M52+O52+R52+U52+V52+W52+X52+Y52+Z52+AA52+AC52+AH52+AI52+AJ52+AK52)*CUSTOS!$M$5</f>
        <v>3.0164650148044814</v>
      </c>
      <c r="O52" s="19">
        <f>1 - CUSTOS!$M$29</f>
        <v>1</v>
      </c>
      <c r="P52" s="19">
        <f>1 - CUSTOS!$M$29</f>
        <v>1</v>
      </c>
      <c r="Q52" s="19">
        <f>1*(1 - CUSTOS!$M$29)</f>
        <v>1</v>
      </c>
      <c r="R52" s="19">
        <f>1 - CUSTOS!$M$29</f>
        <v>1</v>
      </c>
      <c r="S52" s="19">
        <f>1 - CUSTOS!$M$29</f>
        <v>1</v>
      </c>
      <c r="T52" s="19"/>
      <c r="U52" s="19">
        <f>TRANSICAO!$U$52*CUSTOS!$T$3</f>
        <v>16.327500000000001</v>
      </c>
      <c r="V52" s="19">
        <f>TRANSICAO!$V$52*CUSTOS!$T$3</f>
        <v>3.6023000000000001</v>
      </c>
      <c r="W52" s="19">
        <f>TRANSICAO!$W$52*CUSTOS!$T$3</f>
        <v>9.3299999999999994E-2</v>
      </c>
      <c r="X52" s="19">
        <f>TRANSICAO!$X$52*CUSTOS!$T$3</f>
        <v>0</v>
      </c>
      <c r="Y52" s="19">
        <f>TRANSICAO!$Y$52*CUSTOS!$T$3</f>
        <v>0</v>
      </c>
      <c r="Z52" s="19">
        <f>TRANSICAO!$Z$52*CUSTOS!$T$3</f>
        <v>0</v>
      </c>
      <c r="AA52" s="19">
        <f>TRANSICAO!$AA$52*CUSTOS!$T$3</f>
        <v>0</v>
      </c>
      <c r="AB52" s="19">
        <f>TRANSICAO!$AB$52*CUSTOS!$T$3</f>
        <v>0</v>
      </c>
      <c r="AC52" s="19">
        <f>TRANSICAO!$AC$52*CUSTOS!$T$3</f>
        <v>139.7313</v>
      </c>
      <c r="AD52" s="19">
        <f>TRANSICAO!$AD$52*CUSTOS!$T$3</f>
        <v>0</v>
      </c>
      <c r="AE52" s="19">
        <v>0</v>
      </c>
      <c r="AF52" s="19">
        <v>0</v>
      </c>
      <c r="AG52" s="19"/>
      <c r="AH52" s="19">
        <f>(1 - CUSTOS!$M$29)*1.3886</f>
        <v>1.3886000000000001</v>
      </c>
      <c r="AI52" s="19">
        <f>(1 - CUSTOS!$M$29)*1.3886</f>
        <v>1.3886000000000001</v>
      </c>
      <c r="AJ52" s="19">
        <f ca="1">$N$83*(1-CUSTOS!$M$29)</f>
        <v>68.090857374471611</v>
      </c>
      <c r="AK52" s="19">
        <f t="shared" ca="1" si="1"/>
        <v>68.090857374471611</v>
      </c>
      <c r="AL52" s="19"/>
      <c r="AM52" s="19"/>
      <c r="AP52" s="19">
        <f>IF((1 - CUSTOS!$M$29)&lt;&gt;0,1/(1 - CUSTOS!$M$29),1)</f>
        <v>1</v>
      </c>
    </row>
    <row r="53" spans="1:42" ht="11.25" customHeight="1" x14ac:dyDescent="0.25">
      <c r="A53" s="118"/>
      <c r="B53" s="21" t="s">
        <v>23</v>
      </c>
      <c r="C53" s="21" t="s">
        <v>46</v>
      </c>
      <c r="D53" s="21" t="s">
        <v>93</v>
      </c>
      <c r="E53" s="21" t="s">
        <v>25</v>
      </c>
      <c r="F53" s="21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19">
        <f>1*(1 - CUSTOS!$M$29)</f>
        <v>1</v>
      </c>
      <c r="M53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CUSTOS!$M$29)</f>
        <v>0.93318673150488263</v>
      </c>
      <c r="N53" s="19">
        <f ca="1">(+M53+O53+R53+U53+V53+W53+X53+Y53+Z53+AA53+AC53+AH53+AI53+AJ53+AK53)*CUSTOS!$M$5</f>
        <v>3.8766800148044815</v>
      </c>
      <c r="O53" s="19">
        <f>1 - CUSTOS!$M$29</f>
        <v>1</v>
      </c>
      <c r="P53" s="19">
        <f>1 - CUSTOS!$M$29</f>
        <v>1</v>
      </c>
      <c r="Q53" s="19">
        <f>1*(1 - CUSTOS!$M$29)</f>
        <v>1</v>
      </c>
      <c r="R53" s="19">
        <f>1 - CUSTOS!$M$29</f>
        <v>1</v>
      </c>
      <c r="S53" s="19">
        <f>1 - CUSTOS!$M$29</f>
        <v>1</v>
      </c>
      <c r="T53" s="19"/>
      <c r="U53" s="19">
        <f>TRANSICAO!$U$53*CUSTOS!$T$3</f>
        <v>25.119199999999999</v>
      </c>
      <c r="V53" s="19">
        <f>TRANSICAO!$V$53*CUSTOS!$T$3</f>
        <v>5.5419</v>
      </c>
      <c r="W53" s="19">
        <f>TRANSICAO!$W$53*CUSTOS!$T$3</f>
        <v>0.14349999999999999</v>
      </c>
      <c r="X53" s="19">
        <f>TRANSICAO!$X$53*CUSTOS!$T$3</f>
        <v>0</v>
      </c>
      <c r="Y53" s="19">
        <f>TRANSICAO!$Y$53*CUSTOS!$T$3</f>
        <v>0</v>
      </c>
      <c r="Z53" s="19">
        <f>TRANSICAO!$Z$53*CUSTOS!$T$3</f>
        <v>0</v>
      </c>
      <c r="AA53" s="19">
        <f>TRANSICAO!$AA$53*CUSTOS!$T$3</f>
        <v>0</v>
      </c>
      <c r="AB53" s="19">
        <f>TRANSICAO!$AB$53*CUSTOS!$T$3</f>
        <v>0</v>
      </c>
      <c r="AC53" s="19">
        <f>TRANSICAO!$AC$53*CUSTOS!$T$3</f>
        <v>214.97130000000001</v>
      </c>
      <c r="AD53" s="19">
        <f>TRANSICAO!$AD$53*CUSTOS!$T$3</f>
        <v>0</v>
      </c>
      <c r="AE53" s="19">
        <v>0</v>
      </c>
      <c r="AF53" s="19">
        <v>0</v>
      </c>
      <c r="AG53" s="19"/>
      <c r="AH53" s="19">
        <f>(1 - CUSTOS!$M$29)*1.3886</f>
        <v>1.3886000000000001</v>
      </c>
      <c r="AI53" s="19">
        <f>(1 - CUSTOS!$M$29)*1.3886</f>
        <v>1.3886000000000001</v>
      </c>
      <c r="AJ53" s="19">
        <f ca="1">$N$83*(1-CUSTOS!$M$29)</f>
        <v>68.090857374471611</v>
      </c>
      <c r="AK53" s="19">
        <f t="shared" ca="1" si="1"/>
        <v>68.090857374471611</v>
      </c>
      <c r="AL53" s="19"/>
      <c r="AM53" s="19"/>
      <c r="AP53" s="19">
        <f>IF((1 - CUSTOS!$M$29)&lt;&gt;0,1/(1 - CUSTOS!$M$29),1)</f>
        <v>1</v>
      </c>
    </row>
    <row r="54" spans="1:42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19">
        <f>1*(1 - CUSTOS!$M$30)</f>
        <v>1</v>
      </c>
      <c r="M54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CUSTOS!$M$30)</f>
        <v>0.93318673150488263</v>
      </c>
      <c r="N54" s="19">
        <f ca="1">(+M54+O54+R54+U54+V54+W54+X54+Y54+Z54+AA54+AC54+AH54+AI54+AJ54+AK54)*CUSTOS!$M$5</f>
        <v>9.4066390148044814</v>
      </c>
      <c r="O54" s="19">
        <f>1 - CUSTOS!$M$30</f>
        <v>1</v>
      </c>
      <c r="P54" s="19">
        <f>1 - CUSTOS!$M$30</f>
        <v>1</v>
      </c>
      <c r="Q54" s="19">
        <f>1*(1 - CUSTOS!$M$30)</f>
        <v>1</v>
      </c>
      <c r="R54" s="19">
        <f>1 - CUSTOS!$M$30</f>
        <v>1</v>
      </c>
      <c r="S54" s="19">
        <f>1 - CUSTOS!$M$30</f>
        <v>1</v>
      </c>
      <c r="T54" s="19"/>
      <c r="U54" s="19">
        <f>TRANSICAO!$U$54*CUSTOS!$T$3</f>
        <v>81.637600000000006</v>
      </c>
      <c r="V54" s="19">
        <f>TRANSICAO!$V$54*CUSTOS!$T$3</f>
        <v>18.011299999999999</v>
      </c>
      <c r="W54" s="19">
        <f>TRANSICAO!$W$54*CUSTOS!$T$3</f>
        <v>0.46629999999999999</v>
      </c>
      <c r="X54" s="19">
        <f>TRANSICAO!$X$54*CUSTOS!$T$3</f>
        <v>0</v>
      </c>
      <c r="Y54" s="19">
        <f>TRANSICAO!$Y$54*CUSTOS!$T$3</f>
        <v>0</v>
      </c>
      <c r="Z54" s="19">
        <f>TRANSICAO!$Z$54*CUSTOS!$T$3</f>
        <v>0</v>
      </c>
      <c r="AA54" s="19">
        <f>TRANSICAO!$AA$54*CUSTOS!$T$3</f>
        <v>0</v>
      </c>
      <c r="AB54" s="19">
        <f>TRANSICAO!$AB$54*CUSTOS!$T$3</f>
        <v>0</v>
      </c>
      <c r="AC54" s="19">
        <f>TRANSICAO!$AC$54*CUSTOS!$T$3</f>
        <v>698.65660000000003</v>
      </c>
      <c r="AD54" s="19">
        <f>TRANSICAO!$AD$54*CUSTOS!$T$3</f>
        <v>0</v>
      </c>
      <c r="AE54" s="19">
        <v>0</v>
      </c>
      <c r="AF54" s="19">
        <v>0</v>
      </c>
      <c r="AG54" s="19"/>
      <c r="AH54" s="19">
        <f>(1 - CUSTOS!$M$30)*1.3886</f>
        <v>1.3886000000000001</v>
      </c>
      <c r="AI54" s="19">
        <f>(1 - CUSTOS!$M$30)*1.3886</f>
        <v>1.3886000000000001</v>
      </c>
      <c r="AJ54" s="19">
        <f ca="1">$N$83*(1-CUSTOS!$M$30)</f>
        <v>68.090857374471611</v>
      </c>
      <c r="AK54" s="19">
        <f t="shared" ca="1" si="1"/>
        <v>68.090857374471611</v>
      </c>
      <c r="AL54" s="19"/>
      <c r="AM54" s="19"/>
      <c r="AP54" s="19">
        <f>IF((1 - CUSTOS!$M$30)&lt;&gt;0,1/(1 - CUSTOS!$M$30),1)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19">
        <f>1*(1 - CUSTOS!$M$30)</f>
        <v>1</v>
      </c>
      <c r="M55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CUSTOS!$M$30)</f>
        <v>0.93318673150488263</v>
      </c>
      <c r="N55" s="19">
        <f ca="1">(+M55+O55+R55+U55+V55+W55+X55+Y55+Z55+AA55+AC55+AH55+AI55+AJ55+AK55)*CUSTOS!$M$5</f>
        <v>6.2115520148044814</v>
      </c>
      <c r="O55" s="19">
        <f>1 - CUSTOS!$M$30</f>
        <v>1</v>
      </c>
      <c r="P55" s="19">
        <f>1 - CUSTOS!$M$30</f>
        <v>1</v>
      </c>
      <c r="Q55" s="19">
        <f>1*(1 - CUSTOS!$M$30)</f>
        <v>1</v>
      </c>
      <c r="R55" s="19">
        <f>1 - CUSTOS!$M$30</f>
        <v>1</v>
      </c>
      <c r="S55" s="19">
        <f>1 - CUSTOS!$M$30</f>
        <v>1</v>
      </c>
      <c r="T55" s="19"/>
      <c r="U55" s="19">
        <f>TRANSICAO!$U$55*CUSTOS!$T$3</f>
        <v>48.982500000000002</v>
      </c>
      <c r="V55" s="19">
        <f>TRANSICAO!$V$55*CUSTOS!$T$3</f>
        <v>10.806800000000001</v>
      </c>
      <c r="W55" s="19">
        <f>TRANSICAO!$W$55*CUSTOS!$T$3</f>
        <v>0.27979999999999999</v>
      </c>
      <c r="X55" s="19">
        <f>TRANSICAO!$X$55*CUSTOS!$T$3</f>
        <v>0</v>
      </c>
      <c r="Y55" s="19">
        <f>TRANSICAO!$Y$55*CUSTOS!$T$3</f>
        <v>0</v>
      </c>
      <c r="Z55" s="19">
        <f>TRANSICAO!$Z$55*CUSTOS!$T$3</f>
        <v>0</v>
      </c>
      <c r="AA55" s="19">
        <f>TRANSICAO!$AA$55*CUSTOS!$T$3</f>
        <v>0</v>
      </c>
      <c r="AB55" s="19">
        <f>TRANSICAO!$AB$55*CUSTOS!$T$3</f>
        <v>0</v>
      </c>
      <c r="AC55" s="19">
        <f>TRANSICAO!$AC$55*CUSTOS!$T$3</f>
        <v>419.19400000000002</v>
      </c>
      <c r="AD55" s="19">
        <f>TRANSICAO!$AD$55*CUSTOS!$T$3</f>
        <v>0</v>
      </c>
      <c r="AE55" s="19">
        <v>0</v>
      </c>
      <c r="AF55" s="19">
        <v>0</v>
      </c>
      <c r="AG55" s="19"/>
      <c r="AH55" s="19">
        <f>(1 - CUSTOS!$M$30)*1.3886</f>
        <v>1.3886000000000001</v>
      </c>
      <c r="AI55" s="19">
        <f>(1 - CUSTOS!$M$30)*1.3886</f>
        <v>1.3886000000000001</v>
      </c>
      <c r="AJ55" s="19">
        <f ca="1">$N$83*(1-CUSTOS!$M$30)</f>
        <v>68.090857374471611</v>
      </c>
      <c r="AK55" s="19">
        <f t="shared" ca="1" si="1"/>
        <v>68.090857374471611</v>
      </c>
      <c r="AL55" s="19"/>
      <c r="AM55" s="19"/>
      <c r="AP55" s="19">
        <f>IF((1 - CUSTOS!$M$30)&lt;&gt;0,1/(1 - CUSTOS!$M$30),1)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19">
        <f>1*(1 - CUSTOS!$M$30)</f>
        <v>1</v>
      </c>
      <c r="M56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CUSTOS!$M$30)</f>
        <v>0.93318673150488263</v>
      </c>
      <c r="N56" s="19">
        <f ca="1">(+M56+O56+R56+U56+V56+W56+X56+Y56+Z56+AA56+AC56+AH56+AI56+AJ56+AK56)*CUSTOS!$M$5</f>
        <v>3.0164650148044814</v>
      </c>
      <c r="O56" s="19">
        <f>1 - CUSTOS!$M$30</f>
        <v>1</v>
      </c>
      <c r="P56" s="19">
        <f>1 - CUSTOS!$M$30</f>
        <v>1</v>
      </c>
      <c r="Q56" s="19">
        <f>1*(1 - CUSTOS!$M$30)</f>
        <v>1</v>
      </c>
      <c r="R56" s="19">
        <f>1 - CUSTOS!$M$30</f>
        <v>1</v>
      </c>
      <c r="S56" s="19">
        <f>1 - CUSTOS!$M$30</f>
        <v>1</v>
      </c>
      <c r="T56" s="19"/>
      <c r="U56" s="19">
        <f>TRANSICAO!$U$56*CUSTOS!$T$3</f>
        <v>16.327500000000001</v>
      </c>
      <c r="V56" s="19">
        <f>TRANSICAO!$V$56*CUSTOS!$T$3</f>
        <v>3.6023000000000001</v>
      </c>
      <c r="W56" s="19">
        <f>TRANSICAO!$W$56*CUSTOS!$T$3</f>
        <v>9.3299999999999994E-2</v>
      </c>
      <c r="X56" s="19">
        <f>TRANSICAO!$X$56*CUSTOS!$T$3</f>
        <v>0</v>
      </c>
      <c r="Y56" s="19">
        <f>TRANSICAO!$Y$56*CUSTOS!$T$3</f>
        <v>0</v>
      </c>
      <c r="Z56" s="19">
        <f>TRANSICAO!$Z$56*CUSTOS!$T$3</f>
        <v>0</v>
      </c>
      <c r="AA56" s="19">
        <f>TRANSICAO!$AA$56*CUSTOS!$T$3</f>
        <v>0</v>
      </c>
      <c r="AB56" s="19">
        <f>TRANSICAO!$AB$56*CUSTOS!$T$3</f>
        <v>0</v>
      </c>
      <c r="AC56" s="19">
        <f>TRANSICAO!$AC$56*CUSTOS!$T$3</f>
        <v>139.7313</v>
      </c>
      <c r="AD56" s="19">
        <f>TRANSICAO!$AD$56*CUSTOS!$T$3</f>
        <v>0</v>
      </c>
      <c r="AE56" s="19">
        <v>0</v>
      </c>
      <c r="AF56" s="19">
        <v>0</v>
      </c>
      <c r="AG56" s="19"/>
      <c r="AH56" s="19">
        <f>(1 - CUSTOS!$M$30)*1.3886</f>
        <v>1.3886000000000001</v>
      </c>
      <c r="AI56" s="19">
        <f>(1 - CUSTOS!$M$30)*1.3886</f>
        <v>1.3886000000000001</v>
      </c>
      <c r="AJ56" s="19">
        <f ca="1">$N$83*(1-CUSTOS!$M$30)</f>
        <v>68.090857374471611</v>
      </c>
      <c r="AK56" s="19">
        <f t="shared" ca="1" si="1"/>
        <v>68.090857374471611</v>
      </c>
      <c r="AL56" s="19"/>
      <c r="AM56" s="19"/>
      <c r="AP56" s="19">
        <f>IF((1 - CUSTOS!$M$30)&lt;&gt;0,1/(1 - CUSTOS!$M$30),1)</f>
        <v>1</v>
      </c>
    </row>
    <row r="57" spans="1:42" ht="11.25" customHeight="1" x14ac:dyDescent="0.25">
      <c r="A57" s="118"/>
      <c r="B57" s="21" t="s">
        <v>23</v>
      </c>
      <c r="C57" s="21" t="s">
        <v>46</v>
      </c>
      <c r="D57" s="21" t="s">
        <v>94</v>
      </c>
      <c r="E57" s="21" t="s">
        <v>25</v>
      </c>
      <c r="F57" s="21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19">
        <f>1*(1 - CUSTOS!$M$30)</f>
        <v>1</v>
      </c>
      <c r="M57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CUSTOS!$M$30)</f>
        <v>0.93318673150488263</v>
      </c>
      <c r="N57" s="19">
        <f ca="1">(+M57+O57+R57+U57+V57+W57+X57+Y57+Z57+AA57+AC57+AH57+AI57+AJ57+AK57)*CUSTOS!$M$5</f>
        <v>3.8766800148044815</v>
      </c>
      <c r="O57" s="19">
        <f>1 - CUSTOS!$M$30</f>
        <v>1</v>
      </c>
      <c r="P57" s="19">
        <f>1 - CUSTOS!$M$30</f>
        <v>1</v>
      </c>
      <c r="Q57" s="19">
        <f>1*(1 - CUSTOS!$M$30)</f>
        <v>1</v>
      </c>
      <c r="R57" s="19">
        <f>1 - CUSTOS!$M$30</f>
        <v>1</v>
      </c>
      <c r="S57" s="19">
        <f>1 - CUSTOS!$M$30</f>
        <v>1</v>
      </c>
      <c r="T57" s="19"/>
      <c r="U57" s="19">
        <f>TRANSICAO!$U$57*CUSTOS!$T$3</f>
        <v>25.119199999999999</v>
      </c>
      <c r="V57" s="19">
        <f>TRANSICAO!$V$57*CUSTOS!$T$3</f>
        <v>5.5419</v>
      </c>
      <c r="W57" s="19">
        <f>TRANSICAO!$W$57*CUSTOS!$T$3</f>
        <v>0.14349999999999999</v>
      </c>
      <c r="X57" s="19">
        <f>TRANSICAO!$X$57*CUSTOS!$T$3</f>
        <v>0</v>
      </c>
      <c r="Y57" s="19">
        <f>TRANSICAO!$Y$57*CUSTOS!$T$3</f>
        <v>0</v>
      </c>
      <c r="Z57" s="19">
        <f>TRANSICAO!$Z$57*CUSTOS!$T$3</f>
        <v>0</v>
      </c>
      <c r="AA57" s="19">
        <f>TRANSICAO!$AA$57*CUSTOS!$T$3</f>
        <v>0</v>
      </c>
      <c r="AB57" s="19">
        <f>TRANSICAO!$AB$57*CUSTOS!$T$3</f>
        <v>0</v>
      </c>
      <c r="AC57" s="19">
        <f>TRANSICAO!$AC$57*CUSTOS!$T$3</f>
        <v>214.97130000000001</v>
      </c>
      <c r="AD57" s="19">
        <f>TRANSICAO!$AD$57*CUSTOS!$T$3</f>
        <v>0</v>
      </c>
      <c r="AE57" s="19">
        <v>0</v>
      </c>
      <c r="AF57" s="19">
        <v>0</v>
      </c>
      <c r="AG57" s="19"/>
      <c r="AH57" s="19">
        <f>(1 - CUSTOS!$M$30)*1.3886</f>
        <v>1.3886000000000001</v>
      </c>
      <c r="AI57" s="19">
        <f>(1 - CUSTOS!$M$30)*1.3886</f>
        <v>1.3886000000000001</v>
      </c>
      <c r="AJ57" s="19">
        <f ca="1">$N$83*(1-CUSTOS!$M$30)</f>
        <v>68.090857374471611</v>
      </c>
      <c r="AK57" s="19">
        <f t="shared" ca="1" si="1"/>
        <v>68.090857374471611</v>
      </c>
      <c r="AL57" s="19"/>
      <c r="AM57" s="19"/>
      <c r="AP57" s="19">
        <f>IF((1 - CUSTOS!$M$30)&lt;&gt;0,1/(1 - CUSTOS!$M$30),1)</f>
        <v>1</v>
      </c>
    </row>
    <row r="58" spans="1:42" ht="11.25" customHeight="1" x14ac:dyDescent="0.25">
      <c r="A58" s="118"/>
      <c r="B58" s="118" t="s">
        <v>92</v>
      </c>
      <c r="C58" s="118" t="s">
        <v>46</v>
      </c>
      <c r="D58" s="21" t="s">
        <v>25</v>
      </c>
      <c r="E58" s="21" t="s">
        <v>25</v>
      </c>
      <c r="F58" s="21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19">
        <f>1*(1 - CUSTOS!$M$28)</f>
        <v>1</v>
      </c>
      <c r="M58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CUSTOS!$M$28)</f>
        <v>0.93318673150488263</v>
      </c>
      <c r="N58" s="19">
        <f ca="1">(+M58+O58+R58+U58+V58+W58+X58+Y58+Z58+AA58+AC58+AH58+AI58+AJ58+AK58)*CUSTOS!$M$5</f>
        <v>3.8766800148044815</v>
      </c>
      <c r="O58" s="19">
        <f>1 - CUSTOS!$M$28</f>
        <v>1</v>
      </c>
      <c r="P58" s="19">
        <f>1 - CUSTOS!$M$28</f>
        <v>1</v>
      </c>
      <c r="Q58" s="19">
        <f>1*(1 - CUSTOS!$M$28)</f>
        <v>1</v>
      </c>
      <c r="R58" s="19">
        <f>1 - CUSTOS!$M$28</f>
        <v>1</v>
      </c>
      <c r="S58" s="19">
        <f>1 - CUSTOS!$M$28</f>
        <v>1</v>
      </c>
      <c r="T58" s="19"/>
      <c r="U58" s="19">
        <f>TRANSICAO!$U$58*CUSTOS!$T$3</f>
        <v>25.119199999999999</v>
      </c>
      <c r="V58" s="19">
        <f>TRANSICAO!$V$58*CUSTOS!$T$3</f>
        <v>5.5419</v>
      </c>
      <c r="W58" s="19">
        <f>TRANSICAO!$W$58*CUSTOS!$T$3</f>
        <v>0.14349999999999999</v>
      </c>
      <c r="X58" s="19">
        <f>TRANSICAO!$X$58*CUSTOS!$T$3</f>
        <v>0</v>
      </c>
      <c r="Y58" s="19">
        <f>TRANSICAO!$Y$58*CUSTOS!$T$3</f>
        <v>0</v>
      </c>
      <c r="Z58" s="19">
        <f>TRANSICAO!$Z$58*CUSTOS!$T$3</f>
        <v>0</v>
      </c>
      <c r="AA58" s="19">
        <f>TRANSICAO!$AA$58*CUSTOS!$T$3</f>
        <v>0</v>
      </c>
      <c r="AB58" s="19">
        <f>TRANSICAO!$AB$58*CUSTOS!$T$3</f>
        <v>0</v>
      </c>
      <c r="AC58" s="19">
        <f>TRANSICAO!$AC$58*CUSTOS!$T$3</f>
        <v>214.97130000000001</v>
      </c>
      <c r="AD58" s="19">
        <f>TRANSICAO!$AD$58*CUSTOS!$T$3</f>
        <v>0</v>
      </c>
      <c r="AE58" s="19">
        <v>0</v>
      </c>
      <c r="AF58" s="19">
        <v>0</v>
      </c>
      <c r="AG58" s="19"/>
      <c r="AH58" s="19">
        <f>(1 - CUSTOS!$M$28)*1.3886</f>
        <v>1.3886000000000001</v>
      </c>
      <c r="AI58" s="19">
        <f>(1 - CUSTOS!$M$28)*1.3886</f>
        <v>1.3886000000000001</v>
      </c>
      <c r="AJ58" s="19">
        <f ca="1">$N$83*(1-CUSTOS!$M$28)</f>
        <v>68.090857374471611</v>
      </c>
      <c r="AK58" s="19">
        <f t="shared" ca="1" si="1"/>
        <v>68.090857374471611</v>
      </c>
      <c r="AL58" s="19"/>
      <c r="AM58" s="19"/>
      <c r="AP58" s="19">
        <f>IF((1 - CUSTOS!$M$28)&lt;&gt;0,1/(1 - CUSTOS!$M$28),1)</f>
        <v>1</v>
      </c>
    </row>
    <row r="59" spans="1:42" ht="11.25" customHeight="1" x14ac:dyDescent="0.25">
      <c r="A59" s="118"/>
      <c r="B59" s="118"/>
      <c r="C59" s="118"/>
      <c r="D59" s="21" t="s">
        <v>93</v>
      </c>
      <c r="E59" s="21" t="s">
        <v>25</v>
      </c>
      <c r="F59" s="21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19">
        <f>1*(1 - CUSTOS!$M$29)</f>
        <v>1</v>
      </c>
      <c r="M59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CUSTOS!$M$29)</f>
        <v>0.93318673150488263</v>
      </c>
      <c r="N59" s="19">
        <f ca="1">(+M59+O59+R59+U59+V59+W59+X59+Y59+Z59+AA59+AC59+AH59+AI59+AJ59+AK59)*CUSTOS!$M$5</f>
        <v>3.8766800148044815</v>
      </c>
      <c r="O59" s="19">
        <f>1 - CUSTOS!$M$29</f>
        <v>1</v>
      </c>
      <c r="P59" s="19">
        <f>1 - CUSTOS!$M$29</f>
        <v>1</v>
      </c>
      <c r="Q59" s="19">
        <f>1*(1 - CUSTOS!$M$29)</f>
        <v>1</v>
      </c>
      <c r="R59" s="19">
        <f>1 - CUSTOS!$M$29</f>
        <v>1</v>
      </c>
      <c r="S59" s="19">
        <f>1 - CUSTOS!$M$29</f>
        <v>1</v>
      </c>
      <c r="T59" s="19"/>
      <c r="U59" s="19">
        <f>TRANSICAO!$U$59*CUSTOS!$T$3</f>
        <v>25.119199999999999</v>
      </c>
      <c r="V59" s="19">
        <f>TRANSICAO!$V$59*CUSTOS!$T$3</f>
        <v>5.5419</v>
      </c>
      <c r="W59" s="19">
        <f>TRANSICAO!$W$59*CUSTOS!$T$3</f>
        <v>0.14349999999999999</v>
      </c>
      <c r="X59" s="19">
        <f>TRANSICAO!$X$59*CUSTOS!$T$3</f>
        <v>0</v>
      </c>
      <c r="Y59" s="19">
        <f>TRANSICAO!$Y$59*CUSTOS!$T$3</f>
        <v>0</v>
      </c>
      <c r="Z59" s="19">
        <f>TRANSICAO!$Z$59*CUSTOS!$T$3</f>
        <v>0</v>
      </c>
      <c r="AA59" s="19">
        <f>TRANSICAO!$AA$59*CUSTOS!$T$3</f>
        <v>0</v>
      </c>
      <c r="AB59" s="19">
        <f>TRANSICAO!$AB$59*CUSTOS!$T$3</f>
        <v>0</v>
      </c>
      <c r="AC59" s="19">
        <f>TRANSICAO!$AC$59*CUSTOS!$T$3</f>
        <v>214.97130000000001</v>
      </c>
      <c r="AD59" s="19">
        <f>TRANSICAO!$AD$59*CUSTOS!$T$3</f>
        <v>0</v>
      </c>
      <c r="AE59" s="19">
        <v>0</v>
      </c>
      <c r="AF59" s="19">
        <v>0</v>
      </c>
      <c r="AG59" s="19"/>
      <c r="AH59" s="19">
        <f>(1 - CUSTOS!$M$29)*1.3886</f>
        <v>1.3886000000000001</v>
      </c>
      <c r="AI59" s="19">
        <f>(1 - CUSTOS!$M$29)*1.3886</f>
        <v>1.3886000000000001</v>
      </c>
      <c r="AJ59" s="19">
        <f ca="1">$N$83*(1-CUSTOS!$M$29)</f>
        <v>68.090857374471611</v>
      </c>
      <c r="AK59" s="19">
        <f t="shared" ca="1" si="1"/>
        <v>68.090857374471611</v>
      </c>
      <c r="AL59" s="19"/>
      <c r="AM59" s="19"/>
      <c r="AP59" s="19">
        <f>IF((1 - CUSTOS!$M$29)&lt;&gt;0,1/(1 - CUSTOS!$M$29),1)</f>
        <v>1</v>
      </c>
    </row>
    <row r="60" spans="1:42" ht="11.25" customHeight="1" x14ac:dyDescent="0.25">
      <c r="A60" s="118"/>
      <c r="B60" s="118"/>
      <c r="C60" s="118"/>
      <c r="D60" s="21" t="s">
        <v>94</v>
      </c>
      <c r="E60" s="21" t="s">
        <v>25</v>
      </c>
      <c r="F60" s="21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19">
        <f>1*(1 - CUSTOS!$M$30)</f>
        <v>1</v>
      </c>
      <c r="M60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CUSTOS!$M$30)</f>
        <v>0.93318673150488263</v>
      </c>
      <c r="N60" s="19">
        <f ca="1">(+M60+O60+R60+U60+V60+W60+X60+Y60+Z60+AA60+AC60+AH60+AI60+AJ60+AK60)*CUSTOS!$M$5</f>
        <v>3.8766800148044815</v>
      </c>
      <c r="O60" s="19">
        <f>1 - CUSTOS!$M$30</f>
        <v>1</v>
      </c>
      <c r="P60" s="19">
        <f>1 - CUSTOS!$M$30</f>
        <v>1</v>
      </c>
      <c r="Q60" s="19">
        <f>1*(1 - CUSTOS!$M$30)</f>
        <v>1</v>
      </c>
      <c r="R60" s="19">
        <f>1 - CUSTOS!$M$30</f>
        <v>1</v>
      </c>
      <c r="S60" s="19">
        <f>1 - CUSTOS!$M$30</f>
        <v>1</v>
      </c>
      <c r="T60" s="19"/>
      <c r="U60" s="19">
        <f>TRANSICAO!$U$60*CUSTOS!$T$3</f>
        <v>25.119199999999999</v>
      </c>
      <c r="V60" s="19">
        <f>TRANSICAO!$V$60*CUSTOS!$T$3</f>
        <v>5.5419</v>
      </c>
      <c r="W60" s="19">
        <f>TRANSICAO!$W$60*CUSTOS!$T$3</f>
        <v>0.14349999999999999</v>
      </c>
      <c r="X60" s="19">
        <f>TRANSICAO!$X$60*CUSTOS!$T$3</f>
        <v>0</v>
      </c>
      <c r="Y60" s="19">
        <f>TRANSICAO!$Y$60*CUSTOS!$T$3</f>
        <v>0</v>
      </c>
      <c r="Z60" s="19">
        <f>TRANSICAO!$Z$60*CUSTOS!$T$3</f>
        <v>0</v>
      </c>
      <c r="AA60" s="19">
        <f>TRANSICAO!$AA$60*CUSTOS!$T$3</f>
        <v>0</v>
      </c>
      <c r="AB60" s="19">
        <f>TRANSICAO!$AB$60*CUSTOS!$T$3</f>
        <v>0</v>
      </c>
      <c r="AC60" s="19">
        <f>TRANSICAO!$AC$60*CUSTOS!$T$3</f>
        <v>214.97130000000001</v>
      </c>
      <c r="AD60" s="19">
        <f>TRANSICAO!$AD$60*CUSTOS!$T$3</f>
        <v>0</v>
      </c>
      <c r="AE60" s="19">
        <v>0</v>
      </c>
      <c r="AF60" s="19">
        <v>0</v>
      </c>
      <c r="AG60" s="19"/>
      <c r="AH60" s="19">
        <f>(1 - CUSTOS!$M$30)*1.3886</f>
        <v>1.3886000000000001</v>
      </c>
      <c r="AI60" s="19">
        <f>(1 - CUSTOS!$M$30)*1.3886</f>
        <v>1.3886000000000001</v>
      </c>
      <c r="AJ60" s="19">
        <f ca="1">$N$83*(1-CUSTOS!$M$30)</f>
        <v>68.090857374471611</v>
      </c>
      <c r="AK60" s="19">
        <f t="shared" ca="1" si="1"/>
        <v>68.090857374471611</v>
      </c>
      <c r="AL60" s="19"/>
      <c r="AM60" s="19"/>
      <c r="AP60" s="19">
        <f>IF((1 - CUSTOS!$M$30)&lt;&gt;0,1/(1 - CUSTOS!$M$30),1)</f>
        <v>1</v>
      </c>
    </row>
    <row r="61" spans="1:42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19">
        <f>1*(1 - CUSTOS!$M$31)</f>
        <v>1</v>
      </c>
      <c r="M61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CUSTOS!$M$31)</f>
        <v>0.93318673150488263</v>
      </c>
      <c r="N61" s="19">
        <f ca="1">(+M61+O61+R61+U61+V61+W61+X61+Y61+Z61+AA61+AC61+AH61+AI61+AJ61+AK61)*CUSTOS!$M$5</f>
        <v>9.4066390148044814</v>
      </c>
      <c r="O61" s="19">
        <f>1 - CUSTOS!$M$31</f>
        <v>1</v>
      </c>
      <c r="P61" s="19">
        <f>1 - CUSTOS!$M$31</f>
        <v>1</v>
      </c>
      <c r="Q61" s="19">
        <f>1*(1 - CUSTOS!$M$31)</f>
        <v>1</v>
      </c>
      <c r="R61" s="19">
        <f>1 - CUSTOS!$M$31</f>
        <v>1</v>
      </c>
      <c r="S61" s="19">
        <f>1 - CUSTOS!$M$31</f>
        <v>1</v>
      </c>
      <c r="T61" s="19"/>
      <c r="U61" s="19">
        <f>TRANSICAO!$U$61*CUSTOS!$T$3</f>
        <v>81.637600000000006</v>
      </c>
      <c r="V61" s="19">
        <f>TRANSICAO!$V$61*CUSTOS!$T$3</f>
        <v>18.011299999999999</v>
      </c>
      <c r="W61" s="19">
        <f>TRANSICAO!$W$61*CUSTOS!$T$3</f>
        <v>0.46629999999999999</v>
      </c>
      <c r="X61" s="19">
        <f>TRANSICAO!$X$61*CUSTOS!$T$3</f>
        <v>0</v>
      </c>
      <c r="Y61" s="19">
        <f>TRANSICAO!$Y$61*CUSTOS!$T$3</f>
        <v>0</v>
      </c>
      <c r="Z61" s="19">
        <f>TRANSICAO!$Z$61*CUSTOS!$T$3</f>
        <v>0</v>
      </c>
      <c r="AA61" s="19">
        <f>TRANSICAO!$AA$61*CUSTOS!$T$3</f>
        <v>0</v>
      </c>
      <c r="AB61" s="19">
        <f>TRANSICAO!$AB$61*CUSTOS!$T$3</f>
        <v>0</v>
      </c>
      <c r="AC61" s="19">
        <f>TRANSICAO!$AC$61*CUSTOS!$T$3</f>
        <v>698.65660000000003</v>
      </c>
      <c r="AD61" s="19">
        <f>TRANSICAO!$AD$61*CUSTOS!$T$3</f>
        <v>0</v>
      </c>
      <c r="AE61" s="19">
        <v>0</v>
      </c>
      <c r="AF61" s="19">
        <v>0</v>
      </c>
      <c r="AG61" s="19"/>
      <c r="AH61" s="19">
        <f>(1 - CUSTOS!$M$31)*1.3886</f>
        <v>1.3886000000000001</v>
      </c>
      <c r="AI61" s="19">
        <f>(1 - CUSTOS!$M$31)*1.3886</f>
        <v>1.3886000000000001</v>
      </c>
      <c r="AJ61" s="19">
        <f ca="1">$N$83*(1-CUSTOS!$M$31)</f>
        <v>68.090857374471611</v>
      </c>
      <c r="AK61" s="19">
        <f t="shared" ca="1" si="1"/>
        <v>68.090857374471611</v>
      </c>
      <c r="AL61" s="19"/>
      <c r="AM61" s="19"/>
      <c r="AP61" s="19">
        <f>IF((1 - CUSTOS!$M$31)&lt;&gt;0,1/(1 - CUSTOS!$M$31),1)</f>
        <v>1</v>
      </c>
    </row>
    <row r="62" spans="1:42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19">
        <f>1*(1 - CUSTOS!$M$31)</f>
        <v>1</v>
      </c>
      <c r="M62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CUSTOS!$M$31)</f>
        <v>0.93318673150488263</v>
      </c>
      <c r="N62" s="19">
        <f ca="1">(+M62+O62+R62+U62+V62+W62+X62+Y62+Z62+AA62+AC62+AH62+AI62+AJ62+AK62)*CUSTOS!$M$5</f>
        <v>6.2115520148044814</v>
      </c>
      <c r="O62" s="19">
        <f>1 - CUSTOS!$M$31</f>
        <v>1</v>
      </c>
      <c r="P62" s="19">
        <f>1 - CUSTOS!$M$31</f>
        <v>1</v>
      </c>
      <c r="Q62" s="19">
        <f>1*(1 - CUSTOS!$M$31)</f>
        <v>1</v>
      </c>
      <c r="R62" s="19">
        <f>1 - CUSTOS!$M$31</f>
        <v>1</v>
      </c>
      <c r="S62" s="19">
        <f>1 - CUSTOS!$M$31</f>
        <v>1</v>
      </c>
      <c r="T62" s="19"/>
      <c r="U62" s="19">
        <f>TRANSICAO!$U$62*CUSTOS!$T$3</f>
        <v>48.982500000000002</v>
      </c>
      <c r="V62" s="19">
        <f>TRANSICAO!$V$62*CUSTOS!$T$3</f>
        <v>10.806800000000001</v>
      </c>
      <c r="W62" s="19">
        <f>TRANSICAO!$W$62*CUSTOS!$T$3</f>
        <v>0.27979999999999999</v>
      </c>
      <c r="X62" s="19">
        <f>TRANSICAO!$X$62*CUSTOS!$T$3</f>
        <v>0</v>
      </c>
      <c r="Y62" s="19">
        <f>TRANSICAO!$Y$62*CUSTOS!$T$3</f>
        <v>0</v>
      </c>
      <c r="Z62" s="19">
        <f>TRANSICAO!$Z$62*CUSTOS!$T$3</f>
        <v>0</v>
      </c>
      <c r="AA62" s="19">
        <f>TRANSICAO!$AA$62*CUSTOS!$T$3</f>
        <v>0</v>
      </c>
      <c r="AB62" s="19">
        <f>TRANSICAO!$AB$62*CUSTOS!$T$3</f>
        <v>0</v>
      </c>
      <c r="AC62" s="19">
        <f>TRANSICAO!$AC$62*CUSTOS!$T$3</f>
        <v>419.19400000000002</v>
      </c>
      <c r="AD62" s="19">
        <f>TRANSICAO!$AD$62*CUSTOS!$T$3</f>
        <v>0</v>
      </c>
      <c r="AE62" s="19">
        <v>0</v>
      </c>
      <c r="AF62" s="19">
        <v>0</v>
      </c>
      <c r="AG62" s="19"/>
      <c r="AH62" s="19">
        <f>(1 - CUSTOS!$M$31)*1.3886</f>
        <v>1.3886000000000001</v>
      </c>
      <c r="AI62" s="19">
        <f>(1 - CUSTOS!$M$31)*1.3886</f>
        <v>1.3886000000000001</v>
      </c>
      <c r="AJ62" s="19">
        <f ca="1">$N$83*(1-CUSTOS!$M$31)</f>
        <v>68.090857374471611</v>
      </c>
      <c r="AK62" s="19">
        <f t="shared" ca="1" si="1"/>
        <v>68.090857374471611</v>
      </c>
      <c r="AL62" s="19"/>
      <c r="AM62" s="19"/>
      <c r="AP62" s="19">
        <f>IF((1 - CUSTOS!$M$31)&lt;&gt;0,1/(1 - CUSTOS!$M$31),1)</f>
        <v>1</v>
      </c>
    </row>
    <row r="63" spans="1:42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19">
        <f>1*(1 - CUSTOS!$M$31)</f>
        <v>1</v>
      </c>
      <c r="M63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CUSTOS!$M$31)</f>
        <v>0.93318673150488263</v>
      </c>
      <c r="N63" s="19">
        <f ca="1">(+M63+O63+R63+U63+V63+W63+X63+Y63+Z63+AA63+AC63+AH63+AI63+AJ63+AK63)*CUSTOS!$M$5</f>
        <v>3.0164650148044814</v>
      </c>
      <c r="O63" s="19">
        <f>1 - CUSTOS!$M$31</f>
        <v>1</v>
      </c>
      <c r="P63" s="19">
        <f>1 - CUSTOS!$M$31</f>
        <v>1</v>
      </c>
      <c r="Q63" s="19">
        <f>1*(1 - CUSTOS!$M$31)</f>
        <v>1</v>
      </c>
      <c r="R63" s="19">
        <f>1 - CUSTOS!$M$31</f>
        <v>1</v>
      </c>
      <c r="S63" s="19">
        <f>1 - CUSTOS!$M$31</f>
        <v>1</v>
      </c>
      <c r="T63" s="19"/>
      <c r="U63" s="19">
        <f>TRANSICAO!$U$63*CUSTOS!$T$3</f>
        <v>16.327500000000001</v>
      </c>
      <c r="V63" s="19">
        <f>TRANSICAO!$V$63*CUSTOS!$T$3</f>
        <v>3.6023000000000001</v>
      </c>
      <c r="W63" s="19">
        <f>TRANSICAO!$W$63*CUSTOS!$T$3</f>
        <v>9.3299999999999994E-2</v>
      </c>
      <c r="X63" s="19">
        <f>TRANSICAO!$X$63*CUSTOS!$T$3</f>
        <v>0</v>
      </c>
      <c r="Y63" s="19">
        <f>TRANSICAO!$Y$63*CUSTOS!$T$3</f>
        <v>0</v>
      </c>
      <c r="Z63" s="19">
        <f>TRANSICAO!$Z$63*CUSTOS!$T$3</f>
        <v>0</v>
      </c>
      <c r="AA63" s="19">
        <f>TRANSICAO!$AA$63*CUSTOS!$T$3</f>
        <v>0</v>
      </c>
      <c r="AB63" s="19">
        <f>TRANSICAO!$AB$63*CUSTOS!$T$3</f>
        <v>0</v>
      </c>
      <c r="AC63" s="19">
        <f>TRANSICAO!$AC$63*CUSTOS!$T$3</f>
        <v>139.7313</v>
      </c>
      <c r="AD63" s="19">
        <f>TRANSICAO!$AD$63*CUSTOS!$T$3</f>
        <v>0</v>
      </c>
      <c r="AE63" s="19">
        <v>0</v>
      </c>
      <c r="AF63" s="19">
        <v>0</v>
      </c>
      <c r="AG63" s="19"/>
      <c r="AH63" s="19">
        <f>(1 - CUSTOS!$M$31)*1.3886</f>
        <v>1.3886000000000001</v>
      </c>
      <c r="AI63" s="19">
        <f>(1 - CUSTOS!$M$31)*1.3886</f>
        <v>1.3886000000000001</v>
      </c>
      <c r="AJ63" s="19">
        <f ca="1">$N$83*(1-CUSTOS!$M$31)</f>
        <v>68.090857374471611</v>
      </c>
      <c r="AK63" s="19">
        <f t="shared" ca="1" si="1"/>
        <v>68.090857374471611</v>
      </c>
      <c r="AL63" s="19"/>
      <c r="AM63" s="19"/>
      <c r="AP63" s="19">
        <f>IF((1 - CUSTOS!$M$31)&lt;&gt;0,1/(1 - CUSTOS!$M$31),1)</f>
        <v>1</v>
      </c>
    </row>
    <row r="64" spans="1:42" ht="11.25" customHeight="1" x14ac:dyDescent="0.25">
      <c r="A64" s="118"/>
      <c r="B64" s="21" t="s">
        <v>23</v>
      </c>
      <c r="C64" s="21" t="s">
        <v>25</v>
      </c>
      <c r="D64" s="21" t="s">
        <v>25</v>
      </c>
      <c r="E64" s="21" t="s">
        <v>25</v>
      </c>
      <c r="F64" s="21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19">
        <f>1*(1 - CUSTOS!$M$31)</f>
        <v>1</v>
      </c>
      <c r="M64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CUSTOS!$M$31)</f>
        <v>0.93318673150488263</v>
      </c>
      <c r="N64" s="19">
        <f ca="1">(+M64+O64+R64+U64+V64+W64+X64+Y64+Z64+AA64+AC64+AH64+AI64+AJ64+AK64)*CUSTOS!$M$5</f>
        <v>3.8766800148044815</v>
      </c>
      <c r="O64" s="19">
        <f>1 - CUSTOS!$M$31</f>
        <v>1</v>
      </c>
      <c r="P64" s="19">
        <f>1 - CUSTOS!$M$31</f>
        <v>1</v>
      </c>
      <c r="Q64" s="19">
        <f>1*(1 - CUSTOS!$M$31)</f>
        <v>1</v>
      </c>
      <c r="R64" s="19">
        <f>1 - CUSTOS!$M$31</f>
        <v>1</v>
      </c>
      <c r="S64" s="19">
        <f>1 - CUSTOS!$M$31</f>
        <v>1</v>
      </c>
      <c r="T64" s="19"/>
      <c r="U64" s="19">
        <f>TRANSICAO!$U$64*CUSTOS!$T$3</f>
        <v>25.119199999999999</v>
      </c>
      <c r="V64" s="19">
        <f>TRANSICAO!$V$64*CUSTOS!$T$3</f>
        <v>5.5419</v>
      </c>
      <c r="W64" s="19">
        <f>TRANSICAO!$W$64*CUSTOS!$T$3</f>
        <v>0.14349999999999999</v>
      </c>
      <c r="X64" s="19">
        <f>TRANSICAO!$X$64*CUSTOS!$T$3</f>
        <v>0</v>
      </c>
      <c r="Y64" s="19">
        <f>TRANSICAO!$Y$64*CUSTOS!$T$3</f>
        <v>0</v>
      </c>
      <c r="Z64" s="19">
        <f>TRANSICAO!$Z$64*CUSTOS!$T$3</f>
        <v>0</v>
      </c>
      <c r="AA64" s="19">
        <f>TRANSICAO!$AA$64*CUSTOS!$T$3</f>
        <v>0</v>
      </c>
      <c r="AB64" s="19">
        <f>TRANSICAO!$AB$64*CUSTOS!$T$3</f>
        <v>0</v>
      </c>
      <c r="AC64" s="19">
        <f>TRANSICAO!$AC$64*CUSTOS!$T$3</f>
        <v>214.97130000000001</v>
      </c>
      <c r="AD64" s="19">
        <f>TRANSICAO!$AD$64*CUSTOS!$T$3</f>
        <v>0</v>
      </c>
      <c r="AE64" s="19">
        <v>0</v>
      </c>
      <c r="AF64" s="19">
        <v>0</v>
      </c>
      <c r="AG64" s="19"/>
      <c r="AH64" s="19">
        <f>(1 - CUSTOS!$M$31)*1.3886</f>
        <v>1.3886000000000001</v>
      </c>
      <c r="AI64" s="19">
        <f>(1 - CUSTOS!$M$31)*1.3886</f>
        <v>1.3886000000000001</v>
      </c>
      <c r="AJ64" s="19">
        <f ca="1">$N$83*(1-CUSTOS!$M$31)</f>
        <v>68.090857374471611</v>
      </c>
      <c r="AK64" s="19">
        <f t="shared" ca="1" si="1"/>
        <v>68.090857374471611</v>
      </c>
      <c r="AL64" s="19"/>
      <c r="AM64" s="19"/>
      <c r="AP64" s="19">
        <f>IF((1 - CUSTOS!$M$31)&lt;&gt;0,1/(1 - CUSTOS!$M$31),1)</f>
        <v>1</v>
      </c>
    </row>
    <row r="65" spans="1:42" ht="11.25" customHeight="1" x14ac:dyDescent="0.25">
      <c r="A65" s="118"/>
      <c r="B65" s="21" t="s">
        <v>92</v>
      </c>
      <c r="C65" s="21" t="s">
        <v>25</v>
      </c>
      <c r="D65" s="21" t="s">
        <v>25</v>
      </c>
      <c r="E65" s="21" t="s">
        <v>25</v>
      </c>
      <c r="F65" s="21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19">
        <f>1*(1 - CUSTOS!$M$31)</f>
        <v>1</v>
      </c>
      <c r="M65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CUSTOS!$M$31)</f>
        <v>0.93318673150488263</v>
      </c>
      <c r="N65" s="19">
        <f ca="1">(+M65+O65+R65+U65+V65+W65+X65+Y65+Z65+AA65+AC65+AH65+AI65+AJ65+AK65)*CUSTOS!$M$5</f>
        <v>3.8766800148044815</v>
      </c>
      <c r="O65" s="19">
        <f>1 - CUSTOS!$M$31</f>
        <v>1</v>
      </c>
      <c r="P65" s="19">
        <f>1 - CUSTOS!$M$31</f>
        <v>1</v>
      </c>
      <c r="Q65" s="19">
        <f>1*(1 - CUSTOS!$M$31)</f>
        <v>1</v>
      </c>
      <c r="R65" s="19">
        <f>1 - CUSTOS!$M$31</f>
        <v>1</v>
      </c>
      <c r="S65" s="19">
        <f>1 - CUSTOS!$M$31</f>
        <v>1</v>
      </c>
      <c r="T65" s="19"/>
      <c r="U65" s="19">
        <f>TRANSICAO!$U$65*CUSTOS!$T$3</f>
        <v>25.119199999999999</v>
      </c>
      <c r="V65" s="19">
        <f>TRANSICAO!$V$65*CUSTOS!$T$3</f>
        <v>5.5419</v>
      </c>
      <c r="W65" s="19">
        <f>TRANSICAO!$W$65*CUSTOS!$T$3</f>
        <v>0.14349999999999999</v>
      </c>
      <c r="X65" s="19">
        <f>TRANSICAO!$X$65*CUSTOS!$T$3</f>
        <v>0</v>
      </c>
      <c r="Y65" s="19">
        <f>TRANSICAO!$Y$65*CUSTOS!$T$3</f>
        <v>0</v>
      </c>
      <c r="Z65" s="19">
        <f>TRANSICAO!$Z$65*CUSTOS!$T$3</f>
        <v>0</v>
      </c>
      <c r="AA65" s="19">
        <f>TRANSICAO!$AA$65*CUSTOS!$T$3</f>
        <v>0</v>
      </c>
      <c r="AB65" s="19">
        <f>TRANSICAO!$AB$65*CUSTOS!$T$3</f>
        <v>0</v>
      </c>
      <c r="AC65" s="19">
        <f>TRANSICAO!$AC$65*CUSTOS!$T$3</f>
        <v>214.97130000000001</v>
      </c>
      <c r="AD65" s="19">
        <f>TRANSICAO!$AD$65*CUSTOS!$T$3</f>
        <v>0</v>
      </c>
      <c r="AE65" s="19">
        <v>0</v>
      </c>
      <c r="AF65" s="19">
        <v>0</v>
      </c>
      <c r="AG65" s="19"/>
      <c r="AH65" s="19">
        <f>(1 - CUSTOS!$M$31)*1.3886</f>
        <v>1.3886000000000001</v>
      </c>
      <c r="AI65" s="19">
        <f>(1 - CUSTOS!$M$31)*1.3886</f>
        <v>1.3886000000000001</v>
      </c>
      <c r="AJ65" s="19">
        <f ca="1">$N$83*(1-CUSTOS!$M$31)</f>
        <v>68.090857374471611</v>
      </c>
      <c r="AK65" s="19">
        <f t="shared" ca="1" si="1"/>
        <v>68.090857374471611</v>
      </c>
      <c r="AL65" s="19"/>
      <c r="AM65" s="19"/>
      <c r="AP65" s="19">
        <f>IF((1 - CUSTOS!$M$31)&lt;&gt;0,1/(1 - CUSTOS!$M$31),1)</f>
        <v>1</v>
      </c>
    </row>
    <row r="66" spans="1:42" ht="11.25" customHeight="1" x14ac:dyDescent="0.25">
      <c r="A66" s="118" t="s">
        <v>48</v>
      </c>
      <c r="B66" s="118" t="s">
        <v>23</v>
      </c>
      <c r="C66" s="118" t="s">
        <v>49</v>
      </c>
      <c r="D66" s="21" t="s">
        <v>50</v>
      </c>
      <c r="E66" s="21" t="s">
        <v>25</v>
      </c>
      <c r="F66" s="21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19">
        <f>1*(1 - CUSTOS!$M$32)</f>
        <v>0.55000000000000004</v>
      </c>
      <c r="M66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CUSTOS!$M$32)</f>
        <v>0.51325270232768549</v>
      </c>
      <c r="N66" s="19">
        <f ca="1">(+M66+O66+R66+U66+V66+W66+X66+Y66+Z66+AA66+AC66+AH66+AI66+AJ66+AK66)*CUSTOS!$M$5</f>
        <v>2.1321740081424649</v>
      </c>
      <c r="O66" s="19">
        <f>1 - CUSTOS!$M$32</f>
        <v>0.55000000000000004</v>
      </c>
      <c r="P66" s="19">
        <f>1 - CUSTOS!$M$32</f>
        <v>0.55000000000000004</v>
      </c>
      <c r="Q66" s="19">
        <f>1*(1 - CUSTOS!$M$32)</f>
        <v>0.55000000000000004</v>
      </c>
      <c r="R66" s="19">
        <f>1 - CUSTOS!$M$32</f>
        <v>0.55000000000000004</v>
      </c>
      <c r="S66" s="19">
        <f>1 - CUSTOS!$M$32</f>
        <v>0.55000000000000004</v>
      </c>
      <c r="T66" s="19"/>
      <c r="U66" s="19">
        <f>TRANSICAO!$U$66*CUSTOS!$T$3</f>
        <v>13.815560000000001</v>
      </c>
      <c r="V66" s="19">
        <f>TRANSICAO!$V$66*CUSTOS!$T$3</f>
        <v>3.0480450000000001</v>
      </c>
      <c r="W66" s="19">
        <f>TRANSICAO!$W$66*CUSTOS!$T$3</f>
        <v>7.8924999999999995E-2</v>
      </c>
      <c r="X66" s="19">
        <f>TRANSICAO!$X$66*CUSTOS!$T$3</f>
        <v>0</v>
      </c>
      <c r="Y66" s="19">
        <f>TRANSICAO!$Y$66*CUSTOS!$T$3</f>
        <v>0</v>
      </c>
      <c r="Z66" s="19">
        <f>TRANSICAO!$Z$66*CUSTOS!$T$3</f>
        <v>0</v>
      </c>
      <c r="AA66" s="19">
        <f>TRANSICAO!$AA$66*CUSTOS!$T$3</f>
        <v>0</v>
      </c>
      <c r="AB66" s="19">
        <f>TRANSICAO!$AB$66*CUSTOS!$T$3</f>
        <v>0</v>
      </c>
      <c r="AC66" s="19">
        <f>TRANSICAO!$AC$66*CUSTOS!$T$3</f>
        <v>118.23421500000002</v>
      </c>
      <c r="AD66" s="19">
        <f>TRANSICAO!$AD$66*CUSTOS!$T$3</f>
        <v>0</v>
      </c>
      <c r="AE66" s="19">
        <v>0</v>
      </c>
      <c r="AF66" s="19">
        <v>0</v>
      </c>
      <c r="AG66" s="19"/>
      <c r="AH66" s="19">
        <f>(1 - CUSTOS!$M$32)*1.3886</f>
        <v>0.76373000000000013</v>
      </c>
      <c r="AI66" s="19">
        <f>(1 - CUSTOS!$M$32)*1.3886</f>
        <v>0.76373000000000013</v>
      </c>
      <c r="AJ66" s="19">
        <f ca="1">$N$83*(1-CUSTOS!$M$32)</f>
        <v>37.449971555959387</v>
      </c>
      <c r="AK66" s="19">
        <f t="shared" ca="1" si="1"/>
        <v>37.449971555959387</v>
      </c>
      <c r="AL66" s="19"/>
      <c r="AM66" s="19"/>
      <c r="AP66" s="19">
        <f>IF((1 - CUSTOS!$M$32)&lt;&gt;0,1/(1 - CUSTOS!$M$32),1)</f>
        <v>1.8181818181818181</v>
      </c>
    </row>
    <row r="67" spans="1:42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19">
        <f>1*(1 - CUSTOS!$M$33)</f>
        <v>0.6</v>
      </c>
      <c r="M67" s="19">
        <f>IF(AND((+$I$33+$I$34+$I$35+$I$36+$I$37+$I$38+$I$39+$I$40+$I$41+$I$42+$I$43+$I$44+$I$45+$I$46+$I$47+$I$48+$I$49+$I$50+$I$51+$I$52+$I$53+$I$54+$I$55+$I$56+$I$57+$I$58+$I$59+$I$60+$I$61+$I$62+$I$63+$I$64+$I$65+$I$66+$I$67)&lt;&gt;0,SUMPRODUCT($I$5:$I$67,$AC$5:$AC$67,$AP$5:$AP$67)&lt;&gt;0),$M$72*SUMPRODUCT($I$33:$I$67,$AC$33:$AC$67,$AP$33:$AP$67)/SUMPRODUCT($I$5:$I$67,$AC$5:$AC$67,$AP$5:$AP$67)/(+$I$33+$I$34+$I$35+$I$36+$I$37+$I$38+$I$39+$I$40+$I$41+$I$42+$I$43+$I$44+$I$45+$I$46+$I$47+$I$48+$I$49+$I$50+$I$51+$I$52+$I$53+$I$54+$I$55+$I$56+$I$57+$I$58+$I$59+$I$60+$I$61+$I$62+$I$63+$I$64+$I$65+$I$66+$I$67),0)*(1 - CUSTOS!$M$33)</f>
        <v>0.55991203890292951</v>
      </c>
      <c r="N67" s="19">
        <f ca="1">(+M67+O67+R67+U67+V67+W67+X67+Y67+Z67+AA67+AC67+AH67+AI67+AJ67+AK67)*CUSTOS!$M$5</f>
        <v>2.3260080088826887</v>
      </c>
      <c r="O67" s="19">
        <f>1 - CUSTOS!$M$33</f>
        <v>0.6</v>
      </c>
      <c r="P67" s="19">
        <f>1 - CUSTOS!$M$33</f>
        <v>0.6</v>
      </c>
      <c r="Q67" s="19">
        <f>1*(1 - CUSTOS!$M$33)</f>
        <v>0.6</v>
      </c>
      <c r="R67" s="19">
        <f>1 - CUSTOS!$M$33</f>
        <v>0.6</v>
      </c>
      <c r="S67" s="19">
        <f>1 - CUSTOS!$M$33</f>
        <v>0.6</v>
      </c>
      <c r="T67" s="19"/>
      <c r="U67" s="19">
        <f>TRANSICAO!$U$67*CUSTOS!$T$3</f>
        <v>15.07152</v>
      </c>
      <c r="V67" s="19">
        <f>TRANSICAO!$V$67*CUSTOS!$T$3</f>
        <v>3.3251399999999998</v>
      </c>
      <c r="W67" s="19">
        <f>TRANSICAO!$W$67*CUSTOS!$T$3</f>
        <v>8.6099999999999996E-2</v>
      </c>
      <c r="X67" s="19">
        <f>TRANSICAO!$X$67*CUSTOS!$T$3</f>
        <v>0</v>
      </c>
      <c r="Y67" s="19">
        <f>TRANSICAO!$Y$67*CUSTOS!$T$3</f>
        <v>0</v>
      </c>
      <c r="Z67" s="19">
        <f>TRANSICAO!$Z$67*CUSTOS!$T$3</f>
        <v>0</v>
      </c>
      <c r="AA67" s="19">
        <f>TRANSICAO!$AA$67*CUSTOS!$T$3</f>
        <v>0</v>
      </c>
      <c r="AB67" s="19">
        <f>TRANSICAO!$AB$67*CUSTOS!$T$3</f>
        <v>0</v>
      </c>
      <c r="AC67" s="19">
        <f>TRANSICAO!$AC$67*CUSTOS!$T$3</f>
        <v>128.98277999999999</v>
      </c>
      <c r="AD67" s="19">
        <f>TRANSICAO!$AD$67*CUSTOS!$T$3</f>
        <v>0</v>
      </c>
      <c r="AE67" s="19">
        <v>0</v>
      </c>
      <c r="AF67" s="19">
        <v>0</v>
      </c>
      <c r="AG67" s="19"/>
      <c r="AH67" s="19">
        <f>(1 - CUSTOS!$M$33)*1.3886</f>
        <v>0.83316000000000001</v>
      </c>
      <c r="AI67" s="19">
        <f>(1 - CUSTOS!$M$33)*1.3886</f>
        <v>0.83316000000000001</v>
      </c>
      <c r="AJ67" s="19">
        <f ca="1">$N$83*(1-CUSTOS!$M$33)</f>
        <v>40.854514424682968</v>
      </c>
      <c r="AK67" s="19">
        <f t="shared" ca="1" si="1"/>
        <v>40.854514424682968</v>
      </c>
      <c r="AL67" s="19"/>
      <c r="AM67" s="19"/>
      <c r="AP67" s="19">
        <f>IF((1 - CUSTOS!$M$33)&lt;&gt;0,1/(1 - CUSTOS!$M$33),1)</f>
        <v>1.6666666666666667</v>
      </c>
    </row>
    <row r="69" spans="1:42" ht="11.25" customHeight="1" x14ac:dyDescent="0.25">
      <c r="K69" s="18" t="s">
        <v>747</v>
      </c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</row>
    <row r="70" spans="1:42" ht="11.25" customHeight="1" x14ac:dyDescent="0.25">
      <c r="K70" s="18" t="s">
        <v>748</v>
      </c>
      <c r="L70" s="19">
        <f>IF(ISERROR(+SUMPRODUCT($L$5:$L$6,$I$5:$I$6)),0,+SUMPRODUCT($L$5:$L$6,$I$5:$I$6))</f>
        <v>0</v>
      </c>
      <c r="M70" s="19">
        <f>IF(ISERROR(+SUMPRODUCT($M$5:$M$6,$I$5:$I$6)),0,+SUMPRODUCT($M$5:$M$6,$I$5:$I$6))</f>
        <v>0</v>
      </c>
      <c r="N70" s="19">
        <f>IF(ISERROR(+SUMPRODUCT($N$5:$N$6,$I$5:$I$6)),0,+SUMPRODUCT($N$5:$N$6,$I$5:$I$6))</f>
        <v>0</v>
      </c>
      <c r="O70" s="19">
        <f>IF(ISERROR(+SUMPRODUCT($O$5:$O$6,$I$5:$I$6)),0,+SUMPRODUCT($O$5:$O$6,$I$5:$I$6))</f>
        <v>0</v>
      </c>
      <c r="P70" s="19">
        <f>IF(ISERROR(+SUMPRODUCT($P$5:$P$6,$I$5:$I$6)),0,+SUMPRODUCT($P$5:$P$6,$I$5:$I$6))</f>
        <v>0</v>
      </c>
      <c r="Q70" s="19">
        <f>IF(ISERROR(+SUMPRODUCT($Q$5:$Q$6,$I$5:$I$6)),0,+SUMPRODUCT($Q$5:$Q$6,$I$5:$I$6))</f>
        <v>0</v>
      </c>
      <c r="R70" s="19">
        <f>IF(ISERROR(+SUMPRODUCT($R$5:$R$6,$I$5:$I$6)),0,+SUMPRODUCT($R$5:$R$6,$I$5:$I$6))</f>
        <v>0</v>
      </c>
      <c r="S70" s="19">
        <f>IF(ISERROR(+SUMPRODUCT($S$5:$S$6,$I$5:$I$6)),0,+SUMPRODUCT($S$5:$S$6,$I$5:$I$6))</f>
        <v>0</v>
      </c>
      <c r="T70" s="19"/>
      <c r="U70" s="19">
        <f>IF(ISERROR(+SUMPRODUCT($U$5:$U$6,$I$5:$I$6)),0,+SUMPRODUCT($U$5:$U$6,$I$5:$I$6))</f>
        <v>0</v>
      </c>
      <c r="V70" s="19">
        <f>IF(ISERROR(+SUMPRODUCT($V$5:$V$6,$I$5:$I$6)),0,+SUMPRODUCT($V$5:$V$6,$I$5:$I$6))</f>
        <v>0</v>
      </c>
      <c r="W70" s="19">
        <f>IF(ISERROR(+SUMPRODUCT($W$5:$W$6,$I$5:$I$6)),0,+SUMPRODUCT($W$5:$W$6,$I$5:$I$6))</f>
        <v>0</v>
      </c>
      <c r="X70" s="19">
        <f>IF(ISERROR(+SUMPRODUCT($X$5:$X$6,$I$5:$I$6)),0,+SUMPRODUCT($X$5:$X$6,$I$5:$I$6))</f>
        <v>0</v>
      </c>
      <c r="Y70" s="19">
        <f>IF(ISERROR(+SUMPRODUCT($Y$5:$Y$6,$I$5:$I$6)),0,+SUMPRODUCT($Y$5:$Y$6,$I$5:$I$6))</f>
        <v>0</v>
      </c>
      <c r="Z70" s="19">
        <f>IF(ISERROR(+SUMPRODUCT($Z$5:$Z$6,$I$5:$I$6)),0,+SUMPRODUCT($Z$5:$Z$6,$I$5:$I$6))</f>
        <v>0</v>
      </c>
      <c r="AA70" s="19">
        <f>IF(ISERROR(+SUMPRODUCT($AA$5:$AA$6,$I$5:$I$6)),0,+SUMPRODUCT($AA$5:$AA$6,$I$5:$I$6))</f>
        <v>129170.64000000001</v>
      </c>
      <c r="AB70" s="19"/>
      <c r="AC70" s="19">
        <f>IF(ISERROR(+SUMPRODUCT($AC$5:$AC$6,$I$5:$I$6)),0,+SUMPRODUCT($AC$5:$AC$6,$I$5:$I$6))</f>
        <v>6303154.176</v>
      </c>
      <c r="AD70" s="19"/>
      <c r="AE70" s="19">
        <f>IF(ISERROR(+SUMPRODUCT($AE$5:$AE$6,$I$5:$I$6)),0,+SUMPRODUCT($AE$5:$AE$6,$I$5:$I$6))</f>
        <v>0</v>
      </c>
      <c r="AF70" s="19">
        <f>IF(ISERROR(+SUMPRODUCT($AF$5:$AF$6,$I$5:$I$6)),0,+SUMPRODUCT($AF$5:$AF$6,$I$5:$I$6))</f>
        <v>0</v>
      </c>
      <c r="AG70" s="19"/>
      <c r="AH70" s="19">
        <f>IF(ISERROR(+SUMPRODUCT($AH$5:$AH$6,$I$5:$I$6)),0,+SUMPRODUCT($AH$5:$AH$6,$I$5:$I$6))</f>
        <v>0</v>
      </c>
      <c r="AI70" s="19">
        <f>IF(ISERROR(+SUMPRODUCT($AI$5:$AI$6,$I$5:$I$6)),0,+SUMPRODUCT($AI$5:$AI$6,$I$5:$I$6))</f>
        <v>0</v>
      </c>
      <c r="AJ70" s="19">
        <f>IF(ISERROR(+SUMPRODUCT($AJ$5:$AJ$6,$I$5:$I$6)),0,+SUMPRODUCT($AJ$5:$AJ$6,$I$5:$I$6))</f>
        <v>0</v>
      </c>
      <c r="AK70" s="19">
        <f>IF(ISERROR(+SUMPRODUCT($AK$5:$AK$6,$I$5:$I$6)),0,+SUMPRODUCT($AK$5:$AK$6,$I$5:$I$6))</f>
        <v>0</v>
      </c>
      <c r="AL70" s="19"/>
      <c r="AM70" s="19"/>
    </row>
    <row r="71" spans="1:42" ht="11.25" customHeight="1" x14ac:dyDescent="0.25">
      <c r="K71" s="18" t="s">
        <v>749</v>
      </c>
      <c r="L71" s="19">
        <f>IF(ISERROR(+SUMPRODUCT($L$7:$L$10,$I$7:$I$10)+SUMPRODUCT($L$11:$L$14,$I$11:$I$14)+SUMPRODUCT($L$15:$L$15,$I$15:$I$15)+SUMPRODUCT($L$16:$L$20,$I$16:$I$20)+SUMPRODUCT($L$21:$L$24,$I$21:$I$24)+SUMPRODUCT($L$25:$L$25,$I$25:$I$25)+SUMPRODUCT($L$26:$L$30,$I$26:$I$30)+SUMPRODUCT($L$31:$L$32,$I$31:$I$32)+SUMPRODUCT($L$33:$L$35,$I$33:$I$35)+SUMPRODUCT($L$36:$L$40,$I$36:$I$40)+SUMPRODUCT($L$41:$L$45,$I$41:$I$45)+SUMPRODUCT($L$46:$L$48,$I$46:$I$48)+SUMPRODUCT($L$49:$L$49,$I$49:$I$49)+SUMPRODUCT($L$50:$L$52,$I$50:$I$52)+SUMPRODUCT($L$53:$L$53,$I$53:$I$53)+SUMPRODUCT($L$54:$L$56,$I$54:$I$56)+SUMPRODUCT($L$57:$L$57,$I$57:$I$57)+SUMPRODUCT($L$58:$L$60,$I$58:$I$60)+SUMPRODUCT($L$61:$L$63,$I$61:$I$63)+SUMPRODUCT($L$64:$L$64,$I$64:$I$64)+SUMPRODUCT($L$65:$L$65,$I$65:$I$65)+SUMPRODUCT($L$66:$L$67,$I$66:$I$67)),0,+SUMPRODUCT($L$7:$L$10,$I$7:$I$10)+SUMPRODUCT($L$11:$L$14,$I$11:$I$14)+SUMPRODUCT($L$15:$L$15,$I$15:$I$15)+SUMPRODUCT($L$16:$L$20,$I$16:$I$20)+SUMPRODUCT($L$21:$L$24,$I$21:$I$24)+SUMPRODUCT($L$25:$L$25,$I$25:$I$25)+SUMPRODUCT($L$26:$L$30,$I$26:$I$30)+SUMPRODUCT($L$31:$L$32,$I$31:$I$32)+SUMPRODUCT($L$33:$L$35,$I$33:$I$35)+SUMPRODUCT($L$36:$L$40,$I$36:$I$40)+SUMPRODUCT($L$41:$L$45,$I$41:$I$45)+SUMPRODUCT($L$46:$L$48,$I$46:$I$48)+SUMPRODUCT($L$49:$L$49,$I$49:$I$49)+SUMPRODUCT($L$50:$L$52,$I$50:$I$52)+SUMPRODUCT($L$53:$L$53,$I$53:$I$53)+SUMPRODUCT($L$54:$L$56,$I$54:$I$56)+SUMPRODUCT($L$57:$L$57,$I$57:$I$57)+SUMPRODUCT($L$58:$L$60,$I$58:$I$60)+SUMPRODUCT($L$61:$L$63,$I$61:$I$63)+SUMPRODUCT($L$64:$L$64,$I$64:$I$64)+SUMPRODUCT($L$65:$L$65,$I$65:$I$65)+SUMPRODUCT($L$66:$L$67,$I$66:$I$67))</f>
        <v>906371.35965000011</v>
      </c>
      <c r="M71" s="19">
        <f>IF(ISERROR(+SUMPRODUCT($M$7:$M$10,$I$7:$I$10)+SUMPRODUCT($M$11:$M$14,$I$11:$I$14)+SUMPRODUCT($M$15:$M$15,$I$15:$I$15)+SUMPRODUCT($M$16:$M$20,$I$16:$I$20)+SUMPRODUCT($M$21:$M$24,$I$21:$I$24)+SUMPRODUCT($M$25:$M$25,$I$25:$I$25)+SUMPRODUCT($M$26:$M$30,$I$26:$I$30)+SUMPRODUCT($M$31:$M$32,$I$31:$I$32)+SUMPRODUCT($M$33:$M$35,$I$33:$I$35)+SUMPRODUCT($M$36:$M$40,$I$36:$I$40)+SUMPRODUCT($M$41:$M$45,$I$41:$I$45)+SUMPRODUCT($M$46:$M$48,$I$46:$I$48)+SUMPRODUCT($M$49:$M$49,$I$49:$I$49)+SUMPRODUCT($M$50:$M$52,$I$50:$I$52)+SUMPRODUCT($M$53:$M$53,$I$53:$I$53)+SUMPRODUCT($M$54:$M$56,$I$54:$I$56)+SUMPRODUCT($M$57:$M$57,$I$57:$I$57)+SUMPRODUCT($M$58:$M$60,$I$58:$I$60)+SUMPRODUCT($M$61:$M$63,$I$61:$I$63)+SUMPRODUCT($M$64:$M$64,$I$64:$I$64)+SUMPRODUCT($M$65:$M$65,$I$65:$I$65)+SUMPRODUCT($M$66:$M$67,$I$66:$I$67)),0,+SUMPRODUCT($M$7:$M$10,$I$7:$I$10)+SUMPRODUCT($M$11:$M$14,$I$11:$I$14)+SUMPRODUCT($M$15:$M$15,$I$15:$I$15)+SUMPRODUCT($M$16:$M$20,$I$16:$I$20)+SUMPRODUCT($M$21:$M$24,$I$21:$I$24)+SUMPRODUCT($M$25:$M$25,$I$25:$I$25)+SUMPRODUCT($M$26:$M$30,$I$26:$I$30)+SUMPRODUCT($M$31:$M$32,$I$31:$I$32)+SUMPRODUCT($M$33:$M$35,$I$33:$I$35)+SUMPRODUCT($M$36:$M$40,$I$36:$I$40)+SUMPRODUCT($M$41:$M$45,$I$41:$I$45)+SUMPRODUCT($M$46:$M$48,$I$46:$I$48)+SUMPRODUCT($M$49:$M$49,$I$49:$I$49)+SUMPRODUCT($M$50:$M$52,$I$50:$I$52)+SUMPRODUCT($M$53:$M$53,$I$53:$I$53)+SUMPRODUCT($M$54:$M$56,$I$54:$I$56)+SUMPRODUCT($M$57:$M$57,$I$57:$I$57)+SUMPRODUCT($M$58:$M$60,$I$58:$I$60)+SUMPRODUCT($M$61:$M$63,$I$61:$I$63)+SUMPRODUCT($M$64:$M$64,$I$64:$I$64)+SUMPRODUCT($M$65:$M$65,$I$65:$I$65)+SUMPRODUCT($M$66:$M$67,$I$66:$I$67))</f>
        <v>900161.61074172053</v>
      </c>
      <c r="N71" s="19">
        <f ca="1">IF(ISERROR(+SUMPRODUCT($N$7:$N$10,$I$7:$I$10)+SUMPRODUCT($N$11:$N$14,$I$11:$I$14)+SUMPRODUCT($N$15:$N$15,$I$15:$I$15)+SUMPRODUCT($N$16:$N$20,$I$16:$I$20)+SUMPRODUCT($N$21:$N$24,$I$21:$I$24)+SUMPRODUCT($N$25:$N$25,$I$25:$I$25)+SUMPRODUCT($N$26:$N$30,$I$26:$I$30)+SUMPRODUCT($N$31:$N$32,$I$31:$I$32)+SUMPRODUCT($N$33:$N$35,$I$33:$I$35)+SUMPRODUCT($N$36:$N$40,$I$36:$I$40)+SUMPRODUCT($N$41:$N$45,$I$41:$I$45)+SUMPRODUCT($N$46:$N$48,$I$46:$I$48)+SUMPRODUCT($N$49:$N$49,$I$49:$I$49)+SUMPRODUCT($N$50:$N$52,$I$50:$I$52)+SUMPRODUCT($N$53:$N$53,$I$53:$I$53)+SUMPRODUCT($N$54:$N$56,$I$54:$I$56)+SUMPRODUCT($N$57:$N$57,$I$57:$I$57)+SUMPRODUCT($N$58:$N$60,$I$58:$I$60)+SUMPRODUCT($N$61:$N$63,$I$61:$I$63)+SUMPRODUCT($N$64:$N$64,$I$64:$I$64)+SUMPRODUCT($N$65:$N$65,$I$65:$I$65)+SUMPRODUCT($N$66:$N$67,$I$66:$I$67)),0,+SUMPRODUCT($N$7:$N$10,$I$7:$I$10)+SUMPRODUCT($N$11:$N$14,$I$11:$I$14)+SUMPRODUCT($N$15:$N$15,$I$15:$I$15)+SUMPRODUCT($N$16:$N$20,$I$16:$I$20)+SUMPRODUCT($N$21:$N$24,$I$21:$I$24)+SUMPRODUCT($N$25:$N$25,$I$25:$I$25)+SUMPRODUCT($N$26:$N$30,$I$26:$I$30)+SUMPRODUCT($N$31:$N$32,$I$31:$I$32)+SUMPRODUCT($N$33:$N$35,$I$33:$I$35)+SUMPRODUCT($N$36:$N$40,$I$36:$I$40)+SUMPRODUCT($N$41:$N$45,$I$41:$I$45)+SUMPRODUCT($N$46:$N$48,$I$46:$I$48)+SUMPRODUCT($N$49:$N$49,$I$49:$I$49)+SUMPRODUCT($N$50:$N$52,$I$50:$I$52)+SUMPRODUCT($N$53:$N$53,$I$53:$I$53)+SUMPRODUCT($N$54:$N$56,$I$54:$I$56)+SUMPRODUCT($N$57:$N$57,$I$57:$I$57)+SUMPRODUCT($N$58:$N$60,$I$58:$I$60)+SUMPRODUCT($N$61:$N$63,$I$61:$I$63)+SUMPRODUCT($N$64:$N$64,$I$64:$I$64)+SUMPRODUCT($N$65:$N$65,$I$65:$I$65)+SUMPRODUCT($N$66:$N$67,$I$66:$I$67))</f>
        <v>3558937.0405359073</v>
      </c>
      <c r="O71" s="19">
        <f>IF(ISERROR(+SUMPRODUCT($O$7:$O$10,$I$7:$I$10)+SUMPRODUCT($O$11:$O$14,$I$11:$I$14)+SUMPRODUCT($O$15:$O$15,$I$15:$I$15)+SUMPRODUCT($O$16:$O$20,$I$16:$I$20)+SUMPRODUCT($O$21:$O$24,$I$21:$I$24)+SUMPRODUCT($O$25:$O$25,$I$25:$I$25)+SUMPRODUCT($O$26:$O$30,$I$26:$I$30)+SUMPRODUCT($O$31:$O$32,$I$31:$I$32)+SUMPRODUCT($O$33:$O$35,$I$33:$I$35)+SUMPRODUCT($O$36:$O$40,$I$36:$I$40)+SUMPRODUCT($O$41:$O$45,$I$41:$I$45)+SUMPRODUCT($O$46:$O$48,$I$46:$I$48)+SUMPRODUCT($O$49:$O$49,$I$49:$I$49)+SUMPRODUCT($O$50:$O$52,$I$50:$I$52)+SUMPRODUCT($O$53:$O$53,$I$53:$I$53)+SUMPRODUCT($O$54:$O$56,$I$54:$I$56)+SUMPRODUCT($O$57:$O$57,$I$57:$I$57)+SUMPRODUCT($O$58:$O$60,$I$58:$I$60)+SUMPRODUCT($O$61:$O$63,$I$61:$I$63)+SUMPRODUCT($O$64:$O$64,$I$64:$I$64)+SUMPRODUCT($O$65:$O$65,$I$65:$I$65)+SUMPRODUCT($O$66:$O$67,$I$66:$I$67)),0,+SUMPRODUCT($O$7:$O$10,$I$7:$I$10)+SUMPRODUCT($O$11:$O$14,$I$11:$I$14)+SUMPRODUCT($O$15:$O$15,$I$15:$I$15)+SUMPRODUCT($O$16:$O$20,$I$16:$I$20)+SUMPRODUCT($O$21:$O$24,$I$21:$I$24)+SUMPRODUCT($O$25:$O$25,$I$25:$I$25)+SUMPRODUCT($O$26:$O$30,$I$26:$I$30)+SUMPRODUCT($O$31:$O$32,$I$31:$I$32)+SUMPRODUCT($O$33:$O$35,$I$33:$I$35)+SUMPRODUCT($O$36:$O$40,$I$36:$I$40)+SUMPRODUCT($O$41:$O$45,$I$41:$I$45)+SUMPRODUCT($O$46:$O$48,$I$46:$I$48)+SUMPRODUCT($O$49:$O$49,$I$49:$I$49)+SUMPRODUCT($O$50:$O$52,$I$50:$I$52)+SUMPRODUCT($O$53:$O$53,$I$53:$I$53)+SUMPRODUCT($O$54:$O$56,$I$54:$I$56)+SUMPRODUCT($O$57:$O$57,$I$57:$I$57)+SUMPRODUCT($O$58:$O$60,$I$58:$I$60)+SUMPRODUCT($O$61:$O$63,$I$61:$I$63)+SUMPRODUCT($O$64:$O$64,$I$64:$I$64)+SUMPRODUCT($O$65:$O$65,$I$65:$I$65)+SUMPRODUCT($O$66:$O$67,$I$66:$I$67))</f>
        <v>1064176.2321500001</v>
      </c>
      <c r="P71" s="19">
        <f>IF(ISERROR(+SUMPRODUCT($P$7:$P$10,$I$7:$I$10)+SUMPRODUCT($P$11:$P$14,$I$11:$I$14)+SUMPRODUCT($P$15:$P$15,$I$15:$I$15)+SUMPRODUCT($P$16:$P$20,$I$16:$I$20)+SUMPRODUCT($P$21:$P$24,$I$21:$I$24)+SUMPRODUCT($P$25:$P$25,$I$25:$I$25)+SUMPRODUCT($P$26:$P$30,$I$26:$I$30)+SUMPRODUCT($P$31:$P$32,$I$31:$I$32)+SUMPRODUCT($P$33:$P$35,$I$33:$I$35)+SUMPRODUCT($P$36:$P$40,$I$36:$I$40)+SUMPRODUCT($P$41:$P$45,$I$41:$I$45)+SUMPRODUCT($P$46:$P$48,$I$46:$I$48)+SUMPRODUCT($P$49:$P$49,$I$49:$I$49)+SUMPRODUCT($P$50:$P$52,$I$50:$I$52)+SUMPRODUCT($P$53:$P$53,$I$53:$I$53)+SUMPRODUCT($P$54:$P$56,$I$54:$I$56)+SUMPRODUCT($P$57:$P$57,$I$57:$I$57)+SUMPRODUCT($P$58:$P$60,$I$58:$I$60)+SUMPRODUCT($P$61:$P$63,$I$61:$I$63)+SUMPRODUCT($P$64:$P$64,$I$64:$I$64)+SUMPRODUCT($P$65:$P$65,$I$65:$I$65)+SUMPRODUCT($P$66:$P$67,$I$66:$I$67)),0,+SUMPRODUCT($P$7:$P$10,$I$7:$I$10)+SUMPRODUCT($P$11:$P$14,$I$11:$I$14)+SUMPRODUCT($P$15:$P$15,$I$15:$I$15)+SUMPRODUCT($P$16:$P$20,$I$16:$I$20)+SUMPRODUCT($P$21:$P$24,$I$21:$I$24)+SUMPRODUCT($P$25:$P$25,$I$25:$I$25)+SUMPRODUCT($P$26:$P$30,$I$26:$I$30)+SUMPRODUCT($P$31:$P$32,$I$31:$I$32)+SUMPRODUCT($P$33:$P$35,$I$33:$I$35)+SUMPRODUCT($P$36:$P$40,$I$36:$I$40)+SUMPRODUCT($P$41:$P$45,$I$41:$I$45)+SUMPRODUCT($P$46:$P$48,$I$46:$I$48)+SUMPRODUCT($P$49:$P$49,$I$49:$I$49)+SUMPRODUCT($P$50:$P$52,$I$50:$I$52)+SUMPRODUCT($P$53:$P$53,$I$53:$I$53)+SUMPRODUCT($P$54:$P$56,$I$54:$I$56)+SUMPRODUCT($P$57:$P$57,$I$57:$I$57)+SUMPRODUCT($P$58:$P$60,$I$58:$I$60)+SUMPRODUCT($P$61:$P$63,$I$61:$I$63)+SUMPRODUCT($P$64:$P$64,$I$64:$I$64)+SUMPRODUCT($P$65:$P$65,$I$65:$I$65)+SUMPRODUCT($P$66:$P$67,$I$66:$I$67))</f>
        <v>972476.14215000009</v>
      </c>
      <c r="Q71" s="19">
        <f>IF(ISERROR(+SUMPRODUCT($Q$7:$Q$10,$I$7:$I$10)+SUMPRODUCT($Q$11:$Q$14,$I$11:$I$14)+SUMPRODUCT($Q$15:$Q$15,$I$15:$I$15)+SUMPRODUCT($Q$16:$Q$20,$I$16:$I$20)+SUMPRODUCT($Q$21:$Q$24,$I$21:$I$24)+SUMPRODUCT($Q$25:$Q$25,$I$25:$I$25)+SUMPRODUCT($Q$26:$Q$30,$I$26:$I$30)+SUMPRODUCT($Q$31:$Q$32,$I$31:$I$32)+SUMPRODUCT($Q$33:$Q$35,$I$33:$I$35)+SUMPRODUCT($Q$36:$Q$40,$I$36:$I$40)+SUMPRODUCT($Q$41:$Q$45,$I$41:$I$45)+SUMPRODUCT($Q$46:$Q$48,$I$46:$I$48)+SUMPRODUCT($Q$49:$Q$49,$I$49:$I$49)+SUMPRODUCT($Q$50:$Q$52,$I$50:$I$52)+SUMPRODUCT($Q$53:$Q$53,$I$53:$I$53)+SUMPRODUCT($Q$54:$Q$56,$I$54:$I$56)+SUMPRODUCT($Q$57:$Q$57,$I$57:$I$57)+SUMPRODUCT($Q$58:$Q$60,$I$58:$I$60)+SUMPRODUCT($Q$61:$Q$63,$I$61:$I$63)+SUMPRODUCT($Q$64:$Q$64,$I$64:$I$64)+SUMPRODUCT($Q$65:$Q$65,$I$65:$I$65)+SUMPRODUCT($Q$66:$Q$67,$I$66:$I$67)),0,+SUMPRODUCT($Q$7:$Q$10,$I$7:$I$10)+SUMPRODUCT($Q$11:$Q$14,$I$11:$I$14)+SUMPRODUCT($Q$15:$Q$15,$I$15:$I$15)+SUMPRODUCT($Q$16:$Q$20,$I$16:$I$20)+SUMPRODUCT($Q$21:$Q$24,$I$21:$I$24)+SUMPRODUCT($Q$25:$Q$25,$I$25:$I$25)+SUMPRODUCT($Q$26:$Q$30,$I$26:$I$30)+SUMPRODUCT($Q$31:$Q$32,$I$31:$I$32)+SUMPRODUCT($Q$33:$Q$35,$I$33:$I$35)+SUMPRODUCT($Q$36:$Q$40,$I$36:$I$40)+SUMPRODUCT($Q$41:$Q$45,$I$41:$I$45)+SUMPRODUCT($Q$46:$Q$48,$I$46:$I$48)+SUMPRODUCT($Q$49:$Q$49,$I$49:$I$49)+SUMPRODUCT($Q$50:$Q$52,$I$50:$I$52)+SUMPRODUCT($Q$53:$Q$53,$I$53:$I$53)+SUMPRODUCT($Q$54:$Q$56,$I$54:$I$56)+SUMPRODUCT($Q$57:$Q$57,$I$57:$I$57)+SUMPRODUCT($Q$58:$Q$60,$I$58:$I$60)+SUMPRODUCT($Q$61:$Q$63,$I$61:$I$63)+SUMPRODUCT($Q$64:$Q$64,$I$64:$I$64)+SUMPRODUCT($Q$65:$Q$65,$I$65:$I$65)+SUMPRODUCT($Q$66:$Q$67,$I$66:$I$67))</f>
        <v>906371.35965000011</v>
      </c>
      <c r="R71" s="19">
        <f>IF(ISERROR(+SUMPRODUCT($R$7:$R$10,$I$7:$I$10)+SUMPRODUCT($R$11:$R$14,$I$11:$I$14)+SUMPRODUCT($R$15:$R$15,$I$15:$I$15)+SUMPRODUCT($R$16:$R$20,$I$16:$I$20)+SUMPRODUCT($R$21:$R$24,$I$21:$I$24)+SUMPRODUCT($R$25:$R$25,$I$25:$I$25)+SUMPRODUCT($R$26:$R$30,$I$26:$I$30)+SUMPRODUCT($R$31:$R$32,$I$31:$I$32)+SUMPRODUCT($R$33:$R$35,$I$33:$I$35)+SUMPRODUCT($R$36:$R$40,$I$36:$I$40)+SUMPRODUCT($R$41:$R$45,$I$41:$I$45)+SUMPRODUCT($R$46:$R$48,$I$46:$I$48)+SUMPRODUCT($R$49:$R$49,$I$49:$I$49)+SUMPRODUCT($R$50:$R$52,$I$50:$I$52)+SUMPRODUCT($R$53:$R$53,$I$53:$I$53)+SUMPRODUCT($R$54:$R$56,$I$54:$I$56)+SUMPRODUCT($R$57:$R$57,$I$57:$I$57)+SUMPRODUCT($R$58:$R$60,$I$58:$I$60)+SUMPRODUCT($R$61:$R$63,$I$61:$I$63)+SUMPRODUCT($R$64:$R$64,$I$64:$I$64)+SUMPRODUCT($R$65:$R$65,$I$65:$I$65)+SUMPRODUCT($R$66:$R$67,$I$66:$I$67)),0,+SUMPRODUCT($R$7:$R$10,$I$7:$I$10)+SUMPRODUCT($R$11:$R$14,$I$11:$I$14)+SUMPRODUCT($R$15:$R$15,$I$15:$I$15)+SUMPRODUCT($R$16:$R$20,$I$16:$I$20)+SUMPRODUCT($R$21:$R$24,$I$21:$I$24)+SUMPRODUCT($R$25:$R$25,$I$25:$I$25)+SUMPRODUCT($R$26:$R$30,$I$26:$I$30)+SUMPRODUCT($R$31:$R$32,$I$31:$I$32)+SUMPRODUCT($R$33:$R$35,$I$33:$I$35)+SUMPRODUCT($R$36:$R$40,$I$36:$I$40)+SUMPRODUCT($R$41:$R$45,$I$41:$I$45)+SUMPRODUCT($R$46:$R$48,$I$46:$I$48)+SUMPRODUCT($R$49:$R$49,$I$49:$I$49)+SUMPRODUCT($R$50:$R$52,$I$50:$I$52)+SUMPRODUCT($R$53:$R$53,$I$53:$I$53)+SUMPRODUCT($R$54:$R$56,$I$54:$I$56)+SUMPRODUCT($R$57:$R$57,$I$57:$I$57)+SUMPRODUCT($R$58:$R$60,$I$58:$I$60)+SUMPRODUCT($R$61:$R$63,$I$61:$I$63)+SUMPRODUCT($R$64:$R$64,$I$64:$I$64)+SUMPRODUCT($R$65:$R$65,$I$65:$I$65)+SUMPRODUCT($R$66:$R$67,$I$66:$I$67))</f>
        <v>972476.14215000009</v>
      </c>
      <c r="S71" s="19">
        <f>IF(ISERROR(+SUMPRODUCT($S$7:$S$10,$I$7:$I$10)+SUMPRODUCT($S$11:$S$14,$I$11:$I$14)+SUMPRODUCT($S$15:$S$15,$I$15:$I$15)+SUMPRODUCT($S$16:$S$20,$I$16:$I$20)+SUMPRODUCT($S$21:$S$24,$I$21:$I$24)+SUMPRODUCT($S$25:$S$25,$I$25:$I$25)+SUMPRODUCT($S$26:$S$30,$I$26:$I$30)+SUMPRODUCT($S$31:$S$32,$I$31:$I$32)+SUMPRODUCT($S$33:$S$35,$I$33:$I$35)+SUMPRODUCT($S$36:$S$40,$I$36:$I$40)+SUMPRODUCT($S$41:$S$45,$I$41:$I$45)+SUMPRODUCT($S$46:$S$48,$I$46:$I$48)+SUMPRODUCT($S$49:$S$49,$I$49:$I$49)+SUMPRODUCT($S$50:$S$52,$I$50:$I$52)+SUMPRODUCT($S$53:$S$53,$I$53:$I$53)+SUMPRODUCT($S$54:$S$56,$I$54:$I$56)+SUMPRODUCT($S$57:$S$57,$I$57:$I$57)+SUMPRODUCT($S$58:$S$60,$I$58:$I$60)+SUMPRODUCT($S$61:$S$63,$I$61:$I$63)+SUMPRODUCT($S$64:$S$64,$I$64:$I$64)+SUMPRODUCT($S$65:$S$65,$I$65:$I$65)+SUMPRODUCT($S$66:$S$67,$I$66:$I$67)),0,+SUMPRODUCT($S$7:$S$10,$I$7:$I$10)+SUMPRODUCT($S$11:$S$14,$I$11:$I$14)+SUMPRODUCT($S$15:$S$15,$I$15:$I$15)+SUMPRODUCT($S$16:$S$20,$I$16:$I$20)+SUMPRODUCT($S$21:$S$24,$I$21:$I$24)+SUMPRODUCT($S$25:$S$25,$I$25:$I$25)+SUMPRODUCT($S$26:$S$30,$I$26:$I$30)+SUMPRODUCT($S$31:$S$32,$I$31:$I$32)+SUMPRODUCT($S$33:$S$35,$I$33:$I$35)+SUMPRODUCT($S$36:$S$40,$I$36:$I$40)+SUMPRODUCT($S$41:$S$45,$I$41:$I$45)+SUMPRODUCT($S$46:$S$48,$I$46:$I$48)+SUMPRODUCT($S$49:$S$49,$I$49:$I$49)+SUMPRODUCT($S$50:$S$52,$I$50:$I$52)+SUMPRODUCT($S$53:$S$53,$I$53:$I$53)+SUMPRODUCT($S$54:$S$56,$I$54:$I$56)+SUMPRODUCT($S$57:$S$57,$I$57:$I$57)+SUMPRODUCT($S$58:$S$60,$I$58:$I$60)+SUMPRODUCT($S$61:$S$63,$I$61:$I$63)+SUMPRODUCT($S$64:$S$64,$I$64:$I$64)+SUMPRODUCT($S$65:$S$65,$I$65:$I$65)+SUMPRODUCT($S$66:$S$67,$I$66:$I$67))</f>
        <v>1064176.2321500001</v>
      </c>
      <c r="T71" s="19"/>
      <c r="U71" s="19">
        <f>IF(ISERROR(+SUMPRODUCT($U$7:$U$10,$I$7:$I$10)+SUMPRODUCT($U$11:$U$14,$I$11:$I$14)+SUMPRODUCT($U$15:$U$15,$I$15:$I$15)+SUMPRODUCT($U$16:$U$20,$I$16:$I$20)+SUMPRODUCT($U$21:$U$24,$I$21:$I$24)+SUMPRODUCT($U$25:$U$25,$I$25:$I$25)+SUMPRODUCT($U$26:$U$30,$I$26:$I$30)+SUMPRODUCT($U$31:$U$32,$I$31:$I$32)+SUMPRODUCT($U$33:$U$35,$I$33:$I$35)+SUMPRODUCT($U$36:$U$40,$I$36:$I$40)+SUMPRODUCT($U$41:$U$45,$I$41:$I$45)+SUMPRODUCT($U$46:$U$48,$I$46:$I$48)+SUMPRODUCT($U$49:$U$49,$I$49:$I$49)+SUMPRODUCT($U$50:$U$52,$I$50:$I$52)+SUMPRODUCT($U$53:$U$53,$I$53:$I$53)+SUMPRODUCT($U$54:$U$56,$I$54:$I$56)+SUMPRODUCT($U$57:$U$57,$I$57:$I$57)+SUMPRODUCT($U$58:$U$60,$I$58:$I$60)+SUMPRODUCT($U$61:$U$63,$I$61:$I$63)+SUMPRODUCT($U$64:$U$64,$I$64:$I$64)+SUMPRODUCT($U$65:$U$65,$I$65:$I$65)+SUMPRODUCT($U$66:$U$67,$I$66:$I$67)),0,+SUMPRODUCT($U$7:$U$10,$I$7:$I$10)+SUMPRODUCT($U$11:$U$14,$I$11:$I$14)+SUMPRODUCT($U$15:$U$15,$I$15:$I$15)+SUMPRODUCT($U$16:$U$20,$I$16:$I$20)+SUMPRODUCT($U$21:$U$24,$I$21:$I$24)+SUMPRODUCT($U$25:$U$25,$I$25:$I$25)+SUMPRODUCT($U$26:$U$30,$I$26:$I$30)+SUMPRODUCT($U$31:$U$32,$I$31:$I$32)+SUMPRODUCT($U$33:$U$35,$I$33:$I$35)+SUMPRODUCT($U$36:$U$40,$I$36:$I$40)+SUMPRODUCT($U$41:$U$45,$I$41:$I$45)+SUMPRODUCT($U$46:$U$48,$I$46:$I$48)+SUMPRODUCT($U$49:$U$49,$I$49:$I$49)+SUMPRODUCT($U$50:$U$52,$I$50:$I$52)+SUMPRODUCT($U$53:$U$53,$I$53:$I$53)+SUMPRODUCT($U$54:$U$56,$I$54:$I$56)+SUMPRODUCT($U$57:$U$57,$I$57:$I$57)+SUMPRODUCT($U$58:$U$60,$I$58:$I$60)+SUMPRODUCT($U$61:$U$63,$I$61:$I$63)+SUMPRODUCT($U$64:$U$64,$I$64:$I$64)+SUMPRODUCT($U$65:$U$65,$I$65:$I$65)+SUMPRODUCT($U$66:$U$67,$I$66:$I$67))</f>
        <v>30090119.518666279</v>
      </c>
      <c r="V71" s="19">
        <f>IF(ISERROR(+SUMPRODUCT($V$7:$V$10,$I$7:$I$10)+SUMPRODUCT($V$11:$V$14,$I$11:$I$14)+SUMPRODUCT($V$15:$V$15,$I$15:$I$15)+SUMPRODUCT($V$16:$V$20,$I$16:$I$20)+SUMPRODUCT($V$21:$V$24,$I$21:$I$24)+SUMPRODUCT($V$25:$V$25,$I$25:$I$25)+SUMPRODUCT($V$26:$V$30,$I$26:$I$30)+SUMPRODUCT($V$31:$V$32,$I$31:$I$32)+SUMPRODUCT($V$33:$V$35,$I$33:$I$35)+SUMPRODUCT($V$36:$V$40,$I$36:$I$40)+SUMPRODUCT($V$41:$V$45,$I$41:$I$45)+SUMPRODUCT($V$46:$V$48,$I$46:$I$48)+SUMPRODUCT($V$49:$V$49,$I$49:$I$49)+SUMPRODUCT($V$50:$V$52,$I$50:$I$52)+SUMPRODUCT($V$53:$V$53,$I$53:$I$53)+SUMPRODUCT($V$54:$V$56,$I$54:$I$56)+SUMPRODUCT($V$57:$V$57,$I$57:$I$57)+SUMPRODUCT($V$58:$V$60,$I$58:$I$60)+SUMPRODUCT($V$61:$V$63,$I$61:$I$63)+SUMPRODUCT($V$64:$V$64,$I$64:$I$64)+SUMPRODUCT($V$65:$V$65,$I$65:$I$65)+SUMPRODUCT($V$66:$V$67,$I$66:$I$67)),0,+SUMPRODUCT($V$7:$V$10,$I$7:$I$10)+SUMPRODUCT($V$11:$V$14,$I$11:$I$14)+SUMPRODUCT($V$15:$V$15,$I$15:$I$15)+SUMPRODUCT($V$16:$V$20,$I$16:$I$20)+SUMPRODUCT($V$21:$V$24,$I$21:$I$24)+SUMPRODUCT($V$25:$V$25,$I$25:$I$25)+SUMPRODUCT($V$26:$V$30,$I$26:$I$30)+SUMPRODUCT($V$31:$V$32,$I$31:$I$32)+SUMPRODUCT($V$33:$V$35,$I$33:$I$35)+SUMPRODUCT($V$36:$V$40,$I$36:$I$40)+SUMPRODUCT($V$41:$V$45,$I$41:$I$45)+SUMPRODUCT($V$46:$V$48,$I$46:$I$48)+SUMPRODUCT($V$49:$V$49,$I$49:$I$49)+SUMPRODUCT($V$50:$V$52,$I$50:$I$52)+SUMPRODUCT($V$53:$V$53,$I$53:$I$53)+SUMPRODUCT($V$54:$V$56,$I$54:$I$56)+SUMPRODUCT($V$57:$V$57,$I$57:$I$57)+SUMPRODUCT($V$58:$V$60,$I$58:$I$60)+SUMPRODUCT($V$61:$V$63,$I$61:$I$63)+SUMPRODUCT($V$64:$V$64,$I$64:$I$64)+SUMPRODUCT($V$65:$V$65,$I$65:$I$65)+SUMPRODUCT($V$66:$V$67,$I$66:$I$67))</f>
        <v>6636116.3325790837</v>
      </c>
      <c r="W71" s="19">
        <f>IF(ISERROR(+SUMPRODUCT($W$7:$W$10,$I$7:$I$10)+SUMPRODUCT($W$11:$W$14,$I$11:$I$14)+SUMPRODUCT($W$15:$W$15,$I$15:$I$15)+SUMPRODUCT($W$16:$W$20,$I$16:$I$20)+SUMPRODUCT($W$21:$W$24,$I$21:$I$24)+SUMPRODUCT($W$25:$W$25,$I$25:$I$25)+SUMPRODUCT($W$26:$W$30,$I$26:$I$30)+SUMPRODUCT($W$31:$W$32,$I$31:$I$32)+SUMPRODUCT($W$33:$W$35,$I$33:$I$35)+SUMPRODUCT($W$36:$W$40,$I$36:$I$40)+SUMPRODUCT($W$41:$W$45,$I$41:$I$45)+SUMPRODUCT($W$46:$W$48,$I$46:$I$48)+SUMPRODUCT($W$49:$W$49,$I$49:$I$49)+SUMPRODUCT($W$50:$W$52,$I$50:$I$52)+SUMPRODUCT($W$53:$W$53,$I$53:$I$53)+SUMPRODUCT($W$54:$W$56,$I$54:$I$56)+SUMPRODUCT($W$57:$W$57,$I$57:$I$57)+SUMPRODUCT($W$58:$W$60,$I$58:$I$60)+SUMPRODUCT($W$61:$W$63,$I$61:$I$63)+SUMPRODUCT($W$64:$W$64,$I$64:$I$64)+SUMPRODUCT($W$65:$W$65,$I$65:$I$65)+SUMPRODUCT($W$66:$W$67,$I$66:$I$67)),0,+SUMPRODUCT($W$7:$W$10,$I$7:$I$10)+SUMPRODUCT($W$11:$W$14,$I$11:$I$14)+SUMPRODUCT($W$15:$W$15,$I$15:$I$15)+SUMPRODUCT($W$16:$W$20,$I$16:$I$20)+SUMPRODUCT($W$21:$W$24,$I$21:$I$24)+SUMPRODUCT($W$25:$W$25,$I$25:$I$25)+SUMPRODUCT($W$26:$W$30,$I$26:$I$30)+SUMPRODUCT($W$31:$W$32,$I$31:$I$32)+SUMPRODUCT($W$33:$W$35,$I$33:$I$35)+SUMPRODUCT($W$36:$W$40,$I$36:$I$40)+SUMPRODUCT($W$41:$W$45,$I$41:$I$45)+SUMPRODUCT($W$46:$W$48,$I$46:$I$48)+SUMPRODUCT($W$49:$W$49,$I$49:$I$49)+SUMPRODUCT($W$50:$W$52,$I$50:$I$52)+SUMPRODUCT($W$53:$W$53,$I$53:$I$53)+SUMPRODUCT($W$54:$W$56,$I$54:$I$56)+SUMPRODUCT($W$57:$W$57,$I$57:$I$57)+SUMPRODUCT($W$58:$W$60,$I$58:$I$60)+SUMPRODUCT($W$61:$W$63,$I$61:$I$63)+SUMPRODUCT($W$64:$W$64,$I$64:$I$64)+SUMPRODUCT($W$65:$W$65,$I$65:$I$65)+SUMPRODUCT($W$66:$W$67,$I$66:$I$67))</f>
        <v>172019.09044432497</v>
      </c>
      <c r="X71" s="19">
        <f>IF(ISERROR(+SUMPRODUCT($X$7:$X$10,$I$7:$I$10)+SUMPRODUCT($X$11:$X$14,$I$11:$I$14)+SUMPRODUCT($X$15:$X$15,$I$15:$I$15)+SUMPRODUCT($X$16:$X$20,$I$16:$I$20)+SUMPRODUCT($X$21:$X$24,$I$21:$I$24)+SUMPRODUCT($X$25:$X$25,$I$25:$I$25)+SUMPRODUCT($X$26:$X$30,$I$26:$I$30)+SUMPRODUCT($X$31:$X$32,$I$31:$I$32)+SUMPRODUCT($X$33:$X$35,$I$33:$I$35)+SUMPRODUCT($X$36:$X$40,$I$36:$I$40)+SUMPRODUCT($X$41:$X$45,$I$41:$I$45)+SUMPRODUCT($X$46:$X$48,$I$46:$I$48)+SUMPRODUCT($X$49:$X$49,$I$49:$I$49)+SUMPRODUCT($X$50:$X$52,$I$50:$I$52)+SUMPRODUCT($X$53:$X$53,$I$53:$I$53)+SUMPRODUCT($X$54:$X$56,$I$54:$I$56)+SUMPRODUCT($X$57:$X$57,$I$57:$I$57)+SUMPRODUCT($X$58:$X$60,$I$58:$I$60)+SUMPRODUCT($X$61:$X$63,$I$61:$I$63)+SUMPRODUCT($X$64:$X$64,$I$64:$I$64)+SUMPRODUCT($X$65:$X$65,$I$65:$I$65)+SUMPRODUCT($X$66:$X$67,$I$66:$I$67)),0,+SUMPRODUCT($X$7:$X$10,$I$7:$I$10)+SUMPRODUCT($X$11:$X$14,$I$11:$I$14)+SUMPRODUCT($X$15:$X$15,$I$15:$I$15)+SUMPRODUCT($X$16:$X$20,$I$16:$I$20)+SUMPRODUCT($X$21:$X$24,$I$21:$I$24)+SUMPRODUCT($X$25:$X$25,$I$25:$I$25)+SUMPRODUCT($X$26:$X$30,$I$26:$I$30)+SUMPRODUCT($X$31:$X$32,$I$31:$I$32)+SUMPRODUCT($X$33:$X$35,$I$33:$I$35)+SUMPRODUCT($X$36:$X$40,$I$36:$I$40)+SUMPRODUCT($X$41:$X$45,$I$41:$I$45)+SUMPRODUCT($X$46:$X$48,$I$46:$I$48)+SUMPRODUCT($X$49:$X$49,$I$49:$I$49)+SUMPRODUCT($X$50:$X$52,$I$50:$I$52)+SUMPRODUCT($X$53:$X$53,$I$53:$I$53)+SUMPRODUCT($X$54:$X$56,$I$54:$I$56)+SUMPRODUCT($X$57:$X$57,$I$57:$I$57)+SUMPRODUCT($X$58:$X$60,$I$58:$I$60)+SUMPRODUCT($X$61:$X$63,$I$61:$I$63)+SUMPRODUCT($X$64:$X$64,$I$64:$I$64)+SUMPRODUCT($X$65:$X$65,$I$65:$I$65)+SUMPRODUCT($X$66:$X$67,$I$66:$I$67))</f>
        <v>0</v>
      </c>
      <c r="Y71" s="19">
        <f>IF(ISERROR(+SUMPRODUCT($Y$7:$Y$10,$I$7:$I$10)+SUMPRODUCT($Y$11:$Y$14,$I$11:$I$14)+SUMPRODUCT($Y$15:$Y$15,$I$15:$I$15)+SUMPRODUCT($Y$16:$Y$20,$I$16:$I$20)+SUMPRODUCT($Y$21:$Y$24,$I$21:$I$24)+SUMPRODUCT($Y$25:$Y$25,$I$25:$I$25)+SUMPRODUCT($Y$26:$Y$30,$I$26:$I$30)+SUMPRODUCT($Y$31:$Y$32,$I$31:$I$32)+SUMPRODUCT($Y$33:$Y$35,$I$33:$I$35)+SUMPRODUCT($Y$36:$Y$40,$I$36:$I$40)+SUMPRODUCT($Y$41:$Y$45,$I$41:$I$45)+SUMPRODUCT($Y$46:$Y$48,$I$46:$I$48)+SUMPRODUCT($Y$49:$Y$49,$I$49:$I$49)+SUMPRODUCT($Y$50:$Y$52,$I$50:$I$52)+SUMPRODUCT($Y$53:$Y$53,$I$53:$I$53)+SUMPRODUCT($Y$54:$Y$56,$I$54:$I$56)+SUMPRODUCT($Y$57:$Y$57,$I$57:$I$57)+SUMPRODUCT($Y$58:$Y$60,$I$58:$I$60)+SUMPRODUCT($Y$61:$Y$63,$I$61:$I$63)+SUMPRODUCT($Y$64:$Y$64,$I$64:$I$64)+SUMPRODUCT($Y$65:$Y$65,$I$65:$I$65)+SUMPRODUCT($Y$66:$Y$67,$I$66:$I$67)),0,+SUMPRODUCT($Y$7:$Y$10,$I$7:$I$10)+SUMPRODUCT($Y$11:$Y$14,$I$11:$I$14)+SUMPRODUCT($Y$15:$Y$15,$I$15:$I$15)+SUMPRODUCT($Y$16:$Y$20,$I$16:$I$20)+SUMPRODUCT($Y$21:$Y$24,$I$21:$I$24)+SUMPRODUCT($Y$25:$Y$25,$I$25:$I$25)+SUMPRODUCT($Y$26:$Y$30,$I$26:$I$30)+SUMPRODUCT($Y$31:$Y$32,$I$31:$I$32)+SUMPRODUCT($Y$33:$Y$35,$I$33:$I$35)+SUMPRODUCT($Y$36:$Y$40,$I$36:$I$40)+SUMPRODUCT($Y$41:$Y$45,$I$41:$I$45)+SUMPRODUCT($Y$46:$Y$48,$I$46:$I$48)+SUMPRODUCT($Y$49:$Y$49,$I$49:$I$49)+SUMPRODUCT($Y$50:$Y$52,$I$50:$I$52)+SUMPRODUCT($Y$53:$Y$53,$I$53:$I$53)+SUMPRODUCT($Y$54:$Y$56,$I$54:$I$56)+SUMPRODUCT($Y$57:$Y$57,$I$57:$I$57)+SUMPRODUCT($Y$58:$Y$60,$I$58:$I$60)+SUMPRODUCT($Y$61:$Y$63,$I$61:$I$63)+SUMPRODUCT($Y$64:$Y$64,$I$64:$I$64)+SUMPRODUCT($Y$65:$Y$65,$I$65:$I$65)+SUMPRODUCT($Y$66:$Y$67,$I$66:$I$67))</f>
        <v>0</v>
      </c>
      <c r="Z71" s="19">
        <f>IF(ISERROR(+SUMPRODUCT($Z$7:$Z$10,$I$7:$I$10)+SUMPRODUCT($Z$11:$Z$14,$I$11:$I$14)+SUMPRODUCT($Z$15:$Z$15,$I$15:$I$15)+SUMPRODUCT($Z$16:$Z$20,$I$16:$I$20)+SUMPRODUCT($Z$21:$Z$24,$I$21:$I$24)+SUMPRODUCT($Z$25:$Z$25,$I$25:$I$25)+SUMPRODUCT($Z$26:$Z$30,$I$26:$I$30)+SUMPRODUCT($Z$31:$Z$32,$I$31:$I$32)+SUMPRODUCT($Z$33:$Z$35,$I$33:$I$35)+SUMPRODUCT($Z$36:$Z$40,$I$36:$I$40)+SUMPRODUCT($Z$41:$Z$45,$I$41:$I$45)+SUMPRODUCT($Z$46:$Z$48,$I$46:$I$48)+SUMPRODUCT($Z$49:$Z$49,$I$49:$I$49)+SUMPRODUCT($Z$50:$Z$52,$I$50:$I$52)+SUMPRODUCT($Z$53:$Z$53,$I$53:$I$53)+SUMPRODUCT($Z$54:$Z$56,$I$54:$I$56)+SUMPRODUCT($Z$57:$Z$57,$I$57:$I$57)+SUMPRODUCT($Z$58:$Z$60,$I$58:$I$60)+SUMPRODUCT($Z$61:$Z$63,$I$61:$I$63)+SUMPRODUCT($Z$64:$Z$64,$I$64:$I$64)+SUMPRODUCT($Z$65:$Z$65,$I$65:$I$65)+SUMPRODUCT($Z$66:$Z$67,$I$66:$I$67)),0,+SUMPRODUCT($Z$7:$Z$10,$I$7:$I$10)+SUMPRODUCT($Z$11:$Z$14,$I$11:$I$14)+SUMPRODUCT($Z$15:$Z$15,$I$15:$I$15)+SUMPRODUCT($Z$16:$Z$20,$I$16:$I$20)+SUMPRODUCT($Z$21:$Z$24,$I$21:$I$24)+SUMPRODUCT($Z$25:$Z$25,$I$25:$I$25)+SUMPRODUCT($Z$26:$Z$30,$I$26:$I$30)+SUMPRODUCT($Z$31:$Z$32,$I$31:$I$32)+SUMPRODUCT($Z$33:$Z$35,$I$33:$I$35)+SUMPRODUCT($Z$36:$Z$40,$I$36:$I$40)+SUMPRODUCT($Z$41:$Z$45,$I$41:$I$45)+SUMPRODUCT($Z$46:$Z$48,$I$46:$I$48)+SUMPRODUCT($Z$49:$Z$49,$I$49:$I$49)+SUMPRODUCT($Z$50:$Z$52,$I$50:$I$52)+SUMPRODUCT($Z$53:$Z$53,$I$53:$I$53)+SUMPRODUCT($Z$54:$Z$56,$I$54:$I$56)+SUMPRODUCT($Z$57:$Z$57,$I$57:$I$57)+SUMPRODUCT($Z$58:$Z$60,$I$58:$I$60)+SUMPRODUCT($Z$61:$Z$63,$I$61:$I$63)+SUMPRODUCT($Z$64:$Z$64,$I$64:$I$64)+SUMPRODUCT($Z$65:$Z$65,$I$65:$I$65)+SUMPRODUCT($Z$66:$Z$67,$I$66:$I$67))</f>
        <v>0</v>
      </c>
      <c r="AA71" s="19">
        <f>IF(ISERROR(+SUMPRODUCT($AA$7:$AA$10,$I$7:$I$10)+SUMPRODUCT($AA$11:$AA$14,$I$11:$I$14)+SUMPRODUCT($AA$15:$AA$15,$I$15:$I$15)+SUMPRODUCT($AA$16:$AA$20,$I$16:$I$20)+SUMPRODUCT($AA$21:$AA$24,$I$21:$I$24)+SUMPRODUCT($AA$25:$AA$25,$I$25:$I$25)+SUMPRODUCT($AA$26:$AA$30,$I$26:$I$30)+SUMPRODUCT($AA$31:$AA$32,$I$31:$I$32)+SUMPRODUCT($AA$33:$AA$35,$I$33:$I$35)+SUMPRODUCT($AA$36:$AA$40,$I$36:$I$40)+SUMPRODUCT($AA$41:$AA$45,$I$41:$I$45)+SUMPRODUCT($AA$46:$AA$48,$I$46:$I$48)+SUMPRODUCT($AA$49:$AA$49,$I$49:$I$49)+SUMPRODUCT($AA$50:$AA$52,$I$50:$I$52)+SUMPRODUCT($AA$53:$AA$53,$I$53:$I$53)+SUMPRODUCT($AA$54:$AA$56,$I$54:$I$56)+SUMPRODUCT($AA$57:$AA$57,$I$57:$I$57)+SUMPRODUCT($AA$58:$AA$60,$I$58:$I$60)+SUMPRODUCT($AA$61:$AA$63,$I$61:$I$63)+SUMPRODUCT($AA$64:$AA$64,$I$64:$I$64)+SUMPRODUCT($AA$65:$AA$65,$I$65:$I$65)+SUMPRODUCT($AA$66:$AA$67,$I$66:$I$67)),0,+SUMPRODUCT($AA$7:$AA$10,$I$7:$I$10)+SUMPRODUCT($AA$11:$AA$14,$I$11:$I$14)+SUMPRODUCT($AA$15:$AA$15,$I$15:$I$15)+SUMPRODUCT($AA$16:$AA$20,$I$16:$I$20)+SUMPRODUCT($AA$21:$AA$24,$I$21:$I$24)+SUMPRODUCT($AA$25:$AA$25,$I$25:$I$25)+SUMPRODUCT($AA$26:$AA$30,$I$26:$I$30)+SUMPRODUCT($AA$31:$AA$32,$I$31:$I$32)+SUMPRODUCT($AA$33:$AA$35,$I$33:$I$35)+SUMPRODUCT($AA$36:$AA$40,$I$36:$I$40)+SUMPRODUCT($AA$41:$AA$45,$I$41:$I$45)+SUMPRODUCT($AA$46:$AA$48,$I$46:$I$48)+SUMPRODUCT($AA$49:$AA$49,$I$49:$I$49)+SUMPRODUCT($AA$50:$AA$52,$I$50:$I$52)+SUMPRODUCT($AA$53:$AA$53,$I$53:$I$53)+SUMPRODUCT($AA$54:$AA$56,$I$54:$I$56)+SUMPRODUCT($AA$57:$AA$57,$I$57:$I$57)+SUMPRODUCT($AA$58:$AA$60,$I$58:$I$60)+SUMPRODUCT($AA$61:$AA$63,$I$61:$I$63)+SUMPRODUCT($AA$64:$AA$64,$I$64:$I$64)+SUMPRODUCT($AA$65:$AA$65,$I$65:$I$65)+SUMPRODUCT($AA$66:$AA$67,$I$66:$I$67))</f>
        <v>0</v>
      </c>
      <c r="AB71" s="19"/>
      <c r="AC71" s="19">
        <f>IF(ISERROR(+SUMPRODUCT($AC$7:$AC$10,$I$7:$I$10)+SUMPRODUCT($AC$11:$AC$14,$I$11:$I$14)+SUMPRODUCT($AC$15:$AC$15,$I$15:$I$15)+SUMPRODUCT($AC$16:$AC$20,$I$16:$I$20)+SUMPRODUCT($AC$21:$AC$24,$I$21:$I$24)+SUMPRODUCT($AC$25:$AC$25,$I$25:$I$25)+SUMPRODUCT($AC$26:$AC$30,$I$26:$I$30)+SUMPRODUCT($AC$31:$AC$32,$I$31:$I$32)+SUMPRODUCT($AC$33:$AC$35,$I$33:$I$35)+SUMPRODUCT($AC$36:$AC$40,$I$36:$I$40)+SUMPRODUCT($AC$41:$AC$45,$I$41:$I$45)+SUMPRODUCT($AC$46:$AC$48,$I$46:$I$48)+SUMPRODUCT($AC$49:$AC$49,$I$49:$I$49)+SUMPRODUCT($AC$50:$AC$52,$I$50:$I$52)+SUMPRODUCT($AC$53:$AC$53,$I$53:$I$53)+SUMPRODUCT($AC$54:$AC$56,$I$54:$I$56)+SUMPRODUCT($AC$57:$AC$57,$I$57:$I$57)+SUMPRODUCT($AC$58:$AC$60,$I$58:$I$60)+SUMPRODUCT($AC$61:$AC$63,$I$61:$I$63)+SUMPRODUCT($AC$64:$AC$64,$I$64:$I$64)+SUMPRODUCT($AC$65:$AC$65,$I$65:$I$65)+SUMPRODUCT($AC$66:$AC$67,$I$66:$I$67)),0,+SUMPRODUCT($AC$7:$AC$10,$I$7:$I$10)+SUMPRODUCT($AC$11:$AC$14,$I$11:$I$14)+SUMPRODUCT($AC$15:$AC$15,$I$15:$I$15)+SUMPRODUCT($AC$16:$AC$20,$I$16:$I$20)+SUMPRODUCT($AC$21:$AC$24,$I$21:$I$24)+SUMPRODUCT($AC$25:$AC$25,$I$25:$I$25)+SUMPRODUCT($AC$26:$AC$30,$I$26:$I$30)+SUMPRODUCT($AC$31:$AC$32,$I$31:$I$32)+SUMPRODUCT($AC$33:$AC$35,$I$33:$I$35)+SUMPRODUCT($AC$36:$AC$40,$I$36:$I$40)+SUMPRODUCT($AC$41:$AC$45,$I$41:$I$45)+SUMPRODUCT($AC$46:$AC$48,$I$46:$I$48)+SUMPRODUCT($AC$49:$AC$49,$I$49:$I$49)+SUMPRODUCT($AC$50:$AC$52,$I$50:$I$52)+SUMPRODUCT($AC$53:$AC$53,$I$53:$I$53)+SUMPRODUCT($AC$54:$AC$56,$I$54:$I$56)+SUMPRODUCT($AC$57:$AC$57,$I$57:$I$57)+SUMPRODUCT($AC$58:$AC$60,$I$58:$I$60)+SUMPRODUCT($AC$61:$AC$63,$I$61:$I$63)+SUMPRODUCT($AC$64:$AC$64,$I$64:$I$64)+SUMPRODUCT($AC$65:$AC$65,$I$65:$I$65)+SUMPRODUCT($AC$66:$AC$67,$I$66:$I$67))</f>
        <v>207323361.26632774</v>
      </c>
      <c r="AD71" s="19"/>
      <c r="AE71" s="19">
        <f>IF(ISERROR(+SUMPRODUCT($AE$7:$AE$10,$I$7:$I$10)+SUMPRODUCT($AE$11:$AE$14,$I$11:$I$14)+SUMPRODUCT($AE$15:$AE$15,$I$15:$I$15)+SUMPRODUCT($AE$16:$AE$20,$I$16:$I$20)+SUMPRODUCT($AE$21:$AE$24,$I$21:$I$24)+SUMPRODUCT($AE$25:$AE$25,$I$25:$I$25)+SUMPRODUCT($AE$26:$AE$30,$I$26:$I$30)+SUMPRODUCT($AE$31:$AE$32,$I$31:$I$32)+SUMPRODUCT($AE$33:$AE$35,$I$33:$I$35)+SUMPRODUCT($AE$36:$AE$40,$I$36:$I$40)+SUMPRODUCT($AE$41:$AE$45,$I$41:$I$45)+SUMPRODUCT($AE$46:$AE$48,$I$46:$I$48)+SUMPRODUCT($AE$49:$AE$49,$I$49:$I$49)+SUMPRODUCT($AE$50:$AE$52,$I$50:$I$52)+SUMPRODUCT($AE$53:$AE$53,$I$53:$I$53)+SUMPRODUCT($AE$54:$AE$56,$I$54:$I$56)+SUMPRODUCT($AE$57:$AE$57,$I$57:$I$57)+SUMPRODUCT($AE$58:$AE$60,$I$58:$I$60)+SUMPRODUCT($AE$61:$AE$63,$I$61:$I$63)+SUMPRODUCT($AE$64:$AE$64,$I$64:$I$64)+SUMPRODUCT($AE$65:$AE$65,$I$65:$I$65)+SUMPRODUCT($AE$66:$AE$67,$I$66:$I$67)),0,+SUMPRODUCT($AE$7:$AE$10,$I$7:$I$10)+SUMPRODUCT($AE$11:$AE$14,$I$11:$I$14)+SUMPRODUCT($AE$15:$AE$15,$I$15:$I$15)+SUMPRODUCT($AE$16:$AE$20,$I$16:$I$20)+SUMPRODUCT($AE$21:$AE$24,$I$21:$I$24)+SUMPRODUCT($AE$25:$AE$25,$I$25:$I$25)+SUMPRODUCT($AE$26:$AE$30,$I$26:$I$30)+SUMPRODUCT($AE$31:$AE$32,$I$31:$I$32)+SUMPRODUCT($AE$33:$AE$35,$I$33:$I$35)+SUMPRODUCT($AE$36:$AE$40,$I$36:$I$40)+SUMPRODUCT($AE$41:$AE$45,$I$41:$I$45)+SUMPRODUCT($AE$46:$AE$48,$I$46:$I$48)+SUMPRODUCT($AE$49:$AE$49,$I$49:$I$49)+SUMPRODUCT($AE$50:$AE$52,$I$50:$I$52)+SUMPRODUCT($AE$53:$AE$53,$I$53:$I$53)+SUMPRODUCT($AE$54:$AE$56,$I$54:$I$56)+SUMPRODUCT($AE$57:$AE$57,$I$57:$I$57)+SUMPRODUCT($AE$58:$AE$60,$I$58:$I$60)+SUMPRODUCT($AE$61:$AE$63,$I$61:$I$63)+SUMPRODUCT($AE$64:$AE$64,$I$64:$I$64)+SUMPRODUCT($AE$65:$AE$65,$I$65:$I$65)+SUMPRODUCT($AE$66:$AE$67,$I$66:$I$67))</f>
        <v>0</v>
      </c>
      <c r="AF71" s="19">
        <f>IF(ISERROR(+SUMPRODUCT($AF$7:$AF$10,$I$7:$I$10)+SUMPRODUCT($AF$11:$AF$14,$I$11:$I$14)+SUMPRODUCT($AF$15:$AF$15,$I$15:$I$15)+SUMPRODUCT($AF$16:$AF$20,$I$16:$I$20)+SUMPRODUCT($AF$21:$AF$24,$I$21:$I$24)+SUMPRODUCT($AF$25:$AF$25,$I$25:$I$25)+SUMPRODUCT($AF$26:$AF$30,$I$26:$I$30)+SUMPRODUCT($AF$31:$AF$32,$I$31:$I$32)+SUMPRODUCT($AF$33:$AF$35,$I$33:$I$35)+SUMPRODUCT($AF$36:$AF$40,$I$36:$I$40)+SUMPRODUCT($AF$41:$AF$45,$I$41:$I$45)+SUMPRODUCT($AF$46:$AF$48,$I$46:$I$48)+SUMPRODUCT($AF$49:$AF$49,$I$49:$I$49)+SUMPRODUCT($AF$50:$AF$52,$I$50:$I$52)+SUMPRODUCT($AF$53:$AF$53,$I$53:$I$53)+SUMPRODUCT($AF$54:$AF$56,$I$54:$I$56)+SUMPRODUCT($AF$57:$AF$57,$I$57:$I$57)+SUMPRODUCT($AF$58:$AF$60,$I$58:$I$60)+SUMPRODUCT($AF$61:$AF$63,$I$61:$I$63)+SUMPRODUCT($AF$64:$AF$64,$I$64:$I$64)+SUMPRODUCT($AF$65:$AF$65,$I$65:$I$65)+SUMPRODUCT($AF$66:$AF$67,$I$66:$I$67)),0,+SUMPRODUCT($AF$7:$AF$10,$I$7:$I$10)+SUMPRODUCT($AF$11:$AF$14,$I$11:$I$14)+SUMPRODUCT($AF$15:$AF$15,$I$15:$I$15)+SUMPRODUCT($AF$16:$AF$20,$I$16:$I$20)+SUMPRODUCT($AF$21:$AF$24,$I$21:$I$24)+SUMPRODUCT($AF$25:$AF$25,$I$25:$I$25)+SUMPRODUCT($AF$26:$AF$30,$I$26:$I$30)+SUMPRODUCT($AF$31:$AF$32,$I$31:$I$32)+SUMPRODUCT($AF$33:$AF$35,$I$33:$I$35)+SUMPRODUCT($AF$36:$AF$40,$I$36:$I$40)+SUMPRODUCT($AF$41:$AF$45,$I$41:$I$45)+SUMPRODUCT($AF$46:$AF$48,$I$46:$I$48)+SUMPRODUCT($AF$49:$AF$49,$I$49:$I$49)+SUMPRODUCT($AF$50:$AF$52,$I$50:$I$52)+SUMPRODUCT($AF$53:$AF$53,$I$53:$I$53)+SUMPRODUCT($AF$54:$AF$56,$I$54:$I$56)+SUMPRODUCT($AF$57:$AF$57,$I$57:$I$57)+SUMPRODUCT($AF$58:$AF$60,$I$58:$I$60)+SUMPRODUCT($AF$61:$AF$63,$I$61:$I$63)+SUMPRODUCT($AF$64:$AF$64,$I$64:$I$64)+SUMPRODUCT($AF$65:$AF$65,$I$65:$I$65)+SUMPRODUCT($AF$66:$AF$67,$I$66:$I$67))</f>
        <v>0</v>
      </c>
      <c r="AG71" s="19"/>
      <c r="AH71" s="19">
        <f>IF(ISERROR(+SUMPRODUCT($AH$7:$AH$10,$I$7:$I$10)+SUMPRODUCT($AH$11:$AH$14,$I$11:$I$14)+SUMPRODUCT($AH$15:$AH$15,$I$15:$I$15)+SUMPRODUCT($AH$16:$AH$20,$I$16:$I$20)+SUMPRODUCT($AH$21:$AH$24,$I$21:$I$24)+SUMPRODUCT($AH$25:$AH$25,$I$25:$I$25)+SUMPRODUCT($AH$26:$AH$30,$I$26:$I$30)+SUMPRODUCT($AH$31:$AH$32,$I$31:$I$32)+SUMPRODUCT($AH$33:$AH$35,$I$33:$I$35)+SUMPRODUCT($AH$36:$AH$40,$I$36:$I$40)+SUMPRODUCT($AH$41:$AH$45,$I$41:$I$45)+SUMPRODUCT($AH$46:$AH$48,$I$46:$I$48)+SUMPRODUCT($AH$49:$AH$49,$I$49:$I$49)+SUMPRODUCT($AH$50:$AH$52,$I$50:$I$52)+SUMPRODUCT($AH$53:$AH$53,$I$53:$I$53)+SUMPRODUCT($AH$54:$AH$56,$I$54:$I$56)+SUMPRODUCT($AH$57:$AH$57,$I$57:$I$57)+SUMPRODUCT($AH$58:$AH$60,$I$58:$I$60)+SUMPRODUCT($AH$61:$AH$63,$I$61:$I$63)+SUMPRODUCT($AH$64:$AH$64,$I$64:$I$64)+SUMPRODUCT($AH$65:$AH$65,$I$65:$I$65)+SUMPRODUCT($AH$66:$AH$67,$I$66:$I$67)),0,+SUMPRODUCT($AH$7:$AH$10,$I$7:$I$10)+SUMPRODUCT($AH$11:$AH$14,$I$11:$I$14)+SUMPRODUCT($AH$15:$AH$15,$I$15:$I$15)+SUMPRODUCT($AH$16:$AH$20,$I$16:$I$20)+SUMPRODUCT($AH$21:$AH$24,$I$21:$I$24)+SUMPRODUCT($AH$25:$AH$25,$I$25:$I$25)+SUMPRODUCT($AH$26:$AH$30,$I$26:$I$30)+SUMPRODUCT($AH$31:$AH$32,$I$31:$I$32)+SUMPRODUCT($AH$33:$AH$35,$I$33:$I$35)+SUMPRODUCT($AH$36:$AH$40,$I$36:$I$40)+SUMPRODUCT($AH$41:$AH$45,$I$41:$I$45)+SUMPRODUCT($AH$46:$AH$48,$I$46:$I$48)+SUMPRODUCT($AH$49:$AH$49,$I$49:$I$49)+SUMPRODUCT($AH$50:$AH$52,$I$50:$I$52)+SUMPRODUCT($AH$53:$AH$53,$I$53:$I$53)+SUMPRODUCT($AH$54:$AH$56,$I$54:$I$56)+SUMPRODUCT($AH$57:$AH$57,$I$57:$I$57)+SUMPRODUCT($AH$58:$AH$60,$I$58:$I$60)+SUMPRODUCT($AH$61:$AH$63,$I$61:$I$63)+SUMPRODUCT($AH$64:$AH$64,$I$64:$I$64)+SUMPRODUCT($AH$65:$AH$65,$I$65:$I$65)+SUMPRODUCT($AH$66:$AH$67,$I$66:$I$67))</f>
        <v>1477715.1159634904</v>
      </c>
      <c r="AI71" s="19">
        <f>IF(ISERROR(+SUMPRODUCT($AI$7:$AI$10,$I$7:$I$10)+SUMPRODUCT($AI$11:$AI$14,$I$11:$I$14)+SUMPRODUCT($AI$15:$AI$15,$I$15:$I$15)+SUMPRODUCT($AI$16:$AI$20,$I$16:$I$20)+SUMPRODUCT($AI$21:$AI$24,$I$21:$I$24)+SUMPRODUCT($AI$25:$AI$25,$I$25:$I$25)+SUMPRODUCT($AI$26:$AI$30,$I$26:$I$30)+SUMPRODUCT($AI$31:$AI$32,$I$31:$I$32)+SUMPRODUCT($AI$33:$AI$35,$I$33:$I$35)+SUMPRODUCT($AI$36:$AI$40,$I$36:$I$40)+SUMPRODUCT($AI$41:$AI$45,$I$41:$I$45)+SUMPRODUCT($AI$46:$AI$48,$I$46:$I$48)+SUMPRODUCT($AI$49:$AI$49,$I$49:$I$49)+SUMPRODUCT($AI$50:$AI$52,$I$50:$I$52)+SUMPRODUCT($AI$53:$AI$53,$I$53:$I$53)+SUMPRODUCT($AI$54:$AI$56,$I$54:$I$56)+SUMPRODUCT($AI$57:$AI$57,$I$57:$I$57)+SUMPRODUCT($AI$58:$AI$60,$I$58:$I$60)+SUMPRODUCT($AI$61:$AI$63,$I$61:$I$63)+SUMPRODUCT($AI$64:$AI$64,$I$64:$I$64)+SUMPRODUCT($AI$65:$AI$65,$I$65:$I$65)+SUMPRODUCT($AI$66:$AI$67,$I$66:$I$67)),0,+SUMPRODUCT($AI$7:$AI$10,$I$7:$I$10)+SUMPRODUCT($AI$11:$AI$14,$I$11:$I$14)+SUMPRODUCT($AI$15:$AI$15,$I$15:$I$15)+SUMPRODUCT($AI$16:$AI$20,$I$16:$I$20)+SUMPRODUCT($AI$21:$AI$24,$I$21:$I$24)+SUMPRODUCT($AI$25:$AI$25,$I$25:$I$25)+SUMPRODUCT($AI$26:$AI$30,$I$26:$I$30)+SUMPRODUCT($AI$31:$AI$32,$I$31:$I$32)+SUMPRODUCT($AI$33:$AI$35,$I$33:$I$35)+SUMPRODUCT($AI$36:$AI$40,$I$36:$I$40)+SUMPRODUCT($AI$41:$AI$45,$I$41:$I$45)+SUMPRODUCT($AI$46:$AI$48,$I$46:$I$48)+SUMPRODUCT($AI$49:$AI$49,$I$49:$I$49)+SUMPRODUCT($AI$50:$AI$52,$I$50:$I$52)+SUMPRODUCT($AI$53:$AI$53,$I$53:$I$53)+SUMPRODUCT($AI$54:$AI$56,$I$54:$I$56)+SUMPRODUCT($AI$57:$AI$57,$I$57:$I$57)+SUMPRODUCT($AI$58:$AI$60,$I$58:$I$60)+SUMPRODUCT($AI$61:$AI$63,$I$61:$I$63)+SUMPRODUCT($AI$64:$AI$64,$I$64:$I$64)+SUMPRODUCT($AI$65:$AI$65,$I$65:$I$65)+SUMPRODUCT($AI$66:$AI$67,$I$66:$I$67))</f>
        <v>1477715.1159634904</v>
      </c>
      <c r="AJ71" s="19">
        <f ca="1">IF(ISERROR(+SUMPRODUCT($AJ$7:$AJ$10,$I$7:$I$10)+SUMPRODUCT($AJ$11:$AJ$14,$I$11:$I$14)+SUMPRODUCT($AJ$15:$AJ$15,$I$15:$I$15)+SUMPRODUCT($AJ$16:$AJ$20,$I$16:$I$20)+SUMPRODUCT($AJ$21:$AJ$24,$I$21:$I$24)+SUMPRODUCT($AJ$25:$AJ$25,$I$25:$I$25)+SUMPRODUCT($AJ$26:$AJ$30,$I$26:$I$30)+SUMPRODUCT($AJ$31:$AJ$32,$I$31:$I$32)+SUMPRODUCT($AJ$33:$AJ$35,$I$33:$I$35)+SUMPRODUCT($AJ$36:$AJ$40,$I$36:$I$40)+SUMPRODUCT($AJ$41:$AJ$45,$I$41:$I$45)+SUMPRODUCT($AJ$46:$AJ$48,$I$46:$I$48)+SUMPRODUCT($AJ$49:$AJ$49,$I$49:$I$49)+SUMPRODUCT($AJ$50:$AJ$52,$I$50:$I$52)+SUMPRODUCT($AJ$53:$AJ$53,$I$53:$I$53)+SUMPRODUCT($AJ$54:$AJ$56,$I$54:$I$56)+SUMPRODUCT($AJ$57:$AJ$57,$I$57:$I$57)+SUMPRODUCT($AJ$58:$AJ$60,$I$58:$I$60)+SUMPRODUCT($AJ$61:$AJ$63,$I$61:$I$63)+SUMPRODUCT($AJ$64:$AJ$64,$I$64:$I$64)+SUMPRODUCT($AJ$65:$AJ$65,$I$65:$I$65)+SUMPRODUCT($AJ$66:$AJ$67,$I$66:$I$67)),0,+SUMPRODUCT($AJ$7:$AJ$10,$I$7:$I$10)+SUMPRODUCT($AJ$11:$AJ$14,$I$11:$I$14)+SUMPRODUCT($AJ$15:$AJ$15,$I$15:$I$15)+SUMPRODUCT($AJ$16:$AJ$20,$I$16:$I$20)+SUMPRODUCT($AJ$21:$AJ$24,$I$21:$I$24)+SUMPRODUCT($AJ$25:$AJ$25,$I$25:$I$25)+SUMPRODUCT($AJ$26:$AJ$30,$I$26:$I$30)+SUMPRODUCT($AJ$31:$AJ$32,$I$31:$I$32)+SUMPRODUCT($AJ$33:$AJ$35,$I$33:$I$35)+SUMPRODUCT($AJ$36:$AJ$40,$I$36:$I$40)+SUMPRODUCT($AJ$41:$AJ$45,$I$41:$I$45)+SUMPRODUCT($AJ$46:$AJ$48,$I$46:$I$48)+SUMPRODUCT($AJ$49:$AJ$49,$I$49:$I$49)+SUMPRODUCT($AJ$50:$AJ$52,$I$50:$I$52)+SUMPRODUCT($AJ$53:$AJ$53,$I$53:$I$53)+SUMPRODUCT($AJ$54:$AJ$56,$I$54:$I$56)+SUMPRODUCT($AJ$57:$AJ$57,$I$57:$I$57)+SUMPRODUCT($AJ$58:$AJ$60,$I$58:$I$60)+SUMPRODUCT($AJ$61:$AJ$63,$I$61:$I$63)+SUMPRODUCT($AJ$64:$AJ$64,$I$64:$I$64)+SUMPRODUCT($AJ$65:$AJ$65,$I$65:$I$65)+SUMPRODUCT($AJ$66:$AJ$67,$I$66:$I$67))</f>
        <v>69016234.437852368</v>
      </c>
      <c r="AK71" s="19">
        <f ca="1">IF(ISERROR(+SUMPRODUCT($AK$7:$AK$10,$I$7:$I$10)+SUMPRODUCT($AK$11:$AK$14,$I$11:$I$14)+SUMPRODUCT($AK$15:$AK$15,$I$15:$I$15)+SUMPRODUCT($AK$16:$AK$20,$I$16:$I$20)+SUMPRODUCT($AK$21:$AK$24,$I$21:$I$24)+SUMPRODUCT($AK$25:$AK$25,$I$25:$I$25)+SUMPRODUCT($AK$26:$AK$30,$I$26:$I$30)+SUMPRODUCT($AK$31:$AK$32,$I$31:$I$32)+SUMPRODUCT($AK$33:$AK$35,$I$33:$I$35)+SUMPRODUCT($AK$36:$AK$40,$I$36:$I$40)+SUMPRODUCT($AK$41:$AK$45,$I$41:$I$45)+SUMPRODUCT($AK$46:$AK$48,$I$46:$I$48)+SUMPRODUCT($AK$49:$AK$49,$I$49:$I$49)+SUMPRODUCT($AK$50:$AK$52,$I$50:$I$52)+SUMPRODUCT($AK$53:$AK$53,$I$53:$I$53)+SUMPRODUCT($AK$54:$AK$56,$I$54:$I$56)+SUMPRODUCT($AK$57:$AK$57,$I$57:$I$57)+SUMPRODUCT($AK$58:$AK$60,$I$58:$I$60)+SUMPRODUCT($AK$61:$AK$63,$I$61:$I$63)+SUMPRODUCT($AK$64:$AK$64,$I$64:$I$64)+SUMPRODUCT($AK$65:$AK$65,$I$65:$I$65)+SUMPRODUCT($AK$66:$AK$67,$I$66:$I$67)),0,+SUMPRODUCT($AK$7:$AK$10,$I$7:$I$10)+SUMPRODUCT($AK$11:$AK$14,$I$11:$I$14)+SUMPRODUCT($AK$15:$AK$15,$I$15:$I$15)+SUMPRODUCT($AK$16:$AK$20,$I$16:$I$20)+SUMPRODUCT($AK$21:$AK$24,$I$21:$I$24)+SUMPRODUCT($AK$25:$AK$25,$I$25:$I$25)+SUMPRODUCT($AK$26:$AK$30,$I$26:$I$30)+SUMPRODUCT($AK$31:$AK$32,$I$31:$I$32)+SUMPRODUCT($AK$33:$AK$35,$I$33:$I$35)+SUMPRODUCT($AK$36:$AK$40,$I$36:$I$40)+SUMPRODUCT($AK$41:$AK$45,$I$41:$I$45)+SUMPRODUCT($AK$46:$AK$48,$I$46:$I$48)+SUMPRODUCT($AK$49:$AK$49,$I$49:$I$49)+SUMPRODUCT($AK$50:$AK$52,$I$50:$I$52)+SUMPRODUCT($AK$53:$AK$53,$I$53:$I$53)+SUMPRODUCT($AK$54:$AK$56,$I$54:$I$56)+SUMPRODUCT($AK$57:$AK$57,$I$57:$I$57)+SUMPRODUCT($AK$58:$AK$60,$I$58:$I$60)+SUMPRODUCT($AK$61:$AK$63,$I$61:$I$63)+SUMPRODUCT($AK$64:$AK$64,$I$64:$I$64)+SUMPRODUCT($AK$65:$AK$65,$I$65:$I$65)+SUMPRODUCT($AK$66:$AK$67,$I$66:$I$67))</f>
        <v>69016234.437852368</v>
      </c>
      <c r="AL71" s="19"/>
      <c r="AM71" s="19"/>
    </row>
    <row r="72" spans="1:42" ht="11.25" customHeight="1" x14ac:dyDescent="0.25">
      <c r="K72" s="18" t="s">
        <v>686</v>
      </c>
      <c r="L72" s="19">
        <f>CUSTOS!$D$2</f>
        <v>22372988.094348121</v>
      </c>
      <c r="M72" s="19">
        <f>CUSTOS!$D$3</f>
        <v>916742.14863132499</v>
      </c>
      <c r="N72" s="19">
        <f>CUSTOS!$D$4</f>
        <v>4108047.7492148024</v>
      </c>
      <c r="O72" s="19">
        <f>CUSTOS!$D$5</f>
        <v>0</v>
      </c>
      <c r="P72" s="19">
        <f>CUSTOS!$D$6</f>
        <v>0</v>
      </c>
      <c r="Q72" s="19">
        <f>CUSTOS!$D$7</f>
        <v>36457203.136740267</v>
      </c>
      <c r="R72" s="19">
        <f>CUSTOS!$D$8</f>
        <v>14599119.686686665</v>
      </c>
      <c r="S72" s="19">
        <f>CUSTOS!$D$9</f>
        <v>0</v>
      </c>
      <c r="T72" s="19">
        <f>CUSTOS!$D$10</f>
        <v>78454100.815621182</v>
      </c>
      <c r="U72" s="19">
        <f>CUSTOS!$D$11</f>
        <v>42135694.28899999</v>
      </c>
      <c r="V72" s="19">
        <f>IF(SUM(V69:V71)&lt;&gt;0,CUSTOS!$D$12+CUSTOS!$D$16+CUSTOS!$D$17-'TR TUSD'!$Z$70-'TR TUSD'!$AA$70,0)</f>
        <v>5491404.4839999983</v>
      </c>
      <c r="W72" s="19">
        <f>CUSTOS!$D$13</f>
        <v>206080.596971719</v>
      </c>
      <c r="X72" s="19">
        <f>CUSTOS!$D$14</f>
        <v>0</v>
      </c>
      <c r="Y72" s="19">
        <f>IF(SUM(V69:V71)=0,CUSTOS!$D$15+CUSTOS!$D$16+CUSTOS!$D$17-'TR TUSD'!$Z$70-'TR TUSD'!$AA$70,CUSTOS!$D$15)</f>
        <v>0</v>
      </c>
      <c r="Z72" s="19">
        <f>Z70</f>
        <v>0</v>
      </c>
      <c r="AA72" s="19">
        <f>AA70</f>
        <v>129170.64000000001</v>
      </c>
      <c r="AB72" s="19">
        <f>CUSTOS!$D$18</f>
        <v>47962350.009971708</v>
      </c>
      <c r="AC72" s="19">
        <f>CUSTOS!$D$19</f>
        <v>276302163.34839129</v>
      </c>
      <c r="AD72" s="19">
        <f>CUSTOS!$D$20</f>
        <v>276302163.34839129</v>
      </c>
      <c r="AE72" s="19">
        <f>CUSTOS!$D$21</f>
        <v>0</v>
      </c>
      <c r="AF72" s="19">
        <f>CUSTOS!$D$22</f>
        <v>0</v>
      </c>
      <c r="AG72" s="19">
        <f>CUSTOS!$D$23</f>
        <v>0</v>
      </c>
      <c r="AH72" s="19">
        <f>CUSTOS!$D$24</f>
        <v>36789079.232639797</v>
      </c>
      <c r="AI72" s="19">
        <f>CUSTOS!$D$25</f>
        <v>2974563.8881196366</v>
      </c>
      <c r="AJ72" s="19">
        <f>CUSTOS!$D$26</f>
        <v>70226049.153940842</v>
      </c>
      <c r="AK72" s="19">
        <f>CUSTOS!$D$27</f>
        <v>13671788.874339724</v>
      </c>
      <c r="AL72" s="19">
        <f>CUSTOS!$D$28</f>
        <v>123661481.14904001</v>
      </c>
      <c r="AM72" s="19">
        <f>CUSTOS!$D$29</f>
        <v>526380095.32302415</v>
      </c>
    </row>
    <row r="73" spans="1:42" ht="11.25" customHeight="1" x14ac:dyDescent="0.25">
      <c r="K73" s="18" t="s">
        <v>687</v>
      </c>
      <c r="L73" s="19">
        <f>CUSTOS!$E$2</f>
        <v>-511218.24048191495</v>
      </c>
      <c r="M73" s="19">
        <f>CUSTOS!$E$3</f>
        <v>49080.99651351686</v>
      </c>
      <c r="N73" s="19">
        <f>CUSTOS!$E$4</f>
        <v>0</v>
      </c>
      <c r="O73" s="19">
        <f>CUSTOS!$E$5</f>
        <v>0</v>
      </c>
      <c r="P73" s="19">
        <f>CUSTOS!$E$6</f>
        <v>0</v>
      </c>
      <c r="Q73" s="19">
        <f>CUSTOS!$E$7</f>
        <v>2546557.2603031173</v>
      </c>
      <c r="R73" s="19">
        <f>CUSTOS!$E$8</f>
        <v>1040911.9664008766</v>
      </c>
      <c r="S73" s="19">
        <f>CUSTOS!$E$9</f>
        <v>0</v>
      </c>
      <c r="T73" s="19">
        <f>CUSTOS!$E$10</f>
        <v>3125331.9827355957</v>
      </c>
      <c r="U73" s="19">
        <f>CUSTOS!$E$11</f>
        <v>-6455532.2363079749</v>
      </c>
      <c r="V73" s="19">
        <f>CUSTOS!$E$12</f>
        <v>47045.350917512202</v>
      </c>
      <c r="W73" s="19">
        <f>CUSTOS!$E$13</f>
        <v>-3105.523480323669</v>
      </c>
      <c r="X73" s="19">
        <f>CUSTOS!$E$14</f>
        <v>0</v>
      </c>
      <c r="Y73" s="19">
        <f>CUSTOS!$E$15</f>
        <v>0</v>
      </c>
      <c r="Z73" s="19">
        <f>CUSTOS!$E$16</f>
        <v>0</v>
      </c>
      <c r="AA73" s="19">
        <f>CUSTOS!$E$17</f>
        <v>3001.4104081403348</v>
      </c>
      <c r="AB73" s="19">
        <f>CUSTOS!$E$18</f>
        <v>-6408590.9984626463</v>
      </c>
      <c r="AC73" s="19">
        <f>CUSTOS!$E$19</f>
        <v>942776.39571014885</v>
      </c>
      <c r="AD73" s="19">
        <f>CUSTOS!$E$20</f>
        <v>942776.39571014885</v>
      </c>
      <c r="AE73" s="19">
        <f>CUSTOS!$E$21</f>
        <v>-35005959.495061576</v>
      </c>
      <c r="AF73" s="19">
        <f>CUSTOS!$E$22</f>
        <v>0</v>
      </c>
      <c r="AG73" s="19">
        <f>CUSTOS!$E$23</f>
        <v>-35005959.495061576</v>
      </c>
      <c r="AH73" s="19">
        <f>CUSTOS!$E$24</f>
        <v>-16495155.646376276</v>
      </c>
      <c r="AI73" s="19">
        <f>CUSTOS!$E$25</f>
        <v>-1333708.1367095383</v>
      </c>
      <c r="AJ73" s="19">
        <f>CUSTOS!$E$26</f>
        <v>-31487322.743228253</v>
      </c>
      <c r="AK73" s="19">
        <f>CUSTOS!$E$27</f>
        <v>8831.0443689418025</v>
      </c>
      <c r="AL73" s="19">
        <f>CUSTOS!$E$28</f>
        <v>-49307355.48194512</v>
      </c>
      <c r="AM73" s="19">
        <f>CUSTOS!$E$29</f>
        <v>-86653797.597023606</v>
      </c>
    </row>
    <row r="74" spans="1:42" ht="11.25" customHeight="1" x14ac:dyDescent="0.25">
      <c r="K74" s="18" t="s">
        <v>688</v>
      </c>
      <c r="L74" s="19">
        <f>CUSTOS!$F$2</f>
        <v>989033.5690054592</v>
      </c>
      <c r="M74" s="19">
        <f>CUSTOS!$F$3</f>
        <v>0</v>
      </c>
      <c r="N74" s="19">
        <f>CUSTOS!$F$4</f>
        <v>0</v>
      </c>
      <c r="O74" s="19">
        <f>CUSTOS!$F$5</f>
        <v>0</v>
      </c>
      <c r="P74" s="19">
        <f>CUSTOS!$F$6</f>
        <v>0</v>
      </c>
      <c r="Q74" s="19">
        <f>CUSTOS!$F$7</f>
        <v>13742306.890799999</v>
      </c>
      <c r="R74" s="19">
        <f>CUSTOS!$F$8</f>
        <v>5428655.5210999995</v>
      </c>
      <c r="S74" s="19">
        <f>CUSTOS!$F$9</f>
        <v>0</v>
      </c>
      <c r="T74" s="19">
        <f>CUSTOS!$F$10</f>
        <v>20159995.980905458</v>
      </c>
      <c r="U74" s="19">
        <f>CUSTOS!$F$11</f>
        <v>2073902.0646832099</v>
      </c>
      <c r="V74" s="19">
        <f>CUSTOS!$F$12</f>
        <v>270113.23884159565</v>
      </c>
      <c r="W74" s="19">
        <f>CUSTOS!$F$13</f>
        <v>0</v>
      </c>
      <c r="X74" s="19">
        <f>CUSTOS!$F$14</f>
        <v>0</v>
      </c>
      <c r="Y74" s="19">
        <f>CUSTOS!$F$15</f>
        <v>0</v>
      </c>
      <c r="Z74" s="19">
        <f>CUSTOS!$F$16</f>
        <v>0</v>
      </c>
      <c r="AA74" s="19">
        <f>CUSTOS!$F$17</f>
        <v>6529.2266751943253</v>
      </c>
      <c r="AB74" s="19">
        <f>CUSTOS!$F$18</f>
        <v>2350544.5301999999</v>
      </c>
      <c r="AC74" s="19">
        <f>CUSTOS!$F$19</f>
        <v>0</v>
      </c>
      <c r="AD74" s="19">
        <f>CUSTOS!$F$20</f>
        <v>0</v>
      </c>
      <c r="AE74" s="19">
        <f>CUSTOS!$F$21</f>
        <v>0</v>
      </c>
      <c r="AF74" s="19">
        <f>CUSTOS!$F$22</f>
        <v>0</v>
      </c>
      <c r="AG74" s="19">
        <f>CUSTOS!$F$23</f>
        <v>0</v>
      </c>
      <c r="AH74" s="19">
        <f>CUSTOS!$F$24</f>
        <v>10970876.086539844</v>
      </c>
      <c r="AI74" s="19">
        <f>CUSTOS!$F$25</f>
        <v>887045.08263701608</v>
      </c>
      <c r="AJ74" s="19">
        <f>CUSTOS!$F$26</f>
        <v>20942119.220847331</v>
      </c>
      <c r="AK74" s="19">
        <f>CUSTOS!$F$27</f>
        <v>0</v>
      </c>
      <c r="AL74" s="19">
        <f>CUSTOS!$F$28</f>
        <v>32800040.390024193</v>
      </c>
      <c r="AM74" s="19">
        <f>CUSTOS!$F$29</f>
        <v>55310580.901129648</v>
      </c>
    </row>
    <row r="75" spans="1:42" ht="11.25" customHeight="1" x14ac:dyDescent="0.25">
      <c r="K75" s="18" t="s">
        <v>750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/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/>
      <c r="AC75" s="19">
        <v>0</v>
      </c>
      <c r="AD75" s="19"/>
      <c r="AE75" s="19">
        <v>0</v>
      </c>
      <c r="AF75" s="19">
        <v>0</v>
      </c>
      <c r="AG75" s="19"/>
      <c r="AH75" s="19">
        <v>0</v>
      </c>
      <c r="AI75" s="19">
        <v>0</v>
      </c>
      <c r="AJ75" s="19">
        <v>0</v>
      </c>
      <c r="AK75" s="19">
        <v>0</v>
      </c>
      <c r="AL75" s="19"/>
      <c r="AM75" s="19"/>
    </row>
    <row r="76" spans="1:42" ht="11.25" customHeight="1" x14ac:dyDescent="0.25">
      <c r="K76" s="18" t="s">
        <v>751</v>
      </c>
      <c r="L76" s="19">
        <f t="shared" ref="L76:S76" si="2">IF((L71+L69)&lt;&gt;0,(L72-L70-L75)/(L71+L69),0)</f>
        <v>24.684129585678395</v>
      </c>
      <c r="M76" s="19">
        <f t="shared" si="2"/>
        <v>1.018419512331727</v>
      </c>
      <c r="N76" s="19">
        <f t="shared" ca="1" si="2"/>
        <v>1.1542906498273455</v>
      </c>
      <c r="O76" s="19">
        <f t="shared" si="2"/>
        <v>0</v>
      </c>
      <c r="P76" s="19">
        <f t="shared" si="2"/>
        <v>0</v>
      </c>
      <c r="Q76" s="19">
        <f t="shared" si="2"/>
        <v>40.223251483606454</v>
      </c>
      <c r="R76" s="19">
        <f t="shared" si="2"/>
        <v>15.012316553504524</v>
      </c>
      <c r="S76" s="19">
        <f t="shared" si="2"/>
        <v>0</v>
      </c>
      <c r="T76" s="19"/>
      <c r="U76" s="19">
        <f>IF(U71&lt;&gt;0,(U72-U70-U69-U75)/U71,0)</f>
        <v>1.4003166143245556</v>
      </c>
      <c r="V76" s="19">
        <f>IF(V71&lt;&gt;0,(V72-V70-V69-V75)/V71,0)</f>
        <v>0.82750274539955204</v>
      </c>
      <c r="W76" s="19">
        <f>IF(W71&lt;&gt;0,(W72-W70-W69-W75)/W71,0)</f>
        <v>1.198010037370929</v>
      </c>
      <c r="X76" s="19">
        <f>IF(X71&lt;&gt;0,(X72-X70-X69-X75)/X71,0)</f>
        <v>0</v>
      </c>
      <c r="Y76" s="19">
        <f>IF(Y71&lt;&gt;0,(Y72-Y70-Y69-Y75)/Y71,0)</f>
        <v>0</v>
      </c>
      <c r="Z76" s="19"/>
      <c r="AA76" s="19"/>
      <c r="AB76" s="19"/>
      <c r="AC76" s="19">
        <f>IF(AC71&lt;&gt;0,(AC72-AC70-AC69-AC75)/AC71,0)</f>
        <v>1.3023086618084991</v>
      </c>
      <c r="AD76" s="19"/>
      <c r="AE76" s="19">
        <f>IF((AE71+AE69)&lt;&gt;0,(AE72-AE70-AE75)/(AE71+AE69),0)</f>
        <v>0</v>
      </c>
      <c r="AF76" s="19">
        <f>IF((AF71+AF69)&lt;&gt;0,(AF72-AF70-AF75)/(AF71+AF69),0)</f>
        <v>0</v>
      </c>
      <c r="AG76" s="19"/>
      <c r="AH76" s="19">
        <f>IF(AH71&lt;&gt;0,(AH72-AH70-AH69-AH75)/AH71,0)</f>
        <v>24.89592130121293</v>
      </c>
      <c r="AI76" s="19">
        <f>IF(AI71&lt;&gt;0,(AI72-AI70-AI69-AI75)/AI71,0)</f>
        <v>2.012948135933617</v>
      </c>
      <c r="AJ76" s="19">
        <f ca="1">IF((AJ71+AJ69)&lt;&gt;0,(AJ72-AJ70-AJ75)/(AJ71+AJ69),0)</f>
        <v>1.0175294222575688</v>
      </c>
      <c r="AK76" s="19">
        <f ca="1">IF((AK71+AK69)&lt;&gt;0,(AK72-AK70-AK75)/(AK71+AK69),0)</f>
        <v>0.19809525955303858</v>
      </c>
      <c r="AL76" s="19"/>
      <c r="AM76" s="19"/>
    </row>
    <row r="78" spans="1:42" ht="11.25" customHeight="1" x14ac:dyDescent="0.25">
      <c r="K78" s="29" t="s">
        <v>755</v>
      </c>
      <c r="L78" s="29" t="s">
        <v>756</v>
      </c>
      <c r="M78" s="29" t="s">
        <v>757</v>
      </c>
      <c r="N78" s="29" t="s">
        <v>758</v>
      </c>
      <c r="O78" s="29" t="s">
        <v>759</v>
      </c>
      <c r="P78" s="29" t="s">
        <v>760</v>
      </c>
    </row>
    <row r="79" spans="1:42" ht="11.25" customHeight="1" x14ac:dyDescent="0.25">
      <c r="K79" s="22" t="s">
        <v>57</v>
      </c>
      <c r="L79" s="22"/>
      <c r="M79" s="22"/>
      <c r="N79" s="22">
        <f t="shared" ref="N79:N84" ca="1" si="3">IF(AND($L$89&lt;&gt;0,M79&lt;&gt;0),(L79/$L$89*$AJ$72)/M79,0)</f>
        <v>0</v>
      </c>
      <c r="O79" s="22"/>
      <c r="P79" s="22"/>
    </row>
    <row r="80" spans="1:42" ht="11.25" customHeight="1" x14ac:dyDescent="0.25">
      <c r="K80" s="22" t="s">
        <v>39</v>
      </c>
      <c r="L80" s="22">
        <f ca="1">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</f>
        <v>15534397.702208633</v>
      </c>
      <c r="M80" s="22">
        <f>+'TUSD BE'!$I$9+'TUSD BE'!$I$10</f>
        <v>73134.718999999997</v>
      </c>
      <c r="N80" s="22">
        <f t="shared" ca="1" si="3"/>
        <v>34.208405766771193</v>
      </c>
      <c r="O80" s="22"/>
      <c r="P80" s="22"/>
    </row>
    <row r="81" spans="11:16" ht="11.25" customHeight="1" x14ac:dyDescent="0.25">
      <c r="K81" s="22" t="s">
        <v>42</v>
      </c>
      <c r="L81" s="22">
        <f ca="1">$O$82+$O$81</f>
        <v>95240812.093435332</v>
      </c>
      <c r="M81" s="22">
        <f>$P$82+$P$81</f>
        <v>239459.93299999999</v>
      </c>
      <c r="N81" s="22">
        <f t="shared" ca="1" si="3"/>
        <v>64.054883517352039</v>
      </c>
      <c r="O81" s="22">
        <f ca="1">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</f>
        <v>111379.51994367456</v>
      </c>
      <c r="P81" s="22">
        <f>+'TUSD BE'!$I$13+'TUSD BE'!$I$14+'TUSD BE'!$I$17+'TUSD BE'!$I$18+'TUSD BE'!$I$19+'TUSD BE'!$I$20</f>
        <v>220.745</v>
      </c>
    </row>
    <row r="82" spans="11:16" ht="11.25" customHeight="1" x14ac:dyDescent="0.25">
      <c r="K82" s="22" t="s">
        <v>41</v>
      </c>
      <c r="L82" s="22">
        <f ca="1">$O$82+$O$81</f>
        <v>95240812.093435332</v>
      </c>
      <c r="M82" s="22">
        <f>$P$82+$P$81</f>
        <v>239459.93299999999</v>
      </c>
      <c r="N82" s="22">
        <f t="shared" ca="1" si="3"/>
        <v>64.054883517352039</v>
      </c>
      <c r="O82" s="22">
        <f ca="1">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</f>
        <v>95129432.573491663</v>
      </c>
      <c r="P82" s="22">
        <f>+'TUSD BE'!$I$23+'TUSD BE'!$I$24+'TUSD BE'!$I$27+'TUSD BE'!$I$28+'TUSD BE'!$I$29+'TUSD BE'!$I$30</f>
        <v>239239.18799999999</v>
      </c>
    </row>
    <row r="83" spans="11:16" ht="11.25" customHeight="1" x14ac:dyDescent="0.25">
      <c r="K83" s="22" t="s">
        <v>87</v>
      </c>
      <c r="L83" s="22">
        <f ca="1">+$L$84+$L$85+$L$86+$L$87+$L$88</f>
        <v>325274722.68309927</v>
      </c>
      <c r="M83" s="22">
        <f>+$M$84+$M$85+$M$86+$M$87+$M$88</f>
        <v>769349.23300000001</v>
      </c>
      <c r="N83" s="22">
        <f t="shared" ca="1" si="3"/>
        <v>68.090857374471611</v>
      </c>
      <c r="O83" s="22"/>
      <c r="P83" s="22"/>
    </row>
    <row r="84" spans="11:16" ht="11.25" customHeight="1" x14ac:dyDescent="0.25">
      <c r="K84" s="22" t="s">
        <v>87</v>
      </c>
      <c r="L84" s="22"/>
      <c r="M84" s="22"/>
      <c r="N84" s="22">
        <f t="shared" ca="1" si="3"/>
        <v>0</v>
      </c>
      <c r="O84" s="22"/>
      <c r="P84" s="22"/>
    </row>
    <row r="85" spans="11:16" ht="11.25" customHeight="1" x14ac:dyDescent="0.25">
      <c r="K85" s="22" t="s">
        <v>22</v>
      </c>
      <c r="L85" s="22">
        <f ca="1">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</f>
        <v>233283093.95112303</v>
      </c>
      <c r="M85" s="22">
        <f>+'TUSD BE'!$I$33+'TUSD BE'!$I$34+'TUSD BE'!$I$35+'TUSD BE'!$I$36+'TUSD BE'!$I$37+'TUSD BE'!$I$38+'TUSD BE'!$I$39+'TUSD BE'!$I$40+'TUSD BE'!$I$41+'TUSD BE'!$I$42+'TUSD BE'!$I$43+'TUSD BE'!$I$44+'TUSD BE'!$I$45</f>
        <v>543648.49400000006</v>
      </c>
      <c r="N85" s="22"/>
      <c r="O85" s="22"/>
      <c r="P85" s="22"/>
    </row>
    <row r="86" spans="11:16" ht="11.25" customHeight="1" x14ac:dyDescent="0.25">
      <c r="K86" s="22" t="s">
        <v>45</v>
      </c>
      <c r="L86" s="22">
        <f ca="1">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</f>
        <v>1835075.2600495517</v>
      </c>
      <c r="M86" s="22">
        <f>+'TUSD BE'!$I$46+'TUSD BE'!$I$47+'TUSD BE'!$I$48+'TUSD BE'!$I$49+'TUSD BE'!$I$50+'TUSD BE'!$I$51+'TUSD BE'!$I$52+'TUSD BE'!$I$53+'TUSD BE'!$I$54+'TUSD BE'!$I$55+'TUSD BE'!$I$56+'TUSD BE'!$I$57+'TUSD BE'!$I$58+'TUSD BE'!$I$59+'TUSD BE'!$I$60</f>
        <v>4146.1049999999996</v>
      </c>
      <c r="N86" s="22"/>
      <c r="O86" s="22"/>
      <c r="P86" s="22"/>
    </row>
    <row r="87" spans="11:16" ht="11.25" customHeight="1" x14ac:dyDescent="0.25">
      <c r="K87" s="22" t="s">
        <v>37</v>
      </c>
      <c r="L87" s="22">
        <f ca="1">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</f>
        <v>80544994.834602565</v>
      </c>
      <c r="M87" s="22">
        <f>+'TUSD BE'!$I$61+'TUSD BE'!$I$62+'TUSD BE'!$I$63+'TUSD BE'!$I$64+'TUSD BE'!$I$65</f>
        <v>182070.96100000001</v>
      </c>
      <c r="N87" s="22"/>
      <c r="O87" s="22"/>
      <c r="P87" s="22"/>
    </row>
    <row r="88" spans="11:16" ht="11.25" customHeight="1" x14ac:dyDescent="0.25">
      <c r="K88" s="22" t="s">
        <v>48</v>
      </c>
      <c r="L88" s="22">
        <f ca="1">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</f>
        <v>9611558.6373240817</v>
      </c>
      <c r="M88" s="22">
        <f>+'TUSD BE'!$I$66+'TUSD BE'!$I$67</f>
        <v>39483.672999999995</v>
      </c>
      <c r="N88" s="22"/>
      <c r="O88" s="22"/>
      <c r="P88" s="22"/>
    </row>
    <row r="89" spans="11:16" ht="11.25" customHeight="1" x14ac:dyDescent="0.25">
      <c r="K89" s="22"/>
      <c r="L89" s="22">
        <f ca="1">SUM($L$79:$L$88,-$L$83) - $O$82 - $O$81</f>
        <v>436049932.47874326</v>
      </c>
      <c r="M89" s="22">
        <f>SUM($M$79:$M$88,-$M$83) - $P$82 - $P$81</f>
        <v>1081943.8849999998</v>
      </c>
      <c r="N89" s="22"/>
      <c r="O89" s="22"/>
      <c r="P89" s="22"/>
    </row>
  </sheetData>
  <mergeCells count="97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61:E63"/>
    <mergeCell ref="F61:F63"/>
    <mergeCell ref="A66:A67"/>
    <mergeCell ref="B66:B67"/>
    <mergeCell ref="C66:C67"/>
    <mergeCell ref="B58:B60"/>
    <mergeCell ref="C58:C60"/>
    <mergeCell ref="A61:A65"/>
    <mergeCell ref="B61:B63"/>
    <mergeCell ref="C61:C63"/>
    <mergeCell ref="D61:D63"/>
    <mergeCell ref="F50:F52"/>
    <mergeCell ref="B54:B56"/>
    <mergeCell ref="C54:C56"/>
    <mergeCell ref="D54:D56"/>
    <mergeCell ref="E54:E56"/>
    <mergeCell ref="F54:F56"/>
    <mergeCell ref="A46:A60"/>
    <mergeCell ref="B46:B48"/>
    <mergeCell ref="C46:C48"/>
    <mergeCell ref="D46:D48"/>
    <mergeCell ref="E46:E48"/>
    <mergeCell ref="F46:F48"/>
    <mergeCell ref="B50:B52"/>
    <mergeCell ref="C50:C52"/>
    <mergeCell ref="D50:D52"/>
    <mergeCell ref="E50:E52"/>
    <mergeCell ref="E33:E35"/>
    <mergeCell ref="F33:F35"/>
    <mergeCell ref="B36:B40"/>
    <mergeCell ref="C36:C40"/>
    <mergeCell ref="B41:B45"/>
    <mergeCell ref="C41:C45"/>
    <mergeCell ref="A31:A32"/>
    <mergeCell ref="B31:B32"/>
    <mergeCell ref="C31:C32"/>
    <mergeCell ref="D31:D32"/>
    <mergeCell ref="A33:A45"/>
    <mergeCell ref="B33:B35"/>
    <mergeCell ref="C33:C35"/>
    <mergeCell ref="D33:D35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C26:C30"/>
    <mergeCell ref="D26:D30"/>
    <mergeCell ref="E26:E28"/>
    <mergeCell ref="F26:F28"/>
    <mergeCell ref="E29:E30"/>
    <mergeCell ref="F29:F30"/>
    <mergeCell ref="F7:F9"/>
    <mergeCell ref="A11:A20"/>
    <mergeCell ref="B11:B14"/>
    <mergeCell ref="C11:C14"/>
    <mergeCell ref="D11:D14"/>
    <mergeCell ref="E11:E13"/>
    <mergeCell ref="F11:F13"/>
    <mergeCell ref="B16:B20"/>
    <mergeCell ref="C16:C20"/>
    <mergeCell ref="D16:D20"/>
    <mergeCell ref="A7:A10"/>
    <mergeCell ref="B7:B10"/>
    <mergeCell ref="C7:C10"/>
    <mergeCell ref="D7:D10"/>
    <mergeCell ref="E7:E9"/>
    <mergeCell ref="E16:E18"/>
    <mergeCell ref="A5:A6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52D1D-0233-4EF1-839D-D9EC62921CAB}">
  <sheetPr codeName="Planilha9"/>
  <dimension ref="A1:AP74"/>
  <sheetViews>
    <sheetView showGridLines="0" topLeftCell="AA44" workbookViewId="0">
      <selection activeCell="AM69" sqref="AM6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752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P1" s="119" t="s">
        <v>746</v>
      </c>
    </row>
    <row r="2" spans="1:42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P2" s="122"/>
    </row>
    <row r="3" spans="1:42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/>
      <c r="U3" s="119" t="s">
        <v>654</v>
      </c>
      <c r="V3" s="119"/>
      <c r="W3" s="119"/>
      <c r="X3" s="119"/>
      <c r="Y3" s="119"/>
      <c r="Z3" s="119"/>
      <c r="AA3" s="119"/>
      <c r="AB3" s="119"/>
      <c r="AC3" s="119" t="s">
        <v>662</v>
      </c>
      <c r="AD3" s="119"/>
      <c r="AE3" s="119" t="s">
        <v>664</v>
      </c>
      <c r="AF3" s="119"/>
      <c r="AG3" s="119"/>
      <c r="AH3" s="119" t="s">
        <v>667</v>
      </c>
      <c r="AI3" s="119"/>
      <c r="AJ3" s="119"/>
      <c r="AK3" s="119"/>
      <c r="AL3" s="119"/>
      <c r="AM3" s="119" t="s">
        <v>653</v>
      </c>
      <c r="AP3" s="122"/>
    </row>
    <row r="4" spans="1:42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23" t="s">
        <v>730</v>
      </c>
      <c r="M4" s="23" t="s">
        <v>646</v>
      </c>
      <c r="N4" s="23" t="s">
        <v>647</v>
      </c>
      <c r="O4" s="23" t="s">
        <v>648</v>
      </c>
      <c r="P4" s="23" t="s">
        <v>649</v>
      </c>
      <c r="Q4" s="23" t="s">
        <v>650</v>
      </c>
      <c r="R4" s="23" t="s">
        <v>651</v>
      </c>
      <c r="S4" s="23" t="s">
        <v>652</v>
      </c>
      <c r="T4" s="23" t="s">
        <v>653</v>
      </c>
      <c r="U4" s="23" t="s">
        <v>655</v>
      </c>
      <c r="V4" s="23" t="s">
        <v>656</v>
      </c>
      <c r="W4" s="23" t="s">
        <v>657</v>
      </c>
      <c r="X4" s="23" t="s">
        <v>658</v>
      </c>
      <c r="Y4" s="23" t="s">
        <v>659</v>
      </c>
      <c r="Z4" s="23" t="s">
        <v>660</v>
      </c>
      <c r="AA4" s="23" t="s">
        <v>661</v>
      </c>
      <c r="AB4" s="23" t="s">
        <v>653</v>
      </c>
      <c r="AC4" s="23" t="s">
        <v>663</v>
      </c>
      <c r="AD4" s="23" t="s">
        <v>653</v>
      </c>
      <c r="AE4" s="23" t="s">
        <v>665</v>
      </c>
      <c r="AF4" s="23" t="s">
        <v>666</v>
      </c>
      <c r="AG4" s="23" t="s">
        <v>653</v>
      </c>
      <c r="AH4" s="23" t="s">
        <v>668</v>
      </c>
      <c r="AI4" s="23" t="s">
        <v>669</v>
      </c>
      <c r="AJ4" s="23" t="s">
        <v>670</v>
      </c>
      <c r="AK4" s="23" t="s">
        <v>671</v>
      </c>
      <c r="AL4" s="23" t="s">
        <v>653</v>
      </c>
      <c r="AM4" s="120"/>
      <c r="AP4" s="122"/>
    </row>
    <row r="5" spans="1:42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21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20">
        <f>'TR TUSD'!$L$5</f>
        <v>0</v>
      </c>
      <c r="M5" s="20">
        <f>'TR TUSD'!$M$5</f>
        <v>0</v>
      </c>
      <c r="N5" s="20">
        <f>'TR TUSD'!$N$5</f>
        <v>0</v>
      </c>
      <c r="O5" s="20">
        <f>'TR TUSD'!$O$5</f>
        <v>0</v>
      </c>
      <c r="P5" s="20">
        <f>'TR TUSD'!$P$5</f>
        <v>0</v>
      </c>
      <c r="Q5" s="20">
        <f>'TR TUSD'!$Q$5</f>
        <v>0</v>
      </c>
      <c r="R5" s="20">
        <f>'TR TUSD'!$R$5</f>
        <v>0</v>
      </c>
      <c r="S5" s="20">
        <f>'TR TUSD'!$S$5</f>
        <v>0</v>
      </c>
      <c r="T5" s="20">
        <f>SUM($L$5:$S$5)</f>
        <v>0</v>
      </c>
      <c r="U5" s="20">
        <f>'TR TUSD'!$U$5</f>
        <v>0</v>
      </c>
      <c r="V5" s="20">
        <f>'TR TUSD'!$V$5</f>
        <v>0</v>
      </c>
      <c r="W5" s="20">
        <f>'TR TUSD'!$W$5</f>
        <v>0</v>
      </c>
      <c r="X5" s="20">
        <f>'TR TUSD'!$X$5</f>
        <v>0</v>
      </c>
      <c r="Y5" s="20">
        <f>'TR TUSD'!$Y$5</f>
        <v>0</v>
      </c>
      <c r="Z5" s="20">
        <f>'TR TUSD'!$Z$5</f>
        <v>0</v>
      </c>
      <c r="AA5" s="20">
        <f>'TR TUSD'!$AA$5</f>
        <v>0.13850000000000001</v>
      </c>
      <c r="AB5" s="20">
        <f>SUM($U$5:$AA$5)</f>
        <v>0.13850000000000001</v>
      </c>
      <c r="AC5" s="20">
        <f>'TR TUSD'!$AC$5</f>
        <v>6.7584</v>
      </c>
      <c r="AD5" s="20">
        <f>SUM($AC$5:$AC$5)</f>
        <v>6.7584</v>
      </c>
      <c r="AE5" s="20">
        <v>0</v>
      </c>
      <c r="AF5" s="20">
        <v>0</v>
      </c>
      <c r="AG5" s="20">
        <f>SUM($AE$5:$AF$5)</f>
        <v>0</v>
      </c>
      <c r="AH5" s="20">
        <f>'TR TUSD'!$AH$5</f>
        <v>0</v>
      </c>
      <c r="AI5" s="20">
        <f>'TR TUSD'!$AI$5</f>
        <v>0</v>
      </c>
      <c r="AJ5" s="20">
        <f>'TR TUSD'!$AJ$5</f>
        <v>0</v>
      </c>
      <c r="AK5" s="20">
        <f>'TR TUSD'!$AK$5</f>
        <v>0</v>
      </c>
      <c r="AL5" s="20">
        <f>SUM($AH$5:$AK$5)</f>
        <v>0</v>
      </c>
      <c r="AM5" s="20">
        <f>SUMIF($L$4:$AL$4,"SUBTOTAL",$L$5:$AL$5)</f>
        <v>6.8968999999999996</v>
      </c>
      <c r="AP5" s="20"/>
    </row>
    <row r="6" spans="1:42" ht="11.25" customHeight="1" x14ac:dyDescent="0.25">
      <c r="A6" s="118"/>
      <c r="B6" s="118"/>
      <c r="C6" s="118"/>
      <c r="D6" s="118"/>
      <c r="E6" s="118"/>
      <c r="F6" s="21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20">
        <f>'TR TUSD'!$L$6</f>
        <v>0</v>
      </c>
      <c r="M6" s="20">
        <f>'TR TUSD'!$M$6</f>
        <v>3.5200000000000002E-2</v>
      </c>
      <c r="N6" s="20">
        <f>'TR TUSD'!$N$6</f>
        <v>8.8900000000000007E-2</v>
      </c>
      <c r="O6" s="20">
        <f>'TR TUSD'!$O$6</f>
        <v>0</v>
      </c>
      <c r="P6" s="20">
        <f>'TR TUSD'!$P$6</f>
        <v>0</v>
      </c>
      <c r="Q6" s="20">
        <f>'TR TUSD'!$Q$6</f>
        <v>0</v>
      </c>
      <c r="R6" s="20">
        <f>'TR TUSD'!$R$6</f>
        <v>0</v>
      </c>
      <c r="S6" s="20">
        <f>'TR TUSD'!$S$6</f>
        <v>0</v>
      </c>
      <c r="T6" s="20">
        <f>SUM($L$6:$S$6)</f>
        <v>0.12410000000000002</v>
      </c>
      <c r="U6" s="20">
        <f>'TR TUSD'!$U$6</f>
        <v>0</v>
      </c>
      <c r="V6" s="20">
        <f>'TR TUSD'!$V$6</f>
        <v>0</v>
      </c>
      <c r="W6" s="20">
        <f>'TR TUSD'!$W$6</f>
        <v>0</v>
      </c>
      <c r="X6" s="20">
        <f>'TR TUSD'!$X$6</f>
        <v>0</v>
      </c>
      <c r="Y6" s="20">
        <f>'TR TUSD'!$Y$6</f>
        <v>0</v>
      </c>
      <c r="Z6" s="20">
        <f>'TR TUSD'!$Z$6</f>
        <v>0</v>
      </c>
      <c r="AA6" s="20">
        <f>'TR TUSD'!$AA$6</f>
        <v>0</v>
      </c>
      <c r="AB6" s="20">
        <f>SUM($U$6:$AA$6)</f>
        <v>0</v>
      </c>
      <c r="AC6" s="20">
        <f>'TR TUSD'!$AC$6</f>
        <v>1.1558999999999999</v>
      </c>
      <c r="AD6" s="20">
        <f>SUM($AC$6:$AC$6)</f>
        <v>1.1558999999999999</v>
      </c>
      <c r="AE6" s="20">
        <v>0</v>
      </c>
      <c r="AF6" s="20">
        <v>0</v>
      </c>
      <c r="AG6" s="20">
        <f>SUM($AE$6:$AF$6)</f>
        <v>0</v>
      </c>
      <c r="AH6" s="20">
        <f>'TR TUSD'!$AH$6</f>
        <v>0</v>
      </c>
      <c r="AI6" s="20">
        <f>'TR TUSD'!$AI$6</f>
        <v>0</v>
      </c>
      <c r="AJ6" s="20">
        <f>'TR TUSD'!$AJ$6</f>
        <v>0</v>
      </c>
      <c r="AK6" s="20">
        <f>'TR TUSD'!$AK$6</f>
        <v>0</v>
      </c>
      <c r="AL6" s="20">
        <f>SUM($AH$6:$AK$6)</f>
        <v>0</v>
      </c>
      <c r="AM6" s="20">
        <f>SUMIF($L$4:$AL$4,"SUBTOTAL",$L$6:$AL$6)</f>
        <v>1.28</v>
      </c>
      <c r="AP6" s="20"/>
    </row>
    <row r="7" spans="1:42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20">
        <f>'TR TUSD'!$L$7*'TR TUSD'!$L$76</f>
        <v>0</v>
      </c>
      <c r="M7" s="20">
        <f>'TR TUSD'!$M$7*'TR TUSD'!$M$76</f>
        <v>0</v>
      </c>
      <c r="N7" s="20">
        <f ca="1">'TR TUSD'!$N$7*'TR TUSD'!$N$76</f>
        <v>0</v>
      </c>
      <c r="O7" s="20">
        <f>'TR TUSD'!$O$7*'TR TUSD'!$O$76</f>
        <v>0</v>
      </c>
      <c r="P7" s="20">
        <f>'TR TUSD'!$P$7*'TR TUSD'!$P$76</f>
        <v>0</v>
      </c>
      <c r="Q7" s="20">
        <f>'TR TUSD'!$Q$7*'TR TUSD'!$Q$76</f>
        <v>0</v>
      </c>
      <c r="R7" s="20">
        <f>'TR TUSD'!$R$7*'TR TUSD'!$R$76</f>
        <v>0</v>
      </c>
      <c r="S7" s="20">
        <f>'TR TUSD'!$S$7*'TR TUSD'!$S$76</f>
        <v>0</v>
      </c>
      <c r="T7" s="20">
        <f ca="1">SUM($L$7:$S$7)</f>
        <v>0</v>
      </c>
      <c r="U7" s="20">
        <f>'TR TUSD'!$U$7*'TR TUSD'!$U$76</f>
        <v>9.7173571134438212</v>
      </c>
      <c r="V7" s="20">
        <f>'TR TUSD'!$V$7*'TR TUSD'!$V$76</f>
        <v>1.2476258892389047</v>
      </c>
      <c r="W7" s="20">
        <f>'TR TUSD'!$W$7*'TR TUSD'!$W$76</f>
        <v>4.8998610528470994E-2</v>
      </c>
      <c r="X7" s="20">
        <f>'TR TUSD'!$X$7*'TR TUSD'!$X$76</f>
        <v>0</v>
      </c>
      <c r="Y7" s="20">
        <f>'TR TUSD'!$Y$7*'TR TUSD'!$Y$76</f>
        <v>0</v>
      </c>
      <c r="Z7" s="20">
        <f>'TR TUSD'!$Z$7</f>
        <v>0</v>
      </c>
      <c r="AA7" s="20">
        <f>'TR TUSD'!$AA$7</f>
        <v>0</v>
      </c>
      <c r="AB7" s="20">
        <f>SUM($U$7:$AA$7)</f>
        <v>11.013981613211197</v>
      </c>
      <c r="AC7" s="20">
        <f>'TR TUSD'!$AC$7*'TR TUSD'!$AC$76</f>
        <v>39.512826184466945</v>
      </c>
      <c r="AD7" s="20">
        <f>SUM($AC$7:$AC$7)</f>
        <v>39.512826184466945</v>
      </c>
      <c r="AE7" s="20">
        <v>0</v>
      </c>
      <c r="AF7" s="20">
        <v>0</v>
      </c>
      <c r="AG7" s="20">
        <f>SUM($AE$7:$AF$7)</f>
        <v>0</v>
      </c>
      <c r="AH7" s="20">
        <f>'TR TUSD'!$AH$7*'TR TUSD'!$AH$76</f>
        <v>0</v>
      </c>
      <c r="AI7" s="20">
        <f>'TR TUSD'!$AI$7*'TR TUSD'!$AI$76</f>
        <v>0</v>
      </c>
      <c r="AJ7" s="20">
        <f ca="1">'TR TUSD'!$AJ$7*'TR TUSD'!$AJ$76</f>
        <v>0</v>
      </c>
      <c r="AK7" s="20">
        <f ca="1">'TR TUSD'!$AK$7*'TR TUSD'!$AK$76</f>
        <v>0</v>
      </c>
      <c r="AL7" s="20">
        <f ca="1">SUM($AH$7:$AK$7)</f>
        <v>0</v>
      </c>
      <c r="AM7" s="20">
        <f ca="1">SUMIF($L$4:$AL$4,"SUBTOTAL",$L$7:$AL$7)</f>
        <v>50.526807797678146</v>
      </c>
      <c r="AP7" s="20">
        <v>1</v>
      </c>
    </row>
    <row r="8" spans="1:42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20">
        <f>'TR TUSD'!$L$8*'TR TUSD'!$L$76</f>
        <v>0</v>
      </c>
      <c r="M8" s="20">
        <f>'TR TUSD'!$M$8*'TR TUSD'!$M$76</f>
        <v>0</v>
      </c>
      <c r="N8" s="20">
        <f ca="1">'TR TUSD'!$N$8*'TR TUSD'!$N$76</f>
        <v>0</v>
      </c>
      <c r="O8" s="20">
        <f>'TR TUSD'!$O$8*'TR TUSD'!$O$76</f>
        <v>0</v>
      </c>
      <c r="P8" s="20">
        <f>'TR TUSD'!$P$8*'TR TUSD'!$P$76</f>
        <v>0</v>
      </c>
      <c r="Q8" s="20">
        <f>'TR TUSD'!$Q$8*'TR TUSD'!$Q$76</f>
        <v>0</v>
      </c>
      <c r="R8" s="20">
        <f>'TR TUSD'!$R$8*'TR TUSD'!$R$76</f>
        <v>0</v>
      </c>
      <c r="S8" s="20">
        <f>'TR TUSD'!$S$8*'TR TUSD'!$S$76</f>
        <v>0</v>
      </c>
      <c r="T8" s="20">
        <f ca="1">SUM($L$8:$S$8)</f>
        <v>0</v>
      </c>
      <c r="U8" s="20">
        <f>'TR TUSD'!$U$8*'TR TUSD'!$U$76</f>
        <v>11.102970403317968</v>
      </c>
      <c r="V8" s="20">
        <f>'TR TUSD'!$V$8*'TR TUSD'!$V$76</f>
        <v>1.4690656239078248</v>
      </c>
      <c r="W8" s="20">
        <f>'TR TUSD'!$W$8*'TR TUSD'!$W$76</f>
        <v>5.2592640640583783E-2</v>
      </c>
      <c r="X8" s="20">
        <f>'TR TUSD'!$X$8*'TR TUSD'!$X$76</f>
        <v>0</v>
      </c>
      <c r="Y8" s="20">
        <f>'TR TUSD'!$Y$8*'TR TUSD'!$Y$76</f>
        <v>0</v>
      </c>
      <c r="Z8" s="20">
        <f>'TR TUSD'!$Z$8</f>
        <v>0</v>
      </c>
      <c r="AA8" s="20">
        <f>'TR TUSD'!$AA$8</f>
        <v>0</v>
      </c>
      <c r="AB8" s="20">
        <f>SUM($U$8:$AA$8)</f>
        <v>12.624628667866377</v>
      </c>
      <c r="AC8" s="20">
        <f>'TR TUSD'!$AC$8*'TR TUSD'!$AC$76</f>
        <v>5.110259188936551</v>
      </c>
      <c r="AD8" s="20">
        <f>SUM($AC$8:$AC$8)</f>
        <v>5.110259188936551</v>
      </c>
      <c r="AE8" s="20">
        <v>0</v>
      </c>
      <c r="AF8" s="20">
        <v>0</v>
      </c>
      <c r="AG8" s="20">
        <f>SUM($AE$8:$AF$8)</f>
        <v>0</v>
      </c>
      <c r="AH8" s="20">
        <f>'TR TUSD'!$AH$8*'TR TUSD'!$AH$76</f>
        <v>0</v>
      </c>
      <c r="AI8" s="20">
        <f>'TR TUSD'!$AI$8*'TR TUSD'!$AI$76</f>
        <v>0</v>
      </c>
      <c r="AJ8" s="20">
        <f ca="1">'TR TUSD'!$AJ$8*'TR TUSD'!$AJ$76</f>
        <v>0</v>
      </c>
      <c r="AK8" s="20">
        <f ca="1">'TR TUSD'!$AK$8*'TR TUSD'!$AK$76</f>
        <v>0</v>
      </c>
      <c r="AL8" s="20">
        <f ca="1">SUM($AH$8:$AK$8)</f>
        <v>0</v>
      </c>
      <c r="AM8" s="20">
        <f ca="1">SUMIF($L$4:$AL$4,"SUBTOTAL",$L$8:$AL$8)</f>
        <v>17.734887856802928</v>
      </c>
      <c r="AP8" s="20">
        <v>1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20">
        <f>'TR TUSD'!$L$9*'TR TUSD'!$L$76</f>
        <v>15.304160343120605</v>
      </c>
      <c r="M9" s="20">
        <f>'TR TUSD'!$M$9*'TR TUSD'!$M$76</f>
        <v>0.26251701721719006</v>
      </c>
      <c r="N9" s="20">
        <f ca="1">'TR TUSD'!$N$9*'TR TUSD'!$N$76</f>
        <v>0.8478470352604327</v>
      </c>
      <c r="O9" s="20">
        <f>'TR TUSD'!$O$9*'TR TUSD'!$O$76</f>
        <v>0</v>
      </c>
      <c r="P9" s="20">
        <f>'TR TUSD'!$P$9*'TR TUSD'!$P$76</f>
        <v>0</v>
      </c>
      <c r="Q9" s="20">
        <f>'TR TUSD'!$Q$9*'TR TUSD'!$Q$76</f>
        <v>24.938415919836</v>
      </c>
      <c r="R9" s="20">
        <f>'TR TUSD'!$R$9*'TR TUSD'!$R$76</f>
        <v>15.012316553504524</v>
      </c>
      <c r="S9" s="20">
        <f>'TR TUSD'!$S$9*'TR TUSD'!$S$76</f>
        <v>0</v>
      </c>
      <c r="T9" s="20">
        <f ca="1">SUM($L$9:$S$9)</f>
        <v>56.365256868938751</v>
      </c>
      <c r="U9" s="20">
        <f>'TR TUSD'!$U$9*'TR TUSD'!$U$76</f>
        <v>0</v>
      </c>
      <c r="V9" s="20">
        <f>'TR TUSD'!$V$9*'TR TUSD'!$V$76</f>
        <v>0</v>
      </c>
      <c r="W9" s="20">
        <f>'TR TUSD'!$W$9*'TR TUSD'!$W$76</f>
        <v>0</v>
      </c>
      <c r="X9" s="20">
        <f>'TR TUSD'!$X$9*'TR TUSD'!$X$76</f>
        <v>0</v>
      </c>
      <c r="Y9" s="20">
        <f>'TR TUSD'!$Y$9*'TR TUSD'!$Y$76</f>
        <v>0</v>
      </c>
      <c r="Z9" s="20">
        <f>'TR TUSD'!$Z$9</f>
        <v>0</v>
      </c>
      <c r="AA9" s="20">
        <f>'TR TUSD'!$AA$9</f>
        <v>0</v>
      </c>
      <c r="AB9" s="20">
        <f>SUM($U$9:$AA$9)</f>
        <v>0</v>
      </c>
      <c r="AC9" s="20">
        <f>'TR TUSD'!$AC$9*'TR TUSD'!$AC$76</f>
        <v>0</v>
      </c>
      <c r="AD9" s="20">
        <f>SUM($AC$9:$AC$9)</f>
        <v>0</v>
      </c>
      <c r="AE9" s="20">
        <v>0</v>
      </c>
      <c r="AF9" s="20">
        <v>0</v>
      </c>
      <c r="AG9" s="20">
        <f>SUM($AE$9:$AF$9)</f>
        <v>0</v>
      </c>
      <c r="AH9" s="20">
        <f>'TR TUSD'!$AH$9*'TR TUSD'!$AH$76</f>
        <v>34.570476318864273</v>
      </c>
      <c r="AI9" s="20">
        <f>'TR TUSD'!$AI$9*'TR TUSD'!$AI$76</f>
        <v>2.7951797815574206</v>
      </c>
      <c r="AJ9" s="20">
        <f ca="1">'TR TUSD'!$AJ$9*'TR TUSD'!$AJ$76</f>
        <v>34.808059356215175</v>
      </c>
      <c r="AK9" s="20">
        <f ca="1">'TR TUSD'!$AK$9*'TR TUSD'!$AK$76</f>
        <v>6.776523019264201</v>
      </c>
      <c r="AL9" s="20">
        <f ca="1">SUM($AH$9:$AK$9)</f>
        <v>78.950238475901074</v>
      </c>
      <c r="AM9" s="20">
        <f ca="1">SUMIF($L$4:$AL$4,"SUBTOTAL",$L$9:$AL$9)</f>
        <v>135.31549534483983</v>
      </c>
      <c r="AP9" s="20">
        <v>1</v>
      </c>
    </row>
    <row r="10" spans="1:42" ht="11.25" customHeight="1" x14ac:dyDescent="0.25">
      <c r="A10" s="118"/>
      <c r="B10" s="118"/>
      <c r="C10" s="118"/>
      <c r="D10" s="118"/>
      <c r="E10" s="21" t="s">
        <v>85</v>
      </c>
      <c r="F10" s="21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20">
        <f>'TR TUSD'!$L$10*'TR TUSD'!$L$76</f>
        <v>0</v>
      </c>
      <c r="M10" s="20">
        <f>'TR TUSD'!$M$10*'TR TUSD'!$M$76</f>
        <v>0.26251701721719006</v>
      </c>
      <c r="N10" s="20">
        <f ca="1">'TR TUSD'!$N$10*'TR TUSD'!$N$76</f>
        <v>0.8363041287621592</v>
      </c>
      <c r="O10" s="20">
        <f>'TR TUSD'!$O$10*'TR TUSD'!$O$76</f>
        <v>0</v>
      </c>
      <c r="P10" s="20">
        <f>'TR TUSD'!$P$10*'TR TUSD'!$P$76</f>
        <v>0</v>
      </c>
      <c r="Q10" s="20">
        <f>'TR TUSD'!$Q$10*'TR TUSD'!$Q$76</f>
        <v>0</v>
      </c>
      <c r="R10" s="20">
        <f>'TR TUSD'!$R$10*'TR TUSD'!$R$76</f>
        <v>0</v>
      </c>
      <c r="S10" s="20">
        <f>'TR TUSD'!$S$10*'TR TUSD'!$S$76</f>
        <v>0</v>
      </c>
      <c r="T10" s="20">
        <f ca="1">SUM($L$10:$S$10)</f>
        <v>1.0988211459793493</v>
      </c>
      <c r="U10" s="20">
        <f>'TR TUSD'!$U$10*'TR TUSD'!$U$76</f>
        <v>0</v>
      </c>
      <c r="V10" s="20">
        <f>'TR TUSD'!$V$10*'TR TUSD'!$V$76</f>
        <v>0</v>
      </c>
      <c r="W10" s="20">
        <f>'TR TUSD'!$W$10*'TR TUSD'!$W$76</f>
        <v>0</v>
      </c>
      <c r="X10" s="20">
        <f>'TR TUSD'!$X$10*'TR TUSD'!$X$76</f>
        <v>0</v>
      </c>
      <c r="Y10" s="20">
        <f>'TR TUSD'!$Y$10*'TR TUSD'!$Y$76</f>
        <v>0</v>
      </c>
      <c r="Z10" s="20">
        <f>'TR TUSD'!$Z$10</f>
        <v>0</v>
      </c>
      <c r="AA10" s="20">
        <f>'TR TUSD'!$AA$10</f>
        <v>0</v>
      </c>
      <c r="AB10" s="20">
        <f>SUM($U$10:$AA$10)</f>
        <v>0</v>
      </c>
      <c r="AC10" s="20">
        <f>'TR TUSD'!$AC$10*'TR TUSD'!$AC$76</f>
        <v>0</v>
      </c>
      <c r="AD10" s="20">
        <f>SUM($AC$10:$AC$10)</f>
        <v>0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TUSD'!$AH$76</f>
        <v>34.570476318864273</v>
      </c>
      <c r="AI10" s="20">
        <f>'TR TUSD'!$AI$10*'TR TUSD'!$AI$76</f>
        <v>2.7951797815574206</v>
      </c>
      <c r="AJ10" s="20">
        <f ca="1">'TR TUSD'!$AJ$10*'TR TUSD'!$AJ$76</f>
        <v>34.808059356215175</v>
      </c>
      <c r="AK10" s="20">
        <f ca="1">'TR TUSD'!$AK$10*'TR TUSD'!$AK$76</f>
        <v>6.776523019264201</v>
      </c>
      <c r="AL10" s="20">
        <f ca="1">SUM($AH$10:$AK$10)</f>
        <v>78.950238475901074</v>
      </c>
      <c r="AM10" s="20">
        <f ca="1">SUMIF($L$4:$AL$4,"SUBTOTAL",$L$10:$AL$10)</f>
        <v>80.049059621880417</v>
      </c>
      <c r="AP10" s="20">
        <v>1</v>
      </c>
    </row>
    <row r="11" spans="1:42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20">
        <f>'TR TUSD'!$L$11*'TR TUSD'!$L$76</f>
        <v>0</v>
      </c>
      <c r="M11" s="20">
        <f>'TR TUSD'!$M$11*'TR TUSD'!$M$76</f>
        <v>0</v>
      </c>
      <c r="N11" s="20">
        <f ca="1">'TR TUSD'!$N$11*'TR TUSD'!$N$76</f>
        <v>0</v>
      </c>
      <c r="O11" s="20">
        <f>'TR TUSD'!$O$11*'TR TUSD'!$O$76</f>
        <v>0</v>
      </c>
      <c r="P11" s="20">
        <f>'TR TUSD'!$P$11*'TR TUSD'!$P$76</f>
        <v>0</v>
      </c>
      <c r="Q11" s="20">
        <f>'TR TUSD'!$Q$11*'TR TUSD'!$Q$76</f>
        <v>0</v>
      </c>
      <c r="R11" s="20">
        <f>'TR TUSD'!$R$11*'TR TUSD'!$R$76</f>
        <v>0</v>
      </c>
      <c r="S11" s="20">
        <f>'TR TUSD'!$S$11*'TR TUSD'!$S$76</f>
        <v>0</v>
      </c>
      <c r="T11" s="20">
        <f ca="1">SUM($L$11:$S$11)</f>
        <v>0</v>
      </c>
      <c r="U11" s="20">
        <f>'TR TUSD'!$U$11*'TR TUSD'!$U$76</f>
        <v>9.7173571134438212</v>
      </c>
      <c r="V11" s="20">
        <f>'TR TUSD'!$V$11*'TR TUSD'!$V$76</f>
        <v>1.2476258892389047</v>
      </c>
      <c r="W11" s="20">
        <f>'TR TUSD'!$W$11*'TR TUSD'!$W$76</f>
        <v>4.8998610528470994E-2</v>
      </c>
      <c r="X11" s="20">
        <f>'TR TUSD'!$X$11*'TR TUSD'!$X$76</f>
        <v>0</v>
      </c>
      <c r="Y11" s="20">
        <f>'TR TUSD'!$Y$11*'TR TUSD'!$Y$76</f>
        <v>0</v>
      </c>
      <c r="Z11" s="20">
        <f>'TR TUSD'!$Z$11</f>
        <v>0</v>
      </c>
      <c r="AA11" s="20">
        <f>'TR TUSD'!$AA$11</f>
        <v>0</v>
      </c>
      <c r="AB11" s="20">
        <f>SUM($U$11:$AA$11)</f>
        <v>11.013981613211197</v>
      </c>
      <c r="AC11" s="20">
        <f>'TR TUSD'!$AC$11*'TR TUSD'!$AC$76</f>
        <v>47.930037758333818</v>
      </c>
      <c r="AD11" s="20">
        <f>SUM($AC$11:$AC$11)</f>
        <v>47.930037758333818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TUSD'!$AH$76</f>
        <v>0</v>
      </c>
      <c r="AI11" s="20">
        <f>'TR TUSD'!$AI$11*'TR TUSD'!$AI$76</f>
        <v>0</v>
      </c>
      <c r="AJ11" s="20">
        <f ca="1">'TR TUSD'!$AJ$11*'TR TUSD'!$AJ$76</f>
        <v>0</v>
      </c>
      <c r="AK11" s="20">
        <f ca="1">'TR TUSD'!$AK$11*'TR TUSD'!$AK$76</f>
        <v>0</v>
      </c>
      <c r="AL11" s="20">
        <f ca="1">SUM($AH$11:$AK$11)</f>
        <v>0</v>
      </c>
      <c r="AM11" s="20">
        <f ca="1">SUMIF($L$4:$AL$4,"SUBTOTAL",$L$11:$AL$11)</f>
        <v>58.944019371545011</v>
      </c>
      <c r="AP11" s="20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20">
        <f>'TR TUSD'!$L$12*'TR TUSD'!$L$76</f>
        <v>0</v>
      </c>
      <c r="M12" s="20">
        <f>'TR TUSD'!$M$12*'TR TUSD'!$M$76</f>
        <v>0</v>
      </c>
      <c r="N12" s="20">
        <f ca="1">'TR TUSD'!$N$12*'TR TUSD'!$N$76</f>
        <v>0</v>
      </c>
      <c r="O12" s="20">
        <f>'TR TUSD'!$O$12*'TR TUSD'!$O$76</f>
        <v>0</v>
      </c>
      <c r="P12" s="20">
        <f>'TR TUSD'!$P$12*'TR TUSD'!$P$76</f>
        <v>0</v>
      </c>
      <c r="Q12" s="20">
        <f>'TR TUSD'!$Q$12*'TR TUSD'!$Q$76</f>
        <v>0</v>
      </c>
      <c r="R12" s="20">
        <f>'TR TUSD'!$R$12*'TR TUSD'!$R$76</f>
        <v>0</v>
      </c>
      <c r="S12" s="20">
        <f>'TR TUSD'!$S$12*'TR TUSD'!$S$76</f>
        <v>0</v>
      </c>
      <c r="T12" s="20">
        <f ca="1">SUM($L$12:$S$12)</f>
        <v>0</v>
      </c>
      <c r="U12" s="20">
        <f>'TR TUSD'!$U$12*'TR TUSD'!$U$76</f>
        <v>5.3417877886638827</v>
      </c>
      <c r="V12" s="20">
        <f>'TR TUSD'!$V$12*'TR TUSD'!$V$76</f>
        <v>0.70677009484575737</v>
      </c>
      <c r="W12" s="20">
        <f>'TR TUSD'!$W$12*'TR TUSD'!$W$76</f>
        <v>2.5278011788526605E-2</v>
      </c>
      <c r="X12" s="20">
        <f>'TR TUSD'!$X$12*'TR TUSD'!$X$76</f>
        <v>0</v>
      </c>
      <c r="Y12" s="20">
        <f>'TR TUSD'!$Y$12*'TR TUSD'!$Y$76</f>
        <v>0</v>
      </c>
      <c r="Z12" s="20">
        <f>'TR TUSD'!$Z$12</f>
        <v>0</v>
      </c>
      <c r="AA12" s="20">
        <f>'TR TUSD'!$AA$12</f>
        <v>0</v>
      </c>
      <c r="AB12" s="20">
        <f>SUM($U$12:$AA$12)</f>
        <v>6.073835895298167</v>
      </c>
      <c r="AC12" s="20">
        <f>'TR TUSD'!$AC$12*'TR TUSD'!$AC$76</f>
        <v>17.114289279156392</v>
      </c>
      <c r="AD12" s="20">
        <f>SUM($AC$12:$AC$12)</f>
        <v>17.114289279156392</v>
      </c>
      <c r="AE12" s="20">
        <v>0</v>
      </c>
      <c r="AF12" s="20">
        <v>0</v>
      </c>
      <c r="AG12" s="20">
        <f>SUM($AE$12:$AF$12)</f>
        <v>0</v>
      </c>
      <c r="AH12" s="20">
        <f>'TR TUSD'!$AH$12*'TR TUSD'!$AH$76</f>
        <v>0</v>
      </c>
      <c r="AI12" s="20">
        <f>'TR TUSD'!$AI$12*'TR TUSD'!$AI$76</f>
        <v>0</v>
      </c>
      <c r="AJ12" s="20">
        <f ca="1">'TR TUSD'!$AJ$12*'TR TUSD'!$AJ$76</f>
        <v>0</v>
      </c>
      <c r="AK12" s="20">
        <f ca="1">'TR TUSD'!$AK$12*'TR TUSD'!$AK$76</f>
        <v>0</v>
      </c>
      <c r="AL12" s="20">
        <f ca="1">SUM($AH$12:$AK$12)</f>
        <v>0</v>
      </c>
      <c r="AM12" s="20">
        <f ca="1">SUMIF($L$4:$AL$4,"SUBTOTAL",$L$12:$AL$12)</f>
        <v>23.188125174454559</v>
      </c>
      <c r="AP12" s="20">
        <v>1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20">
        <f>'TR TUSD'!$L$13*'TR TUSD'!$L$76</f>
        <v>20.73466885196985</v>
      </c>
      <c r="M13" s="20">
        <f>'TR TUSD'!$M$13*'TR TUSD'!$M$76</f>
        <v>0.76529823128334473</v>
      </c>
      <c r="N13" s="20">
        <f ca="1">'TR TUSD'!$N$13*'TR TUSD'!$N$76</f>
        <v>1.5425758304868071</v>
      </c>
      <c r="O13" s="20">
        <f>'TR TUSD'!$O$13*'TR TUSD'!$O$76</f>
        <v>0</v>
      </c>
      <c r="P13" s="20">
        <f>'TR TUSD'!$P$13*'TR TUSD'!$P$76</f>
        <v>0</v>
      </c>
      <c r="Q13" s="20">
        <f>'TR TUSD'!$Q$13*'TR TUSD'!$Q$76</f>
        <v>33.78753124622942</v>
      </c>
      <c r="R13" s="20">
        <f>'TR TUSD'!$R$13*'TR TUSD'!$R$76</f>
        <v>15.012316553504524</v>
      </c>
      <c r="S13" s="20">
        <f>'TR TUSD'!$S$13*'TR TUSD'!$S$76</f>
        <v>0</v>
      </c>
      <c r="T13" s="20">
        <f ca="1">SUM($L$13:$S$13)</f>
        <v>71.842390713473947</v>
      </c>
      <c r="U13" s="20">
        <f>'TR TUSD'!$U$13*'TR TUSD'!$U$76</f>
        <v>0</v>
      </c>
      <c r="V13" s="20">
        <f>'TR TUSD'!$V$13*'TR TUSD'!$V$76</f>
        <v>0</v>
      </c>
      <c r="W13" s="20">
        <f>'TR TUSD'!$W$13*'TR TUSD'!$W$76</f>
        <v>0</v>
      </c>
      <c r="X13" s="20">
        <f>'TR TUSD'!$X$13*'TR TUSD'!$X$76</f>
        <v>0</v>
      </c>
      <c r="Y13" s="20">
        <f>'TR TUSD'!$Y$13*'TR TUSD'!$Y$76</f>
        <v>0</v>
      </c>
      <c r="Z13" s="20">
        <f>'TR TUSD'!$Z$13</f>
        <v>0</v>
      </c>
      <c r="AA13" s="20">
        <f>'TR TUSD'!$AA$13</f>
        <v>0</v>
      </c>
      <c r="AB13" s="20">
        <f>SUM($U$13:$AA$13)</f>
        <v>0</v>
      </c>
      <c r="AC13" s="20">
        <f>'TR TUSD'!$AC$13*'TR TUSD'!$AC$76</f>
        <v>0</v>
      </c>
      <c r="AD13" s="20">
        <f>SUM($AC$13:$AC$13)</f>
        <v>0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TUSD'!$AH$76</f>
        <v>34.570476318864273</v>
      </c>
      <c r="AI13" s="20">
        <f>'TR TUSD'!$AI$13*'TR TUSD'!$AI$76</f>
        <v>2.7951797815574206</v>
      </c>
      <c r="AJ13" s="20">
        <f ca="1">'TR TUSD'!$AJ$13*'TR TUSD'!$AJ$76</f>
        <v>65.177728618187089</v>
      </c>
      <c r="AK13" s="20">
        <f ca="1">'TR TUSD'!$AK$13*'TR TUSD'!$AK$76</f>
        <v>12.688968776009505</v>
      </c>
      <c r="AL13" s="20">
        <f ca="1">SUM($AH$13:$AK$13)</f>
        <v>115.23235349461829</v>
      </c>
      <c r="AM13" s="20">
        <f ca="1">SUMIF($L$4:$AL$4,"SUBTOTAL",$L$13:$AL$13)</f>
        <v>187.07474420809223</v>
      </c>
      <c r="AP13" s="20">
        <v>1</v>
      </c>
    </row>
    <row r="14" spans="1:42" ht="11.25" customHeight="1" x14ac:dyDescent="0.25">
      <c r="A14" s="118"/>
      <c r="B14" s="118"/>
      <c r="C14" s="118"/>
      <c r="D14" s="118"/>
      <c r="E14" s="21" t="s">
        <v>85</v>
      </c>
      <c r="F14" s="21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20">
        <f>'TR TUSD'!$L$14*'TR TUSD'!$L$76</f>
        <v>0</v>
      </c>
      <c r="M14" s="20">
        <f>'TR TUSD'!$M$14*'TR TUSD'!$M$76</f>
        <v>0.76529823128334473</v>
      </c>
      <c r="N14" s="20">
        <f ca="1">'TR TUSD'!$N$14*'TR TUSD'!$N$76</f>
        <v>1.5310329239885336</v>
      </c>
      <c r="O14" s="20">
        <f>'TR TUSD'!$O$14*'TR TUSD'!$O$76</f>
        <v>0</v>
      </c>
      <c r="P14" s="20">
        <f>'TR TUSD'!$P$14*'TR TUSD'!$P$76</f>
        <v>0</v>
      </c>
      <c r="Q14" s="20">
        <f>'TR TUSD'!$Q$14*'TR TUSD'!$Q$76</f>
        <v>0</v>
      </c>
      <c r="R14" s="20">
        <f>'TR TUSD'!$R$14*'TR TUSD'!$R$76</f>
        <v>0</v>
      </c>
      <c r="S14" s="20">
        <f>'TR TUSD'!$S$14*'TR TUSD'!$S$76</f>
        <v>0</v>
      </c>
      <c r="T14" s="20">
        <f ca="1">SUM($L$14:$S$14)</f>
        <v>2.2963311552718784</v>
      </c>
      <c r="U14" s="20">
        <f>'TR TUSD'!$U$14*'TR TUSD'!$U$76</f>
        <v>0</v>
      </c>
      <c r="V14" s="20">
        <f>'TR TUSD'!$V$14*'TR TUSD'!$V$76</f>
        <v>0</v>
      </c>
      <c r="W14" s="20">
        <f>'TR TUSD'!$W$14*'TR TUSD'!$W$76</f>
        <v>0</v>
      </c>
      <c r="X14" s="20">
        <f>'TR TUSD'!$X$14*'TR TUSD'!$X$76</f>
        <v>0</v>
      </c>
      <c r="Y14" s="20">
        <f>'TR TUSD'!$Y$14*'TR TUSD'!$Y$76</f>
        <v>0</v>
      </c>
      <c r="Z14" s="20">
        <f>'TR TUSD'!$Z$14</f>
        <v>0</v>
      </c>
      <c r="AA14" s="20">
        <f>'TR TUSD'!$AA$14</f>
        <v>0</v>
      </c>
      <c r="AB14" s="20">
        <f>SUM($U$14:$AA$14)</f>
        <v>0</v>
      </c>
      <c r="AC14" s="20">
        <f>'TR TUSD'!$AC$14*'TR TUSD'!$AC$76</f>
        <v>0</v>
      </c>
      <c r="AD14" s="20">
        <f>SUM($AC$14:$AC$14)</f>
        <v>0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TUSD'!$AH$76</f>
        <v>34.570476318864273</v>
      </c>
      <c r="AI14" s="20">
        <f>'TR TUSD'!$AI$14*'TR TUSD'!$AI$76</f>
        <v>2.7951797815574206</v>
      </c>
      <c r="AJ14" s="20">
        <f ca="1">'TR TUSD'!$AJ$14*'TR TUSD'!$AJ$76</f>
        <v>65.177728618187089</v>
      </c>
      <c r="AK14" s="20">
        <f ca="1">'TR TUSD'!$AK$14*'TR TUSD'!$AK$76</f>
        <v>12.688968776009505</v>
      </c>
      <c r="AL14" s="20">
        <f ca="1">SUM($AH$14:$AK$14)</f>
        <v>115.23235349461829</v>
      </c>
      <c r="AM14" s="20">
        <f ca="1">SUMIF($L$4:$AL$4,"SUBTOTAL",$L$14:$AL$14)</f>
        <v>117.52868464989017</v>
      </c>
      <c r="AP14" s="20">
        <v>1</v>
      </c>
    </row>
    <row r="15" spans="1:42" ht="11.25" customHeight="1" x14ac:dyDescent="0.25">
      <c r="A15" s="118"/>
      <c r="B15" s="21" t="s">
        <v>58</v>
      </c>
      <c r="C15" s="21" t="s">
        <v>25</v>
      </c>
      <c r="D15" s="21" t="s">
        <v>25</v>
      </c>
      <c r="E15" s="21" t="s">
        <v>25</v>
      </c>
      <c r="F15" s="21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20">
        <f>'TR TUSD'!$L$15*'TR TUSD'!$L$76</f>
        <v>0</v>
      </c>
      <c r="M15" s="20">
        <f>'TR TUSD'!$M$15*'TR TUSD'!$M$76</f>
        <v>3.4422579516812372E-2</v>
      </c>
      <c r="N15" s="20">
        <f ca="1">'TR TUSD'!$N$15*'TR TUSD'!$N$76</f>
        <v>9.7883847105358898E-2</v>
      </c>
      <c r="O15" s="20">
        <f>'TR TUSD'!$O$15*'TR TUSD'!$O$76</f>
        <v>0</v>
      </c>
      <c r="P15" s="20">
        <f>'TR TUSD'!$P$15*'TR TUSD'!$P$76</f>
        <v>0</v>
      </c>
      <c r="Q15" s="20">
        <f>'TR TUSD'!$Q$15*'TR TUSD'!$Q$76</f>
        <v>0</v>
      </c>
      <c r="R15" s="20">
        <f>'TR TUSD'!$R$15*'TR TUSD'!$R$76</f>
        <v>0</v>
      </c>
      <c r="S15" s="20">
        <f>'TR TUSD'!$S$15*'TR TUSD'!$S$76</f>
        <v>0</v>
      </c>
      <c r="T15" s="20">
        <f ca="1">SUM($L$15:$S$15)</f>
        <v>0.13230642662217126</v>
      </c>
      <c r="U15" s="20">
        <f>'TR TUSD'!$U$15*'TR TUSD'!$U$76</f>
        <v>0</v>
      </c>
      <c r="V15" s="20">
        <f>'TR TUSD'!$V$15*'TR TUSD'!$V$76</f>
        <v>0</v>
      </c>
      <c r="W15" s="20">
        <f>'TR TUSD'!$W$15*'TR TUSD'!$W$76</f>
        <v>0</v>
      </c>
      <c r="X15" s="20">
        <f>'TR TUSD'!$X$15*'TR TUSD'!$X$76</f>
        <v>0</v>
      </c>
      <c r="Y15" s="20">
        <f>'TR TUSD'!$Y$15*'TR TUSD'!$Y$76</f>
        <v>0</v>
      </c>
      <c r="Z15" s="20">
        <f>'TR TUSD'!$Z$15*'TR TUSD'!$Z$76</f>
        <v>0</v>
      </c>
      <c r="AA15" s="20">
        <f>'TR TUSD'!$AA$15*'TR TUSD'!$AA$76</f>
        <v>0</v>
      </c>
      <c r="AB15" s="20">
        <f>SUM($U$15:$AA$15)</f>
        <v>0</v>
      </c>
      <c r="AC15" s="20">
        <f>'TR TUSD'!$AC$15*'TR TUSD'!$AC$76</f>
        <v>10.996694340310968</v>
      </c>
      <c r="AD15" s="20">
        <f>SUM($AC$15:$AC$15)</f>
        <v>10.996694340310968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TUSD'!$AH$76</f>
        <v>0</v>
      </c>
      <c r="AI15" s="20">
        <f>'TR TUSD'!$AI$15*'TR TUSD'!$AI$76</f>
        <v>0</v>
      </c>
      <c r="AJ15" s="20">
        <f ca="1">'TR TUSD'!$AJ$15*'TR TUSD'!$AJ$76</f>
        <v>0</v>
      </c>
      <c r="AK15" s="20">
        <f ca="1">'TR TUSD'!$AK$15*'TR TUSD'!$AK$76</f>
        <v>0</v>
      </c>
      <c r="AL15" s="20">
        <f ca="1">SUM($AH$15:$AK$15)</f>
        <v>0</v>
      </c>
      <c r="AM15" s="20">
        <f ca="1">SUMIF($L$4:$AL$4,"SUBTOTAL",$L$15:$AL$15)</f>
        <v>11.129000766933141</v>
      </c>
      <c r="AP15" s="20"/>
    </row>
    <row r="16" spans="1:42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20">
        <f>'TR TUSD'!$L$16*'TR TUSD'!$L$76</f>
        <v>0</v>
      </c>
      <c r="M16" s="20">
        <f>'TR TUSD'!$M$16*'TR TUSD'!$M$76</f>
        <v>0</v>
      </c>
      <c r="N16" s="20">
        <f ca="1">'TR TUSD'!$N$16*'TR TUSD'!$N$76</f>
        <v>0</v>
      </c>
      <c r="O16" s="20">
        <f>'TR TUSD'!$O$16*'TR TUSD'!$O$76</f>
        <v>0</v>
      </c>
      <c r="P16" s="20">
        <f>'TR TUSD'!$P$16*'TR TUSD'!$P$76</f>
        <v>0</v>
      </c>
      <c r="Q16" s="20">
        <f>'TR TUSD'!$Q$16*'TR TUSD'!$Q$76</f>
        <v>0</v>
      </c>
      <c r="R16" s="20">
        <f>'TR TUSD'!$R$16*'TR TUSD'!$R$76</f>
        <v>0</v>
      </c>
      <c r="S16" s="20">
        <f>'TR TUSD'!$S$16*'TR TUSD'!$S$76</f>
        <v>0</v>
      </c>
      <c r="T16" s="20">
        <f ca="1">SUM($L$16:$S$16)</f>
        <v>0</v>
      </c>
      <c r="U16" s="20">
        <f>'TR TUSD'!$U$16*'TR TUSD'!$U$76</f>
        <v>5.3417877886638827</v>
      </c>
      <c r="V16" s="20">
        <f>'TR TUSD'!$V$16*'TR TUSD'!$V$76</f>
        <v>0.70677009484575737</v>
      </c>
      <c r="W16" s="20">
        <f>'TR TUSD'!$W$16*'TR TUSD'!$W$76</f>
        <v>2.5278011788526605E-2</v>
      </c>
      <c r="X16" s="20">
        <f>'TR TUSD'!$X$16*'TR TUSD'!$X$76</f>
        <v>0</v>
      </c>
      <c r="Y16" s="20">
        <f>'TR TUSD'!$Y$16*'TR TUSD'!$Y$76</f>
        <v>0</v>
      </c>
      <c r="Z16" s="20">
        <f>'TR TUSD'!$Z$16</f>
        <v>0</v>
      </c>
      <c r="AA16" s="20">
        <f>'TR TUSD'!$AA$16</f>
        <v>0</v>
      </c>
      <c r="AB16" s="20">
        <f>SUM($U$16:$AA$16)</f>
        <v>6.073835895298167</v>
      </c>
      <c r="AC16" s="20">
        <f>'TR TUSD'!$AC$16*'TR TUSD'!$AC$76</f>
        <v>17.114289279156392</v>
      </c>
      <c r="AD16" s="20">
        <f>SUM($AC$16:$AC$16)</f>
        <v>17.114289279156392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TUSD'!$AH$76</f>
        <v>0</v>
      </c>
      <c r="AI16" s="20">
        <f>'TR TUSD'!$AI$16*'TR TUSD'!$AI$76</f>
        <v>0</v>
      </c>
      <c r="AJ16" s="20">
        <f ca="1">'TR TUSD'!$AJ$16*'TR TUSD'!$AJ$76</f>
        <v>0</v>
      </c>
      <c r="AK16" s="20">
        <f ca="1">'TR TUSD'!$AK$16*'TR TUSD'!$AK$76</f>
        <v>0</v>
      </c>
      <c r="AL16" s="20">
        <f ca="1">SUM($AH$16:$AK$16)</f>
        <v>0</v>
      </c>
      <c r="AM16" s="20">
        <f ca="1">SUMIF($L$4:$AL$4,"SUBTOTAL",$L$16:$AL$16)</f>
        <v>23.188125174454559</v>
      </c>
      <c r="AP16" s="20">
        <v>1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20">
        <f>'TR TUSD'!$L$17*'TR TUSD'!$L$76</f>
        <v>20.73466885196985</v>
      </c>
      <c r="M17" s="20">
        <f>'TR TUSD'!$M$17*'TR TUSD'!$M$76</f>
        <v>0.76529823128334473</v>
      </c>
      <c r="N17" s="20">
        <f ca="1">'TR TUSD'!$N$17*'TR TUSD'!$N$76</f>
        <v>14.115941831964781</v>
      </c>
      <c r="O17" s="20">
        <f>'TR TUSD'!$O$17*'TR TUSD'!$O$76</f>
        <v>0</v>
      </c>
      <c r="P17" s="20">
        <f>'TR TUSD'!$P$17*'TR TUSD'!$P$76</f>
        <v>0</v>
      </c>
      <c r="Q17" s="20">
        <f>'TR TUSD'!$Q$17*'TR TUSD'!$Q$76</f>
        <v>33.78753124622942</v>
      </c>
      <c r="R17" s="20">
        <f>'TR TUSD'!$R$17*'TR TUSD'!$R$76</f>
        <v>15.012316553504524</v>
      </c>
      <c r="S17" s="20">
        <f>'TR TUSD'!$S$17*'TR TUSD'!$S$76</f>
        <v>0</v>
      </c>
      <c r="T17" s="20">
        <f ca="1">SUM($L$17:$S$17)</f>
        <v>84.415756714951925</v>
      </c>
      <c r="U17" s="20">
        <f>'TR TUSD'!$U$17*'TR TUSD'!$U$76</f>
        <v>233.70262061948375</v>
      </c>
      <c r="V17" s="20">
        <f>'TR TUSD'!$V$17*'TR TUSD'!$V$76</f>
        <v>30.006159801207694</v>
      </c>
      <c r="W17" s="20">
        <f>'TR TUSD'!$W$17*'TR TUSD'!$W$76</f>
        <v>1.1787220757692571</v>
      </c>
      <c r="X17" s="20">
        <f>'TR TUSD'!$X$17*'TR TUSD'!$X$76</f>
        <v>0</v>
      </c>
      <c r="Y17" s="20">
        <f>'TR TUSD'!$Y$17*'TR TUSD'!$Y$76</f>
        <v>0</v>
      </c>
      <c r="Z17" s="20">
        <f>'TR TUSD'!$Z$17</f>
        <v>0</v>
      </c>
      <c r="AA17" s="20">
        <f>'TR TUSD'!$AA$17</f>
        <v>0</v>
      </c>
      <c r="AB17" s="20">
        <f>SUM($U$17:$AA$17)</f>
        <v>264.88750249646068</v>
      </c>
      <c r="AC17" s="20">
        <f>'TR TUSD'!$AC$17*'TR TUSD'!$AC$76</f>
        <v>1152.7181959846689</v>
      </c>
      <c r="AD17" s="20">
        <f>SUM($AC$17:$AC$17)</f>
        <v>1152.7181959846689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TUSD'!$AH$76</f>
        <v>34.570476318864273</v>
      </c>
      <c r="AI17" s="20">
        <f>'TR TUSD'!$AI$17*'TR TUSD'!$AI$76</f>
        <v>2.7951797815574206</v>
      </c>
      <c r="AJ17" s="20">
        <f ca="1">'TR TUSD'!$AJ$17*'TR TUSD'!$AJ$76</f>
        <v>65.177728618187089</v>
      </c>
      <c r="AK17" s="20">
        <f ca="1">'TR TUSD'!$AK$17*'TR TUSD'!$AK$76</f>
        <v>12.688968776009505</v>
      </c>
      <c r="AL17" s="20">
        <f ca="1">SUM($AH$17:$AK$17)</f>
        <v>115.23235349461829</v>
      </c>
      <c r="AM17" s="20">
        <f ca="1">SUMIF($L$4:$AL$4,"SUBTOTAL",$L$17:$AL$17)</f>
        <v>1617.2538086907</v>
      </c>
      <c r="AP17" s="20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20">
        <f>'TR TUSD'!$L$18*'TR TUSD'!$L$76</f>
        <v>20.73466885196985</v>
      </c>
      <c r="M18" s="20">
        <f>'TR TUSD'!$M$18*'TR TUSD'!$M$76</f>
        <v>0.76529823128334473</v>
      </c>
      <c r="N18" s="20">
        <f ca="1">'TR TUSD'!$N$18*'TR TUSD'!$N$76</f>
        <v>1.5425758304868071</v>
      </c>
      <c r="O18" s="20">
        <f>'TR TUSD'!$O$18*'TR TUSD'!$O$76</f>
        <v>0</v>
      </c>
      <c r="P18" s="20">
        <f>'TR TUSD'!$P$18*'TR TUSD'!$P$76</f>
        <v>0</v>
      </c>
      <c r="Q18" s="20">
        <f>'TR TUSD'!$Q$18*'TR TUSD'!$Q$76</f>
        <v>33.78753124622942</v>
      </c>
      <c r="R18" s="20">
        <f>'TR TUSD'!$R$18*'TR TUSD'!$R$76</f>
        <v>15.012316553504524</v>
      </c>
      <c r="S18" s="20">
        <f>'TR TUSD'!$S$18*'TR TUSD'!$S$76</f>
        <v>0</v>
      </c>
      <c r="T18" s="20">
        <f ca="1">SUM($L$18:$S$18)</f>
        <v>71.842390713473947</v>
      </c>
      <c r="U18" s="20">
        <f>'TR TUSD'!$U$18*'TR TUSD'!$U$76</f>
        <v>0</v>
      </c>
      <c r="V18" s="20">
        <f>'TR TUSD'!$V$18*'TR TUSD'!$V$76</f>
        <v>0</v>
      </c>
      <c r="W18" s="20">
        <f>'TR TUSD'!$W$18*'TR TUSD'!$W$76</f>
        <v>0</v>
      </c>
      <c r="X18" s="20">
        <f>'TR TUSD'!$X$18*'TR TUSD'!$X$76</f>
        <v>0</v>
      </c>
      <c r="Y18" s="20">
        <f>'TR TUSD'!$Y$18*'TR TUSD'!$Y$76</f>
        <v>0</v>
      </c>
      <c r="Z18" s="20">
        <f>'TR TUSD'!$Z$18</f>
        <v>0</v>
      </c>
      <c r="AA18" s="20">
        <f>'TR TUSD'!$AA$18</f>
        <v>0</v>
      </c>
      <c r="AB18" s="20">
        <f>SUM($U$18:$AA$18)</f>
        <v>0</v>
      </c>
      <c r="AC18" s="20">
        <f>'TR TUSD'!$AC$18*'TR TUSD'!$AC$76</f>
        <v>0</v>
      </c>
      <c r="AD18" s="20">
        <f>SUM($AC$18:$AC$18)</f>
        <v>0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TUSD'!$AH$76</f>
        <v>34.570476318864273</v>
      </c>
      <c r="AI18" s="20">
        <f>'TR TUSD'!$AI$18*'TR TUSD'!$AI$76</f>
        <v>2.7951797815574206</v>
      </c>
      <c r="AJ18" s="20">
        <f ca="1">'TR TUSD'!$AJ$18*'TR TUSD'!$AJ$76</f>
        <v>65.177728618187089</v>
      </c>
      <c r="AK18" s="20">
        <f ca="1">'TR TUSD'!$AK$18*'TR TUSD'!$AK$76</f>
        <v>12.688968776009505</v>
      </c>
      <c r="AL18" s="20">
        <f ca="1">SUM($AH$18:$AK$18)</f>
        <v>115.23235349461829</v>
      </c>
      <c r="AM18" s="20">
        <f ca="1">SUMIF($L$4:$AL$4,"SUBTOTAL",$L$18:$AL$18)</f>
        <v>187.07474420809223</v>
      </c>
      <c r="AP18" s="20">
        <v>1</v>
      </c>
    </row>
    <row r="19" spans="1:42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20">
        <f>'TR TUSD'!$L$19*'TR TUSD'!$L$76</f>
        <v>0</v>
      </c>
      <c r="M19" s="20">
        <f>'TR TUSD'!$M$19*'TR TUSD'!$M$76</f>
        <v>0.76529823128334473</v>
      </c>
      <c r="N19" s="20">
        <f ca="1">'TR TUSD'!$N$19*'TR TUSD'!$N$76</f>
        <v>14.104398925466505</v>
      </c>
      <c r="O19" s="20">
        <f>'TR TUSD'!$O$19*'TR TUSD'!$O$76</f>
        <v>0</v>
      </c>
      <c r="P19" s="20">
        <f>'TR TUSD'!$P$19*'TR TUSD'!$P$76</f>
        <v>0</v>
      </c>
      <c r="Q19" s="20">
        <f>'TR TUSD'!$Q$19*'TR TUSD'!$Q$76</f>
        <v>0</v>
      </c>
      <c r="R19" s="20">
        <f>'TR TUSD'!$R$19*'TR TUSD'!$R$76</f>
        <v>0</v>
      </c>
      <c r="S19" s="20">
        <f>'TR TUSD'!$S$19*'TR TUSD'!$S$76</f>
        <v>0</v>
      </c>
      <c r="T19" s="20">
        <f ca="1">SUM($L$19:$S$19)</f>
        <v>14.869697156749849</v>
      </c>
      <c r="U19" s="20">
        <f>'TR TUSD'!$U$19*'TR TUSD'!$U$76</f>
        <v>233.70262061948375</v>
      </c>
      <c r="V19" s="20">
        <f>'TR TUSD'!$V$19*'TR TUSD'!$V$76</f>
        <v>30.006159801207694</v>
      </c>
      <c r="W19" s="20">
        <f>'TR TUSD'!$W$19*'TR TUSD'!$W$76</f>
        <v>1.1787220757692571</v>
      </c>
      <c r="X19" s="20">
        <f>'TR TUSD'!$X$19*'TR TUSD'!$X$76</f>
        <v>0</v>
      </c>
      <c r="Y19" s="20">
        <f>'TR TUSD'!$Y$19*'TR TUSD'!$Y$76</f>
        <v>0</v>
      </c>
      <c r="Z19" s="20">
        <f>'TR TUSD'!$Z$19</f>
        <v>0</v>
      </c>
      <c r="AA19" s="20">
        <f>'TR TUSD'!$AA$19</f>
        <v>0</v>
      </c>
      <c r="AB19" s="20">
        <f>SUM($U$19:$AA$19)</f>
        <v>264.88750249646068</v>
      </c>
      <c r="AC19" s="20">
        <f>'TR TUSD'!$AC$19*'TR TUSD'!$AC$76</f>
        <v>1152.7181959846689</v>
      </c>
      <c r="AD19" s="20">
        <f>SUM($AC$19:$AC$19)</f>
        <v>1152.7181959846689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TUSD'!$AH$76</f>
        <v>34.570476318864273</v>
      </c>
      <c r="AI19" s="20">
        <f>'TR TUSD'!$AI$19*'TR TUSD'!$AI$76</f>
        <v>2.7951797815574206</v>
      </c>
      <c r="AJ19" s="20">
        <f ca="1">'TR TUSD'!$AJ$19*'TR TUSD'!$AJ$76</f>
        <v>65.177728618187089</v>
      </c>
      <c r="AK19" s="20">
        <f ca="1">'TR TUSD'!$AK$19*'TR TUSD'!$AK$76</f>
        <v>12.688968776009505</v>
      </c>
      <c r="AL19" s="20">
        <f ca="1">SUM($AH$19:$AK$19)</f>
        <v>115.23235349461829</v>
      </c>
      <c r="AM19" s="20">
        <f ca="1">SUMIF($L$4:$AL$4,"SUBTOTAL",$L$19:$AL$19)</f>
        <v>1547.7077491324978</v>
      </c>
      <c r="AP19" s="20">
        <v>1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20">
        <f>'TR TUSD'!$L$20*'TR TUSD'!$L$76</f>
        <v>0</v>
      </c>
      <c r="M20" s="20">
        <f>'TR TUSD'!$M$20*'TR TUSD'!$M$76</f>
        <v>0.76529823128334473</v>
      </c>
      <c r="N20" s="20">
        <f ca="1">'TR TUSD'!$N$20*'TR TUSD'!$N$76</f>
        <v>1.5310329239885336</v>
      </c>
      <c r="O20" s="20">
        <f>'TR TUSD'!$O$20*'TR TUSD'!$O$76</f>
        <v>0</v>
      </c>
      <c r="P20" s="20">
        <f>'TR TUSD'!$P$20*'TR TUSD'!$P$76</f>
        <v>0</v>
      </c>
      <c r="Q20" s="20">
        <f>'TR TUSD'!$Q$20*'TR TUSD'!$Q$76</f>
        <v>0</v>
      </c>
      <c r="R20" s="20">
        <f>'TR TUSD'!$R$20*'TR TUSD'!$R$76</f>
        <v>0</v>
      </c>
      <c r="S20" s="20">
        <f>'TR TUSD'!$S$20*'TR TUSD'!$S$76</f>
        <v>0</v>
      </c>
      <c r="T20" s="20">
        <f ca="1">SUM($L$20:$S$20)</f>
        <v>2.2963311552718784</v>
      </c>
      <c r="U20" s="20">
        <f>'TR TUSD'!$U$20*'TR TUSD'!$U$76</f>
        <v>0</v>
      </c>
      <c r="V20" s="20">
        <f>'TR TUSD'!$V$20*'TR TUSD'!$V$76</f>
        <v>0</v>
      </c>
      <c r="W20" s="20">
        <f>'TR TUSD'!$W$20*'TR TUSD'!$W$76</f>
        <v>0</v>
      </c>
      <c r="X20" s="20">
        <f>'TR TUSD'!$X$20*'TR TUSD'!$X$76</f>
        <v>0</v>
      </c>
      <c r="Y20" s="20">
        <f>'TR TUSD'!$Y$20*'TR TUSD'!$Y$76</f>
        <v>0</v>
      </c>
      <c r="Z20" s="20">
        <f>'TR TUSD'!$Z$20</f>
        <v>0</v>
      </c>
      <c r="AA20" s="20">
        <f>'TR TUSD'!$AA$20</f>
        <v>0</v>
      </c>
      <c r="AB20" s="20">
        <f>SUM($U$20:$AA$20)</f>
        <v>0</v>
      </c>
      <c r="AC20" s="20">
        <f>'TR TUSD'!$AC$20*'TR TUSD'!$AC$76</f>
        <v>0</v>
      </c>
      <c r="AD20" s="20">
        <f>SUM($AC$20:$AC$20)</f>
        <v>0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TUSD'!$AH$76</f>
        <v>34.570476318864273</v>
      </c>
      <c r="AI20" s="20">
        <f>'TR TUSD'!$AI$20*'TR TUSD'!$AI$76</f>
        <v>2.7951797815574206</v>
      </c>
      <c r="AJ20" s="20">
        <f ca="1">'TR TUSD'!$AJ$20*'TR TUSD'!$AJ$76</f>
        <v>65.177728618187089</v>
      </c>
      <c r="AK20" s="20">
        <f ca="1">'TR TUSD'!$AK$20*'TR TUSD'!$AK$76</f>
        <v>12.688968776009505</v>
      </c>
      <c r="AL20" s="20">
        <f ca="1">SUM($AH$20:$AK$20)</f>
        <v>115.23235349461829</v>
      </c>
      <c r="AM20" s="20">
        <f ca="1">SUMIF($L$4:$AL$4,"SUBTOTAL",$L$20:$AL$20)</f>
        <v>117.52868464989017</v>
      </c>
      <c r="AP20" s="20">
        <v>1</v>
      </c>
    </row>
    <row r="21" spans="1:42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20">
        <f>'TR TUSD'!$L$21*'TR TUSD'!$L$76</f>
        <v>0</v>
      </c>
      <c r="M21" s="20">
        <f>'TR TUSD'!$M$21*'TR TUSD'!$M$76</f>
        <v>0</v>
      </c>
      <c r="N21" s="20">
        <f ca="1">'TR TUSD'!$N$21*'TR TUSD'!$N$76</f>
        <v>0</v>
      </c>
      <c r="O21" s="20">
        <f>'TR TUSD'!$O$21*'TR TUSD'!$O$76</f>
        <v>0</v>
      </c>
      <c r="P21" s="20">
        <f>'TR TUSD'!$P$21*'TR TUSD'!$P$76</f>
        <v>0</v>
      </c>
      <c r="Q21" s="20">
        <f>'TR TUSD'!$Q$21*'TR TUSD'!$Q$76</f>
        <v>0</v>
      </c>
      <c r="R21" s="20">
        <f>'TR TUSD'!$R$21*'TR TUSD'!$R$76</f>
        <v>0</v>
      </c>
      <c r="S21" s="20">
        <f>'TR TUSD'!$S$21*'TR TUSD'!$S$76</f>
        <v>0</v>
      </c>
      <c r="T21" s="20">
        <f ca="1">SUM($L$21:$S$21)</f>
        <v>0</v>
      </c>
      <c r="U21" s="20">
        <f>'TR TUSD'!$U$21*'TR TUSD'!$U$76</f>
        <v>9.7173571134438212</v>
      </c>
      <c r="V21" s="20">
        <f>'TR TUSD'!$V$21*'TR TUSD'!$V$76</f>
        <v>1.2476258892389047</v>
      </c>
      <c r="W21" s="20">
        <f>'TR TUSD'!$W$21*'TR TUSD'!$W$76</f>
        <v>4.8998610528470994E-2</v>
      </c>
      <c r="X21" s="20">
        <f>'TR TUSD'!$X$21*'TR TUSD'!$X$76</f>
        <v>0</v>
      </c>
      <c r="Y21" s="20">
        <f>'TR TUSD'!$Y$21*'TR TUSD'!$Y$76</f>
        <v>0</v>
      </c>
      <c r="Z21" s="20">
        <f>'TR TUSD'!$Z$21</f>
        <v>0</v>
      </c>
      <c r="AA21" s="20">
        <f>'TR TUSD'!$AA$21</f>
        <v>0</v>
      </c>
      <c r="AB21" s="20">
        <f>SUM($U$21:$AA$21)</f>
        <v>11.013981613211197</v>
      </c>
      <c r="AC21" s="20">
        <f>'TR TUSD'!$AC$21*'TR TUSD'!$AC$76</f>
        <v>47.930037758333818</v>
      </c>
      <c r="AD21" s="20">
        <f>SUM($AC$21:$AC$21)</f>
        <v>47.930037758333818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TUSD'!$AH$76</f>
        <v>0</v>
      </c>
      <c r="AI21" s="20">
        <f>'TR TUSD'!$AI$21*'TR TUSD'!$AI$76</f>
        <v>0</v>
      </c>
      <c r="AJ21" s="20">
        <f ca="1">'TR TUSD'!$AJ$21*'TR TUSD'!$AJ$76</f>
        <v>0</v>
      </c>
      <c r="AK21" s="20">
        <f ca="1">'TR TUSD'!$AK$21*'TR TUSD'!$AK$76</f>
        <v>0</v>
      </c>
      <c r="AL21" s="20">
        <f ca="1">SUM($AH$21:$AK$21)</f>
        <v>0</v>
      </c>
      <c r="AM21" s="20">
        <f ca="1">SUMIF($L$4:$AL$4,"SUBTOTAL",$L$21:$AL$21)</f>
        <v>58.944019371545011</v>
      </c>
      <c r="AP21" s="20">
        <v>1</v>
      </c>
    </row>
    <row r="22" spans="1:42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20">
        <f>'TR TUSD'!$L$22*'TR TUSD'!$L$76</f>
        <v>0</v>
      </c>
      <c r="M22" s="20">
        <f>'TR TUSD'!$M$22*'TR TUSD'!$M$76</f>
        <v>0</v>
      </c>
      <c r="N22" s="20">
        <f ca="1">'TR TUSD'!$N$22*'TR TUSD'!$N$76</f>
        <v>0</v>
      </c>
      <c r="O22" s="20">
        <f>'TR TUSD'!$O$22*'TR TUSD'!$O$76</f>
        <v>0</v>
      </c>
      <c r="P22" s="20">
        <f>'TR TUSD'!$P$22*'TR TUSD'!$P$76</f>
        <v>0</v>
      </c>
      <c r="Q22" s="20">
        <f>'TR TUSD'!$Q$22*'TR TUSD'!$Q$76</f>
        <v>0</v>
      </c>
      <c r="R22" s="20">
        <f>'TR TUSD'!$R$22*'TR TUSD'!$R$76</f>
        <v>0</v>
      </c>
      <c r="S22" s="20">
        <f>'TR TUSD'!$S$22*'TR TUSD'!$S$76</f>
        <v>0</v>
      </c>
      <c r="T22" s="20">
        <f ca="1">SUM($L$22:$S$22)</f>
        <v>0</v>
      </c>
      <c r="U22" s="20">
        <f>'TR TUSD'!$U$22*'TR TUSD'!$U$76</f>
        <v>5.3417877886638827</v>
      </c>
      <c r="V22" s="20">
        <f>'TR TUSD'!$V$22*'TR TUSD'!$V$76</f>
        <v>0.70677009484575737</v>
      </c>
      <c r="W22" s="20">
        <f>'TR TUSD'!$W$22*'TR TUSD'!$W$76</f>
        <v>2.5278011788526605E-2</v>
      </c>
      <c r="X22" s="20">
        <f>'TR TUSD'!$X$22*'TR TUSD'!$X$76</f>
        <v>0</v>
      </c>
      <c r="Y22" s="20">
        <f>'TR TUSD'!$Y$22*'TR TUSD'!$Y$76</f>
        <v>0</v>
      </c>
      <c r="Z22" s="20">
        <f>'TR TUSD'!$Z$22</f>
        <v>0</v>
      </c>
      <c r="AA22" s="20">
        <f>'TR TUSD'!$AA$22</f>
        <v>0</v>
      </c>
      <c r="AB22" s="20">
        <f>SUM($U$22:$AA$22)</f>
        <v>6.073835895298167</v>
      </c>
      <c r="AC22" s="20">
        <f>'TR TUSD'!$AC$22*'TR TUSD'!$AC$76</f>
        <v>17.114289279156392</v>
      </c>
      <c r="AD22" s="20">
        <f>SUM($AC$22:$AC$22)</f>
        <v>17.114289279156392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TUSD'!$AH$76</f>
        <v>0</v>
      </c>
      <c r="AI22" s="20">
        <f>'TR TUSD'!$AI$22*'TR TUSD'!$AI$76</f>
        <v>0</v>
      </c>
      <c r="AJ22" s="20">
        <f ca="1">'TR TUSD'!$AJ$22*'TR TUSD'!$AJ$76</f>
        <v>0</v>
      </c>
      <c r="AK22" s="20">
        <f ca="1">'TR TUSD'!$AK$22*'TR TUSD'!$AK$76</f>
        <v>0</v>
      </c>
      <c r="AL22" s="20">
        <f ca="1">SUM($AH$22:$AK$22)</f>
        <v>0</v>
      </c>
      <c r="AM22" s="20">
        <f ca="1">SUMIF($L$4:$AL$4,"SUBTOTAL",$L$22:$AL$22)</f>
        <v>23.188125174454559</v>
      </c>
      <c r="AP22" s="20">
        <v>1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20">
        <f>'TR TUSD'!$L$23*'TR TUSD'!$L$76</f>
        <v>20.73466885196985</v>
      </c>
      <c r="M23" s="20">
        <f>'TR TUSD'!$M$23*'TR TUSD'!$M$76</f>
        <v>0.76529823128334473</v>
      </c>
      <c r="N23" s="20">
        <f ca="1">'TR TUSD'!$N$23*'TR TUSD'!$N$76</f>
        <v>1.5425758304868071</v>
      </c>
      <c r="O23" s="20">
        <f>'TR TUSD'!$O$23*'TR TUSD'!$O$76</f>
        <v>0</v>
      </c>
      <c r="P23" s="20">
        <f>'TR TUSD'!$P$23*'TR TUSD'!$P$76</f>
        <v>0</v>
      </c>
      <c r="Q23" s="20">
        <f>'TR TUSD'!$Q$23*'TR TUSD'!$Q$76</f>
        <v>33.78753124622942</v>
      </c>
      <c r="R23" s="20">
        <f>'TR TUSD'!$R$23*'TR TUSD'!$R$76</f>
        <v>15.012316553504524</v>
      </c>
      <c r="S23" s="20">
        <f>'TR TUSD'!$S$23*'TR TUSD'!$S$76</f>
        <v>0</v>
      </c>
      <c r="T23" s="20">
        <f ca="1">SUM($L$23:$S$23)</f>
        <v>71.842390713473947</v>
      </c>
      <c r="U23" s="20">
        <f>'TR TUSD'!$U$23*'TR TUSD'!$U$76</f>
        <v>0</v>
      </c>
      <c r="V23" s="20">
        <f>'TR TUSD'!$V$23*'TR TUSD'!$V$76</f>
        <v>0</v>
      </c>
      <c r="W23" s="20">
        <f>'TR TUSD'!$W$23*'TR TUSD'!$W$76</f>
        <v>0</v>
      </c>
      <c r="X23" s="20">
        <f>'TR TUSD'!$X$23*'TR TUSD'!$X$76</f>
        <v>0</v>
      </c>
      <c r="Y23" s="20">
        <f>'TR TUSD'!$Y$23*'TR TUSD'!$Y$76</f>
        <v>0</v>
      </c>
      <c r="Z23" s="20">
        <f>'TR TUSD'!$Z$23</f>
        <v>0</v>
      </c>
      <c r="AA23" s="20">
        <f>'TR TUSD'!$AA$23</f>
        <v>0</v>
      </c>
      <c r="AB23" s="20">
        <f>SUM($U$23:$AA$23)</f>
        <v>0</v>
      </c>
      <c r="AC23" s="20">
        <f>'TR TUSD'!$AC$23*'TR TUSD'!$AC$76</f>
        <v>0</v>
      </c>
      <c r="AD23" s="20">
        <f>SUM($AC$23:$AC$23)</f>
        <v>0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TUSD'!$AH$76</f>
        <v>34.570476318864273</v>
      </c>
      <c r="AI23" s="20">
        <f>'TR TUSD'!$AI$23*'TR TUSD'!$AI$76</f>
        <v>2.7951797815574206</v>
      </c>
      <c r="AJ23" s="20">
        <f ca="1">'TR TUSD'!$AJ$23*'TR TUSD'!$AJ$76</f>
        <v>65.177728618187089</v>
      </c>
      <c r="AK23" s="20">
        <f ca="1">'TR TUSD'!$AK$23*'TR TUSD'!$AK$76</f>
        <v>12.688968776009505</v>
      </c>
      <c r="AL23" s="20">
        <f ca="1">SUM($AH$23:$AK$23)</f>
        <v>115.23235349461829</v>
      </c>
      <c r="AM23" s="20">
        <f ca="1">SUMIF($L$4:$AL$4,"SUBTOTAL",$L$23:$AL$23)</f>
        <v>187.07474420809223</v>
      </c>
      <c r="AP23" s="20">
        <v>1</v>
      </c>
    </row>
    <row r="24" spans="1:42" ht="11.25" customHeight="1" x14ac:dyDescent="0.25">
      <c r="A24" s="118"/>
      <c r="B24" s="118"/>
      <c r="C24" s="118"/>
      <c r="D24" s="118"/>
      <c r="E24" s="21" t="s">
        <v>85</v>
      </c>
      <c r="F24" s="21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20">
        <f>'TR TUSD'!$L$24*'TR TUSD'!$L$76</f>
        <v>0</v>
      </c>
      <c r="M24" s="20">
        <f>'TR TUSD'!$M$24*'TR TUSD'!$M$76</f>
        <v>0.76529823128334473</v>
      </c>
      <c r="N24" s="20">
        <f ca="1">'TR TUSD'!$N$24*'TR TUSD'!$N$76</f>
        <v>1.5310329239885336</v>
      </c>
      <c r="O24" s="20">
        <f>'TR TUSD'!$O$24*'TR TUSD'!$O$76</f>
        <v>0</v>
      </c>
      <c r="P24" s="20">
        <f>'TR TUSD'!$P$24*'TR TUSD'!$P$76</f>
        <v>0</v>
      </c>
      <c r="Q24" s="20">
        <f>'TR TUSD'!$Q$24*'TR TUSD'!$Q$76</f>
        <v>0</v>
      </c>
      <c r="R24" s="20">
        <f>'TR TUSD'!$R$24*'TR TUSD'!$R$76</f>
        <v>0</v>
      </c>
      <c r="S24" s="20">
        <f>'TR TUSD'!$S$24*'TR TUSD'!$S$76</f>
        <v>0</v>
      </c>
      <c r="T24" s="20">
        <f ca="1">SUM($L$24:$S$24)</f>
        <v>2.2963311552718784</v>
      </c>
      <c r="U24" s="20">
        <f>'TR TUSD'!$U$24*'TR TUSD'!$U$76</f>
        <v>0</v>
      </c>
      <c r="V24" s="20">
        <f>'TR TUSD'!$V$24*'TR TUSD'!$V$76</f>
        <v>0</v>
      </c>
      <c r="W24" s="20">
        <f>'TR TUSD'!$W$24*'TR TUSD'!$W$76</f>
        <v>0</v>
      </c>
      <c r="X24" s="20">
        <f>'TR TUSD'!$X$24*'TR TUSD'!$X$76</f>
        <v>0</v>
      </c>
      <c r="Y24" s="20">
        <f>'TR TUSD'!$Y$24*'TR TUSD'!$Y$76</f>
        <v>0</v>
      </c>
      <c r="Z24" s="20">
        <f>'TR TUSD'!$Z$24</f>
        <v>0</v>
      </c>
      <c r="AA24" s="20">
        <f>'TR TUSD'!$AA$24</f>
        <v>0</v>
      </c>
      <c r="AB24" s="20">
        <f>SUM($U$24:$AA$24)</f>
        <v>0</v>
      </c>
      <c r="AC24" s="20">
        <f>'TR TUSD'!$AC$24*'TR TUSD'!$AC$76</f>
        <v>0</v>
      </c>
      <c r="AD24" s="20">
        <f>SUM($AC$24:$AC$24)</f>
        <v>0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TUSD'!$AH$76</f>
        <v>34.570476318864273</v>
      </c>
      <c r="AI24" s="20">
        <f>'TR TUSD'!$AI$24*'TR TUSD'!$AI$76</f>
        <v>2.7951797815574206</v>
      </c>
      <c r="AJ24" s="20">
        <f ca="1">'TR TUSD'!$AJ$24*'TR TUSD'!$AJ$76</f>
        <v>65.177728618187089</v>
      </c>
      <c r="AK24" s="20">
        <f ca="1">'TR TUSD'!$AK$24*'TR TUSD'!$AK$76</f>
        <v>12.688968776009505</v>
      </c>
      <c r="AL24" s="20">
        <f ca="1">SUM($AH$24:$AK$24)</f>
        <v>115.23235349461829</v>
      </c>
      <c r="AM24" s="20">
        <f ca="1">SUMIF($L$4:$AL$4,"SUBTOTAL",$L$24:$AL$24)</f>
        <v>117.52868464989017</v>
      </c>
      <c r="AP24" s="20">
        <v>1</v>
      </c>
    </row>
    <row r="25" spans="1:42" ht="11.25" customHeight="1" x14ac:dyDescent="0.25">
      <c r="A25" s="118"/>
      <c r="B25" s="21" t="s">
        <v>58</v>
      </c>
      <c r="C25" s="21" t="s">
        <v>25</v>
      </c>
      <c r="D25" s="21" t="s">
        <v>25</v>
      </c>
      <c r="E25" s="21" t="s">
        <v>25</v>
      </c>
      <c r="F25" s="21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20">
        <f>'TR TUSD'!$L$25*'TR TUSD'!$L$76</f>
        <v>0</v>
      </c>
      <c r="M25" s="20">
        <f>'TR TUSD'!$M$25*'TR TUSD'!$M$76</f>
        <v>3.4422579516812372E-2</v>
      </c>
      <c r="N25" s="20">
        <f ca="1">'TR TUSD'!$N$25*'TR TUSD'!$N$76</f>
        <v>9.7883847105358898E-2</v>
      </c>
      <c r="O25" s="20">
        <f>'TR TUSD'!$O$25*'TR TUSD'!$O$76</f>
        <v>0</v>
      </c>
      <c r="P25" s="20">
        <f>'TR TUSD'!$P$25*'TR TUSD'!$P$76</f>
        <v>0</v>
      </c>
      <c r="Q25" s="20">
        <f>'TR TUSD'!$Q$25*'TR TUSD'!$Q$76</f>
        <v>0</v>
      </c>
      <c r="R25" s="20">
        <f>'TR TUSD'!$R$25*'TR TUSD'!$R$76</f>
        <v>0</v>
      </c>
      <c r="S25" s="20">
        <f>'TR TUSD'!$S$25*'TR TUSD'!$S$76</f>
        <v>0</v>
      </c>
      <c r="T25" s="20">
        <f ca="1">SUM($L$25:$S$25)</f>
        <v>0.13230642662217126</v>
      </c>
      <c r="U25" s="20">
        <f>'TR TUSD'!$U$25*'TR TUSD'!$U$76</f>
        <v>0</v>
      </c>
      <c r="V25" s="20">
        <f>'TR TUSD'!$V$25*'TR TUSD'!$V$76</f>
        <v>0</v>
      </c>
      <c r="W25" s="20">
        <f>'TR TUSD'!$W$25*'TR TUSD'!$W$76</f>
        <v>0</v>
      </c>
      <c r="X25" s="20">
        <f>'TR TUSD'!$X$25*'TR TUSD'!$X$76</f>
        <v>0</v>
      </c>
      <c r="Y25" s="20">
        <f>'TR TUSD'!$Y$25*'TR TUSD'!$Y$76</f>
        <v>0</v>
      </c>
      <c r="Z25" s="20">
        <f>'TR TUSD'!$Z$25*'TR TUSD'!$Z$76</f>
        <v>0</v>
      </c>
      <c r="AA25" s="20">
        <f>'TR TUSD'!$AA$25*'TR TUSD'!$AA$76</f>
        <v>0</v>
      </c>
      <c r="AB25" s="20">
        <f>SUM($U$25:$AA$25)</f>
        <v>0</v>
      </c>
      <c r="AC25" s="20">
        <f>'TR TUSD'!$AC$25*'TR TUSD'!$AC$76</f>
        <v>10.996694340310968</v>
      </c>
      <c r="AD25" s="20">
        <f>SUM($AC$25:$AC$25)</f>
        <v>10.996694340310968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TUSD'!$AH$76</f>
        <v>0</v>
      </c>
      <c r="AI25" s="20">
        <f>'TR TUSD'!$AI$25*'TR TUSD'!$AI$76</f>
        <v>0</v>
      </c>
      <c r="AJ25" s="20">
        <f ca="1">'TR TUSD'!$AJ$25*'TR TUSD'!$AJ$76</f>
        <v>0</v>
      </c>
      <c r="AK25" s="20">
        <f ca="1">'TR TUSD'!$AK$25*'TR TUSD'!$AK$76</f>
        <v>0</v>
      </c>
      <c r="AL25" s="20">
        <f ca="1">SUM($AH$25:$AK$25)</f>
        <v>0</v>
      </c>
      <c r="AM25" s="20">
        <f ca="1">SUMIF($L$4:$AL$4,"SUBTOTAL",$L$25:$AL$25)</f>
        <v>11.129000766933141</v>
      </c>
      <c r="AP25" s="20"/>
    </row>
    <row r="26" spans="1:42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20">
        <f>'TR TUSD'!$L$26*'TR TUSD'!$L$76</f>
        <v>0</v>
      </c>
      <c r="M26" s="20">
        <f>'TR TUSD'!$M$26*'TR TUSD'!$M$76</f>
        <v>0</v>
      </c>
      <c r="N26" s="20">
        <f ca="1">'TR TUSD'!$N$26*'TR TUSD'!$N$76</f>
        <v>0</v>
      </c>
      <c r="O26" s="20">
        <f>'TR TUSD'!$O$26*'TR TUSD'!$O$76</f>
        <v>0</v>
      </c>
      <c r="P26" s="20">
        <f>'TR TUSD'!$P$26*'TR TUSD'!$P$76</f>
        <v>0</v>
      </c>
      <c r="Q26" s="20">
        <f>'TR TUSD'!$Q$26*'TR TUSD'!$Q$76</f>
        <v>0</v>
      </c>
      <c r="R26" s="20">
        <f>'TR TUSD'!$R$26*'TR TUSD'!$R$76</f>
        <v>0</v>
      </c>
      <c r="S26" s="20">
        <f>'TR TUSD'!$S$26*'TR TUSD'!$S$76</f>
        <v>0</v>
      </c>
      <c r="T26" s="20">
        <f ca="1">SUM($L$26:$S$26)</f>
        <v>0</v>
      </c>
      <c r="U26" s="20">
        <f>'TR TUSD'!$U$26*'TR TUSD'!$U$76</f>
        <v>5.3417877886638827</v>
      </c>
      <c r="V26" s="20">
        <f>'TR TUSD'!$V$26*'TR TUSD'!$V$76</f>
        <v>0.70677009484575737</v>
      </c>
      <c r="W26" s="20">
        <f>'TR TUSD'!$W$26*'TR TUSD'!$W$76</f>
        <v>2.5278011788526605E-2</v>
      </c>
      <c r="X26" s="20">
        <f>'TR TUSD'!$X$26*'TR TUSD'!$X$76</f>
        <v>0</v>
      </c>
      <c r="Y26" s="20">
        <f>'TR TUSD'!$Y$26*'TR TUSD'!$Y$76</f>
        <v>0</v>
      </c>
      <c r="Z26" s="20">
        <f>'TR TUSD'!$Z$26</f>
        <v>0</v>
      </c>
      <c r="AA26" s="20">
        <f>'TR TUSD'!$AA$26</f>
        <v>0</v>
      </c>
      <c r="AB26" s="20">
        <f>SUM($U$26:$AA$26)</f>
        <v>6.073835895298167</v>
      </c>
      <c r="AC26" s="20">
        <f>'TR TUSD'!$AC$26*'TR TUSD'!$AC$76</f>
        <v>17.114289279156392</v>
      </c>
      <c r="AD26" s="20">
        <f>SUM($AC$26:$AC$26)</f>
        <v>17.114289279156392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TUSD'!$AH$76</f>
        <v>0</v>
      </c>
      <c r="AI26" s="20">
        <f>'TR TUSD'!$AI$26*'TR TUSD'!$AI$76</f>
        <v>0</v>
      </c>
      <c r="AJ26" s="20">
        <f ca="1">'TR TUSD'!$AJ$26*'TR TUSD'!$AJ$76</f>
        <v>0</v>
      </c>
      <c r="AK26" s="20">
        <f ca="1">'TR TUSD'!$AK$26*'TR TUSD'!$AK$76</f>
        <v>0</v>
      </c>
      <c r="AL26" s="20">
        <f ca="1">SUM($AH$26:$AK$26)</f>
        <v>0</v>
      </c>
      <c r="AM26" s="20">
        <f ca="1">SUMIF($L$4:$AL$4,"SUBTOTAL",$L$26:$AL$26)</f>
        <v>23.188125174454559</v>
      </c>
      <c r="AP26" s="20">
        <v>1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20">
        <f>'TR TUSD'!$L$27*'TR TUSD'!$L$76</f>
        <v>20.73466885196985</v>
      </c>
      <c r="M27" s="20">
        <f>'TR TUSD'!$M$27*'TR TUSD'!$M$76</f>
        <v>0.76529823128334473</v>
      </c>
      <c r="N27" s="20">
        <f ca="1">'TR TUSD'!$N$27*'TR TUSD'!$N$76</f>
        <v>14.115941831964781</v>
      </c>
      <c r="O27" s="20">
        <f>'TR TUSD'!$O$27*'TR TUSD'!$O$76</f>
        <v>0</v>
      </c>
      <c r="P27" s="20">
        <f>'TR TUSD'!$P$27*'TR TUSD'!$P$76</f>
        <v>0</v>
      </c>
      <c r="Q27" s="20">
        <f>'TR TUSD'!$Q$27*'TR TUSD'!$Q$76</f>
        <v>33.78753124622942</v>
      </c>
      <c r="R27" s="20">
        <f>'TR TUSD'!$R$27*'TR TUSD'!$R$76</f>
        <v>15.012316553504524</v>
      </c>
      <c r="S27" s="20">
        <f>'TR TUSD'!$S$27*'TR TUSD'!$S$76</f>
        <v>0</v>
      </c>
      <c r="T27" s="20">
        <f ca="1">SUM($L$27:$S$27)</f>
        <v>84.415756714951925</v>
      </c>
      <c r="U27" s="20">
        <f>'TR TUSD'!$U$27*'TR TUSD'!$U$76</f>
        <v>233.70262061948375</v>
      </c>
      <c r="V27" s="20">
        <f>'TR TUSD'!$V$27*'TR TUSD'!$V$76</f>
        <v>30.006159801207694</v>
      </c>
      <c r="W27" s="20">
        <f>'TR TUSD'!$W$27*'TR TUSD'!$W$76</f>
        <v>1.1787220757692571</v>
      </c>
      <c r="X27" s="20">
        <f>'TR TUSD'!$X$27*'TR TUSD'!$X$76</f>
        <v>0</v>
      </c>
      <c r="Y27" s="20">
        <f>'TR TUSD'!$Y$27*'TR TUSD'!$Y$76</f>
        <v>0</v>
      </c>
      <c r="Z27" s="20">
        <f>'TR TUSD'!$Z$27</f>
        <v>0</v>
      </c>
      <c r="AA27" s="20">
        <f>'TR TUSD'!$AA$27</f>
        <v>0</v>
      </c>
      <c r="AB27" s="20">
        <f>SUM($U$27:$AA$27)</f>
        <v>264.88750249646068</v>
      </c>
      <c r="AC27" s="20">
        <f>'TR TUSD'!$AC$27*'TR TUSD'!$AC$76</f>
        <v>1152.7181959846689</v>
      </c>
      <c r="AD27" s="20">
        <f>SUM($AC$27:$AC$27)</f>
        <v>1152.7181959846689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TUSD'!$AH$76</f>
        <v>34.570476318864273</v>
      </c>
      <c r="AI27" s="20">
        <f>'TR TUSD'!$AI$27*'TR TUSD'!$AI$76</f>
        <v>2.7951797815574206</v>
      </c>
      <c r="AJ27" s="20">
        <f ca="1">'TR TUSD'!$AJ$27*'TR TUSD'!$AJ$76</f>
        <v>65.177728618187089</v>
      </c>
      <c r="AK27" s="20">
        <f ca="1">'TR TUSD'!$AK$27*'TR TUSD'!$AK$76</f>
        <v>12.688968776009505</v>
      </c>
      <c r="AL27" s="20">
        <f ca="1">SUM($AH$27:$AK$27)</f>
        <v>115.23235349461829</v>
      </c>
      <c r="AM27" s="20">
        <f ca="1">SUMIF($L$4:$AL$4,"SUBTOTAL",$L$27:$AL$27)</f>
        <v>1617.2538086907</v>
      </c>
      <c r="AP27" s="20">
        <v>1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20">
        <f>'TR TUSD'!$L$28*'TR TUSD'!$L$76</f>
        <v>20.73466885196985</v>
      </c>
      <c r="M28" s="20">
        <f>'TR TUSD'!$M$28*'TR TUSD'!$M$76</f>
        <v>0.76529823128334473</v>
      </c>
      <c r="N28" s="20">
        <f ca="1">'TR TUSD'!$N$28*'TR TUSD'!$N$76</f>
        <v>1.5425758304868071</v>
      </c>
      <c r="O28" s="20">
        <f>'TR TUSD'!$O$28*'TR TUSD'!$O$76</f>
        <v>0</v>
      </c>
      <c r="P28" s="20">
        <f>'TR TUSD'!$P$28*'TR TUSD'!$P$76</f>
        <v>0</v>
      </c>
      <c r="Q28" s="20">
        <f>'TR TUSD'!$Q$28*'TR TUSD'!$Q$76</f>
        <v>33.78753124622942</v>
      </c>
      <c r="R28" s="20">
        <f>'TR TUSD'!$R$28*'TR TUSD'!$R$76</f>
        <v>15.012316553504524</v>
      </c>
      <c r="S28" s="20">
        <f>'TR TUSD'!$S$28*'TR TUSD'!$S$76</f>
        <v>0</v>
      </c>
      <c r="T28" s="20">
        <f ca="1">SUM($L$28:$S$28)</f>
        <v>71.842390713473947</v>
      </c>
      <c r="U28" s="20">
        <f>'TR TUSD'!$U$28*'TR TUSD'!$U$76</f>
        <v>0</v>
      </c>
      <c r="V28" s="20">
        <f>'TR TUSD'!$V$28*'TR TUSD'!$V$76</f>
        <v>0</v>
      </c>
      <c r="W28" s="20">
        <f>'TR TUSD'!$W$28*'TR TUSD'!$W$76</f>
        <v>0</v>
      </c>
      <c r="X28" s="20">
        <f>'TR TUSD'!$X$28*'TR TUSD'!$X$76</f>
        <v>0</v>
      </c>
      <c r="Y28" s="20">
        <f>'TR TUSD'!$Y$28*'TR TUSD'!$Y$76</f>
        <v>0</v>
      </c>
      <c r="Z28" s="20">
        <f>'TR TUSD'!$Z$28</f>
        <v>0</v>
      </c>
      <c r="AA28" s="20">
        <f>'TR TUSD'!$AA$28</f>
        <v>0</v>
      </c>
      <c r="AB28" s="20">
        <f>SUM($U$28:$AA$28)</f>
        <v>0</v>
      </c>
      <c r="AC28" s="20">
        <f>'TR TUSD'!$AC$28*'TR TUSD'!$AC$76</f>
        <v>0</v>
      </c>
      <c r="AD28" s="20">
        <f>SUM($AC$28:$AC$28)</f>
        <v>0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TUSD'!$AH$76</f>
        <v>34.570476318864273</v>
      </c>
      <c r="AI28" s="20">
        <f>'TR TUSD'!$AI$28*'TR TUSD'!$AI$76</f>
        <v>2.7951797815574206</v>
      </c>
      <c r="AJ28" s="20">
        <f ca="1">'TR TUSD'!$AJ$28*'TR TUSD'!$AJ$76</f>
        <v>65.177728618187089</v>
      </c>
      <c r="AK28" s="20">
        <f ca="1">'TR TUSD'!$AK$28*'TR TUSD'!$AK$76</f>
        <v>12.688968776009505</v>
      </c>
      <c r="AL28" s="20">
        <f ca="1">SUM($AH$28:$AK$28)</f>
        <v>115.23235349461829</v>
      </c>
      <c r="AM28" s="20">
        <f ca="1">SUMIF($L$4:$AL$4,"SUBTOTAL",$L$28:$AL$28)</f>
        <v>187.07474420809223</v>
      </c>
      <c r="AP28" s="20">
        <v>1</v>
      </c>
    </row>
    <row r="29" spans="1:42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20">
        <f>'TR TUSD'!$L$29*'TR TUSD'!$L$76</f>
        <v>0</v>
      </c>
      <c r="M29" s="20">
        <f>'TR TUSD'!$M$29*'TR TUSD'!$M$76</f>
        <v>0.76529823128334473</v>
      </c>
      <c r="N29" s="20">
        <f ca="1">'TR TUSD'!$N$29*'TR TUSD'!$N$76</f>
        <v>14.104398925466505</v>
      </c>
      <c r="O29" s="20">
        <f>'TR TUSD'!$O$29*'TR TUSD'!$O$76</f>
        <v>0</v>
      </c>
      <c r="P29" s="20">
        <f>'TR TUSD'!$P$29*'TR TUSD'!$P$76</f>
        <v>0</v>
      </c>
      <c r="Q29" s="20">
        <f>'TR TUSD'!$Q$29*'TR TUSD'!$Q$76</f>
        <v>0</v>
      </c>
      <c r="R29" s="20">
        <f>'TR TUSD'!$R$29*'TR TUSD'!$R$76</f>
        <v>0</v>
      </c>
      <c r="S29" s="20">
        <f>'TR TUSD'!$S$29*'TR TUSD'!$S$76</f>
        <v>0</v>
      </c>
      <c r="T29" s="20">
        <f ca="1">SUM($L$29:$S$29)</f>
        <v>14.869697156749849</v>
      </c>
      <c r="U29" s="20">
        <f>'TR TUSD'!$U$29*'TR TUSD'!$U$76</f>
        <v>233.70262061948375</v>
      </c>
      <c r="V29" s="20">
        <f>'TR TUSD'!$V$29*'TR TUSD'!$V$76</f>
        <v>30.006159801207694</v>
      </c>
      <c r="W29" s="20">
        <f>'TR TUSD'!$W$29*'TR TUSD'!$W$76</f>
        <v>1.1787220757692571</v>
      </c>
      <c r="X29" s="20">
        <f>'TR TUSD'!$X$29*'TR TUSD'!$X$76</f>
        <v>0</v>
      </c>
      <c r="Y29" s="20">
        <f>'TR TUSD'!$Y$29*'TR TUSD'!$Y$76</f>
        <v>0</v>
      </c>
      <c r="Z29" s="20">
        <f>'TR TUSD'!$Z$29</f>
        <v>0</v>
      </c>
      <c r="AA29" s="20">
        <f>'TR TUSD'!$AA$29</f>
        <v>0</v>
      </c>
      <c r="AB29" s="20">
        <f>SUM($U$29:$AA$29)</f>
        <v>264.88750249646068</v>
      </c>
      <c r="AC29" s="20">
        <f>'TR TUSD'!$AC$29*'TR TUSD'!$AC$76</f>
        <v>1152.7181959846689</v>
      </c>
      <c r="AD29" s="20">
        <f>SUM($AC$29:$AC$29)</f>
        <v>1152.7181959846689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TUSD'!$AH$76</f>
        <v>34.570476318864273</v>
      </c>
      <c r="AI29" s="20">
        <f>'TR TUSD'!$AI$29*'TR TUSD'!$AI$76</f>
        <v>2.7951797815574206</v>
      </c>
      <c r="AJ29" s="20">
        <f ca="1">'TR TUSD'!$AJ$29*'TR TUSD'!$AJ$76</f>
        <v>65.177728618187089</v>
      </c>
      <c r="AK29" s="20">
        <f ca="1">'TR TUSD'!$AK$29*'TR TUSD'!$AK$76</f>
        <v>12.688968776009505</v>
      </c>
      <c r="AL29" s="20">
        <f ca="1">SUM($AH$29:$AK$29)</f>
        <v>115.23235349461829</v>
      </c>
      <c r="AM29" s="20">
        <f ca="1">SUMIF($L$4:$AL$4,"SUBTOTAL",$L$29:$AL$29)</f>
        <v>1547.7077491324978</v>
      </c>
      <c r="AP29" s="20">
        <v>1</v>
      </c>
    </row>
    <row r="30" spans="1:42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20">
        <f>'TR TUSD'!$L$30*'TR TUSD'!$L$76</f>
        <v>0</v>
      </c>
      <c r="M30" s="20">
        <f>'TR TUSD'!$M$30*'TR TUSD'!$M$76</f>
        <v>0.76529823128334473</v>
      </c>
      <c r="N30" s="20">
        <f ca="1">'TR TUSD'!$N$30*'TR TUSD'!$N$76</f>
        <v>1.5310329239885336</v>
      </c>
      <c r="O30" s="20">
        <f>'TR TUSD'!$O$30*'TR TUSD'!$O$76</f>
        <v>0</v>
      </c>
      <c r="P30" s="20">
        <f>'TR TUSD'!$P$30*'TR TUSD'!$P$76</f>
        <v>0</v>
      </c>
      <c r="Q30" s="20">
        <f>'TR TUSD'!$Q$30*'TR TUSD'!$Q$76</f>
        <v>0</v>
      </c>
      <c r="R30" s="20">
        <f>'TR TUSD'!$R$30*'TR TUSD'!$R$76</f>
        <v>0</v>
      </c>
      <c r="S30" s="20">
        <f>'TR TUSD'!$S$30*'TR TUSD'!$S$76</f>
        <v>0</v>
      </c>
      <c r="T30" s="20">
        <f ca="1">SUM($L$30:$S$30)</f>
        <v>2.2963311552718784</v>
      </c>
      <c r="U30" s="20">
        <f>'TR TUSD'!$U$30*'TR TUSD'!$U$76</f>
        <v>0</v>
      </c>
      <c r="V30" s="20">
        <f>'TR TUSD'!$V$30*'TR TUSD'!$V$76</f>
        <v>0</v>
      </c>
      <c r="W30" s="20">
        <f>'TR TUSD'!$W$30*'TR TUSD'!$W$76</f>
        <v>0</v>
      </c>
      <c r="X30" s="20">
        <f>'TR TUSD'!$X$30*'TR TUSD'!$X$76</f>
        <v>0</v>
      </c>
      <c r="Y30" s="20">
        <f>'TR TUSD'!$Y$30*'TR TUSD'!$Y$76</f>
        <v>0</v>
      </c>
      <c r="Z30" s="20">
        <f>'TR TUSD'!$Z$30</f>
        <v>0</v>
      </c>
      <c r="AA30" s="20">
        <f>'TR TUSD'!$AA$30</f>
        <v>0</v>
      </c>
      <c r="AB30" s="20">
        <f>SUM($U$30:$AA$30)</f>
        <v>0</v>
      </c>
      <c r="AC30" s="20">
        <f>'TR TUSD'!$AC$30*'TR TUSD'!$AC$76</f>
        <v>0</v>
      </c>
      <c r="AD30" s="20">
        <f>SUM($AC$30:$AC$30)</f>
        <v>0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TUSD'!$AH$76</f>
        <v>34.570476318864273</v>
      </c>
      <c r="AI30" s="20">
        <f>'TR TUSD'!$AI$30*'TR TUSD'!$AI$76</f>
        <v>2.7951797815574206</v>
      </c>
      <c r="AJ30" s="20">
        <f ca="1">'TR TUSD'!$AJ$30*'TR TUSD'!$AJ$76</f>
        <v>65.177728618187089</v>
      </c>
      <c r="AK30" s="20">
        <f ca="1">'TR TUSD'!$AK$30*'TR TUSD'!$AK$76</f>
        <v>12.688968776009505</v>
      </c>
      <c r="AL30" s="20">
        <f ca="1">SUM($AH$30:$AK$30)</f>
        <v>115.23235349461829</v>
      </c>
      <c r="AM30" s="20">
        <f ca="1">SUMIF($L$4:$AL$4,"SUBTOTAL",$L$30:$AL$30)</f>
        <v>117.52868464989017</v>
      </c>
      <c r="AP30" s="20">
        <v>1</v>
      </c>
    </row>
    <row r="31" spans="1:42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21" t="s">
        <v>88</v>
      </c>
      <c r="F31" s="21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20">
        <f>'TR TUSD'!$L$31*'TR TUSD'!$L$76</f>
        <v>0</v>
      </c>
      <c r="M31" s="20">
        <f>'TR TUSD'!$M$31*'TR TUSD'!$M$76</f>
        <v>3.4015211711879684E-2</v>
      </c>
      <c r="N31" s="20">
        <f ca="1">'TR TUSD'!$N$31*'TR TUSD'!$N$76</f>
        <v>9.6960414585497035E-2</v>
      </c>
      <c r="O31" s="20">
        <f>'TR TUSD'!$O$31*'TR TUSD'!$O$76</f>
        <v>0</v>
      </c>
      <c r="P31" s="20">
        <f>'TR TUSD'!$P$31*'TR TUSD'!$P$76</f>
        <v>0</v>
      </c>
      <c r="Q31" s="20">
        <f>'TR TUSD'!$Q$31*'TR TUSD'!$Q$76</f>
        <v>0</v>
      </c>
      <c r="R31" s="20">
        <f>'TR TUSD'!$R$31*'TR TUSD'!$R$76</f>
        <v>0</v>
      </c>
      <c r="S31" s="20">
        <f>'TR TUSD'!$S$31*'TR TUSD'!$S$76</f>
        <v>0</v>
      </c>
      <c r="T31" s="20">
        <f ca="1">SUM($L$31:$S$31)</f>
        <v>0.13097562629737672</v>
      </c>
      <c r="U31" s="20">
        <f>'TR TUSD'!$U$31*'TR TUSD'!$U$76</f>
        <v>0</v>
      </c>
      <c r="V31" s="20">
        <f>'TR TUSD'!$V$31*'TR TUSD'!$V$76</f>
        <v>0</v>
      </c>
      <c r="W31" s="20">
        <f>'TR TUSD'!$W$31*'TR TUSD'!$W$76</f>
        <v>0</v>
      </c>
      <c r="X31" s="20">
        <f>'TR TUSD'!$X$31*'TR TUSD'!$X$76</f>
        <v>0</v>
      </c>
      <c r="Y31" s="20">
        <f>'TR TUSD'!$Y$31*'TR TUSD'!$Y$76</f>
        <v>0</v>
      </c>
      <c r="Z31" s="20">
        <f>'TR TUSD'!$Z$31*'TR TUSD'!$Z$76</f>
        <v>0</v>
      </c>
      <c r="AA31" s="20">
        <f>'TR TUSD'!$AA$31*'TR TUSD'!$AA$76</f>
        <v>0</v>
      </c>
      <c r="AB31" s="20">
        <f>SUM($U$31:$AA$31)</f>
        <v>0</v>
      </c>
      <c r="AC31" s="20">
        <f>'TR TUSD'!$AC$31*'TR TUSD'!$AC$76</f>
        <v>10.890035260908851</v>
      </c>
      <c r="AD31" s="20">
        <f>SUM($AC$31:$AC$31)</f>
        <v>10.890035260908851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TUSD'!$AH$76</f>
        <v>0</v>
      </c>
      <c r="AI31" s="20">
        <f>'TR TUSD'!$AI$31*'TR TUSD'!$AI$76</f>
        <v>0</v>
      </c>
      <c r="AJ31" s="20">
        <f ca="1">'TR TUSD'!$AJ$31*'TR TUSD'!$AJ$76</f>
        <v>0</v>
      </c>
      <c r="AK31" s="20">
        <f ca="1">'TR TUSD'!$AK$31*'TR TUSD'!$AK$76</f>
        <v>0</v>
      </c>
      <c r="AL31" s="20">
        <f ca="1">SUM($AH$31:$AK$31)</f>
        <v>0</v>
      </c>
      <c r="AM31" s="20">
        <f ca="1">SUMIF($L$4:$AL$4,"SUBTOTAL",$L$31:$AL$31)</f>
        <v>11.021010887206227</v>
      </c>
      <c r="AP31" s="20"/>
    </row>
    <row r="32" spans="1:42" ht="11.25" customHeight="1" x14ac:dyDescent="0.25">
      <c r="A32" s="118"/>
      <c r="B32" s="118"/>
      <c r="C32" s="118"/>
      <c r="D32" s="118"/>
      <c r="E32" s="21" t="s">
        <v>89</v>
      </c>
      <c r="F32" s="21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20">
        <f>'TR TUSD'!$L$32*'TR TUSD'!$L$76</f>
        <v>0</v>
      </c>
      <c r="M32" s="20">
        <f>'TR TUSD'!$M$32*'TR TUSD'!$M$76</f>
        <v>3.4015211711879684E-2</v>
      </c>
      <c r="N32" s="20">
        <f ca="1">'TR TUSD'!$N$32*'TR TUSD'!$N$76</f>
        <v>9.6960414585497035E-2</v>
      </c>
      <c r="O32" s="20">
        <f>'TR TUSD'!$O$32*'TR TUSD'!$O$76</f>
        <v>0</v>
      </c>
      <c r="P32" s="20">
        <f>'TR TUSD'!$P$32*'TR TUSD'!$P$76</f>
        <v>0</v>
      </c>
      <c r="Q32" s="20">
        <f>'TR TUSD'!$Q$32*'TR TUSD'!$Q$76</f>
        <v>0</v>
      </c>
      <c r="R32" s="20">
        <f>'TR TUSD'!$R$32*'TR TUSD'!$R$76</f>
        <v>0</v>
      </c>
      <c r="S32" s="20">
        <f>'TR TUSD'!$S$32*'TR TUSD'!$S$76</f>
        <v>0</v>
      </c>
      <c r="T32" s="20">
        <f ca="1">SUM($L$32:$S$32)</f>
        <v>0.13097562629737672</v>
      </c>
      <c r="U32" s="20">
        <f>'TR TUSD'!$U$32*'TR TUSD'!$U$76</f>
        <v>0</v>
      </c>
      <c r="V32" s="20">
        <f>'TR TUSD'!$V$32*'TR TUSD'!$V$76</f>
        <v>0</v>
      </c>
      <c r="W32" s="20">
        <f>'TR TUSD'!$W$32*'TR TUSD'!$W$76</f>
        <v>0</v>
      </c>
      <c r="X32" s="20">
        <f>'TR TUSD'!$X$32*'TR TUSD'!$X$76</f>
        <v>0</v>
      </c>
      <c r="Y32" s="20">
        <f>'TR TUSD'!$Y$32*'TR TUSD'!$Y$76</f>
        <v>0</v>
      </c>
      <c r="Z32" s="20">
        <f>'TR TUSD'!$Z$32*'TR TUSD'!$Z$76</f>
        <v>0</v>
      </c>
      <c r="AA32" s="20">
        <f>'TR TUSD'!$AA$32*'TR TUSD'!$AA$76</f>
        <v>0</v>
      </c>
      <c r="AB32" s="20">
        <f>SUM($U$32:$AA$32)</f>
        <v>0</v>
      </c>
      <c r="AC32" s="20">
        <f>'TR TUSD'!$AC$32*'TR TUSD'!$AC$76</f>
        <v>24.841667954863301</v>
      </c>
      <c r="AD32" s="20">
        <f>SUM($AC$32:$AC$32)</f>
        <v>24.841667954863301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TUSD'!$AH$76</f>
        <v>0</v>
      </c>
      <c r="AI32" s="20">
        <f>'TR TUSD'!$AI$32*'TR TUSD'!$AI$76</f>
        <v>0</v>
      </c>
      <c r="AJ32" s="20">
        <f ca="1">'TR TUSD'!$AJ$32*'TR TUSD'!$AJ$76</f>
        <v>0</v>
      </c>
      <c r="AK32" s="20">
        <f ca="1">'TR TUSD'!$AK$32*'TR TUSD'!$AK$76</f>
        <v>0</v>
      </c>
      <c r="AL32" s="20">
        <f ca="1">SUM($AH$32:$AK$32)</f>
        <v>0</v>
      </c>
      <c r="AM32" s="20">
        <f ca="1">SUMIF($L$4:$AL$4,"SUBTOTAL",$L$32:$AL$32)</f>
        <v>24.972643581160678</v>
      </c>
      <c r="AP32" s="20"/>
    </row>
    <row r="33" spans="1:42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20">
        <f>'TR TUSD'!$L$33*'TR TUSD'!$L$76</f>
        <v>24.684129585678395</v>
      </c>
      <c r="M33" s="20">
        <f>'TR TUSD'!$M$33*'TR TUSD'!$M$76</f>
        <v>0.95037557601364087</v>
      </c>
      <c r="N33" s="20">
        <f ca="1">'TR TUSD'!$N$33*'TR TUSD'!$N$76</f>
        <v>10.857995461089926</v>
      </c>
      <c r="O33" s="20">
        <f>'TR TUSD'!$O$33*'TR TUSD'!$O$76</f>
        <v>0</v>
      </c>
      <c r="P33" s="20">
        <f>'TR TUSD'!$P$33*'TR TUSD'!$P$76</f>
        <v>0</v>
      </c>
      <c r="Q33" s="20">
        <f>'TR TUSD'!$Q$33*'TR TUSD'!$Q$76</f>
        <v>40.223251483606454</v>
      </c>
      <c r="R33" s="20">
        <f>'TR TUSD'!$R$33*'TR TUSD'!$R$76</f>
        <v>15.012316553504524</v>
      </c>
      <c r="S33" s="20">
        <f>'TR TUSD'!$S$33*'TR TUSD'!$S$76</f>
        <v>0</v>
      </c>
      <c r="T33" s="20">
        <f ca="1">SUM($L$33:$S$33)</f>
        <v>91.728068659892926</v>
      </c>
      <c r="U33" s="20">
        <f>'TR TUSD'!$U$33*'TR TUSD'!$U$76</f>
        <v>114.31848763358235</v>
      </c>
      <c r="V33" s="20">
        <f>'TR TUSD'!$V$33*'TR TUSD'!$V$76</f>
        <v>14.904400198214951</v>
      </c>
      <c r="W33" s="20">
        <f>'TR TUSD'!$W$33*'TR TUSD'!$W$76</f>
        <v>0.55863208042606416</v>
      </c>
      <c r="X33" s="20">
        <f>'TR TUSD'!$X$33*'TR TUSD'!$X$76</f>
        <v>0</v>
      </c>
      <c r="Y33" s="20">
        <f>'TR TUSD'!$Y$33*'TR TUSD'!$Y$76</f>
        <v>0</v>
      </c>
      <c r="Z33" s="20">
        <f>'TR TUSD'!$Z$33</f>
        <v>0</v>
      </c>
      <c r="AA33" s="20">
        <f>'TR TUSD'!$AA$33</f>
        <v>0</v>
      </c>
      <c r="AB33" s="20">
        <f>SUM($U$33:$AA$33)</f>
        <v>129.78151991222336</v>
      </c>
      <c r="AC33" s="20">
        <f>'TR TUSD'!$AC$33*'TR TUSD'!$AC$76</f>
        <v>909.86654180967594</v>
      </c>
      <c r="AD33" s="20">
        <f>SUM($AC$33:$AC$33)</f>
        <v>909.86654180967594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TUSD'!$AH$76</f>
        <v>34.570476318864273</v>
      </c>
      <c r="AI33" s="20">
        <f>'TR TUSD'!$AI$33*'TR TUSD'!$AI$76</f>
        <v>2.7951797815574206</v>
      </c>
      <c r="AJ33" s="20">
        <f ca="1">'TR TUSD'!$AJ$33*'TR TUSD'!$AJ$76</f>
        <v>69.284450765268616</v>
      </c>
      <c r="AK33" s="20">
        <f ca="1">'TR TUSD'!$AK$33*'TR TUSD'!$AK$76</f>
        <v>13.488476064784885</v>
      </c>
      <c r="AL33" s="20">
        <f ca="1">SUM($AH$33:$AK$33)</f>
        <v>120.1385829304752</v>
      </c>
      <c r="AM33" s="20">
        <f ca="1">SUMIF($L$4:$AL$4,"SUBTOTAL",$L$33:$AL$33)</f>
        <v>1251.5147133122675</v>
      </c>
      <c r="AP33" s="20">
        <v>1</v>
      </c>
    </row>
    <row r="34" spans="1:42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20">
        <f>'TR TUSD'!$L$34*'TR TUSD'!$L$76</f>
        <v>24.684129585678395</v>
      </c>
      <c r="M34" s="20">
        <f>'TR TUSD'!$M$34*'TR TUSD'!$M$76</f>
        <v>0.95037557601364087</v>
      </c>
      <c r="N34" s="20">
        <f ca="1">'TR TUSD'!$N$34*'TR TUSD'!$N$76</f>
        <v>7.1699364116050219</v>
      </c>
      <c r="O34" s="20">
        <f>'TR TUSD'!$O$34*'TR TUSD'!$O$76</f>
        <v>0</v>
      </c>
      <c r="P34" s="20">
        <f>'TR TUSD'!$P$34*'TR TUSD'!$P$76</f>
        <v>0</v>
      </c>
      <c r="Q34" s="20">
        <f>'TR TUSD'!$Q$34*'TR TUSD'!$Q$76</f>
        <v>40.223251483606454</v>
      </c>
      <c r="R34" s="20">
        <f>'TR TUSD'!$R$34*'TR TUSD'!$R$76</f>
        <v>15.012316553504524</v>
      </c>
      <c r="S34" s="20">
        <f>'TR TUSD'!$S$34*'TR TUSD'!$S$76</f>
        <v>0</v>
      </c>
      <c r="T34" s="20">
        <f ca="1">SUM($L$34:$S$34)</f>
        <v>88.040009610408021</v>
      </c>
      <c r="U34" s="20">
        <f>'TR TUSD'!$U$34*'TR TUSD'!$U$76</f>
        <v>68.591008561152549</v>
      </c>
      <c r="V34" s="20">
        <f>'TR TUSD'!$V$34*'TR TUSD'!$V$76</f>
        <v>8.9426566689838793</v>
      </c>
      <c r="W34" s="20">
        <f>'TR TUSD'!$W$34*'TR TUSD'!$W$76</f>
        <v>0.33520320845638596</v>
      </c>
      <c r="X34" s="20">
        <f>'TR TUSD'!$X$34*'TR TUSD'!$X$76</f>
        <v>0</v>
      </c>
      <c r="Y34" s="20">
        <f>'TR TUSD'!$Y$34*'TR TUSD'!$Y$76</f>
        <v>0</v>
      </c>
      <c r="Z34" s="20">
        <f>'TR TUSD'!$Z$34</f>
        <v>0</v>
      </c>
      <c r="AA34" s="20">
        <f>'TR TUSD'!$AA$34</f>
        <v>0</v>
      </c>
      <c r="AB34" s="20">
        <f>SUM($U$34:$AA$34)</f>
        <v>77.868868438592813</v>
      </c>
      <c r="AC34" s="20">
        <f>'TR TUSD'!$AC$34*'TR TUSD'!$AC$76</f>
        <v>545.91997717815195</v>
      </c>
      <c r="AD34" s="20">
        <f>SUM($AC$34:$AC$34)</f>
        <v>545.91997717815195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TUSD'!$AH$76</f>
        <v>34.570476318864273</v>
      </c>
      <c r="AI34" s="20">
        <f>'TR TUSD'!$AI$34*'TR TUSD'!$AI$76</f>
        <v>2.7951797815574206</v>
      </c>
      <c r="AJ34" s="20">
        <f ca="1">'TR TUSD'!$AJ$34*'TR TUSD'!$AJ$76</f>
        <v>69.284450765268616</v>
      </c>
      <c r="AK34" s="20">
        <f ca="1">'TR TUSD'!$AK$34*'TR TUSD'!$AK$76</f>
        <v>13.488476064784885</v>
      </c>
      <c r="AL34" s="20">
        <f ca="1">SUM($AH$34:$AK$34)</f>
        <v>120.1385829304752</v>
      </c>
      <c r="AM34" s="20">
        <f ca="1">SUMIF($L$4:$AL$4,"SUBTOTAL",$L$34:$AL$34)</f>
        <v>831.96743815762795</v>
      </c>
      <c r="AP34" s="20"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20">
        <f>'TR TUSD'!$L$35*'TR TUSD'!$L$76</f>
        <v>24.684129585678395</v>
      </c>
      <c r="M35" s="20">
        <f>'TR TUSD'!$M$35*'TR TUSD'!$M$76</f>
        <v>0.95037557601364087</v>
      </c>
      <c r="N35" s="20">
        <f ca="1">'TR TUSD'!$N$35*'TR TUSD'!$N$76</f>
        <v>3.4818773621201182</v>
      </c>
      <c r="O35" s="20">
        <f>'TR TUSD'!$O$35*'TR TUSD'!$O$76</f>
        <v>0</v>
      </c>
      <c r="P35" s="20">
        <f>'TR TUSD'!$P$35*'TR TUSD'!$P$76</f>
        <v>0</v>
      </c>
      <c r="Q35" s="20">
        <f>'TR TUSD'!$Q$35*'TR TUSD'!$Q$76</f>
        <v>40.223251483606454</v>
      </c>
      <c r="R35" s="20">
        <f>'TR TUSD'!$R$35*'TR TUSD'!$R$76</f>
        <v>15.012316553504524</v>
      </c>
      <c r="S35" s="20">
        <f>'TR TUSD'!$S$35*'TR TUSD'!$S$76</f>
        <v>0</v>
      </c>
      <c r="T35" s="20">
        <f ca="1">SUM($L$35:$S$35)</f>
        <v>84.351950560923129</v>
      </c>
      <c r="U35" s="20">
        <f>'TR TUSD'!$U$35*'TR TUSD'!$U$76</f>
        <v>22.863669520384182</v>
      </c>
      <c r="V35" s="20">
        <f>'TR TUSD'!$V$35*'TR TUSD'!$V$76</f>
        <v>2.9809131397528064</v>
      </c>
      <c r="W35" s="20">
        <f>'TR TUSD'!$W$35*'TR TUSD'!$W$76</f>
        <v>0.11177433648670768</v>
      </c>
      <c r="X35" s="20">
        <f>'TR TUSD'!$X$35*'TR TUSD'!$X$76</f>
        <v>0</v>
      </c>
      <c r="Y35" s="20">
        <f>'TR TUSD'!$Y$35*'TR TUSD'!$Y$76</f>
        <v>0</v>
      </c>
      <c r="Z35" s="20">
        <f>'TR TUSD'!$Z$35</f>
        <v>0</v>
      </c>
      <c r="AA35" s="20">
        <f>'TR TUSD'!$AA$35</f>
        <v>0</v>
      </c>
      <c r="AB35" s="20">
        <f>SUM($U$35:$AA$35)</f>
        <v>25.956356996623697</v>
      </c>
      <c r="AC35" s="20">
        <f>'TR TUSD'!$AC$35*'TR TUSD'!$AC$76</f>
        <v>181.97328231576194</v>
      </c>
      <c r="AD35" s="20">
        <f>SUM($AC$35:$AC$35)</f>
        <v>181.97328231576194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TUSD'!$AH$76</f>
        <v>34.570476318864273</v>
      </c>
      <c r="AI35" s="20">
        <f>'TR TUSD'!$AI$35*'TR TUSD'!$AI$76</f>
        <v>2.7951797815574206</v>
      </c>
      <c r="AJ35" s="20">
        <f ca="1">'TR TUSD'!$AJ$35*'TR TUSD'!$AJ$76</f>
        <v>69.284450765268616</v>
      </c>
      <c r="AK35" s="20">
        <f ca="1">'TR TUSD'!$AK$35*'TR TUSD'!$AK$76</f>
        <v>13.488476064784885</v>
      </c>
      <c r="AL35" s="20">
        <f ca="1">SUM($AH$35:$AK$35)</f>
        <v>120.1385829304752</v>
      </c>
      <c r="AM35" s="20">
        <f ca="1">SUMIF($L$4:$AL$4,"SUBTOTAL",$L$35:$AL$35)</f>
        <v>412.42017280378394</v>
      </c>
      <c r="AP35" s="20">
        <v>1</v>
      </c>
    </row>
    <row r="36" spans="1:42" ht="11.25" customHeight="1" x14ac:dyDescent="0.25">
      <c r="A36" s="118"/>
      <c r="B36" s="118" t="s">
        <v>23</v>
      </c>
      <c r="C36" s="118" t="s">
        <v>24</v>
      </c>
      <c r="D36" s="21" t="s">
        <v>24</v>
      </c>
      <c r="E36" s="21" t="s">
        <v>25</v>
      </c>
      <c r="F36" s="21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20">
        <f>'TR TUSD'!$L$36*'TR TUSD'!$L$76</f>
        <v>24.684129585678395</v>
      </c>
      <c r="M36" s="20">
        <f>'TR TUSD'!$M$36*'TR TUSD'!$M$76</f>
        <v>0.95037557601364087</v>
      </c>
      <c r="N36" s="20">
        <f ca="1">'TR TUSD'!$N$36*'TR TUSD'!$N$76</f>
        <v>4.4748154934613487</v>
      </c>
      <c r="O36" s="20">
        <f>'TR TUSD'!$O$36*'TR TUSD'!$O$76</f>
        <v>0</v>
      </c>
      <c r="P36" s="20">
        <f>'TR TUSD'!$P$36*'TR TUSD'!$P$76</f>
        <v>0</v>
      </c>
      <c r="Q36" s="20">
        <f>'TR TUSD'!$Q$36*'TR TUSD'!$Q$76</f>
        <v>40.223251483606454</v>
      </c>
      <c r="R36" s="20">
        <f>'TR TUSD'!$R$36*'TR TUSD'!$R$76</f>
        <v>15.012316553504524</v>
      </c>
      <c r="S36" s="20">
        <f>'TR TUSD'!$S$36*'TR TUSD'!$S$76</f>
        <v>0</v>
      </c>
      <c r="T36" s="20">
        <f ca="1">SUM($L$36:$S$36)</f>
        <v>85.344888692264362</v>
      </c>
      <c r="U36" s="20">
        <f>'TR TUSD'!$U$36*'TR TUSD'!$U$76</f>
        <v>35.174833098541377</v>
      </c>
      <c r="V36" s="20">
        <f>'TR TUSD'!$V$36*'TR TUSD'!$V$76</f>
        <v>4.5859374647297777</v>
      </c>
      <c r="W36" s="20">
        <f>'TR TUSD'!$W$36*'TR TUSD'!$W$76</f>
        <v>0.17191444036272829</v>
      </c>
      <c r="X36" s="20">
        <f>'TR TUSD'!$X$36*'TR TUSD'!$X$76</f>
        <v>0</v>
      </c>
      <c r="Y36" s="20">
        <f>'TR TUSD'!$Y$36*'TR TUSD'!$Y$76</f>
        <v>0</v>
      </c>
      <c r="Z36" s="20">
        <f>'TR TUSD'!$Z$36</f>
        <v>0</v>
      </c>
      <c r="AA36" s="20">
        <f>'TR TUSD'!$AA$36</f>
        <v>0</v>
      </c>
      <c r="AB36" s="20">
        <f>SUM($U$36:$AA$36)</f>
        <v>39.932685003633878</v>
      </c>
      <c r="AC36" s="20">
        <f>'TR TUSD'!$AC$36*'TR TUSD'!$AC$76</f>
        <v>279.9589860302334</v>
      </c>
      <c r="AD36" s="20">
        <f>SUM($AC$36:$AC$36)</f>
        <v>279.9589860302334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TUSD'!$AH$76</f>
        <v>34.570476318864273</v>
      </c>
      <c r="AI36" s="20">
        <f>'TR TUSD'!$AI$36*'TR TUSD'!$AI$76</f>
        <v>2.7951797815574206</v>
      </c>
      <c r="AJ36" s="20">
        <f ca="1">'TR TUSD'!$AJ$36*'TR TUSD'!$AJ$76</f>
        <v>69.284450765268616</v>
      </c>
      <c r="AK36" s="20">
        <f ca="1">'TR TUSD'!$AK$36*'TR TUSD'!$AK$76</f>
        <v>13.488476064784885</v>
      </c>
      <c r="AL36" s="20">
        <f ca="1">SUM($AH$36:$AK$36)</f>
        <v>120.1385829304752</v>
      </c>
      <c r="AM36" s="20">
        <f ca="1">SUMIF($L$4:$AL$4,"SUBTOTAL",$L$36:$AL$36)</f>
        <v>525.37514265660684</v>
      </c>
      <c r="AP36" s="20">
        <v>1</v>
      </c>
    </row>
    <row r="37" spans="1:42" ht="11.25" customHeight="1" x14ac:dyDescent="0.25">
      <c r="A37" s="118"/>
      <c r="B37" s="118"/>
      <c r="C37" s="118"/>
      <c r="D37" s="21" t="s">
        <v>29</v>
      </c>
      <c r="E37" s="21" t="s">
        <v>25</v>
      </c>
      <c r="F37" s="21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20">
        <f>'TR TUSD'!$L$37*'TR TUSD'!$L$76</f>
        <v>0</v>
      </c>
      <c r="M37" s="20">
        <f>'TR TUSD'!$M$37*'TR TUSD'!$M$76</f>
        <v>0.95037557601364087</v>
      </c>
      <c r="N37" s="20">
        <f ca="1">'TR TUSD'!$N$37*'TR TUSD'!$N$76</f>
        <v>4.4632725869630745</v>
      </c>
      <c r="O37" s="20">
        <f>'TR TUSD'!$O$37*'TR TUSD'!$O$76</f>
        <v>0</v>
      </c>
      <c r="P37" s="20">
        <f>'TR TUSD'!$P$37*'TR TUSD'!$P$76</f>
        <v>0</v>
      </c>
      <c r="Q37" s="20">
        <f>'TR TUSD'!$Q$37*'TR TUSD'!$Q$76</f>
        <v>0</v>
      </c>
      <c r="R37" s="20">
        <f>'TR TUSD'!$R$37*'TR TUSD'!$R$76</f>
        <v>0</v>
      </c>
      <c r="S37" s="20">
        <f>'TR TUSD'!$S$37*'TR TUSD'!$S$76</f>
        <v>0</v>
      </c>
      <c r="T37" s="20">
        <f ca="1">SUM($L$37:$S$37)</f>
        <v>5.413648162976715</v>
      </c>
      <c r="U37" s="20">
        <f>'TR TUSD'!$U$37*'TR TUSD'!$U$76</f>
        <v>35.174833098541377</v>
      </c>
      <c r="V37" s="20">
        <f>'TR TUSD'!$V$37*'TR TUSD'!$V$76</f>
        <v>4.5859374647297777</v>
      </c>
      <c r="W37" s="20">
        <f>'TR TUSD'!$W$37*'TR TUSD'!$W$76</f>
        <v>0.17191444036272829</v>
      </c>
      <c r="X37" s="20">
        <f>'TR TUSD'!$X$37*'TR TUSD'!$X$76</f>
        <v>0</v>
      </c>
      <c r="Y37" s="20">
        <f>'TR TUSD'!$Y$37*'TR TUSD'!$Y$76</f>
        <v>0</v>
      </c>
      <c r="Z37" s="20">
        <f>'TR TUSD'!$Z$37</f>
        <v>0</v>
      </c>
      <c r="AA37" s="20">
        <f>'TR TUSD'!$AA$37</f>
        <v>0</v>
      </c>
      <c r="AB37" s="20">
        <f>SUM($U$37:$AA$37)</f>
        <v>39.932685003633878</v>
      </c>
      <c r="AC37" s="20">
        <f>'TR TUSD'!$AC$37*'TR TUSD'!$AC$76</f>
        <v>279.9589860302334</v>
      </c>
      <c r="AD37" s="20">
        <f>SUM($AC$37:$AC$37)</f>
        <v>279.9589860302334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TUSD'!$AH$76</f>
        <v>34.570476318864273</v>
      </c>
      <c r="AI37" s="20">
        <f>'TR TUSD'!$AI$37*'TR TUSD'!$AI$76</f>
        <v>2.7951797815574206</v>
      </c>
      <c r="AJ37" s="20">
        <f ca="1">'TR TUSD'!$AJ$37*'TR TUSD'!$AJ$76</f>
        <v>69.284450765268616</v>
      </c>
      <c r="AK37" s="20">
        <f ca="1">'TR TUSD'!$AK$37*'TR TUSD'!$AK$76</f>
        <v>13.488476064784885</v>
      </c>
      <c r="AL37" s="20">
        <f ca="1">SUM($AH$37:$AK$37)</f>
        <v>120.1385829304752</v>
      </c>
      <c r="AM37" s="20">
        <f ca="1">SUMIF($L$4:$AL$4,"SUBTOTAL",$L$37:$AL$37)</f>
        <v>445.44390212731918</v>
      </c>
      <c r="AP37" s="20">
        <f>IF((1 - CUSTOS!$M$24)&lt;&gt;0,1/(1 - CUSTOS!$M$24),1)</f>
        <v>1</v>
      </c>
    </row>
    <row r="38" spans="1:42" ht="11.25" customHeight="1" x14ac:dyDescent="0.25">
      <c r="A38" s="118"/>
      <c r="B38" s="118"/>
      <c r="C38" s="118"/>
      <c r="D38" s="21" t="s">
        <v>30</v>
      </c>
      <c r="E38" s="21" t="s">
        <v>25</v>
      </c>
      <c r="F38" s="21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20">
        <f>'TR TUSD'!$L$38*'TR TUSD'!$L$76</f>
        <v>0</v>
      </c>
      <c r="M38" s="20">
        <f>'TR TUSD'!$M$38*'TR TUSD'!$M$76</f>
        <v>0.95037557601364087</v>
      </c>
      <c r="N38" s="20">
        <f ca="1">'TR TUSD'!$N$38*'TR TUSD'!$N$76</f>
        <v>4.4632725869630745</v>
      </c>
      <c r="O38" s="20">
        <f>'TR TUSD'!$O$38*'TR TUSD'!$O$76</f>
        <v>0</v>
      </c>
      <c r="P38" s="20">
        <f>'TR TUSD'!$P$38*'TR TUSD'!$P$76</f>
        <v>0</v>
      </c>
      <c r="Q38" s="20">
        <f>'TR TUSD'!$Q$38*'TR TUSD'!$Q$76</f>
        <v>0</v>
      </c>
      <c r="R38" s="20">
        <f>'TR TUSD'!$R$38*'TR TUSD'!$R$76</f>
        <v>0</v>
      </c>
      <c r="S38" s="20">
        <f>'TR TUSD'!$S$38*'TR TUSD'!$S$76</f>
        <v>0</v>
      </c>
      <c r="T38" s="20">
        <f ca="1">SUM($L$38:$S$38)</f>
        <v>5.413648162976715</v>
      </c>
      <c r="U38" s="20">
        <f>'TR TUSD'!$U$38*'TR TUSD'!$U$76</f>
        <v>35.174833098541377</v>
      </c>
      <c r="V38" s="20">
        <f>'TR TUSD'!$V$38*'TR TUSD'!$V$76</f>
        <v>4.5859374647297777</v>
      </c>
      <c r="W38" s="20">
        <f>'TR TUSD'!$W$38*'TR TUSD'!$W$76</f>
        <v>0.17191444036272829</v>
      </c>
      <c r="X38" s="20">
        <f>'TR TUSD'!$X$38*'TR TUSD'!$X$76</f>
        <v>0</v>
      </c>
      <c r="Y38" s="20">
        <f>'TR TUSD'!$Y$38*'TR TUSD'!$Y$76</f>
        <v>0</v>
      </c>
      <c r="Z38" s="20">
        <f>'TR TUSD'!$Z$38</f>
        <v>0</v>
      </c>
      <c r="AA38" s="20">
        <f>'TR TUSD'!$AA$38</f>
        <v>0</v>
      </c>
      <c r="AB38" s="20">
        <f>SUM($U$38:$AA$38)</f>
        <v>39.932685003633878</v>
      </c>
      <c r="AC38" s="20">
        <f>'TR TUSD'!$AC$38*'TR TUSD'!$AC$76</f>
        <v>279.9589860302334</v>
      </c>
      <c r="AD38" s="20">
        <f>SUM($AC$38:$AC$38)</f>
        <v>279.9589860302334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TUSD'!$AH$76</f>
        <v>34.570476318864273</v>
      </c>
      <c r="AI38" s="20">
        <f>'TR TUSD'!$AI$38*'TR TUSD'!$AI$76</f>
        <v>2.7951797815574206</v>
      </c>
      <c r="AJ38" s="20">
        <f ca="1">'TR TUSD'!$AJ$38*'TR TUSD'!$AJ$76</f>
        <v>69.284450765268616</v>
      </c>
      <c r="AK38" s="20">
        <f ca="1">'TR TUSD'!$AK$38*'TR TUSD'!$AK$76</f>
        <v>13.488476064784885</v>
      </c>
      <c r="AL38" s="20">
        <f ca="1">SUM($AH$38:$AK$38)</f>
        <v>120.1385829304752</v>
      </c>
      <c r="AM38" s="20">
        <f ca="1">SUMIF($L$4:$AL$4,"SUBTOTAL",$L$38:$AL$38)</f>
        <v>445.44390212731918</v>
      </c>
      <c r="AP38" s="20">
        <f>IF((1 - CUSTOS!$M$25)&lt;&gt;0,1/(1 - CUSTOS!$M$25),1)</f>
        <v>1</v>
      </c>
    </row>
    <row r="39" spans="1:42" ht="11.25" customHeight="1" x14ac:dyDescent="0.25">
      <c r="A39" s="118"/>
      <c r="B39" s="118"/>
      <c r="C39" s="118"/>
      <c r="D39" s="21" t="s">
        <v>31</v>
      </c>
      <c r="E39" s="21" t="s">
        <v>25</v>
      </c>
      <c r="F39" s="21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20">
        <f>'TR TUSD'!$L$39*'TR TUSD'!$L$76</f>
        <v>0</v>
      </c>
      <c r="M39" s="20">
        <f>'TR TUSD'!$M$39*'TR TUSD'!$M$76</f>
        <v>0.95037557601364087</v>
      </c>
      <c r="N39" s="20">
        <f ca="1">'TR TUSD'!$N$39*'TR TUSD'!$N$76</f>
        <v>4.4632725869630745</v>
      </c>
      <c r="O39" s="20">
        <f>'TR TUSD'!$O$39*'TR TUSD'!$O$76</f>
        <v>0</v>
      </c>
      <c r="P39" s="20">
        <f>'TR TUSD'!$P$39*'TR TUSD'!$P$76</f>
        <v>0</v>
      </c>
      <c r="Q39" s="20">
        <f>'TR TUSD'!$Q$39*'TR TUSD'!$Q$76</f>
        <v>0</v>
      </c>
      <c r="R39" s="20">
        <f>'TR TUSD'!$R$39*'TR TUSD'!$R$76</f>
        <v>0</v>
      </c>
      <c r="S39" s="20">
        <f>'TR TUSD'!$S$39*'TR TUSD'!$S$76</f>
        <v>0</v>
      </c>
      <c r="T39" s="20">
        <f ca="1">SUM($L$39:$S$39)</f>
        <v>5.413648162976715</v>
      </c>
      <c r="U39" s="20">
        <f>'TR TUSD'!$U$39*'TR TUSD'!$U$76</f>
        <v>35.174833098541377</v>
      </c>
      <c r="V39" s="20">
        <f>'TR TUSD'!$V$39*'TR TUSD'!$V$76</f>
        <v>4.5859374647297777</v>
      </c>
      <c r="W39" s="20">
        <f>'TR TUSD'!$W$39*'TR TUSD'!$W$76</f>
        <v>0.17191444036272829</v>
      </c>
      <c r="X39" s="20">
        <f>'TR TUSD'!$X$39*'TR TUSD'!$X$76</f>
        <v>0</v>
      </c>
      <c r="Y39" s="20">
        <f>'TR TUSD'!$Y$39*'TR TUSD'!$Y$76</f>
        <v>0</v>
      </c>
      <c r="Z39" s="20">
        <f>'TR TUSD'!$Z$39</f>
        <v>0</v>
      </c>
      <c r="AA39" s="20">
        <f>'TR TUSD'!$AA$39</f>
        <v>0</v>
      </c>
      <c r="AB39" s="20">
        <f>SUM($U$39:$AA$39)</f>
        <v>39.932685003633878</v>
      </c>
      <c r="AC39" s="20">
        <f>'TR TUSD'!$AC$39*'TR TUSD'!$AC$76</f>
        <v>279.9589860302334</v>
      </c>
      <c r="AD39" s="20">
        <f>SUM($AC$39:$AC$39)</f>
        <v>279.9589860302334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TUSD'!$AH$76</f>
        <v>34.570476318864273</v>
      </c>
      <c r="AI39" s="20">
        <f>'TR TUSD'!$AI$39*'TR TUSD'!$AI$76</f>
        <v>2.7951797815574206</v>
      </c>
      <c r="AJ39" s="20">
        <f ca="1">'TR TUSD'!$AJ$39*'TR TUSD'!$AJ$76</f>
        <v>69.284450765268616</v>
      </c>
      <c r="AK39" s="20">
        <f ca="1">'TR TUSD'!$AK$39*'TR TUSD'!$AK$76</f>
        <v>13.488476064784885</v>
      </c>
      <c r="AL39" s="20">
        <f ca="1">SUM($AH$39:$AK$39)</f>
        <v>120.1385829304752</v>
      </c>
      <c r="AM39" s="20">
        <f ca="1">SUMIF($L$4:$AL$4,"SUBTOTAL",$L$39:$AL$39)</f>
        <v>445.44390212731918</v>
      </c>
      <c r="AP39" s="20">
        <f>IF((1 - CUSTOS!$M$26)&lt;&gt;0,1/(1 - CUSTOS!$M$26),1)</f>
        <v>1</v>
      </c>
    </row>
    <row r="40" spans="1:42" ht="11.25" customHeight="1" x14ac:dyDescent="0.25">
      <c r="A40" s="118"/>
      <c r="B40" s="118"/>
      <c r="C40" s="118"/>
      <c r="D40" s="21" t="s">
        <v>32</v>
      </c>
      <c r="E40" s="21" t="s">
        <v>25</v>
      </c>
      <c r="F40" s="21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20">
        <f>'TR TUSD'!$L$40*'TR TUSD'!$L$76</f>
        <v>0</v>
      </c>
      <c r="M40" s="20">
        <f>'TR TUSD'!$M$40*'TR TUSD'!$M$76</f>
        <v>0.95037557601364087</v>
      </c>
      <c r="N40" s="20">
        <f ca="1">'TR TUSD'!$N$40*'TR TUSD'!$N$76</f>
        <v>4.4632725869630745</v>
      </c>
      <c r="O40" s="20">
        <f>'TR TUSD'!$O$40*'TR TUSD'!$O$76</f>
        <v>0</v>
      </c>
      <c r="P40" s="20">
        <f>'TR TUSD'!$P$40*'TR TUSD'!$P$76</f>
        <v>0</v>
      </c>
      <c r="Q40" s="20">
        <f>'TR TUSD'!$Q$40*'TR TUSD'!$Q$76</f>
        <v>0</v>
      </c>
      <c r="R40" s="20">
        <f>'TR TUSD'!$R$40*'TR TUSD'!$R$76</f>
        <v>0</v>
      </c>
      <c r="S40" s="20">
        <f>'TR TUSD'!$S$40*'TR TUSD'!$S$76</f>
        <v>0</v>
      </c>
      <c r="T40" s="20">
        <f ca="1">SUM($L$40:$S$40)</f>
        <v>5.413648162976715</v>
      </c>
      <c r="U40" s="20">
        <f>'TR TUSD'!$U$40*'TR TUSD'!$U$76</f>
        <v>35.174833098541377</v>
      </c>
      <c r="V40" s="20">
        <f>'TR TUSD'!$V$40*'TR TUSD'!$V$76</f>
        <v>4.5859374647297777</v>
      </c>
      <c r="W40" s="20">
        <f>'TR TUSD'!$W$40*'TR TUSD'!$W$76</f>
        <v>0.17191444036272829</v>
      </c>
      <c r="X40" s="20">
        <f>'TR TUSD'!$X$40*'TR TUSD'!$X$76</f>
        <v>0</v>
      </c>
      <c r="Y40" s="20">
        <f>'TR TUSD'!$Y$40*'TR TUSD'!$Y$76</f>
        <v>0</v>
      </c>
      <c r="Z40" s="20">
        <f>'TR TUSD'!$Z$40</f>
        <v>0</v>
      </c>
      <c r="AA40" s="20">
        <f>'TR TUSD'!$AA$40</f>
        <v>0</v>
      </c>
      <c r="AB40" s="20">
        <f>SUM($U$40:$AA$40)</f>
        <v>39.932685003633878</v>
      </c>
      <c r="AC40" s="20">
        <f>'TR TUSD'!$AC$40*'TR TUSD'!$AC$76</f>
        <v>279.9589860302334</v>
      </c>
      <c r="AD40" s="20">
        <f>SUM($AC$40:$AC$40)</f>
        <v>279.9589860302334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TUSD'!$AH$76</f>
        <v>34.570476318864273</v>
      </c>
      <c r="AI40" s="20">
        <f>'TR TUSD'!$AI$40*'TR TUSD'!$AI$76</f>
        <v>2.7951797815574206</v>
      </c>
      <c r="AJ40" s="20">
        <f ca="1">'TR TUSD'!$AJ$40*'TR TUSD'!$AJ$76</f>
        <v>69.284450765268616</v>
      </c>
      <c r="AK40" s="20">
        <f ca="1">'TR TUSD'!$AK$40*'TR TUSD'!$AK$76</f>
        <v>13.488476064784885</v>
      </c>
      <c r="AL40" s="20">
        <f ca="1">SUM($AH$40:$AK$40)</f>
        <v>120.1385829304752</v>
      </c>
      <c r="AM40" s="20">
        <f ca="1">SUMIF($L$4:$AL$4,"SUBTOTAL",$L$40:$AL$40)</f>
        <v>445.44390212731918</v>
      </c>
      <c r="AP40" s="20">
        <f>IF((1 - CUSTOS!$M$27)&lt;&gt;0,1/(1 - CUSTOS!$M$27),1)</f>
        <v>1</v>
      </c>
    </row>
    <row r="41" spans="1:42" ht="11.25" customHeight="1" x14ac:dyDescent="0.25">
      <c r="A41" s="118"/>
      <c r="B41" s="118" t="s">
        <v>92</v>
      </c>
      <c r="C41" s="118" t="s">
        <v>24</v>
      </c>
      <c r="D41" s="21" t="s">
        <v>24</v>
      </c>
      <c r="E41" s="21" t="s">
        <v>25</v>
      </c>
      <c r="F41" s="21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20">
        <f>'TR TUSD'!$L$41*'TR TUSD'!$L$76</f>
        <v>24.684129585678395</v>
      </c>
      <c r="M41" s="20">
        <f>'TR TUSD'!$M$41*'TR TUSD'!$M$76</f>
        <v>0.95037557601364087</v>
      </c>
      <c r="N41" s="20">
        <f ca="1">'TR TUSD'!$N$41*'TR TUSD'!$N$76</f>
        <v>4.4748154934613487</v>
      </c>
      <c r="O41" s="20">
        <f>'TR TUSD'!$O$41*'TR TUSD'!$O$76</f>
        <v>0</v>
      </c>
      <c r="P41" s="20">
        <f>'TR TUSD'!$P$41*'TR TUSD'!$P$76</f>
        <v>0</v>
      </c>
      <c r="Q41" s="20">
        <f>'TR TUSD'!$Q$41*'TR TUSD'!$Q$76</f>
        <v>40.223251483606454</v>
      </c>
      <c r="R41" s="20">
        <f>'TR TUSD'!$R$41*'TR TUSD'!$R$76</f>
        <v>15.012316553504524</v>
      </c>
      <c r="S41" s="20">
        <f>'TR TUSD'!$S$41*'TR TUSD'!$S$76</f>
        <v>0</v>
      </c>
      <c r="T41" s="20">
        <f ca="1">SUM($L$41:$S$41)</f>
        <v>85.344888692264362</v>
      </c>
      <c r="U41" s="20">
        <f>'TR TUSD'!$U$41*'TR TUSD'!$U$76</f>
        <v>35.174833098541377</v>
      </c>
      <c r="V41" s="20">
        <f>'TR TUSD'!$V$41*'TR TUSD'!$V$76</f>
        <v>4.5859374647297777</v>
      </c>
      <c r="W41" s="20">
        <f>'TR TUSD'!$W$41*'TR TUSD'!$W$76</f>
        <v>0.17191444036272829</v>
      </c>
      <c r="X41" s="20">
        <f>'TR TUSD'!$X$41*'TR TUSD'!$X$76</f>
        <v>0</v>
      </c>
      <c r="Y41" s="20">
        <f>'TR TUSD'!$Y$41*'TR TUSD'!$Y$76</f>
        <v>0</v>
      </c>
      <c r="Z41" s="20">
        <f>'TR TUSD'!$Z$41</f>
        <v>0</v>
      </c>
      <c r="AA41" s="20">
        <f>'TR TUSD'!$AA$41</f>
        <v>0</v>
      </c>
      <c r="AB41" s="20">
        <f>SUM($U$41:$AA$41)</f>
        <v>39.932685003633878</v>
      </c>
      <c r="AC41" s="20">
        <f>'TR TUSD'!$AC$41*'TR TUSD'!$AC$76</f>
        <v>279.9589860302334</v>
      </c>
      <c r="AD41" s="20">
        <f>SUM($AC$41:$AC$41)</f>
        <v>279.9589860302334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TUSD'!$AH$76</f>
        <v>34.570476318864273</v>
      </c>
      <c r="AI41" s="20">
        <f>'TR TUSD'!$AI$41*'TR TUSD'!$AI$76</f>
        <v>2.7951797815574206</v>
      </c>
      <c r="AJ41" s="20">
        <f ca="1">'TR TUSD'!$AJ$41*'TR TUSD'!$AJ$76</f>
        <v>69.284450765268616</v>
      </c>
      <c r="AK41" s="20">
        <f ca="1">'TR TUSD'!$AK$41*'TR TUSD'!$AK$76</f>
        <v>13.488476064784885</v>
      </c>
      <c r="AL41" s="20">
        <f ca="1">SUM($AH$41:$AK$41)</f>
        <v>120.1385829304752</v>
      </c>
      <c r="AM41" s="20">
        <f ca="1">SUMIF($L$4:$AL$4,"SUBTOTAL",$L$41:$AL$41)</f>
        <v>525.37514265660684</v>
      </c>
      <c r="AP41" s="20">
        <v>1</v>
      </c>
    </row>
    <row r="42" spans="1:42" ht="11.25" customHeight="1" x14ac:dyDescent="0.25">
      <c r="A42" s="118"/>
      <c r="B42" s="118"/>
      <c r="C42" s="118"/>
      <c r="D42" s="21" t="s">
        <v>29</v>
      </c>
      <c r="E42" s="21" t="s">
        <v>25</v>
      </c>
      <c r="F42" s="21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20">
        <f>'TR TUSD'!$L$42*'TR TUSD'!$L$76</f>
        <v>0</v>
      </c>
      <c r="M42" s="20">
        <f>'TR TUSD'!$M$42*'TR TUSD'!$M$76</f>
        <v>0.95037557601364087</v>
      </c>
      <c r="N42" s="20">
        <f ca="1">'TR TUSD'!$N$42*'TR TUSD'!$N$76</f>
        <v>4.4632725869630745</v>
      </c>
      <c r="O42" s="20">
        <f>'TR TUSD'!$O$42*'TR TUSD'!$O$76</f>
        <v>0</v>
      </c>
      <c r="P42" s="20">
        <f>'TR TUSD'!$P$42*'TR TUSD'!$P$76</f>
        <v>0</v>
      </c>
      <c r="Q42" s="20">
        <f>'TR TUSD'!$Q$42*'TR TUSD'!$Q$76</f>
        <v>0</v>
      </c>
      <c r="R42" s="20">
        <f>'TR TUSD'!$R$42*'TR TUSD'!$R$76</f>
        <v>0</v>
      </c>
      <c r="S42" s="20">
        <f>'TR TUSD'!$S$42*'TR TUSD'!$S$76</f>
        <v>0</v>
      </c>
      <c r="T42" s="20">
        <f ca="1">SUM($L$42:$S$42)</f>
        <v>5.413648162976715</v>
      </c>
      <c r="U42" s="20">
        <f>'TR TUSD'!$U$42*'TR TUSD'!$U$76</f>
        <v>35.174833098541377</v>
      </c>
      <c r="V42" s="20">
        <f>'TR TUSD'!$V$42*'TR TUSD'!$V$76</f>
        <v>4.5859374647297777</v>
      </c>
      <c r="W42" s="20">
        <f>'TR TUSD'!$W$42*'TR TUSD'!$W$76</f>
        <v>0.17191444036272829</v>
      </c>
      <c r="X42" s="20">
        <f>'TR TUSD'!$X$42*'TR TUSD'!$X$76</f>
        <v>0</v>
      </c>
      <c r="Y42" s="20">
        <f>'TR TUSD'!$Y$42*'TR TUSD'!$Y$76</f>
        <v>0</v>
      </c>
      <c r="Z42" s="20">
        <f>'TR TUSD'!$Z$42</f>
        <v>0</v>
      </c>
      <c r="AA42" s="20">
        <f>'TR TUSD'!$AA$42</f>
        <v>0</v>
      </c>
      <c r="AB42" s="20">
        <f>SUM($U$42:$AA$42)</f>
        <v>39.932685003633878</v>
      </c>
      <c r="AC42" s="20">
        <f>'TR TUSD'!$AC$42*'TR TUSD'!$AC$76</f>
        <v>279.9589860302334</v>
      </c>
      <c r="AD42" s="20">
        <f>SUM($AC$42:$AC$42)</f>
        <v>279.9589860302334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TUSD'!$AH$76</f>
        <v>34.570476318864273</v>
      </c>
      <c r="AI42" s="20">
        <f>'TR TUSD'!$AI$42*'TR TUSD'!$AI$76</f>
        <v>2.7951797815574206</v>
      </c>
      <c r="AJ42" s="20">
        <f ca="1">'TR TUSD'!$AJ$42*'TR TUSD'!$AJ$76</f>
        <v>69.284450765268616</v>
      </c>
      <c r="AK42" s="20">
        <f ca="1">'TR TUSD'!$AK$42*'TR TUSD'!$AK$76</f>
        <v>13.488476064784885</v>
      </c>
      <c r="AL42" s="20">
        <f ca="1">SUM($AH$42:$AK$42)</f>
        <v>120.1385829304752</v>
      </c>
      <c r="AM42" s="20">
        <f ca="1">SUMIF($L$4:$AL$4,"SUBTOTAL",$L$42:$AL$42)</f>
        <v>445.44390212731918</v>
      </c>
      <c r="AP42" s="20">
        <f>IF((1 - CUSTOS!$M$24)&lt;&gt;0,1/(1 - CUSTOS!$M$24),1)</f>
        <v>1</v>
      </c>
    </row>
    <row r="43" spans="1:42" ht="11.25" customHeight="1" x14ac:dyDescent="0.25">
      <c r="A43" s="118"/>
      <c r="B43" s="118"/>
      <c r="C43" s="118"/>
      <c r="D43" s="21" t="s">
        <v>30</v>
      </c>
      <c r="E43" s="21" t="s">
        <v>25</v>
      </c>
      <c r="F43" s="21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20">
        <f>'TR TUSD'!$L$43*'TR TUSD'!$L$76</f>
        <v>0</v>
      </c>
      <c r="M43" s="20">
        <f>'TR TUSD'!$M$43*'TR TUSD'!$M$76</f>
        <v>0.95037557601364087</v>
      </c>
      <c r="N43" s="20">
        <f ca="1">'TR TUSD'!$N$43*'TR TUSD'!$N$76</f>
        <v>4.4632725869630745</v>
      </c>
      <c r="O43" s="20">
        <f>'TR TUSD'!$O$43*'TR TUSD'!$O$76</f>
        <v>0</v>
      </c>
      <c r="P43" s="20">
        <f>'TR TUSD'!$P$43*'TR TUSD'!$P$76</f>
        <v>0</v>
      </c>
      <c r="Q43" s="20">
        <f>'TR TUSD'!$Q$43*'TR TUSD'!$Q$76</f>
        <v>0</v>
      </c>
      <c r="R43" s="20">
        <f>'TR TUSD'!$R$43*'TR TUSD'!$R$76</f>
        <v>0</v>
      </c>
      <c r="S43" s="20">
        <f>'TR TUSD'!$S$43*'TR TUSD'!$S$76</f>
        <v>0</v>
      </c>
      <c r="T43" s="20">
        <f ca="1">SUM($L$43:$S$43)</f>
        <v>5.413648162976715</v>
      </c>
      <c r="U43" s="20">
        <f>'TR TUSD'!$U$43*'TR TUSD'!$U$76</f>
        <v>35.174833098541377</v>
      </c>
      <c r="V43" s="20">
        <f>'TR TUSD'!$V$43*'TR TUSD'!$V$76</f>
        <v>4.5859374647297777</v>
      </c>
      <c r="W43" s="20">
        <f>'TR TUSD'!$W$43*'TR TUSD'!$W$76</f>
        <v>0.17191444036272829</v>
      </c>
      <c r="X43" s="20">
        <f>'TR TUSD'!$X$43*'TR TUSD'!$X$76</f>
        <v>0</v>
      </c>
      <c r="Y43" s="20">
        <f>'TR TUSD'!$Y$43*'TR TUSD'!$Y$76</f>
        <v>0</v>
      </c>
      <c r="Z43" s="20">
        <f>'TR TUSD'!$Z$43</f>
        <v>0</v>
      </c>
      <c r="AA43" s="20">
        <f>'TR TUSD'!$AA$43</f>
        <v>0</v>
      </c>
      <c r="AB43" s="20">
        <f>SUM($U$43:$AA$43)</f>
        <v>39.932685003633878</v>
      </c>
      <c r="AC43" s="20">
        <f>'TR TUSD'!$AC$43*'TR TUSD'!$AC$76</f>
        <v>279.9589860302334</v>
      </c>
      <c r="AD43" s="20">
        <f>SUM($AC$43:$AC$43)</f>
        <v>279.9589860302334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TUSD'!$AH$76</f>
        <v>34.570476318864273</v>
      </c>
      <c r="AI43" s="20">
        <f>'TR TUSD'!$AI$43*'TR TUSD'!$AI$76</f>
        <v>2.7951797815574206</v>
      </c>
      <c r="AJ43" s="20">
        <f ca="1">'TR TUSD'!$AJ$43*'TR TUSD'!$AJ$76</f>
        <v>69.284450765268616</v>
      </c>
      <c r="AK43" s="20">
        <f ca="1">'TR TUSD'!$AK$43*'TR TUSD'!$AK$76</f>
        <v>13.488476064784885</v>
      </c>
      <c r="AL43" s="20">
        <f ca="1">SUM($AH$43:$AK$43)</f>
        <v>120.1385829304752</v>
      </c>
      <c r="AM43" s="20">
        <f ca="1">SUMIF($L$4:$AL$4,"SUBTOTAL",$L$43:$AL$43)</f>
        <v>445.44390212731918</v>
      </c>
      <c r="AP43" s="20">
        <f>IF((1 - CUSTOS!$M$25)&lt;&gt;0,1/(1 - CUSTOS!$M$25),1)</f>
        <v>1</v>
      </c>
    </row>
    <row r="44" spans="1:42" ht="11.25" customHeight="1" x14ac:dyDescent="0.25">
      <c r="A44" s="118"/>
      <c r="B44" s="118"/>
      <c r="C44" s="118"/>
      <c r="D44" s="21" t="s">
        <v>31</v>
      </c>
      <c r="E44" s="21" t="s">
        <v>25</v>
      </c>
      <c r="F44" s="21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20">
        <f>'TR TUSD'!$L$44*'TR TUSD'!$L$76</f>
        <v>0</v>
      </c>
      <c r="M44" s="20">
        <f>'TR TUSD'!$M$44*'TR TUSD'!$M$76</f>
        <v>0.95037557601364087</v>
      </c>
      <c r="N44" s="20">
        <f ca="1">'TR TUSD'!$N$44*'TR TUSD'!$N$76</f>
        <v>4.4632725869630745</v>
      </c>
      <c r="O44" s="20">
        <f>'TR TUSD'!$O$44*'TR TUSD'!$O$76</f>
        <v>0</v>
      </c>
      <c r="P44" s="20">
        <f>'TR TUSD'!$P$44*'TR TUSD'!$P$76</f>
        <v>0</v>
      </c>
      <c r="Q44" s="20">
        <f>'TR TUSD'!$Q$44*'TR TUSD'!$Q$76</f>
        <v>0</v>
      </c>
      <c r="R44" s="20">
        <f>'TR TUSD'!$R$44*'TR TUSD'!$R$76</f>
        <v>0</v>
      </c>
      <c r="S44" s="20">
        <f>'TR TUSD'!$S$44*'TR TUSD'!$S$76</f>
        <v>0</v>
      </c>
      <c r="T44" s="20">
        <f ca="1">SUM($L$44:$S$44)</f>
        <v>5.413648162976715</v>
      </c>
      <c r="U44" s="20">
        <f>'TR TUSD'!$U$44*'TR TUSD'!$U$76</f>
        <v>35.174833098541377</v>
      </c>
      <c r="V44" s="20">
        <f>'TR TUSD'!$V$44*'TR TUSD'!$V$76</f>
        <v>4.5859374647297777</v>
      </c>
      <c r="W44" s="20">
        <f>'TR TUSD'!$W$44*'TR TUSD'!$W$76</f>
        <v>0.17191444036272829</v>
      </c>
      <c r="X44" s="20">
        <f>'TR TUSD'!$X$44*'TR TUSD'!$X$76</f>
        <v>0</v>
      </c>
      <c r="Y44" s="20">
        <f>'TR TUSD'!$Y$44*'TR TUSD'!$Y$76</f>
        <v>0</v>
      </c>
      <c r="Z44" s="20">
        <f>'TR TUSD'!$Z$44</f>
        <v>0</v>
      </c>
      <c r="AA44" s="20">
        <f>'TR TUSD'!$AA$44</f>
        <v>0</v>
      </c>
      <c r="AB44" s="20">
        <f>SUM($U$44:$AA$44)</f>
        <v>39.932685003633878</v>
      </c>
      <c r="AC44" s="20">
        <f>'TR TUSD'!$AC$44*'TR TUSD'!$AC$76</f>
        <v>279.9589860302334</v>
      </c>
      <c r="AD44" s="20">
        <f>SUM($AC$44:$AC$44)</f>
        <v>279.9589860302334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TUSD'!$AH$76</f>
        <v>34.570476318864273</v>
      </c>
      <c r="AI44" s="20">
        <f>'TR TUSD'!$AI$44*'TR TUSD'!$AI$76</f>
        <v>2.7951797815574206</v>
      </c>
      <c r="AJ44" s="20">
        <f ca="1">'TR TUSD'!$AJ$44*'TR TUSD'!$AJ$76</f>
        <v>69.284450765268616</v>
      </c>
      <c r="AK44" s="20">
        <f ca="1">'TR TUSD'!$AK$44*'TR TUSD'!$AK$76</f>
        <v>13.488476064784885</v>
      </c>
      <c r="AL44" s="20">
        <f ca="1">SUM($AH$44:$AK$44)</f>
        <v>120.1385829304752</v>
      </c>
      <c r="AM44" s="20">
        <f ca="1">SUMIF($L$4:$AL$4,"SUBTOTAL",$L$44:$AL$44)</f>
        <v>445.44390212731918</v>
      </c>
      <c r="AP44" s="20">
        <f>IF((1 - CUSTOS!$M$26)&lt;&gt;0,1/(1 - CUSTOS!$M$26),1)</f>
        <v>1</v>
      </c>
    </row>
    <row r="45" spans="1:42" ht="11.25" customHeight="1" x14ac:dyDescent="0.25">
      <c r="A45" s="118"/>
      <c r="B45" s="118"/>
      <c r="C45" s="118"/>
      <c r="D45" s="21" t="s">
        <v>32</v>
      </c>
      <c r="E45" s="21" t="s">
        <v>25</v>
      </c>
      <c r="F45" s="21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20">
        <f>'TR TUSD'!$L$45*'TR TUSD'!$L$76</f>
        <v>0</v>
      </c>
      <c r="M45" s="20">
        <f>'TR TUSD'!$M$45*'TR TUSD'!$M$76</f>
        <v>0.95037557601364087</v>
      </c>
      <c r="N45" s="20">
        <f ca="1">'TR TUSD'!$N$45*'TR TUSD'!$N$76</f>
        <v>4.4632725869630745</v>
      </c>
      <c r="O45" s="20">
        <f>'TR TUSD'!$O$45*'TR TUSD'!$O$76</f>
        <v>0</v>
      </c>
      <c r="P45" s="20">
        <f>'TR TUSD'!$P$45*'TR TUSD'!$P$76</f>
        <v>0</v>
      </c>
      <c r="Q45" s="20">
        <f>'TR TUSD'!$Q$45*'TR TUSD'!$Q$76</f>
        <v>0</v>
      </c>
      <c r="R45" s="20">
        <f>'TR TUSD'!$R$45*'TR TUSD'!$R$76</f>
        <v>0</v>
      </c>
      <c r="S45" s="20">
        <f>'TR TUSD'!$S$45*'TR TUSD'!$S$76</f>
        <v>0</v>
      </c>
      <c r="T45" s="20">
        <f ca="1">SUM($L$45:$S$45)</f>
        <v>5.413648162976715</v>
      </c>
      <c r="U45" s="20">
        <f>'TR TUSD'!$U$45*'TR TUSD'!$U$76</f>
        <v>35.174833098541377</v>
      </c>
      <c r="V45" s="20">
        <f>'TR TUSD'!$V$45*'TR TUSD'!$V$76</f>
        <v>4.5859374647297777</v>
      </c>
      <c r="W45" s="20">
        <f>'TR TUSD'!$W$45*'TR TUSD'!$W$76</f>
        <v>0.17191444036272829</v>
      </c>
      <c r="X45" s="20">
        <f>'TR TUSD'!$X$45*'TR TUSD'!$X$76</f>
        <v>0</v>
      </c>
      <c r="Y45" s="20">
        <f>'TR TUSD'!$Y$45*'TR TUSD'!$Y$76</f>
        <v>0</v>
      </c>
      <c r="Z45" s="20">
        <f>'TR TUSD'!$Z$45</f>
        <v>0</v>
      </c>
      <c r="AA45" s="20">
        <f>'TR TUSD'!$AA$45</f>
        <v>0</v>
      </c>
      <c r="AB45" s="20">
        <f>SUM($U$45:$AA$45)</f>
        <v>39.932685003633878</v>
      </c>
      <c r="AC45" s="20">
        <f>'TR TUSD'!$AC$45*'TR TUSD'!$AC$76</f>
        <v>279.9589860302334</v>
      </c>
      <c r="AD45" s="20">
        <f>SUM($AC$45:$AC$45)</f>
        <v>279.9589860302334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TUSD'!$AH$76</f>
        <v>34.570476318864273</v>
      </c>
      <c r="AI45" s="20">
        <f>'TR TUSD'!$AI$45*'TR TUSD'!$AI$76</f>
        <v>2.7951797815574206</v>
      </c>
      <c r="AJ45" s="20">
        <f ca="1">'TR TUSD'!$AJ$45*'TR TUSD'!$AJ$76</f>
        <v>69.284450765268616</v>
      </c>
      <c r="AK45" s="20">
        <f ca="1">'TR TUSD'!$AK$45*'TR TUSD'!$AK$76</f>
        <v>13.488476064784885</v>
      </c>
      <c r="AL45" s="20">
        <f ca="1">SUM($AH$45:$AK$45)</f>
        <v>120.1385829304752</v>
      </c>
      <c r="AM45" s="20">
        <f ca="1">SUMIF($L$4:$AL$4,"SUBTOTAL",$L$45:$AL$45)</f>
        <v>445.44390212731918</v>
      </c>
      <c r="AP45" s="20">
        <f>IF((1 - CUSTOS!$M$27)&lt;&gt;0,1/(1 - CUSTOS!$M$27),1)</f>
        <v>1</v>
      </c>
    </row>
    <row r="46" spans="1:42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20">
        <f>'TR TUSD'!$L$46*'TR TUSD'!$L$76</f>
        <v>24.684129585678395</v>
      </c>
      <c r="M46" s="20">
        <f>'TR TUSD'!$M$46*'TR TUSD'!$M$76</f>
        <v>0.95037557601364087</v>
      </c>
      <c r="N46" s="20">
        <f ca="1">'TR TUSD'!$N$46*'TR TUSD'!$N$76</f>
        <v>10.857995461089926</v>
      </c>
      <c r="O46" s="20">
        <f>'TR TUSD'!$O$46*'TR TUSD'!$O$76</f>
        <v>0</v>
      </c>
      <c r="P46" s="20">
        <f>'TR TUSD'!$P$46*'TR TUSD'!$P$76</f>
        <v>0</v>
      </c>
      <c r="Q46" s="20">
        <f>'TR TUSD'!$Q$46*'TR TUSD'!$Q$76</f>
        <v>40.223251483606454</v>
      </c>
      <c r="R46" s="20">
        <f>'TR TUSD'!$R$46*'TR TUSD'!$R$76</f>
        <v>15.012316553504524</v>
      </c>
      <c r="S46" s="20">
        <f>'TR TUSD'!$S$46*'TR TUSD'!$S$76</f>
        <v>0</v>
      </c>
      <c r="T46" s="20">
        <f ca="1">SUM($L$46:$S$46)</f>
        <v>91.728068659892926</v>
      </c>
      <c r="U46" s="20">
        <f>'TR TUSD'!$U$46*'TR TUSD'!$U$76</f>
        <v>114.31848763358235</v>
      </c>
      <c r="V46" s="20">
        <f>'TR TUSD'!$V$46*'TR TUSD'!$V$76</f>
        <v>14.904400198214951</v>
      </c>
      <c r="W46" s="20">
        <f>'TR TUSD'!$W$46*'TR TUSD'!$W$76</f>
        <v>0.55863208042606416</v>
      </c>
      <c r="X46" s="20">
        <f>'TR TUSD'!$X$46*'TR TUSD'!$X$76</f>
        <v>0</v>
      </c>
      <c r="Y46" s="20">
        <f>'TR TUSD'!$Y$46*'TR TUSD'!$Y$76</f>
        <v>0</v>
      </c>
      <c r="Z46" s="20">
        <f>'TR TUSD'!$Z$46</f>
        <v>0</v>
      </c>
      <c r="AA46" s="20">
        <f>'TR TUSD'!$AA$46</f>
        <v>0</v>
      </c>
      <c r="AB46" s="20">
        <f>SUM($U$46:$AA$46)</f>
        <v>129.78151991222336</v>
      </c>
      <c r="AC46" s="20">
        <f>'TR TUSD'!$AC$46*'TR TUSD'!$AC$76</f>
        <v>909.86654180967594</v>
      </c>
      <c r="AD46" s="20">
        <f>SUM($AC$46:$AC$46)</f>
        <v>909.86654180967594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TUSD'!$AH$76</f>
        <v>34.570476318864273</v>
      </c>
      <c r="AI46" s="20">
        <f>'TR TUSD'!$AI$46*'TR TUSD'!$AI$76</f>
        <v>2.7951797815574206</v>
      </c>
      <c r="AJ46" s="20">
        <f ca="1">'TR TUSD'!$AJ$46*'TR TUSD'!$AJ$76</f>
        <v>69.284450765268616</v>
      </c>
      <c r="AK46" s="20">
        <f ca="1">'TR TUSD'!$AK$46*'TR TUSD'!$AK$76</f>
        <v>13.488476064784885</v>
      </c>
      <c r="AL46" s="20">
        <f ca="1">SUM($AH$46:$AK$46)</f>
        <v>120.1385829304752</v>
      </c>
      <c r="AM46" s="20">
        <f ca="1">SUMIF($L$4:$AL$4,"SUBTOTAL",$L$46:$AL$46)</f>
        <v>1251.5147133122675</v>
      </c>
      <c r="AP46" s="20">
        <f>IF((1 - CUSTOS!$M$28)&lt;&gt;0,1/(1 - CUSTOS!$M$28),1)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20">
        <f>'TR TUSD'!$L$47*'TR TUSD'!$L$76</f>
        <v>24.684129585678395</v>
      </c>
      <c r="M47" s="20">
        <f>'TR TUSD'!$M$47*'TR TUSD'!$M$76</f>
        <v>0.95037557601364087</v>
      </c>
      <c r="N47" s="20">
        <f ca="1">'TR TUSD'!$N$47*'TR TUSD'!$N$76</f>
        <v>7.1699364116050219</v>
      </c>
      <c r="O47" s="20">
        <f>'TR TUSD'!$O$47*'TR TUSD'!$O$76</f>
        <v>0</v>
      </c>
      <c r="P47" s="20">
        <f>'TR TUSD'!$P$47*'TR TUSD'!$P$76</f>
        <v>0</v>
      </c>
      <c r="Q47" s="20">
        <f>'TR TUSD'!$Q$47*'TR TUSD'!$Q$76</f>
        <v>40.223251483606454</v>
      </c>
      <c r="R47" s="20">
        <f>'TR TUSD'!$R$47*'TR TUSD'!$R$76</f>
        <v>15.012316553504524</v>
      </c>
      <c r="S47" s="20">
        <f>'TR TUSD'!$S$47*'TR TUSD'!$S$76</f>
        <v>0</v>
      </c>
      <c r="T47" s="20">
        <f ca="1">SUM($L$47:$S$47)</f>
        <v>88.040009610408021</v>
      </c>
      <c r="U47" s="20">
        <f>'TR TUSD'!$U$47*'TR TUSD'!$U$76</f>
        <v>68.591008561152549</v>
      </c>
      <c r="V47" s="20">
        <f>'TR TUSD'!$V$47*'TR TUSD'!$V$76</f>
        <v>8.9426566689838793</v>
      </c>
      <c r="W47" s="20">
        <f>'TR TUSD'!$W$47*'TR TUSD'!$W$76</f>
        <v>0.33520320845638596</v>
      </c>
      <c r="X47" s="20">
        <f>'TR TUSD'!$X$47*'TR TUSD'!$X$76</f>
        <v>0</v>
      </c>
      <c r="Y47" s="20">
        <f>'TR TUSD'!$Y$47*'TR TUSD'!$Y$76</f>
        <v>0</v>
      </c>
      <c r="Z47" s="20">
        <f>'TR TUSD'!$Z$47</f>
        <v>0</v>
      </c>
      <c r="AA47" s="20">
        <f>'TR TUSD'!$AA$47</f>
        <v>0</v>
      </c>
      <c r="AB47" s="20">
        <f>SUM($U$47:$AA$47)</f>
        <v>77.868868438592813</v>
      </c>
      <c r="AC47" s="20">
        <f>'TR TUSD'!$AC$47*'TR TUSD'!$AC$76</f>
        <v>545.91997717815195</v>
      </c>
      <c r="AD47" s="20">
        <f>SUM($AC$47:$AC$47)</f>
        <v>545.91997717815195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TUSD'!$AH$76</f>
        <v>34.570476318864273</v>
      </c>
      <c r="AI47" s="20">
        <f>'TR TUSD'!$AI$47*'TR TUSD'!$AI$76</f>
        <v>2.7951797815574206</v>
      </c>
      <c r="AJ47" s="20">
        <f ca="1">'TR TUSD'!$AJ$47*'TR TUSD'!$AJ$76</f>
        <v>69.284450765268616</v>
      </c>
      <c r="AK47" s="20">
        <f ca="1">'TR TUSD'!$AK$47*'TR TUSD'!$AK$76</f>
        <v>13.488476064784885</v>
      </c>
      <c r="AL47" s="20">
        <f ca="1">SUM($AH$47:$AK$47)</f>
        <v>120.1385829304752</v>
      </c>
      <c r="AM47" s="20">
        <f ca="1">SUMIF($L$4:$AL$4,"SUBTOTAL",$L$47:$AL$47)</f>
        <v>831.96743815762795</v>
      </c>
      <c r="AP47" s="20">
        <f>IF((1 - CUSTOS!$M$28)&lt;&gt;0,1/(1 - CUSTOS!$M$28),1)</f>
        <v>1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20">
        <f>'TR TUSD'!$L$48*'TR TUSD'!$L$76</f>
        <v>24.684129585678395</v>
      </c>
      <c r="M48" s="20">
        <f>'TR TUSD'!$M$48*'TR TUSD'!$M$76</f>
        <v>0.95037557601364087</v>
      </c>
      <c r="N48" s="20">
        <f ca="1">'TR TUSD'!$N$48*'TR TUSD'!$N$76</f>
        <v>3.4818773621201182</v>
      </c>
      <c r="O48" s="20">
        <f>'TR TUSD'!$O$48*'TR TUSD'!$O$76</f>
        <v>0</v>
      </c>
      <c r="P48" s="20">
        <f>'TR TUSD'!$P$48*'TR TUSD'!$P$76</f>
        <v>0</v>
      </c>
      <c r="Q48" s="20">
        <f>'TR TUSD'!$Q$48*'TR TUSD'!$Q$76</f>
        <v>40.223251483606454</v>
      </c>
      <c r="R48" s="20">
        <f>'TR TUSD'!$R$48*'TR TUSD'!$R$76</f>
        <v>15.012316553504524</v>
      </c>
      <c r="S48" s="20">
        <f>'TR TUSD'!$S$48*'TR TUSD'!$S$76</f>
        <v>0</v>
      </c>
      <c r="T48" s="20">
        <f ca="1">SUM($L$48:$S$48)</f>
        <v>84.351950560923129</v>
      </c>
      <c r="U48" s="20">
        <f>'TR TUSD'!$U$48*'TR TUSD'!$U$76</f>
        <v>22.863669520384182</v>
      </c>
      <c r="V48" s="20">
        <f>'TR TUSD'!$V$48*'TR TUSD'!$V$76</f>
        <v>2.9809131397528064</v>
      </c>
      <c r="W48" s="20">
        <f>'TR TUSD'!$W$48*'TR TUSD'!$W$76</f>
        <v>0.11177433648670768</v>
      </c>
      <c r="X48" s="20">
        <f>'TR TUSD'!$X$48*'TR TUSD'!$X$76</f>
        <v>0</v>
      </c>
      <c r="Y48" s="20">
        <f>'TR TUSD'!$Y$48*'TR TUSD'!$Y$76</f>
        <v>0</v>
      </c>
      <c r="Z48" s="20">
        <f>'TR TUSD'!$Z$48</f>
        <v>0</v>
      </c>
      <c r="AA48" s="20">
        <f>'TR TUSD'!$AA$48</f>
        <v>0</v>
      </c>
      <c r="AB48" s="20">
        <f>SUM($U$48:$AA$48)</f>
        <v>25.956356996623697</v>
      </c>
      <c r="AC48" s="20">
        <f>'TR TUSD'!$AC$48*'TR TUSD'!$AC$76</f>
        <v>181.97328231576194</v>
      </c>
      <c r="AD48" s="20">
        <f>SUM($AC$48:$AC$48)</f>
        <v>181.97328231576194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TUSD'!$AH$76</f>
        <v>34.570476318864273</v>
      </c>
      <c r="AI48" s="20">
        <f>'TR TUSD'!$AI$48*'TR TUSD'!$AI$76</f>
        <v>2.7951797815574206</v>
      </c>
      <c r="AJ48" s="20">
        <f ca="1">'TR TUSD'!$AJ$48*'TR TUSD'!$AJ$76</f>
        <v>69.284450765268616</v>
      </c>
      <c r="AK48" s="20">
        <f ca="1">'TR TUSD'!$AK$48*'TR TUSD'!$AK$76</f>
        <v>13.488476064784885</v>
      </c>
      <c r="AL48" s="20">
        <f ca="1">SUM($AH$48:$AK$48)</f>
        <v>120.1385829304752</v>
      </c>
      <c r="AM48" s="20">
        <f ca="1">SUMIF($L$4:$AL$4,"SUBTOTAL",$L$48:$AL$48)</f>
        <v>412.42017280378394</v>
      </c>
      <c r="AP48" s="20">
        <f>IF((1 - CUSTOS!$M$28)&lt;&gt;0,1/(1 - CUSTOS!$M$28),1)</f>
        <v>1</v>
      </c>
    </row>
    <row r="49" spans="1:42" ht="11.25" customHeight="1" x14ac:dyDescent="0.25">
      <c r="A49" s="118"/>
      <c r="B49" s="21" t="s">
        <v>23</v>
      </c>
      <c r="C49" s="21" t="s">
        <v>46</v>
      </c>
      <c r="D49" s="21" t="s">
        <v>25</v>
      </c>
      <c r="E49" s="21" t="s">
        <v>25</v>
      </c>
      <c r="F49" s="21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20">
        <f>'TR TUSD'!$L$49*'TR TUSD'!$L$76</f>
        <v>24.684129585678395</v>
      </c>
      <c r="M49" s="20">
        <f>'TR TUSD'!$M$49*'TR TUSD'!$M$76</f>
        <v>0.95037557601364087</v>
      </c>
      <c r="N49" s="20">
        <f ca="1">'TR TUSD'!$N$49*'TR TUSD'!$N$76</f>
        <v>4.4748154934613487</v>
      </c>
      <c r="O49" s="20">
        <f>'TR TUSD'!$O$49*'TR TUSD'!$O$76</f>
        <v>0</v>
      </c>
      <c r="P49" s="20">
        <f>'TR TUSD'!$P$49*'TR TUSD'!$P$76</f>
        <v>0</v>
      </c>
      <c r="Q49" s="20">
        <f>'TR TUSD'!$Q$49*'TR TUSD'!$Q$76</f>
        <v>40.223251483606454</v>
      </c>
      <c r="R49" s="20">
        <f>'TR TUSD'!$R$49*'TR TUSD'!$R$76</f>
        <v>15.012316553504524</v>
      </c>
      <c r="S49" s="20">
        <f>'TR TUSD'!$S$49*'TR TUSD'!$S$76</f>
        <v>0</v>
      </c>
      <c r="T49" s="20">
        <f ca="1">SUM($L$49:$S$49)</f>
        <v>85.344888692264362</v>
      </c>
      <c r="U49" s="20">
        <f>'TR TUSD'!$U$49*'TR TUSD'!$U$76</f>
        <v>35.174833098541377</v>
      </c>
      <c r="V49" s="20">
        <f>'TR TUSD'!$V$49*'TR TUSD'!$V$76</f>
        <v>4.5859374647297777</v>
      </c>
      <c r="W49" s="20">
        <f>'TR TUSD'!$W$49*'TR TUSD'!$W$76</f>
        <v>0.17191444036272829</v>
      </c>
      <c r="X49" s="20">
        <f>'TR TUSD'!$X$49*'TR TUSD'!$X$76</f>
        <v>0</v>
      </c>
      <c r="Y49" s="20">
        <f>'TR TUSD'!$Y$49*'TR TUSD'!$Y$76</f>
        <v>0</v>
      </c>
      <c r="Z49" s="20">
        <f>'TR TUSD'!$Z$49</f>
        <v>0</v>
      </c>
      <c r="AA49" s="20">
        <f>'TR TUSD'!$AA$49</f>
        <v>0</v>
      </c>
      <c r="AB49" s="20">
        <f>SUM($U$49:$AA$49)</f>
        <v>39.932685003633878</v>
      </c>
      <c r="AC49" s="20">
        <f>'TR TUSD'!$AC$49*'TR TUSD'!$AC$76</f>
        <v>279.9589860302334</v>
      </c>
      <c r="AD49" s="20">
        <f>SUM($AC$49:$AC$49)</f>
        <v>279.9589860302334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TUSD'!$AH$76</f>
        <v>34.570476318864273</v>
      </c>
      <c r="AI49" s="20">
        <f>'TR TUSD'!$AI$49*'TR TUSD'!$AI$76</f>
        <v>2.7951797815574206</v>
      </c>
      <c r="AJ49" s="20">
        <f ca="1">'TR TUSD'!$AJ$49*'TR TUSD'!$AJ$76</f>
        <v>69.284450765268616</v>
      </c>
      <c r="AK49" s="20">
        <f ca="1">'TR TUSD'!$AK$49*'TR TUSD'!$AK$76</f>
        <v>13.488476064784885</v>
      </c>
      <c r="AL49" s="20">
        <f ca="1">SUM($AH$49:$AK$49)</f>
        <v>120.1385829304752</v>
      </c>
      <c r="AM49" s="20">
        <f ca="1">SUMIF($L$4:$AL$4,"SUBTOTAL",$L$49:$AL$49)</f>
        <v>525.37514265660684</v>
      </c>
      <c r="AP49" s="20">
        <f>IF((1 - CUSTOS!$M$28)&lt;&gt;0,1/(1 - CUSTOS!$M$28),1)</f>
        <v>1</v>
      </c>
    </row>
    <row r="50" spans="1:42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20">
        <f>'TR TUSD'!$L$50*'TR TUSD'!$L$76</f>
        <v>24.684129585678395</v>
      </c>
      <c r="M50" s="20">
        <f>'TR TUSD'!$M$50*'TR TUSD'!$M$76</f>
        <v>0.95037557601364087</v>
      </c>
      <c r="N50" s="20">
        <f ca="1">'TR TUSD'!$N$50*'TR TUSD'!$N$76</f>
        <v>10.857995461089926</v>
      </c>
      <c r="O50" s="20">
        <f>'TR TUSD'!$O$50*'TR TUSD'!$O$76</f>
        <v>0</v>
      </c>
      <c r="P50" s="20">
        <f>'TR TUSD'!$P$50*'TR TUSD'!$P$76</f>
        <v>0</v>
      </c>
      <c r="Q50" s="20">
        <f>'TR TUSD'!$Q$50*'TR TUSD'!$Q$76</f>
        <v>40.223251483606454</v>
      </c>
      <c r="R50" s="20">
        <f>'TR TUSD'!$R$50*'TR TUSD'!$R$76</f>
        <v>15.012316553504524</v>
      </c>
      <c r="S50" s="20">
        <f>'TR TUSD'!$S$50*'TR TUSD'!$S$76</f>
        <v>0</v>
      </c>
      <c r="T50" s="20">
        <f ca="1">SUM($L$50:$S$50)</f>
        <v>91.728068659892926</v>
      </c>
      <c r="U50" s="20">
        <f>'TR TUSD'!$U$50*'TR TUSD'!$U$76</f>
        <v>114.31848763358235</v>
      </c>
      <c r="V50" s="20">
        <f>'TR TUSD'!$V$50*'TR TUSD'!$V$76</f>
        <v>14.904400198214951</v>
      </c>
      <c r="W50" s="20">
        <f>'TR TUSD'!$W$50*'TR TUSD'!$W$76</f>
        <v>0.55863208042606416</v>
      </c>
      <c r="X50" s="20">
        <f>'TR TUSD'!$X$50*'TR TUSD'!$X$76</f>
        <v>0</v>
      </c>
      <c r="Y50" s="20">
        <f>'TR TUSD'!$Y$50*'TR TUSD'!$Y$76</f>
        <v>0</v>
      </c>
      <c r="Z50" s="20">
        <f>'TR TUSD'!$Z$50</f>
        <v>0</v>
      </c>
      <c r="AA50" s="20">
        <f>'TR TUSD'!$AA$50</f>
        <v>0</v>
      </c>
      <c r="AB50" s="20">
        <f>SUM($U$50:$AA$50)</f>
        <v>129.78151991222336</v>
      </c>
      <c r="AC50" s="20">
        <f>'TR TUSD'!$AC$50*'TR TUSD'!$AC$76</f>
        <v>909.86654180967594</v>
      </c>
      <c r="AD50" s="20">
        <f>SUM($AC$50:$AC$50)</f>
        <v>909.86654180967594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TUSD'!$AH$76</f>
        <v>34.570476318864273</v>
      </c>
      <c r="AI50" s="20">
        <f>'TR TUSD'!$AI$50*'TR TUSD'!$AI$76</f>
        <v>2.7951797815574206</v>
      </c>
      <c r="AJ50" s="20">
        <f ca="1">'TR TUSD'!$AJ$50*'TR TUSD'!$AJ$76</f>
        <v>69.284450765268616</v>
      </c>
      <c r="AK50" s="20">
        <f ca="1">'TR TUSD'!$AK$50*'TR TUSD'!$AK$76</f>
        <v>13.488476064784885</v>
      </c>
      <c r="AL50" s="20">
        <f ca="1">SUM($AH$50:$AK$50)</f>
        <v>120.1385829304752</v>
      </c>
      <c r="AM50" s="20">
        <f ca="1">SUMIF($L$4:$AL$4,"SUBTOTAL",$L$50:$AL$50)</f>
        <v>1251.5147133122675</v>
      </c>
      <c r="AP50" s="20">
        <f>IF((1 - CUSTOS!$M$29)&lt;&gt;0,1/(1 - CUSTOS!$M$29),1)</f>
        <v>1</v>
      </c>
    </row>
    <row r="51" spans="1:42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20">
        <f>'TR TUSD'!$L$51*'TR TUSD'!$L$76</f>
        <v>24.684129585678395</v>
      </c>
      <c r="M51" s="20">
        <f>'TR TUSD'!$M$51*'TR TUSD'!$M$76</f>
        <v>0.95037557601364087</v>
      </c>
      <c r="N51" s="20">
        <f ca="1">'TR TUSD'!$N$51*'TR TUSD'!$N$76</f>
        <v>7.1699364116050219</v>
      </c>
      <c r="O51" s="20">
        <f>'TR TUSD'!$O$51*'TR TUSD'!$O$76</f>
        <v>0</v>
      </c>
      <c r="P51" s="20">
        <f>'TR TUSD'!$P$51*'TR TUSD'!$P$76</f>
        <v>0</v>
      </c>
      <c r="Q51" s="20">
        <f>'TR TUSD'!$Q$51*'TR TUSD'!$Q$76</f>
        <v>40.223251483606454</v>
      </c>
      <c r="R51" s="20">
        <f>'TR TUSD'!$R$51*'TR TUSD'!$R$76</f>
        <v>15.012316553504524</v>
      </c>
      <c r="S51" s="20">
        <f>'TR TUSD'!$S$51*'TR TUSD'!$S$76</f>
        <v>0</v>
      </c>
      <c r="T51" s="20">
        <f ca="1">SUM($L$51:$S$51)</f>
        <v>88.040009610408021</v>
      </c>
      <c r="U51" s="20">
        <f>'TR TUSD'!$U$51*'TR TUSD'!$U$76</f>
        <v>68.591008561152549</v>
      </c>
      <c r="V51" s="20">
        <f>'TR TUSD'!$V$51*'TR TUSD'!$V$76</f>
        <v>8.9426566689838793</v>
      </c>
      <c r="W51" s="20">
        <f>'TR TUSD'!$W$51*'TR TUSD'!$W$76</f>
        <v>0.33520320845638596</v>
      </c>
      <c r="X51" s="20">
        <f>'TR TUSD'!$X$51*'TR TUSD'!$X$76</f>
        <v>0</v>
      </c>
      <c r="Y51" s="20">
        <f>'TR TUSD'!$Y$51*'TR TUSD'!$Y$76</f>
        <v>0</v>
      </c>
      <c r="Z51" s="20">
        <f>'TR TUSD'!$Z$51</f>
        <v>0</v>
      </c>
      <c r="AA51" s="20">
        <f>'TR TUSD'!$AA$51</f>
        <v>0</v>
      </c>
      <c r="AB51" s="20">
        <f>SUM($U$51:$AA$51)</f>
        <v>77.868868438592813</v>
      </c>
      <c r="AC51" s="20">
        <f>'TR TUSD'!$AC$51*'TR TUSD'!$AC$76</f>
        <v>545.91997717815195</v>
      </c>
      <c r="AD51" s="20">
        <f>SUM($AC$51:$AC$51)</f>
        <v>545.91997717815195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TUSD'!$AH$76</f>
        <v>34.570476318864273</v>
      </c>
      <c r="AI51" s="20">
        <f>'TR TUSD'!$AI$51*'TR TUSD'!$AI$76</f>
        <v>2.7951797815574206</v>
      </c>
      <c r="AJ51" s="20">
        <f ca="1">'TR TUSD'!$AJ$51*'TR TUSD'!$AJ$76</f>
        <v>69.284450765268616</v>
      </c>
      <c r="AK51" s="20">
        <f ca="1">'TR TUSD'!$AK$51*'TR TUSD'!$AK$76</f>
        <v>13.488476064784885</v>
      </c>
      <c r="AL51" s="20">
        <f ca="1">SUM($AH$51:$AK$51)</f>
        <v>120.1385829304752</v>
      </c>
      <c r="AM51" s="20">
        <f ca="1">SUMIF($L$4:$AL$4,"SUBTOTAL",$L$51:$AL$51)</f>
        <v>831.96743815762795</v>
      </c>
      <c r="AP51" s="20">
        <f>IF((1 - CUSTOS!$M$29)&lt;&gt;0,1/(1 - CUSTOS!$M$29),1)</f>
        <v>1</v>
      </c>
    </row>
    <row r="52" spans="1:42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20">
        <f>'TR TUSD'!$L$52*'TR TUSD'!$L$76</f>
        <v>24.684129585678395</v>
      </c>
      <c r="M52" s="20">
        <f>'TR TUSD'!$M$52*'TR TUSD'!$M$76</f>
        <v>0.95037557601364087</v>
      </c>
      <c r="N52" s="20">
        <f ca="1">'TR TUSD'!$N$52*'TR TUSD'!$N$76</f>
        <v>3.4818773621201182</v>
      </c>
      <c r="O52" s="20">
        <f>'TR TUSD'!$O$52*'TR TUSD'!$O$76</f>
        <v>0</v>
      </c>
      <c r="P52" s="20">
        <f>'TR TUSD'!$P$52*'TR TUSD'!$P$76</f>
        <v>0</v>
      </c>
      <c r="Q52" s="20">
        <f>'TR TUSD'!$Q$52*'TR TUSD'!$Q$76</f>
        <v>40.223251483606454</v>
      </c>
      <c r="R52" s="20">
        <f>'TR TUSD'!$R$52*'TR TUSD'!$R$76</f>
        <v>15.012316553504524</v>
      </c>
      <c r="S52" s="20">
        <f>'TR TUSD'!$S$52*'TR TUSD'!$S$76</f>
        <v>0</v>
      </c>
      <c r="T52" s="20">
        <f ca="1">SUM($L$52:$S$52)</f>
        <v>84.351950560923129</v>
      </c>
      <c r="U52" s="20">
        <f>'TR TUSD'!$U$52*'TR TUSD'!$U$76</f>
        <v>22.863669520384182</v>
      </c>
      <c r="V52" s="20">
        <f>'TR TUSD'!$V$52*'TR TUSD'!$V$76</f>
        <v>2.9809131397528064</v>
      </c>
      <c r="W52" s="20">
        <f>'TR TUSD'!$W$52*'TR TUSD'!$W$76</f>
        <v>0.11177433648670768</v>
      </c>
      <c r="X52" s="20">
        <f>'TR TUSD'!$X$52*'TR TUSD'!$X$76</f>
        <v>0</v>
      </c>
      <c r="Y52" s="20">
        <f>'TR TUSD'!$Y$52*'TR TUSD'!$Y$76</f>
        <v>0</v>
      </c>
      <c r="Z52" s="20">
        <f>'TR TUSD'!$Z$52</f>
        <v>0</v>
      </c>
      <c r="AA52" s="20">
        <f>'TR TUSD'!$AA$52</f>
        <v>0</v>
      </c>
      <c r="AB52" s="20">
        <f>SUM($U$52:$AA$52)</f>
        <v>25.956356996623697</v>
      </c>
      <c r="AC52" s="20">
        <f>'TR TUSD'!$AC$52*'TR TUSD'!$AC$76</f>
        <v>181.97328231576194</v>
      </c>
      <c r="AD52" s="20">
        <f>SUM($AC$52:$AC$52)</f>
        <v>181.97328231576194</v>
      </c>
      <c r="AE52" s="20">
        <v>0</v>
      </c>
      <c r="AF52" s="20">
        <v>0</v>
      </c>
      <c r="AG52" s="20">
        <f>SUM($AE$52:$AF$52)</f>
        <v>0</v>
      </c>
      <c r="AH52" s="20">
        <f>'TR TUSD'!$AH$52*'TR TUSD'!$AH$76</f>
        <v>34.570476318864273</v>
      </c>
      <c r="AI52" s="20">
        <f>'TR TUSD'!$AI$52*'TR TUSD'!$AI$76</f>
        <v>2.7951797815574206</v>
      </c>
      <c r="AJ52" s="20">
        <f ca="1">'TR TUSD'!$AJ$52*'TR TUSD'!$AJ$76</f>
        <v>69.284450765268616</v>
      </c>
      <c r="AK52" s="20">
        <f ca="1">'TR TUSD'!$AK$52*'TR TUSD'!$AK$76</f>
        <v>13.488476064784885</v>
      </c>
      <c r="AL52" s="20">
        <f ca="1">SUM($AH$52:$AK$52)</f>
        <v>120.1385829304752</v>
      </c>
      <c r="AM52" s="20">
        <f ca="1">SUMIF($L$4:$AL$4,"SUBTOTAL",$L$52:$AL$52)</f>
        <v>412.42017280378394</v>
      </c>
      <c r="AP52" s="20">
        <f>IF((1 - CUSTOS!$M$29)&lt;&gt;0,1/(1 - CUSTOS!$M$29),1)</f>
        <v>1</v>
      </c>
    </row>
    <row r="53" spans="1:42" ht="11.25" customHeight="1" x14ac:dyDescent="0.25">
      <c r="A53" s="118"/>
      <c r="B53" s="21" t="s">
        <v>23</v>
      </c>
      <c r="C53" s="21" t="s">
        <v>46</v>
      </c>
      <c r="D53" s="21" t="s">
        <v>93</v>
      </c>
      <c r="E53" s="21" t="s">
        <v>25</v>
      </c>
      <c r="F53" s="21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20">
        <f>'TR TUSD'!$L$53*'TR TUSD'!$L$76</f>
        <v>24.684129585678395</v>
      </c>
      <c r="M53" s="20">
        <f>'TR TUSD'!$M$53*'TR TUSD'!$M$76</f>
        <v>0.95037557601364087</v>
      </c>
      <c r="N53" s="20">
        <f ca="1">'TR TUSD'!$N$53*'TR TUSD'!$N$76</f>
        <v>4.4748154934613487</v>
      </c>
      <c r="O53" s="20">
        <f>'TR TUSD'!$O$53*'TR TUSD'!$O$76</f>
        <v>0</v>
      </c>
      <c r="P53" s="20">
        <f>'TR TUSD'!$P$53*'TR TUSD'!$P$76</f>
        <v>0</v>
      </c>
      <c r="Q53" s="20">
        <f>'TR TUSD'!$Q$53*'TR TUSD'!$Q$76</f>
        <v>40.223251483606454</v>
      </c>
      <c r="R53" s="20">
        <f>'TR TUSD'!$R$53*'TR TUSD'!$R$76</f>
        <v>15.012316553504524</v>
      </c>
      <c r="S53" s="20">
        <f>'TR TUSD'!$S$53*'TR TUSD'!$S$76</f>
        <v>0</v>
      </c>
      <c r="T53" s="20">
        <f ca="1">SUM($L$53:$S$53)</f>
        <v>85.344888692264362</v>
      </c>
      <c r="U53" s="20">
        <f>'TR TUSD'!$U$53*'TR TUSD'!$U$76</f>
        <v>35.174833098541377</v>
      </c>
      <c r="V53" s="20">
        <f>'TR TUSD'!$V$53*'TR TUSD'!$V$76</f>
        <v>4.5859374647297777</v>
      </c>
      <c r="W53" s="20">
        <f>'TR TUSD'!$W$53*'TR TUSD'!$W$76</f>
        <v>0.17191444036272829</v>
      </c>
      <c r="X53" s="20">
        <f>'TR TUSD'!$X$53*'TR TUSD'!$X$76</f>
        <v>0</v>
      </c>
      <c r="Y53" s="20">
        <f>'TR TUSD'!$Y$53*'TR TUSD'!$Y$76</f>
        <v>0</v>
      </c>
      <c r="Z53" s="20">
        <f>'TR TUSD'!$Z$53</f>
        <v>0</v>
      </c>
      <c r="AA53" s="20">
        <f>'TR TUSD'!$AA$53</f>
        <v>0</v>
      </c>
      <c r="AB53" s="20">
        <f>SUM($U$53:$AA$53)</f>
        <v>39.932685003633878</v>
      </c>
      <c r="AC53" s="20">
        <f>'TR TUSD'!$AC$53*'TR TUSD'!$AC$76</f>
        <v>279.9589860302334</v>
      </c>
      <c r="AD53" s="20">
        <f>SUM($AC$53:$AC$53)</f>
        <v>279.9589860302334</v>
      </c>
      <c r="AE53" s="20">
        <v>0</v>
      </c>
      <c r="AF53" s="20">
        <v>0</v>
      </c>
      <c r="AG53" s="20">
        <f>SUM($AE$53:$AF$53)</f>
        <v>0</v>
      </c>
      <c r="AH53" s="20">
        <f>'TR TUSD'!$AH$53*'TR TUSD'!$AH$76</f>
        <v>34.570476318864273</v>
      </c>
      <c r="AI53" s="20">
        <f>'TR TUSD'!$AI$53*'TR TUSD'!$AI$76</f>
        <v>2.7951797815574206</v>
      </c>
      <c r="AJ53" s="20">
        <f ca="1">'TR TUSD'!$AJ$53*'TR TUSD'!$AJ$76</f>
        <v>69.284450765268616</v>
      </c>
      <c r="AK53" s="20">
        <f ca="1">'TR TUSD'!$AK$53*'TR TUSD'!$AK$76</f>
        <v>13.488476064784885</v>
      </c>
      <c r="AL53" s="20">
        <f ca="1">SUM($AH$53:$AK$53)</f>
        <v>120.1385829304752</v>
      </c>
      <c r="AM53" s="20">
        <f ca="1">SUMIF($L$4:$AL$4,"SUBTOTAL",$L$53:$AL$53)</f>
        <v>525.37514265660684</v>
      </c>
      <c r="AP53" s="20">
        <f>IF((1 - CUSTOS!$M$29)&lt;&gt;0,1/(1 - CUSTOS!$M$29),1)</f>
        <v>1</v>
      </c>
    </row>
    <row r="54" spans="1:42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20">
        <f>'TR TUSD'!$L$54*'TR TUSD'!$L$76</f>
        <v>24.684129585678395</v>
      </c>
      <c r="M54" s="20">
        <f>'TR TUSD'!$M$54*'TR TUSD'!$M$76</f>
        <v>0.95037557601364087</v>
      </c>
      <c r="N54" s="20">
        <f ca="1">'TR TUSD'!$N$54*'TR TUSD'!$N$76</f>
        <v>10.857995461089926</v>
      </c>
      <c r="O54" s="20">
        <f>'TR TUSD'!$O$54*'TR TUSD'!$O$76</f>
        <v>0</v>
      </c>
      <c r="P54" s="20">
        <f>'TR TUSD'!$P$54*'TR TUSD'!$P$76</f>
        <v>0</v>
      </c>
      <c r="Q54" s="20">
        <f>'TR TUSD'!$Q$54*'TR TUSD'!$Q$76</f>
        <v>40.223251483606454</v>
      </c>
      <c r="R54" s="20">
        <f>'TR TUSD'!$R$54*'TR TUSD'!$R$76</f>
        <v>15.012316553504524</v>
      </c>
      <c r="S54" s="20">
        <f>'TR TUSD'!$S$54*'TR TUSD'!$S$76</f>
        <v>0</v>
      </c>
      <c r="T54" s="20">
        <f ca="1">SUM($L$54:$S$54)</f>
        <v>91.728068659892926</v>
      </c>
      <c r="U54" s="20">
        <f>'TR TUSD'!$U$54*'TR TUSD'!$U$76</f>
        <v>114.31848763358235</v>
      </c>
      <c r="V54" s="20">
        <f>'TR TUSD'!$V$54*'TR TUSD'!$V$76</f>
        <v>14.904400198214951</v>
      </c>
      <c r="W54" s="20">
        <f>'TR TUSD'!$W$54*'TR TUSD'!$W$76</f>
        <v>0.55863208042606416</v>
      </c>
      <c r="X54" s="20">
        <f>'TR TUSD'!$X$54*'TR TUSD'!$X$76</f>
        <v>0</v>
      </c>
      <c r="Y54" s="20">
        <f>'TR TUSD'!$Y$54*'TR TUSD'!$Y$76</f>
        <v>0</v>
      </c>
      <c r="Z54" s="20">
        <f>'TR TUSD'!$Z$54</f>
        <v>0</v>
      </c>
      <c r="AA54" s="20">
        <f>'TR TUSD'!$AA$54</f>
        <v>0</v>
      </c>
      <c r="AB54" s="20">
        <f>SUM($U$54:$AA$54)</f>
        <v>129.78151991222336</v>
      </c>
      <c r="AC54" s="20">
        <f>'TR TUSD'!$AC$54*'TR TUSD'!$AC$76</f>
        <v>909.86654180967594</v>
      </c>
      <c r="AD54" s="20">
        <f>SUM($AC$54:$AC$54)</f>
        <v>909.86654180967594</v>
      </c>
      <c r="AE54" s="20">
        <v>0</v>
      </c>
      <c r="AF54" s="20">
        <v>0</v>
      </c>
      <c r="AG54" s="20">
        <f>SUM($AE$54:$AF$54)</f>
        <v>0</v>
      </c>
      <c r="AH54" s="20">
        <f>'TR TUSD'!$AH$54*'TR TUSD'!$AH$76</f>
        <v>34.570476318864273</v>
      </c>
      <c r="AI54" s="20">
        <f>'TR TUSD'!$AI$54*'TR TUSD'!$AI$76</f>
        <v>2.7951797815574206</v>
      </c>
      <c r="AJ54" s="20">
        <f ca="1">'TR TUSD'!$AJ$54*'TR TUSD'!$AJ$76</f>
        <v>69.284450765268616</v>
      </c>
      <c r="AK54" s="20">
        <f ca="1">'TR TUSD'!$AK$54*'TR TUSD'!$AK$76</f>
        <v>13.488476064784885</v>
      </c>
      <c r="AL54" s="20">
        <f ca="1">SUM($AH$54:$AK$54)</f>
        <v>120.1385829304752</v>
      </c>
      <c r="AM54" s="20">
        <f ca="1">SUMIF($L$4:$AL$4,"SUBTOTAL",$L$54:$AL$54)</f>
        <v>1251.5147133122675</v>
      </c>
      <c r="AP54" s="20">
        <f>IF((1 - CUSTOS!$M$30)&lt;&gt;0,1/(1 - CUSTOS!$M$30),1)</f>
        <v>1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20">
        <f>'TR TUSD'!$L$55*'TR TUSD'!$L$76</f>
        <v>24.684129585678395</v>
      </c>
      <c r="M55" s="20">
        <f>'TR TUSD'!$M$55*'TR TUSD'!$M$76</f>
        <v>0.95037557601364087</v>
      </c>
      <c r="N55" s="20">
        <f ca="1">'TR TUSD'!$N$55*'TR TUSD'!$N$76</f>
        <v>7.1699364116050219</v>
      </c>
      <c r="O55" s="20">
        <f>'TR TUSD'!$O$55*'TR TUSD'!$O$76</f>
        <v>0</v>
      </c>
      <c r="P55" s="20">
        <f>'TR TUSD'!$P$55*'TR TUSD'!$P$76</f>
        <v>0</v>
      </c>
      <c r="Q55" s="20">
        <f>'TR TUSD'!$Q$55*'TR TUSD'!$Q$76</f>
        <v>40.223251483606454</v>
      </c>
      <c r="R55" s="20">
        <f>'TR TUSD'!$R$55*'TR TUSD'!$R$76</f>
        <v>15.012316553504524</v>
      </c>
      <c r="S55" s="20">
        <f>'TR TUSD'!$S$55*'TR TUSD'!$S$76</f>
        <v>0</v>
      </c>
      <c r="T55" s="20">
        <f ca="1">SUM($L$55:$S$55)</f>
        <v>88.040009610408021</v>
      </c>
      <c r="U55" s="20">
        <f>'TR TUSD'!$U$55*'TR TUSD'!$U$76</f>
        <v>68.591008561152549</v>
      </c>
      <c r="V55" s="20">
        <f>'TR TUSD'!$V$55*'TR TUSD'!$V$76</f>
        <v>8.9426566689838793</v>
      </c>
      <c r="W55" s="20">
        <f>'TR TUSD'!$W$55*'TR TUSD'!$W$76</f>
        <v>0.33520320845638596</v>
      </c>
      <c r="X55" s="20">
        <f>'TR TUSD'!$X$55*'TR TUSD'!$X$76</f>
        <v>0</v>
      </c>
      <c r="Y55" s="20">
        <f>'TR TUSD'!$Y$55*'TR TUSD'!$Y$76</f>
        <v>0</v>
      </c>
      <c r="Z55" s="20">
        <f>'TR TUSD'!$Z$55</f>
        <v>0</v>
      </c>
      <c r="AA55" s="20">
        <f>'TR TUSD'!$AA$55</f>
        <v>0</v>
      </c>
      <c r="AB55" s="20">
        <f>SUM($U$55:$AA$55)</f>
        <v>77.868868438592813</v>
      </c>
      <c r="AC55" s="20">
        <f>'TR TUSD'!$AC$55*'TR TUSD'!$AC$76</f>
        <v>545.91997717815195</v>
      </c>
      <c r="AD55" s="20">
        <f>SUM($AC$55:$AC$55)</f>
        <v>545.91997717815195</v>
      </c>
      <c r="AE55" s="20">
        <v>0</v>
      </c>
      <c r="AF55" s="20">
        <v>0</v>
      </c>
      <c r="AG55" s="20">
        <f>SUM($AE$55:$AF$55)</f>
        <v>0</v>
      </c>
      <c r="AH55" s="20">
        <f>'TR TUSD'!$AH$55*'TR TUSD'!$AH$76</f>
        <v>34.570476318864273</v>
      </c>
      <c r="AI55" s="20">
        <f>'TR TUSD'!$AI$55*'TR TUSD'!$AI$76</f>
        <v>2.7951797815574206</v>
      </c>
      <c r="AJ55" s="20">
        <f ca="1">'TR TUSD'!$AJ$55*'TR TUSD'!$AJ$76</f>
        <v>69.284450765268616</v>
      </c>
      <c r="AK55" s="20">
        <f ca="1">'TR TUSD'!$AK$55*'TR TUSD'!$AK$76</f>
        <v>13.488476064784885</v>
      </c>
      <c r="AL55" s="20">
        <f ca="1">SUM($AH$55:$AK$55)</f>
        <v>120.1385829304752</v>
      </c>
      <c r="AM55" s="20">
        <f ca="1">SUMIF($L$4:$AL$4,"SUBTOTAL",$L$55:$AL$55)</f>
        <v>831.96743815762795</v>
      </c>
      <c r="AP55" s="20">
        <f>IF((1 - CUSTOS!$M$30)&lt;&gt;0,1/(1 - CUSTOS!$M$30),1)</f>
        <v>1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20">
        <f>'TR TUSD'!$L$56*'TR TUSD'!$L$76</f>
        <v>24.684129585678395</v>
      </c>
      <c r="M56" s="20">
        <f>'TR TUSD'!$M$56*'TR TUSD'!$M$76</f>
        <v>0.95037557601364087</v>
      </c>
      <c r="N56" s="20">
        <f ca="1">'TR TUSD'!$N$56*'TR TUSD'!$N$76</f>
        <v>3.4818773621201182</v>
      </c>
      <c r="O56" s="20">
        <f>'TR TUSD'!$O$56*'TR TUSD'!$O$76</f>
        <v>0</v>
      </c>
      <c r="P56" s="20">
        <f>'TR TUSD'!$P$56*'TR TUSD'!$P$76</f>
        <v>0</v>
      </c>
      <c r="Q56" s="20">
        <f>'TR TUSD'!$Q$56*'TR TUSD'!$Q$76</f>
        <v>40.223251483606454</v>
      </c>
      <c r="R56" s="20">
        <f>'TR TUSD'!$R$56*'TR TUSD'!$R$76</f>
        <v>15.012316553504524</v>
      </c>
      <c r="S56" s="20">
        <f>'TR TUSD'!$S$56*'TR TUSD'!$S$76</f>
        <v>0</v>
      </c>
      <c r="T56" s="20">
        <f ca="1">SUM($L$56:$S$56)</f>
        <v>84.351950560923129</v>
      </c>
      <c r="U56" s="20">
        <f>'TR TUSD'!$U$56*'TR TUSD'!$U$76</f>
        <v>22.863669520384182</v>
      </c>
      <c r="V56" s="20">
        <f>'TR TUSD'!$V$56*'TR TUSD'!$V$76</f>
        <v>2.9809131397528064</v>
      </c>
      <c r="W56" s="20">
        <f>'TR TUSD'!$W$56*'TR TUSD'!$W$76</f>
        <v>0.11177433648670768</v>
      </c>
      <c r="X56" s="20">
        <f>'TR TUSD'!$X$56*'TR TUSD'!$X$76</f>
        <v>0</v>
      </c>
      <c r="Y56" s="20">
        <f>'TR TUSD'!$Y$56*'TR TUSD'!$Y$76</f>
        <v>0</v>
      </c>
      <c r="Z56" s="20">
        <f>'TR TUSD'!$Z$56</f>
        <v>0</v>
      </c>
      <c r="AA56" s="20">
        <f>'TR TUSD'!$AA$56</f>
        <v>0</v>
      </c>
      <c r="AB56" s="20">
        <f>SUM($U$56:$AA$56)</f>
        <v>25.956356996623697</v>
      </c>
      <c r="AC56" s="20">
        <f>'TR TUSD'!$AC$56*'TR TUSD'!$AC$76</f>
        <v>181.97328231576194</v>
      </c>
      <c r="AD56" s="20">
        <f>SUM($AC$56:$AC$56)</f>
        <v>181.97328231576194</v>
      </c>
      <c r="AE56" s="20">
        <v>0</v>
      </c>
      <c r="AF56" s="20">
        <v>0</v>
      </c>
      <c r="AG56" s="20">
        <f>SUM($AE$56:$AF$56)</f>
        <v>0</v>
      </c>
      <c r="AH56" s="20">
        <f>'TR TUSD'!$AH$56*'TR TUSD'!$AH$76</f>
        <v>34.570476318864273</v>
      </c>
      <c r="AI56" s="20">
        <f>'TR TUSD'!$AI$56*'TR TUSD'!$AI$76</f>
        <v>2.7951797815574206</v>
      </c>
      <c r="AJ56" s="20">
        <f ca="1">'TR TUSD'!$AJ$56*'TR TUSD'!$AJ$76</f>
        <v>69.284450765268616</v>
      </c>
      <c r="AK56" s="20">
        <f ca="1">'TR TUSD'!$AK$56*'TR TUSD'!$AK$76</f>
        <v>13.488476064784885</v>
      </c>
      <c r="AL56" s="20">
        <f ca="1">SUM($AH$56:$AK$56)</f>
        <v>120.1385829304752</v>
      </c>
      <c r="AM56" s="20">
        <f ca="1">SUMIF($L$4:$AL$4,"SUBTOTAL",$L$56:$AL$56)</f>
        <v>412.42017280378394</v>
      </c>
      <c r="AP56" s="20">
        <f>IF((1 - CUSTOS!$M$30)&lt;&gt;0,1/(1 - CUSTOS!$M$30),1)</f>
        <v>1</v>
      </c>
    </row>
    <row r="57" spans="1:42" ht="11.25" customHeight="1" x14ac:dyDescent="0.25">
      <c r="A57" s="118"/>
      <c r="B57" s="21" t="s">
        <v>23</v>
      </c>
      <c r="C57" s="21" t="s">
        <v>46</v>
      </c>
      <c r="D57" s="21" t="s">
        <v>94</v>
      </c>
      <c r="E57" s="21" t="s">
        <v>25</v>
      </c>
      <c r="F57" s="21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20">
        <f>'TR TUSD'!$L$57*'TR TUSD'!$L$76</f>
        <v>24.684129585678395</v>
      </c>
      <c r="M57" s="20">
        <f>'TR TUSD'!$M$57*'TR TUSD'!$M$76</f>
        <v>0.95037557601364087</v>
      </c>
      <c r="N57" s="20">
        <f ca="1">'TR TUSD'!$N$57*'TR TUSD'!$N$76</f>
        <v>4.4748154934613487</v>
      </c>
      <c r="O57" s="20">
        <f>'TR TUSD'!$O$57*'TR TUSD'!$O$76</f>
        <v>0</v>
      </c>
      <c r="P57" s="20">
        <f>'TR TUSD'!$P$57*'TR TUSD'!$P$76</f>
        <v>0</v>
      </c>
      <c r="Q57" s="20">
        <f>'TR TUSD'!$Q$57*'TR TUSD'!$Q$76</f>
        <v>40.223251483606454</v>
      </c>
      <c r="R57" s="20">
        <f>'TR TUSD'!$R$57*'TR TUSD'!$R$76</f>
        <v>15.012316553504524</v>
      </c>
      <c r="S57" s="20">
        <f>'TR TUSD'!$S$57*'TR TUSD'!$S$76</f>
        <v>0</v>
      </c>
      <c r="T57" s="20">
        <f ca="1">SUM($L$57:$S$57)</f>
        <v>85.344888692264362</v>
      </c>
      <c r="U57" s="20">
        <f>'TR TUSD'!$U$57*'TR TUSD'!$U$76</f>
        <v>35.174833098541377</v>
      </c>
      <c r="V57" s="20">
        <f>'TR TUSD'!$V$57*'TR TUSD'!$V$76</f>
        <v>4.5859374647297777</v>
      </c>
      <c r="W57" s="20">
        <f>'TR TUSD'!$W$57*'TR TUSD'!$W$76</f>
        <v>0.17191444036272829</v>
      </c>
      <c r="X57" s="20">
        <f>'TR TUSD'!$X$57*'TR TUSD'!$X$76</f>
        <v>0</v>
      </c>
      <c r="Y57" s="20">
        <f>'TR TUSD'!$Y$57*'TR TUSD'!$Y$76</f>
        <v>0</v>
      </c>
      <c r="Z57" s="20">
        <f>'TR TUSD'!$Z$57</f>
        <v>0</v>
      </c>
      <c r="AA57" s="20">
        <f>'TR TUSD'!$AA$57</f>
        <v>0</v>
      </c>
      <c r="AB57" s="20">
        <f>SUM($U$57:$AA$57)</f>
        <v>39.932685003633878</v>
      </c>
      <c r="AC57" s="20">
        <f>'TR TUSD'!$AC$57*'TR TUSD'!$AC$76</f>
        <v>279.9589860302334</v>
      </c>
      <c r="AD57" s="20">
        <f>SUM($AC$57:$AC$57)</f>
        <v>279.9589860302334</v>
      </c>
      <c r="AE57" s="20">
        <v>0</v>
      </c>
      <c r="AF57" s="20">
        <v>0</v>
      </c>
      <c r="AG57" s="20">
        <f>SUM($AE$57:$AF$57)</f>
        <v>0</v>
      </c>
      <c r="AH57" s="20">
        <f>'TR TUSD'!$AH$57*'TR TUSD'!$AH$76</f>
        <v>34.570476318864273</v>
      </c>
      <c r="AI57" s="20">
        <f>'TR TUSD'!$AI$57*'TR TUSD'!$AI$76</f>
        <v>2.7951797815574206</v>
      </c>
      <c r="AJ57" s="20">
        <f ca="1">'TR TUSD'!$AJ$57*'TR TUSD'!$AJ$76</f>
        <v>69.284450765268616</v>
      </c>
      <c r="AK57" s="20">
        <f ca="1">'TR TUSD'!$AK$57*'TR TUSD'!$AK$76</f>
        <v>13.488476064784885</v>
      </c>
      <c r="AL57" s="20">
        <f ca="1">SUM($AH$57:$AK$57)</f>
        <v>120.1385829304752</v>
      </c>
      <c r="AM57" s="20">
        <f ca="1">SUMIF($L$4:$AL$4,"SUBTOTAL",$L$57:$AL$57)</f>
        <v>525.37514265660684</v>
      </c>
      <c r="AP57" s="20">
        <f>IF((1 - CUSTOS!$M$30)&lt;&gt;0,1/(1 - CUSTOS!$M$30),1)</f>
        <v>1</v>
      </c>
    </row>
    <row r="58" spans="1:42" ht="11.25" customHeight="1" x14ac:dyDescent="0.25">
      <c r="A58" s="118"/>
      <c r="B58" s="118" t="s">
        <v>92</v>
      </c>
      <c r="C58" s="118" t="s">
        <v>46</v>
      </c>
      <c r="D58" s="21" t="s">
        <v>25</v>
      </c>
      <c r="E58" s="21" t="s">
        <v>25</v>
      </c>
      <c r="F58" s="21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20">
        <f>'TR TUSD'!$L$58*'TR TUSD'!$L$76</f>
        <v>24.684129585678395</v>
      </c>
      <c r="M58" s="20">
        <f>'TR TUSD'!$M$58*'TR TUSD'!$M$76</f>
        <v>0.95037557601364087</v>
      </c>
      <c r="N58" s="20">
        <f ca="1">'TR TUSD'!$N$58*'TR TUSD'!$N$76</f>
        <v>4.4748154934613487</v>
      </c>
      <c r="O58" s="20">
        <f>'TR TUSD'!$O$58*'TR TUSD'!$O$76</f>
        <v>0</v>
      </c>
      <c r="P58" s="20">
        <f>'TR TUSD'!$P$58*'TR TUSD'!$P$76</f>
        <v>0</v>
      </c>
      <c r="Q58" s="20">
        <f>'TR TUSD'!$Q$58*'TR TUSD'!$Q$76</f>
        <v>40.223251483606454</v>
      </c>
      <c r="R58" s="20">
        <f>'TR TUSD'!$R$58*'TR TUSD'!$R$76</f>
        <v>15.012316553504524</v>
      </c>
      <c r="S58" s="20">
        <f>'TR TUSD'!$S$58*'TR TUSD'!$S$76</f>
        <v>0</v>
      </c>
      <c r="T58" s="20">
        <f ca="1">SUM($L$58:$S$58)</f>
        <v>85.344888692264362</v>
      </c>
      <c r="U58" s="20">
        <f>'TR TUSD'!$U$58*'TR TUSD'!$U$76</f>
        <v>35.174833098541377</v>
      </c>
      <c r="V58" s="20">
        <f>'TR TUSD'!$V$58*'TR TUSD'!$V$76</f>
        <v>4.5859374647297777</v>
      </c>
      <c r="W58" s="20">
        <f>'TR TUSD'!$W$58*'TR TUSD'!$W$76</f>
        <v>0.17191444036272829</v>
      </c>
      <c r="X58" s="20">
        <f>'TR TUSD'!$X$58*'TR TUSD'!$X$76</f>
        <v>0</v>
      </c>
      <c r="Y58" s="20">
        <f>'TR TUSD'!$Y$58*'TR TUSD'!$Y$76</f>
        <v>0</v>
      </c>
      <c r="Z58" s="20">
        <f>'TR TUSD'!$Z$58</f>
        <v>0</v>
      </c>
      <c r="AA58" s="20">
        <f>'TR TUSD'!$AA$58</f>
        <v>0</v>
      </c>
      <c r="AB58" s="20">
        <f>SUM($U$58:$AA$58)</f>
        <v>39.932685003633878</v>
      </c>
      <c r="AC58" s="20">
        <f>'TR TUSD'!$AC$58*'TR TUSD'!$AC$76</f>
        <v>279.9589860302334</v>
      </c>
      <c r="AD58" s="20">
        <f>SUM($AC$58:$AC$58)</f>
        <v>279.9589860302334</v>
      </c>
      <c r="AE58" s="20">
        <v>0</v>
      </c>
      <c r="AF58" s="20">
        <v>0</v>
      </c>
      <c r="AG58" s="20">
        <f>SUM($AE$58:$AF$58)</f>
        <v>0</v>
      </c>
      <c r="AH58" s="20">
        <f>'TR TUSD'!$AH$58*'TR TUSD'!$AH$76</f>
        <v>34.570476318864273</v>
      </c>
      <c r="AI58" s="20">
        <f>'TR TUSD'!$AI$58*'TR TUSD'!$AI$76</f>
        <v>2.7951797815574206</v>
      </c>
      <c r="AJ58" s="20">
        <f ca="1">'TR TUSD'!$AJ$58*'TR TUSD'!$AJ$76</f>
        <v>69.284450765268616</v>
      </c>
      <c r="AK58" s="20">
        <f ca="1">'TR TUSD'!$AK$58*'TR TUSD'!$AK$76</f>
        <v>13.488476064784885</v>
      </c>
      <c r="AL58" s="20">
        <f ca="1">SUM($AH$58:$AK$58)</f>
        <v>120.1385829304752</v>
      </c>
      <c r="AM58" s="20">
        <f ca="1">SUMIF($L$4:$AL$4,"SUBTOTAL",$L$58:$AL$58)</f>
        <v>525.37514265660684</v>
      </c>
      <c r="AP58" s="20">
        <f>IF((1 - CUSTOS!$M$28)&lt;&gt;0,1/(1 - CUSTOS!$M$28),1)</f>
        <v>1</v>
      </c>
    </row>
    <row r="59" spans="1:42" ht="11.25" customHeight="1" x14ac:dyDescent="0.25">
      <c r="A59" s="118"/>
      <c r="B59" s="118"/>
      <c r="C59" s="118"/>
      <c r="D59" s="21" t="s">
        <v>93</v>
      </c>
      <c r="E59" s="21" t="s">
        <v>25</v>
      </c>
      <c r="F59" s="21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20">
        <f>'TR TUSD'!$L$59*'TR TUSD'!$L$76</f>
        <v>24.684129585678395</v>
      </c>
      <c r="M59" s="20">
        <f>'TR TUSD'!$M$59*'TR TUSD'!$M$76</f>
        <v>0.95037557601364087</v>
      </c>
      <c r="N59" s="20">
        <f ca="1">'TR TUSD'!$N$59*'TR TUSD'!$N$76</f>
        <v>4.4748154934613487</v>
      </c>
      <c r="O59" s="20">
        <f>'TR TUSD'!$O$59*'TR TUSD'!$O$76</f>
        <v>0</v>
      </c>
      <c r="P59" s="20">
        <f>'TR TUSD'!$P$59*'TR TUSD'!$P$76</f>
        <v>0</v>
      </c>
      <c r="Q59" s="20">
        <f>'TR TUSD'!$Q$59*'TR TUSD'!$Q$76</f>
        <v>40.223251483606454</v>
      </c>
      <c r="R59" s="20">
        <f>'TR TUSD'!$R$59*'TR TUSD'!$R$76</f>
        <v>15.012316553504524</v>
      </c>
      <c r="S59" s="20">
        <f>'TR TUSD'!$S$59*'TR TUSD'!$S$76</f>
        <v>0</v>
      </c>
      <c r="T59" s="20">
        <f ca="1">SUM($L$59:$S$59)</f>
        <v>85.344888692264362</v>
      </c>
      <c r="U59" s="20">
        <f>'TR TUSD'!$U$59*'TR TUSD'!$U$76</f>
        <v>35.174833098541377</v>
      </c>
      <c r="V59" s="20">
        <f>'TR TUSD'!$V$59*'TR TUSD'!$V$76</f>
        <v>4.5859374647297777</v>
      </c>
      <c r="W59" s="20">
        <f>'TR TUSD'!$W$59*'TR TUSD'!$W$76</f>
        <v>0.17191444036272829</v>
      </c>
      <c r="X59" s="20">
        <f>'TR TUSD'!$X$59*'TR TUSD'!$X$76</f>
        <v>0</v>
      </c>
      <c r="Y59" s="20">
        <f>'TR TUSD'!$Y$59*'TR TUSD'!$Y$76</f>
        <v>0</v>
      </c>
      <c r="Z59" s="20">
        <f>'TR TUSD'!$Z$59</f>
        <v>0</v>
      </c>
      <c r="AA59" s="20">
        <f>'TR TUSD'!$AA$59</f>
        <v>0</v>
      </c>
      <c r="AB59" s="20">
        <f>SUM($U$59:$AA$59)</f>
        <v>39.932685003633878</v>
      </c>
      <c r="AC59" s="20">
        <f>'TR TUSD'!$AC$59*'TR TUSD'!$AC$76</f>
        <v>279.9589860302334</v>
      </c>
      <c r="AD59" s="20">
        <f>SUM($AC$59:$AC$59)</f>
        <v>279.9589860302334</v>
      </c>
      <c r="AE59" s="20">
        <v>0</v>
      </c>
      <c r="AF59" s="20">
        <v>0</v>
      </c>
      <c r="AG59" s="20">
        <f>SUM($AE$59:$AF$59)</f>
        <v>0</v>
      </c>
      <c r="AH59" s="20">
        <f>'TR TUSD'!$AH$59*'TR TUSD'!$AH$76</f>
        <v>34.570476318864273</v>
      </c>
      <c r="AI59" s="20">
        <f>'TR TUSD'!$AI$59*'TR TUSD'!$AI$76</f>
        <v>2.7951797815574206</v>
      </c>
      <c r="AJ59" s="20">
        <f ca="1">'TR TUSD'!$AJ$59*'TR TUSD'!$AJ$76</f>
        <v>69.284450765268616</v>
      </c>
      <c r="AK59" s="20">
        <f ca="1">'TR TUSD'!$AK$59*'TR TUSD'!$AK$76</f>
        <v>13.488476064784885</v>
      </c>
      <c r="AL59" s="20">
        <f ca="1">SUM($AH$59:$AK$59)</f>
        <v>120.1385829304752</v>
      </c>
      <c r="AM59" s="20">
        <f ca="1">SUMIF($L$4:$AL$4,"SUBTOTAL",$L$59:$AL$59)</f>
        <v>525.37514265660684</v>
      </c>
      <c r="AP59" s="20">
        <f>IF((1 - CUSTOS!$M$29)&lt;&gt;0,1/(1 - CUSTOS!$M$29),1)</f>
        <v>1</v>
      </c>
    </row>
    <row r="60" spans="1:42" ht="11.25" customHeight="1" x14ac:dyDescent="0.25">
      <c r="A60" s="118"/>
      <c r="B60" s="118"/>
      <c r="C60" s="118"/>
      <c r="D60" s="21" t="s">
        <v>94</v>
      </c>
      <c r="E60" s="21" t="s">
        <v>25</v>
      </c>
      <c r="F60" s="21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20">
        <f>'TR TUSD'!$L$60*'TR TUSD'!$L$76</f>
        <v>24.684129585678395</v>
      </c>
      <c r="M60" s="20">
        <f>'TR TUSD'!$M$60*'TR TUSD'!$M$76</f>
        <v>0.95037557601364087</v>
      </c>
      <c r="N60" s="20">
        <f ca="1">'TR TUSD'!$N$60*'TR TUSD'!$N$76</f>
        <v>4.4748154934613487</v>
      </c>
      <c r="O60" s="20">
        <f>'TR TUSD'!$O$60*'TR TUSD'!$O$76</f>
        <v>0</v>
      </c>
      <c r="P60" s="20">
        <f>'TR TUSD'!$P$60*'TR TUSD'!$P$76</f>
        <v>0</v>
      </c>
      <c r="Q60" s="20">
        <f>'TR TUSD'!$Q$60*'TR TUSD'!$Q$76</f>
        <v>40.223251483606454</v>
      </c>
      <c r="R60" s="20">
        <f>'TR TUSD'!$R$60*'TR TUSD'!$R$76</f>
        <v>15.012316553504524</v>
      </c>
      <c r="S60" s="20">
        <f>'TR TUSD'!$S$60*'TR TUSD'!$S$76</f>
        <v>0</v>
      </c>
      <c r="T60" s="20">
        <f ca="1">SUM($L$60:$S$60)</f>
        <v>85.344888692264362</v>
      </c>
      <c r="U60" s="20">
        <f>'TR TUSD'!$U$60*'TR TUSD'!$U$76</f>
        <v>35.174833098541377</v>
      </c>
      <c r="V60" s="20">
        <f>'TR TUSD'!$V$60*'TR TUSD'!$V$76</f>
        <v>4.5859374647297777</v>
      </c>
      <c r="W60" s="20">
        <f>'TR TUSD'!$W$60*'TR TUSD'!$W$76</f>
        <v>0.17191444036272829</v>
      </c>
      <c r="X60" s="20">
        <f>'TR TUSD'!$X$60*'TR TUSD'!$X$76</f>
        <v>0</v>
      </c>
      <c r="Y60" s="20">
        <f>'TR TUSD'!$Y$60*'TR TUSD'!$Y$76</f>
        <v>0</v>
      </c>
      <c r="Z60" s="20">
        <f>'TR TUSD'!$Z$60</f>
        <v>0</v>
      </c>
      <c r="AA60" s="20">
        <f>'TR TUSD'!$AA$60</f>
        <v>0</v>
      </c>
      <c r="AB60" s="20">
        <f>SUM($U$60:$AA$60)</f>
        <v>39.932685003633878</v>
      </c>
      <c r="AC60" s="20">
        <f>'TR TUSD'!$AC$60*'TR TUSD'!$AC$76</f>
        <v>279.9589860302334</v>
      </c>
      <c r="AD60" s="20">
        <f>SUM($AC$60:$AC$60)</f>
        <v>279.9589860302334</v>
      </c>
      <c r="AE60" s="20">
        <v>0</v>
      </c>
      <c r="AF60" s="20">
        <v>0</v>
      </c>
      <c r="AG60" s="20">
        <f>SUM($AE$60:$AF$60)</f>
        <v>0</v>
      </c>
      <c r="AH60" s="20">
        <f>'TR TUSD'!$AH$60*'TR TUSD'!$AH$76</f>
        <v>34.570476318864273</v>
      </c>
      <c r="AI60" s="20">
        <f>'TR TUSD'!$AI$60*'TR TUSD'!$AI$76</f>
        <v>2.7951797815574206</v>
      </c>
      <c r="AJ60" s="20">
        <f ca="1">'TR TUSD'!$AJ$60*'TR TUSD'!$AJ$76</f>
        <v>69.284450765268616</v>
      </c>
      <c r="AK60" s="20">
        <f ca="1">'TR TUSD'!$AK$60*'TR TUSD'!$AK$76</f>
        <v>13.488476064784885</v>
      </c>
      <c r="AL60" s="20">
        <f ca="1">SUM($AH$60:$AK$60)</f>
        <v>120.1385829304752</v>
      </c>
      <c r="AM60" s="20">
        <f ca="1">SUMIF($L$4:$AL$4,"SUBTOTAL",$L$60:$AL$60)</f>
        <v>525.37514265660684</v>
      </c>
      <c r="AP60" s="20">
        <f>IF((1 - CUSTOS!$M$30)&lt;&gt;0,1/(1 - CUSTOS!$M$30),1)</f>
        <v>1</v>
      </c>
    </row>
    <row r="61" spans="1:42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20">
        <f>'TR TUSD'!$L$61*'TR TUSD'!$L$76</f>
        <v>24.684129585678395</v>
      </c>
      <c r="M61" s="20">
        <f>'TR TUSD'!$M$61*'TR TUSD'!$M$76</f>
        <v>0.95037557601364087</v>
      </c>
      <c r="N61" s="20">
        <f ca="1">'TR TUSD'!$N$61*'TR TUSD'!$N$76</f>
        <v>10.857995461089926</v>
      </c>
      <c r="O61" s="20">
        <f>'TR TUSD'!$O$61*'TR TUSD'!$O$76</f>
        <v>0</v>
      </c>
      <c r="P61" s="20">
        <f>'TR TUSD'!$P$61*'TR TUSD'!$P$76</f>
        <v>0</v>
      </c>
      <c r="Q61" s="20">
        <f>'TR TUSD'!$Q$61*'TR TUSD'!$Q$76</f>
        <v>40.223251483606454</v>
      </c>
      <c r="R61" s="20">
        <f>'TR TUSD'!$R$61*'TR TUSD'!$R$76</f>
        <v>15.012316553504524</v>
      </c>
      <c r="S61" s="20">
        <f>'TR TUSD'!$S$61*'TR TUSD'!$S$76</f>
        <v>0</v>
      </c>
      <c r="T61" s="20">
        <f ca="1">SUM($L$61:$S$61)</f>
        <v>91.728068659892926</v>
      </c>
      <c r="U61" s="20">
        <f>'TR TUSD'!$U$61*'TR TUSD'!$U$76</f>
        <v>114.31848763358235</v>
      </c>
      <c r="V61" s="20">
        <f>'TR TUSD'!$V$61*'TR TUSD'!$V$76</f>
        <v>14.904400198214951</v>
      </c>
      <c r="W61" s="20">
        <f>'TR TUSD'!$W$61*'TR TUSD'!$W$76</f>
        <v>0.55863208042606416</v>
      </c>
      <c r="X61" s="20">
        <f>'TR TUSD'!$X$61*'TR TUSD'!$X$76</f>
        <v>0</v>
      </c>
      <c r="Y61" s="20">
        <f>'TR TUSD'!$Y$61*'TR TUSD'!$Y$76</f>
        <v>0</v>
      </c>
      <c r="Z61" s="20">
        <f>'TR TUSD'!$Z$61</f>
        <v>0</v>
      </c>
      <c r="AA61" s="20">
        <f>'TR TUSD'!$AA$61</f>
        <v>0</v>
      </c>
      <c r="AB61" s="20">
        <f>SUM($U$61:$AA$61)</f>
        <v>129.78151991222336</v>
      </c>
      <c r="AC61" s="20">
        <f>'TR TUSD'!$AC$61*'TR TUSD'!$AC$76</f>
        <v>909.86654180967594</v>
      </c>
      <c r="AD61" s="20">
        <f>SUM($AC$61:$AC$61)</f>
        <v>909.86654180967594</v>
      </c>
      <c r="AE61" s="20">
        <v>0</v>
      </c>
      <c r="AF61" s="20">
        <v>0</v>
      </c>
      <c r="AG61" s="20">
        <f>SUM($AE$61:$AF$61)</f>
        <v>0</v>
      </c>
      <c r="AH61" s="20">
        <f>'TR TUSD'!$AH$61*'TR TUSD'!$AH$76</f>
        <v>34.570476318864273</v>
      </c>
      <c r="AI61" s="20">
        <f>'TR TUSD'!$AI$61*'TR TUSD'!$AI$76</f>
        <v>2.7951797815574206</v>
      </c>
      <c r="AJ61" s="20">
        <f ca="1">'TR TUSD'!$AJ$61*'TR TUSD'!$AJ$76</f>
        <v>69.284450765268616</v>
      </c>
      <c r="AK61" s="20">
        <f ca="1">'TR TUSD'!$AK$61*'TR TUSD'!$AK$76</f>
        <v>13.488476064784885</v>
      </c>
      <c r="AL61" s="20">
        <f ca="1">SUM($AH$61:$AK$61)</f>
        <v>120.1385829304752</v>
      </c>
      <c r="AM61" s="20">
        <f ca="1">SUMIF($L$4:$AL$4,"SUBTOTAL",$L$61:$AL$61)</f>
        <v>1251.5147133122675</v>
      </c>
      <c r="AP61" s="20">
        <f>IF((1 - CUSTOS!$M$31)&lt;&gt;0,1/(1 - CUSTOS!$M$31),1)</f>
        <v>1</v>
      </c>
    </row>
    <row r="62" spans="1:42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20">
        <f>'TR TUSD'!$L$62*'TR TUSD'!$L$76</f>
        <v>24.684129585678395</v>
      </c>
      <c r="M62" s="20">
        <f>'TR TUSD'!$M$62*'TR TUSD'!$M$76</f>
        <v>0.95037557601364087</v>
      </c>
      <c r="N62" s="20">
        <f ca="1">'TR TUSD'!$N$62*'TR TUSD'!$N$76</f>
        <v>7.1699364116050219</v>
      </c>
      <c r="O62" s="20">
        <f>'TR TUSD'!$O$62*'TR TUSD'!$O$76</f>
        <v>0</v>
      </c>
      <c r="P62" s="20">
        <f>'TR TUSD'!$P$62*'TR TUSD'!$P$76</f>
        <v>0</v>
      </c>
      <c r="Q62" s="20">
        <f>'TR TUSD'!$Q$62*'TR TUSD'!$Q$76</f>
        <v>40.223251483606454</v>
      </c>
      <c r="R62" s="20">
        <f>'TR TUSD'!$R$62*'TR TUSD'!$R$76</f>
        <v>15.012316553504524</v>
      </c>
      <c r="S62" s="20">
        <f>'TR TUSD'!$S$62*'TR TUSD'!$S$76</f>
        <v>0</v>
      </c>
      <c r="T62" s="20">
        <f ca="1">SUM($L$62:$S$62)</f>
        <v>88.040009610408021</v>
      </c>
      <c r="U62" s="20">
        <f>'TR TUSD'!$U$62*'TR TUSD'!$U$76</f>
        <v>68.591008561152549</v>
      </c>
      <c r="V62" s="20">
        <f>'TR TUSD'!$V$62*'TR TUSD'!$V$76</f>
        <v>8.9426566689838793</v>
      </c>
      <c r="W62" s="20">
        <f>'TR TUSD'!$W$62*'TR TUSD'!$W$76</f>
        <v>0.33520320845638596</v>
      </c>
      <c r="X62" s="20">
        <f>'TR TUSD'!$X$62*'TR TUSD'!$X$76</f>
        <v>0</v>
      </c>
      <c r="Y62" s="20">
        <f>'TR TUSD'!$Y$62*'TR TUSD'!$Y$76</f>
        <v>0</v>
      </c>
      <c r="Z62" s="20">
        <f>'TR TUSD'!$Z$62</f>
        <v>0</v>
      </c>
      <c r="AA62" s="20">
        <f>'TR TUSD'!$AA$62</f>
        <v>0</v>
      </c>
      <c r="AB62" s="20">
        <f>SUM($U$62:$AA$62)</f>
        <v>77.868868438592813</v>
      </c>
      <c r="AC62" s="20">
        <f>'TR TUSD'!$AC$62*'TR TUSD'!$AC$76</f>
        <v>545.91997717815195</v>
      </c>
      <c r="AD62" s="20">
        <f>SUM($AC$62:$AC$62)</f>
        <v>545.91997717815195</v>
      </c>
      <c r="AE62" s="20">
        <v>0</v>
      </c>
      <c r="AF62" s="20">
        <v>0</v>
      </c>
      <c r="AG62" s="20">
        <f>SUM($AE$62:$AF$62)</f>
        <v>0</v>
      </c>
      <c r="AH62" s="20">
        <f>'TR TUSD'!$AH$62*'TR TUSD'!$AH$76</f>
        <v>34.570476318864273</v>
      </c>
      <c r="AI62" s="20">
        <f>'TR TUSD'!$AI$62*'TR TUSD'!$AI$76</f>
        <v>2.7951797815574206</v>
      </c>
      <c r="AJ62" s="20">
        <f ca="1">'TR TUSD'!$AJ$62*'TR TUSD'!$AJ$76</f>
        <v>69.284450765268616</v>
      </c>
      <c r="AK62" s="20">
        <f ca="1">'TR TUSD'!$AK$62*'TR TUSD'!$AK$76</f>
        <v>13.488476064784885</v>
      </c>
      <c r="AL62" s="20">
        <f ca="1">SUM($AH$62:$AK$62)</f>
        <v>120.1385829304752</v>
      </c>
      <c r="AM62" s="20">
        <f ca="1">SUMIF($L$4:$AL$4,"SUBTOTAL",$L$62:$AL$62)</f>
        <v>831.96743815762795</v>
      </c>
      <c r="AP62" s="20">
        <f>IF((1 - CUSTOS!$M$31)&lt;&gt;0,1/(1 - CUSTOS!$M$31),1)</f>
        <v>1</v>
      </c>
    </row>
    <row r="63" spans="1:42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20">
        <f>'TR TUSD'!$L$63*'TR TUSD'!$L$76</f>
        <v>24.684129585678395</v>
      </c>
      <c r="M63" s="20">
        <f>'TR TUSD'!$M$63*'TR TUSD'!$M$76</f>
        <v>0.95037557601364087</v>
      </c>
      <c r="N63" s="20">
        <f ca="1">'TR TUSD'!$N$63*'TR TUSD'!$N$76</f>
        <v>3.4818773621201182</v>
      </c>
      <c r="O63" s="20">
        <f>'TR TUSD'!$O$63*'TR TUSD'!$O$76</f>
        <v>0</v>
      </c>
      <c r="P63" s="20">
        <f>'TR TUSD'!$P$63*'TR TUSD'!$P$76</f>
        <v>0</v>
      </c>
      <c r="Q63" s="20">
        <f>'TR TUSD'!$Q$63*'TR TUSD'!$Q$76</f>
        <v>40.223251483606454</v>
      </c>
      <c r="R63" s="20">
        <f>'TR TUSD'!$R$63*'TR TUSD'!$R$76</f>
        <v>15.012316553504524</v>
      </c>
      <c r="S63" s="20">
        <f>'TR TUSD'!$S$63*'TR TUSD'!$S$76</f>
        <v>0</v>
      </c>
      <c r="T63" s="20">
        <f ca="1">SUM($L$63:$S$63)</f>
        <v>84.351950560923129</v>
      </c>
      <c r="U63" s="20">
        <f>'TR TUSD'!$U$63*'TR TUSD'!$U$76</f>
        <v>22.863669520384182</v>
      </c>
      <c r="V63" s="20">
        <f>'TR TUSD'!$V$63*'TR TUSD'!$V$76</f>
        <v>2.9809131397528064</v>
      </c>
      <c r="W63" s="20">
        <f>'TR TUSD'!$W$63*'TR TUSD'!$W$76</f>
        <v>0.11177433648670768</v>
      </c>
      <c r="X63" s="20">
        <f>'TR TUSD'!$X$63*'TR TUSD'!$X$76</f>
        <v>0</v>
      </c>
      <c r="Y63" s="20">
        <f>'TR TUSD'!$Y$63*'TR TUSD'!$Y$76</f>
        <v>0</v>
      </c>
      <c r="Z63" s="20">
        <f>'TR TUSD'!$Z$63</f>
        <v>0</v>
      </c>
      <c r="AA63" s="20">
        <f>'TR TUSD'!$AA$63</f>
        <v>0</v>
      </c>
      <c r="AB63" s="20">
        <f>SUM($U$63:$AA$63)</f>
        <v>25.956356996623697</v>
      </c>
      <c r="AC63" s="20">
        <f>'TR TUSD'!$AC$63*'TR TUSD'!$AC$76</f>
        <v>181.97328231576194</v>
      </c>
      <c r="AD63" s="20">
        <f>SUM($AC$63:$AC$63)</f>
        <v>181.97328231576194</v>
      </c>
      <c r="AE63" s="20">
        <v>0</v>
      </c>
      <c r="AF63" s="20">
        <v>0</v>
      </c>
      <c r="AG63" s="20">
        <f>SUM($AE$63:$AF$63)</f>
        <v>0</v>
      </c>
      <c r="AH63" s="20">
        <f>'TR TUSD'!$AH$63*'TR TUSD'!$AH$76</f>
        <v>34.570476318864273</v>
      </c>
      <c r="AI63" s="20">
        <f>'TR TUSD'!$AI$63*'TR TUSD'!$AI$76</f>
        <v>2.7951797815574206</v>
      </c>
      <c r="AJ63" s="20">
        <f ca="1">'TR TUSD'!$AJ$63*'TR TUSD'!$AJ$76</f>
        <v>69.284450765268616</v>
      </c>
      <c r="AK63" s="20">
        <f ca="1">'TR TUSD'!$AK$63*'TR TUSD'!$AK$76</f>
        <v>13.488476064784885</v>
      </c>
      <c r="AL63" s="20">
        <f ca="1">SUM($AH$63:$AK$63)</f>
        <v>120.1385829304752</v>
      </c>
      <c r="AM63" s="20">
        <f ca="1">SUMIF($L$4:$AL$4,"SUBTOTAL",$L$63:$AL$63)</f>
        <v>412.42017280378394</v>
      </c>
      <c r="AP63" s="20">
        <f>IF((1 - CUSTOS!$M$31)&lt;&gt;0,1/(1 - CUSTOS!$M$31),1)</f>
        <v>1</v>
      </c>
    </row>
    <row r="64" spans="1:42" ht="11.25" customHeight="1" x14ac:dyDescent="0.25">
      <c r="A64" s="118"/>
      <c r="B64" s="21" t="s">
        <v>23</v>
      </c>
      <c r="C64" s="21" t="s">
        <v>25</v>
      </c>
      <c r="D64" s="21" t="s">
        <v>25</v>
      </c>
      <c r="E64" s="21" t="s">
        <v>25</v>
      </c>
      <c r="F64" s="21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20">
        <f>'TR TUSD'!$L$64*'TR TUSD'!$L$76</f>
        <v>24.684129585678395</v>
      </c>
      <c r="M64" s="20">
        <f>'TR TUSD'!$M$64*'TR TUSD'!$M$76</f>
        <v>0.95037557601364087</v>
      </c>
      <c r="N64" s="20">
        <f ca="1">'TR TUSD'!$N$64*'TR TUSD'!$N$76</f>
        <v>4.4748154934613487</v>
      </c>
      <c r="O64" s="20">
        <f>'TR TUSD'!$O$64*'TR TUSD'!$O$76</f>
        <v>0</v>
      </c>
      <c r="P64" s="20">
        <f>'TR TUSD'!$P$64*'TR TUSD'!$P$76</f>
        <v>0</v>
      </c>
      <c r="Q64" s="20">
        <f>'TR TUSD'!$Q$64*'TR TUSD'!$Q$76</f>
        <v>40.223251483606454</v>
      </c>
      <c r="R64" s="20">
        <f>'TR TUSD'!$R$64*'TR TUSD'!$R$76</f>
        <v>15.012316553504524</v>
      </c>
      <c r="S64" s="20">
        <f>'TR TUSD'!$S$64*'TR TUSD'!$S$76</f>
        <v>0</v>
      </c>
      <c r="T64" s="20">
        <f ca="1">SUM($L$64:$S$64)</f>
        <v>85.344888692264362</v>
      </c>
      <c r="U64" s="20">
        <f>'TR TUSD'!$U$64*'TR TUSD'!$U$76</f>
        <v>35.174833098541377</v>
      </c>
      <c r="V64" s="20">
        <f>'TR TUSD'!$V$64*'TR TUSD'!$V$76</f>
        <v>4.5859374647297777</v>
      </c>
      <c r="W64" s="20">
        <f>'TR TUSD'!$W$64*'TR TUSD'!$W$76</f>
        <v>0.17191444036272829</v>
      </c>
      <c r="X64" s="20">
        <f>'TR TUSD'!$X$64*'TR TUSD'!$X$76</f>
        <v>0</v>
      </c>
      <c r="Y64" s="20">
        <f>'TR TUSD'!$Y$64*'TR TUSD'!$Y$76</f>
        <v>0</v>
      </c>
      <c r="Z64" s="20">
        <f>'TR TUSD'!$Z$64</f>
        <v>0</v>
      </c>
      <c r="AA64" s="20">
        <f>'TR TUSD'!$AA$64</f>
        <v>0</v>
      </c>
      <c r="AB64" s="20">
        <f>SUM($U$64:$AA$64)</f>
        <v>39.932685003633878</v>
      </c>
      <c r="AC64" s="20">
        <f>'TR TUSD'!$AC$64*'TR TUSD'!$AC$76</f>
        <v>279.9589860302334</v>
      </c>
      <c r="AD64" s="20">
        <f>SUM($AC$64:$AC$64)</f>
        <v>279.9589860302334</v>
      </c>
      <c r="AE64" s="20">
        <v>0</v>
      </c>
      <c r="AF64" s="20">
        <v>0</v>
      </c>
      <c r="AG64" s="20">
        <f>SUM($AE$64:$AF$64)</f>
        <v>0</v>
      </c>
      <c r="AH64" s="20">
        <f>'TR TUSD'!$AH$64*'TR TUSD'!$AH$76</f>
        <v>34.570476318864273</v>
      </c>
      <c r="AI64" s="20">
        <f>'TR TUSD'!$AI$64*'TR TUSD'!$AI$76</f>
        <v>2.7951797815574206</v>
      </c>
      <c r="AJ64" s="20">
        <f ca="1">'TR TUSD'!$AJ$64*'TR TUSD'!$AJ$76</f>
        <v>69.284450765268616</v>
      </c>
      <c r="AK64" s="20">
        <f ca="1">'TR TUSD'!$AK$64*'TR TUSD'!$AK$76</f>
        <v>13.488476064784885</v>
      </c>
      <c r="AL64" s="20">
        <f ca="1">SUM($AH$64:$AK$64)</f>
        <v>120.1385829304752</v>
      </c>
      <c r="AM64" s="20">
        <f ca="1">SUMIF($L$4:$AL$4,"SUBTOTAL",$L$64:$AL$64)</f>
        <v>525.37514265660684</v>
      </c>
      <c r="AP64" s="20">
        <f>IF((1 - CUSTOS!$M$31)&lt;&gt;0,1/(1 - CUSTOS!$M$31),1)</f>
        <v>1</v>
      </c>
    </row>
    <row r="65" spans="1:42" ht="11.25" customHeight="1" x14ac:dyDescent="0.25">
      <c r="A65" s="118"/>
      <c r="B65" s="21" t="s">
        <v>92</v>
      </c>
      <c r="C65" s="21" t="s">
        <v>25</v>
      </c>
      <c r="D65" s="21" t="s">
        <v>25</v>
      </c>
      <c r="E65" s="21" t="s">
        <v>25</v>
      </c>
      <c r="F65" s="21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20">
        <f>'TR TUSD'!$L$65*'TR TUSD'!$L$76</f>
        <v>24.684129585678395</v>
      </c>
      <c r="M65" s="20">
        <f>'TR TUSD'!$M$65*'TR TUSD'!$M$76</f>
        <v>0.95037557601364087</v>
      </c>
      <c r="N65" s="20">
        <f ca="1">'TR TUSD'!$N$65*'TR TUSD'!$N$76</f>
        <v>4.4748154934613487</v>
      </c>
      <c r="O65" s="20">
        <f>'TR TUSD'!$O$65*'TR TUSD'!$O$76</f>
        <v>0</v>
      </c>
      <c r="P65" s="20">
        <f>'TR TUSD'!$P$65*'TR TUSD'!$P$76</f>
        <v>0</v>
      </c>
      <c r="Q65" s="20">
        <f>'TR TUSD'!$Q$65*'TR TUSD'!$Q$76</f>
        <v>40.223251483606454</v>
      </c>
      <c r="R65" s="20">
        <f>'TR TUSD'!$R$65*'TR TUSD'!$R$76</f>
        <v>15.012316553504524</v>
      </c>
      <c r="S65" s="20">
        <f>'TR TUSD'!$S$65*'TR TUSD'!$S$76</f>
        <v>0</v>
      </c>
      <c r="T65" s="20">
        <f ca="1">SUM($L$65:$S$65)</f>
        <v>85.344888692264362</v>
      </c>
      <c r="U65" s="20">
        <f>'TR TUSD'!$U$65*'TR TUSD'!$U$76</f>
        <v>35.174833098541377</v>
      </c>
      <c r="V65" s="20">
        <f>'TR TUSD'!$V$65*'TR TUSD'!$V$76</f>
        <v>4.5859374647297777</v>
      </c>
      <c r="W65" s="20">
        <f>'TR TUSD'!$W$65*'TR TUSD'!$W$76</f>
        <v>0.17191444036272829</v>
      </c>
      <c r="X65" s="20">
        <f>'TR TUSD'!$X$65*'TR TUSD'!$X$76</f>
        <v>0</v>
      </c>
      <c r="Y65" s="20">
        <f>'TR TUSD'!$Y$65*'TR TUSD'!$Y$76</f>
        <v>0</v>
      </c>
      <c r="Z65" s="20">
        <f>'TR TUSD'!$Z$65</f>
        <v>0</v>
      </c>
      <c r="AA65" s="20">
        <f>'TR TUSD'!$AA$65</f>
        <v>0</v>
      </c>
      <c r="AB65" s="20">
        <f>SUM($U$65:$AA$65)</f>
        <v>39.932685003633878</v>
      </c>
      <c r="AC65" s="20">
        <f>'TR TUSD'!$AC$65*'TR TUSD'!$AC$76</f>
        <v>279.9589860302334</v>
      </c>
      <c r="AD65" s="20">
        <f>SUM($AC$65:$AC$65)</f>
        <v>279.9589860302334</v>
      </c>
      <c r="AE65" s="20">
        <v>0</v>
      </c>
      <c r="AF65" s="20">
        <v>0</v>
      </c>
      <c r="AG65" s="20">
        <f>SUM($AE$65:$AF$65)</f>
        <v>0</v>
      </c>
      <c r="AH65" s="20">
        <f>'TR TUSD'!$AH$65*'TR TUSD'!$AH$76</f>
        <v>34.570476318864273</v>
      </c>
      <c r="AI65" s="20">
        <f>'TR TUSD'!$AI$65*'TR TUSD'!$AI$76</f>
        <v>2.7951797815574206</v>
      </c>
      <c r="AJ65" s="20">
        <f ca="1">'TR TUSD'!$AJ$65*'TR TUSD'!$AJ$76</f>
        <v>69.284450765268616</v>
      </c>
      <c r="AK65" s="20">
        <f ca="1">'TR TUSD'!$AK$65*'TR TUSD'!$AK$76</f>
        <v>13.488476064784885</v>
      </c>
      <c r="AL65" s="20">
        <f ca="1">SUM($AH$65:$AK$65)</f>
        <v>120.1385829304752</v>
      </c>
      <c r="AM65" s="20">
        <f ca="1">SUMIF($L$4:$AL$4,"SUBTOTAL",$L$65:$AL$65)</f>
        <v>525.37514265660684</v>
      </c>
      <c r="AP65" s="20">
        <f>IF((1 - CUSTOS!$M$31)&lt;&gt;0,1/(1 - CUSTOS!$M$31),1)</f>
        <v>1</v>
      </c>
    </row>
    <row r="66" spans="1:42" ht="11.25" customHeight="1" x14ac:dyDescent="0.25">
      <c r="A66" s="118" t="s">
        <v>48</v>
      </c>
      <c r="B66" s="118" t="s">
        <v>23</v>
      </c>
      <c r="C66" s="118" t="s">
        <v>49</v>
      </c>
      <c r="D66" s="21" t="s">
        <v>50</v>
      </c>
      <c r="E66" s="21" t="s">
        <v>25</v>
      </c>
      <c r="F66" s="21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20">
        <f>'TR TUSD'!$L$66*'TR TUSD'!$L$76</f>
        <v>13.576271272123119</v>
      </c>
      <c r="M66" s="20">
        <f>'TR TUSD'!$M$66*'TR TUSD'!$M$76</f>
        <v>0.52270656680750249</v>
      </c>
      <c r="N66" s="20">
        <f ca="1">'TR TUSD'!$N$66*'TR TUSD'!$N$76</f>
        <v>2.4611485214037416</v>
      </c>
      <c r="O66" s="20">
        <f>'TR TUSD'!$O$66*'TR TUSD'!$O$76</f>
        <v>0</v>
      </c>
      <c r="P66" s="20">
        <f>'TR TUSD'!$P$66*'TR TUSD'!$P$76</f>
        <v>0</v>
      </c>
      <c r="Q66" s="20">
        <f>'TR TUSD'!$Q$66*'TR TUSD'!$Q$76</f>
        <v>22.122788315983552</v>
      </c>
      <c r="R66" s="20">
        <f>'TR TUSD'!$R$66*'TR TUSD'!$R$76</f>
        <v>8.2567741044274889</v>
      </c>
      <c r="S66" s="20">
        <f>'TR TUSD'!$S$66*'TR TUSD'!$S$76</f>
        <v>0</v>
      </c>
      <c r="T66" s="20">
        <f ca="1">SUM($L$66:$S$66)</f>
        <v>46.939688780745399</v>
      </c>
      <c r="U66" s="20">
        <f>'TR TUSD'!$U$66*'TR TUSD'!$U$76</f>
        <v>19.34615820419776</v>
      </c>
      <c r="V66" s="20">
        <f>'TR TUSD'!$V$66*'TR TUSD'!$V$76</f>
        <v>2.5222656056013779</v>
      </c>
      <c r="W66" s="20">
        <f>'TR TUSD'!$W$66*'TR TUSD'!$W$76</f>
        <v>9.455294219950057E-2</v>
      </c>
      <c r="X66" s="20">
        <f>'TR TUSD'!$X$66*'TR TUSD'!$X$76</f>
        <v>0</v>
      </c>
      <c r="Y66" s="20">
        <f>'TR TUSD'!$Y$66*'TR TUSD'!$Y$76</f>
        <v>0</v>
      </c>
      <c r="Z66" s="20">
        <f>'TR TUSD'!$Z$66</f>
        <v>0</v>
      </c>
      <c r="AA66" s="20">
        <f>'TR TUSD'!$AA$66</f>
        <v>0</v>
      </c>
      <c r="AB66" s="20">
        <f>SUM($U$66:$AA$66)</f>
        <v>21.962976751998639</v>
      </c>
      <c r="AC66" s="20">
        <f>'TR TUSD'!$AC$66*'TR TUSD'!$AC$76</f>
        <v>153.97744231662841</v>
      </c>
      <c r="AD66" s="20">
        <f>SUM($AC$66:$AC$66)</f>
        <v>153.97744231662841</v>
      </c>
      <c r="AE66" s="20">
        <v>0</v>
      </c>
      <c r="AF66" s="20">
        <v>0</v>
      </c>
      <c r="AG66" s="20">
        <f>SUM($AE$66:$AF$66)</f>
        <v>0</v>
      </c>
      <c r="AH66" s="20">
        <f>'TR TUSD'!$AH$66*'TR TUSD'!$AH$76</f>
        <v>19.013761975375353</v>
      </c>
      <c r="AI66" s="20">
        <f>'TR TUSD'!$AI$66*'TR TUSD'!$AI$76</f>
        <v>1.5373488798565815</v>
      </c>
      <c r="AJ66" s="20">
        <f ca="1">'TR TUSD'!$AJ$66*'TR TUSD'!$AJ$76</f>
        <v>38.106447920897743</v>
      </c>
      <c r="AK66" s="20">
        <f ca="1">'TR TUSD'!$AK$66*'TR TUSD'!$AK$76</f>
        <v>7.4186618356316867</v>
      </c>
      <c r="AL66" s="20">
        <f ca="1">SUM($AH$66:$AK$66)</f>
        <v>66.076220611761357</v>
      </c>
      <c r="AM66" s="20">
        <f ca="1">SUMIF($L$4:$AL$4,"SUBTOTAL",$L$66:$AL$66)</f>
        <v>288.95632846113381</v>
      </c>
      <c r="AP66" s="20">
        <f>IF((1 - CUSTOS!$M$32)&lt;&gt;0,1/(1 - CUSTOS!$M$32),1)</f>
        <v>1.8181818181818181</v>
      </c>
    </row>
    <row r="67" spans="1:42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20">
        <f>'TR TUSD'!$L$67*'TR TUSD'!$L$76</f>
        <v>14.810477751407037</v>
      </c>
      <c r="M67" s="20">
        <f>'TR TUSD'!$M$67*'TR TUSD'!$M$76</f>
        <v>0.57022534560818439</v>
      </c>
      <c r="N67" s="20">
        <f ca="1">'TR TUSD'!$N$67*'TR TUSD'!$N$76</f>
        <v>2.6848892960768089</v>
      </c>
      <c r="O67" s="20">
        <f>'TR TUSD'!$O$67*'TR TUSD'!$O$76</f>
        <v>0</v>
      </c>
      <c r="P67" s="20">
        <f>'TR TUSD'!$P$67*'TR TUSD'!$P$76</f>
        <v>0</v>
      </c>
      <c r="Q67" s="20">
        <f>'TR TUSD'!$Q$67*'TR TUSD'!$Q$76</f>
        <v>24.13395089016387</v>
      </c>
      <c r="R67" s="20">
        <f>'TR TUSD'!$R$67*'TR TUSD'!$R$76</f>
        <v>9.0073899321027149</v>
      </c>
      <c r="S67" s="20">
        <f>'TR TUSD'!$S$67*'TR TUSD'!$S$76</f>
        <v>0</v>
      </c>
      <c r="T67" s="20">
        <f ca="1">SUM($L$67:$S$67)</f>
        <v>51.206933215358617</v>
      </c>
      <c r="U67" s="20">
        <f>'TR TUSD'!$U$67*'TR TUSD'!$U$76</f>
        <v>21.104899859124824</v>
      </c>
      <c r="V67" s="20">
        <f>'TR TUSD'!$V$67*'TR TUSD'!$V$76</f>
        <v>2.7515624788378661</v>
      </c>
      <c r="W67" s="20">
        <f>'TR TUSD'!$W$67*'TR TUSD'!$W$76</f>
        <v>0.10314866421763698</v>
      </c>
      <c r="X67" s="20">
        <f>'TR TUSD'!$X$67*'TR TUSD'!$X$76</f>
        <v>0</v>
      </c>
      <c r="Y67" s="20">
        <f>'TR TUSD'!$Y$67*'TR TUSD'!$Y$76</f>
        <v>0</v>
      </c>
      <c r="Z67" s="20">
        <f>'TR TUSD'!$Z$67</f>
        <v>0</v>
      </c>
      <c r="AA67" s="20">
        <f>'TR TUSD'!$AA$67</f>
        <v>0</v>
      </c>
      <c r="AB67" s="20">
        <f>SUM($U$67:$AA$67)</f>
        <v>23.959611002180328</v>
      </c>
      <c r="AC67" s="20">
        <f>'TR TUSD'!$AC$67*'TR TUSD'!$AC$76</f>
        <v>167.97539161814004</v>
      </c>
      <c r="AD67" s="20">
        <f>SUM($AC$67:$AC$67)</f>
        <v>167.97539161814004</v>
      </c>
      <c r="AE67" s="20">
        <v>0</v>
      </c>
      <c r="AF67" s="20">
        <v>0</v>
      </c>
      <c r="AG67" s="20">
        <f>SUM($AE$67:$AF$67)</f>
        <v>0</v>
      </c>
      <c r="AH67" s="20">
        <f>'TR TUSD'!$AH$67*'TR TUSD'!$AH$76</f>
        <v>20.742285791318565</v>
      </c>
      <c r="AI67" s="20">
        <f>'TR TUSD'!$AI$67*'TR TUSD'!$AI$76</f>
        <v>1.6771078689344523</v>
      </c>
      <c r="AJ67" s="20">
        <f ca="1">'TR TUSD'!$AJ$67*'TR TUSD'!$AJ$76</f>
        <v>41.570670459161171</v>
      </c>
      <c r="AK67" s="20">
        <f ca="1">'TR TUSD'!$AK$67*'TR TUSD'!$AK$76</f>
        <v>8.0930856388709316</v>
      </c>
      <c r="AL67" s="20">
        <f ca="1">SUM($AH$67:$AK$67)</f>
        <v>72.083149758285117</v>
      </c>
      <c r="AM67" s="20">
        <f ca="1">SUMIF($L$4:$AL$4,"SUBTOTAL",$L$67:$AL$67)</f>
        <v>315.22508559396408</v>
      </c>
      <c r="AP67" s="20">
        <f>IF((1 - CUSTOS!$M$33)&lt;&gt;0,1/(1 - CUSTOS!$M$33),1)</f>
        <v>1.6666666666666667</v>
      </c>
    </row>
    <row r="69" spans="1:42" ht="11.25" customHeight="1" x14ac:dyDescent="0.25">
      <c r="K69" s="24" t="s">
        <v>753</v>
      </c>
      <c r="L69" s="20">
        <f>SUMPRODUCT($I$5:$I67,$L$5:$L67)</f>
        <v>22372988.094348121</v>
      </c>
      <c r="M69" s="20">
        <f>SUMPRODUCT($I$5:$I67,$M$5:$M67)</f>
        <v>916742.14863132499</v>
      </c>
      <c r="N69" s="20">
        <f ca="1">SUMPRODUCT($I$5:$I67,$N$5:$N67)</f>
        <v>4108047.7492148019</v>
      </c>
      <c r="O69" s="20">
        <f>SUMPRODUCT($I$5:$I67,$O$5:$O67)</f>
        <v>0</v>
      </c>
      <c r="P69" s="20">
        <f>SUMPRODUCT($I$5:$I67,$P$5:$P67)</f>
        <v>0</v>
      </c>
      <c r="Q69" s="20">
        <f>SUMPRODUCT($I$5:$I67,$Q$5:$Q67)</f>
        <v>36457203.136740267</v>
      </c>
      <c r="R69" s="20">
        <f>SUMPRODUCT($I$5:$I67,$R$5:$R67)</f>
        <v>14599119.686686667</v>
      </c>
      <c r="S69" s="20">
        <f>SUMPRODUCT($I$5:$I67,$S$5:$S67)</f>
        <v>0</v>
      </c>
      <c r="T69" s="20">
        <f ca="1">SUMPRODUCT($I$5:$I67,$T$5:$T67)</f>
        <v>78454100.815621167</v>
      </c>
      <c r="U69" s="20">
        <f>SUMPRODUCT($I$5:$I67,$U$5:$U67)</f>
        <v>42135694.28899999</v>
      </c>
      <c r="V69" s="20">
        <f>SUMPRODUCT($I$5:$I67,$V$5:$V67)</f>
        <v>5491404.4840000002</v>
      </c>
      <c r="W69" s="20">
        <f>SUMPRODUCT($I$5:$I67,$W$5:$W67)</f>
        <v>206080.59697171903</v>
      </c>
      <c r="X69" s="20">
        <f>SUMPRODUCT($I$5:$I67,$X$5:$X67)</f>
        <v>0</v>
      </c>
      <c r="Y69" s="20">
        <f>SUMPRODUCT($I$5:$I67,$Y$5:$Y67)</f>
        <v>0</v>
      </c>
      <c r="Z69" s="20">
        <f>SUMPRODUCT($I$5:$I67,$Z$5:$Z67)</f>
        <v>0</v>
      </c>
      <c r="AA69" s="20">
        <f>SUMPRODUCT($I$5:$I67,$AA$5:$AA67)</f>
        <v>129170.64000000001</v>
      </c>
      <c r="AB69" s="20">
        <f>SUMPRODUCT($I$5:$I67,$AB$5:$AB67)</f>
        <v>47962350.009971708</v>
      </c>
      <c r="AC69" s="20">
        <f>SUMPRODUCT($I$5:$I67,$AC$5:$AC67)</f>
        <v>276302163.34839118</v>
      </c>
      <c r="AD69" s="20">
        <f>SUMPRODUCT($I$5:$I67,$AD$5:$AD67)</f>
        <v>276302163.34839118</v>
      </c>
      <c r="AE69" s="20">
        <f>SUMPRODUCT($I$5:$I67,$AE$5:$AE67)</f>
        <v>0</v>
      </c>
      <c r="AF69" s="20">
        <f>SUMPRODUCT($I$5:$I67,$AF$5:$AF67)</f>
        <v>0</v>
      </c>
      <c r="AG69" s="20">
        <f>SUMPRODUCT($I$5:$I67,$AG$5:$AG67)</f>
        <v>0</v>
      </c>
      <c r="AH69" s="20">
        <f>SUMPRODUCT($I$5:$I67,$AH$5:$AH67)</f>
        <v>36789079.232639782</v>
      </c>
      <c r="AI69" s="20">
        <f>SUMPRODUCT($I$5:$I67,$AI$5:$AI67)</f>
        <v>2974563.8881196356</v>
      </c>
      <c r="AJ69" s="20">
        <f ca="1">SUMPRODUCT($I$5:$I67,$AJ$5:$AJ67)</f>
        <v>70226049.153940856</v>
      </c>
      <c r="AK69" s="20">
        <f ca="1">SUMPRODUCT($I$5:$I67,$AK$5:$AK67)</f>
        <v>13671788.874339724</v>
      </c>
      <c r="AL69" s="20">
        <f ca="1">SUMPRODUCT($I$5:$I67,$AL$5:$AL67)</f>
        <v>123661481.14904001</v>
      </c>
      <c r="AM69" s="20">
        <f ca="1">SUMPRODUCT($I$5:$I67,$AM$5:$AM67)</f>
        <v>526380095.32302409</v>
      </c>
    </row>
    <row r="70" spans="1:42" ht="11.25" customHeight="1" x14ac:dyDescent="0.25">
      <c r="K70" s="24" t="s">
        <v>686</v>
      </c>
      <c r="L70" s="20">
        <f>'TR TUSD'!$L$72</f>
        <v>22372988.094348121</v>
      </c>
      <c r="M70" s="20">
        <f>'TR TUSD'!$M$72</f>
        <v>916742.14863132499</v>
      </c>
      <c r="N70" s="20">
        <f>'TR TUSD'!$N$72</f>
        <v>4108047.7492148024</v>
      </c>
      <c r="O70" s="20">
        <f>'TR TUSD'!$O$72</f>
        <v>0</v>
      </c>
      <c r="P70" s="20">
        <f>'TR TUSD'!$P$72</f>
        <v>0</v>
      </c>
      <c r="Q70" s="20">
        <f>'TR TUSD'!$Q$72</f>
        <v>36457203.136740267</v>
      </c>
      <c r="R70" s="20">
        <f>'TR TUSD'!$R$72</f>
        <v>14599119.686686665</v>
      </c>
      <c r="S70" s="20">
        <f>'TR TUSD'!$S$72</f>
        <v>0</v>
      </c>
      <c r="T70" s="20">
        <f>'TR TUSD'!$T$72</f>
        <v>78454100.815621182</v>
      </c>
      <c r="U70" s="20">
        <f>'TR TUSD'!$U$72</f>
        <v>42135694.28899999</v>
      </c>
      <c r="V70" s="20">
        <f>'TR TUSD'!$V$72</f>
        <v>5491404.4839999983</v>
      </c>
      <c r="W70" s="20">
        <f>'TR TUSD'!$W$72</f>
        <v>206080.596971719</v>
      </c>
      <c r="X70" s="20">
        <f>'TR TUSD'!$X$72</f>
        <v>0</v>
      </c>
      <c r="Y70" s="20">
        <f>'TR TUSD'!$Y$72</f>
        <v>0</v>
      </c>
      <c r="Z70" s="20">
        <f>'TR TUSD'!$Z$72</f>
        <v>0</v>
      </c>
      <c r="AA70" s="20">
        <f>'TR TUSD'!$AA$72</f>
        <v>129170.64000000001</v>
      </c>
      <c r="AB70" s="20">
        <f>'TR TUSD'!$AB$72</f>
        <v>47962350.009971708</v>
      </c>
      <c r="AC70" s="20">
        <f>'TR TUSD'!$AC$72</f>
        <v>276302163.34839129</v>
      </c>
      <c r="AD70" s="20">
        <f>'TR TUSD'!$AD$72</f>
        <v>276302163.34839129</v>
      </c>
      <c r="AE70" s="20">
        <f>'TR TUSD'!$AE$72</f>
        <v>0</v>
      </c>
      <c r="AF70" s="20">
        <f>'TR TUSD'!$AF$72</f>
        <v>0</v>
      </c>
      <c r="AG70" s="20">
        <f>'TR TUSD'!$AG$72</f>
        <v>0</v>
      </c>
      <c r="AH70" s="20">
        <f>'TR TUSD'!$AH$72</f>
        <v>36789079.232639797</v>
      </c>
      <c r="AI70" s="20">
        <f>'TR TUSD'!$AI$72</f>
        <v>2974563.8881196366</v>
      </c>
      <c r="AJ70" s="20">
        <f>'TR TUSD'!$AJ$72</f>
        <v>70226049.153940842</v>
      </c>
      <c r="AK70" s="20">
        <f>'TR TUSD'!$AK$72</f>
        <v>13671788.874339724</v>
      </c>
      <c r="AL70" s="20">
        <f>'TR TUSD'!$AL$72</f>
        <v>123661481.14904001</v>
      </c>
      <c r="AM70" s="20">
        <f>CUSTOS!$D$29</f>
        <v>526380095.32302415</v>
      </c>
    </row>
    <row r="71" spans="1:42" ht="11.25" customHeight="1" x14ac:dyDescent="0.25">
      <c r="K71" s="24" t="s">
        <v>687</v>
      </c>
      <c r="L71" s="20">
        <f>CUSTOS!$E$2</f>
        <v>-511218.24048191495</v>
      </c>
      <c r="M71" s="20">
        <f>CUSTOS!$E$3</f>
        <v>49080.99651351686</v>
      </c>
      <c r="N71" s="20">
        <f>CUSTOS!$E$4</f>
        <v>0</v>
      </c>
      <c r="O71" s="20">
        <f>CUSTOS!$E$5</f>
        <v>0</v>
      </c>
      <c r="P71" s="20">
        <f>CUSTOS!$E$6</f>
        <v>0</v>
      </c>
      <c r="Q71" s="20">
        <f>CUSTOS!$E$7</f>
        <v>2546557.2603031173</v>
      </c>
      <c r="R71" s="20">
        <f>CUSTOS!$E$8</f>
        <v>1040911.9664008766</v>
      </c>
      <c r="S71" s="20">
        <f>CUSTOS!$E$9</f>
        <v>0</v>
      </c>
      <c r="T71" s="20">
        <f>CUSTOS!$E$10</f>
        <v>3125331.9827355957</v>
      </c>
      <c r="U71" s="20">
        <f>CUSTOS!$E$11</f>
        <v>-6455532.2363079749</v>
      </c>
      <c r="V71" s="20">
        <f>CUSTOS!$E$12</f>
        <v>47045.350917512202</v>
      </c>
      <c r="W71" s="20">
        <f>CUSTOS!$E$13</f>
        <v>-3105.523480323669</v>
      </c>
      <c r="X71" s="20">
        <f>CUSTOS!$E$14</f>
        <v>0</v>
      </c>
      <c r="Y71" s="20">
        <f>CUSTOS!$E$15</f>
        <v>0</v>
      </c>
      <c r="Z71" s="20">
        <f>CUSTOS!$E$16</f>
        <v>0</v>
      </c>
      <c r="AA71" s="20">
        <f>CUSTOS!$E$17</f>
        <v>3001.4104081403348</v>
      </c>
      <c r="AB71" s="20">
        <f>CUSTOS!$E$18</f>
        <v>-6408590.9984626463</v>
      </c>
      <c r="AC71" s="20">
        <f>CUSTOS!$E$19</f>
        <v>942776.39571014885</v>
      </c>
      <c r="AD71" s="20">
        <f>CUSTOS!$E$20</f>
        <v>942776.39571014885</v>
      </c>
      <c r="AE71" s="20">
        <f>CUSTOS!$E$21</f>
        <v>-35005959.495061576</v>
      </c>
      <c r="AF71" s="20">
        <f>CUSTOS!$E$22</f>
        <v>0</v>
      </c>
      <c r="AG71" s="20">
        <f>CUSTOS!$E$23</f>
        <v>-35005959.495061576</v>
      </c>
      <c r="AH71" s="20">
        <f>CUSTOS!$E$24</f>
        <v>-16495155.646376276</v>
      </c>
      <c r="AI71" s="20">
        <f>CUSTOS!$E$25</f>
        <v>-1333708.1367095383</v>
      </c>
      <c r="AJ71" s="20">
        <f>CUSTOS!$E$26</f>
        <v>-31487322.743228253</v>
      </c>
      <c r="AK71" s="20">
        <f>CUSTOS!$E$27</f>
        <v>8831.0443689418025</v>
      </c>
      <c r="AL71" s="20">
        <f>CUSTOS!$E$28</f>
        <v>-49307355.48194512</v>
      </c>
      <c r="AM71" s="20">
        <f>CUSTOS!$E$29</f>
        <v>-86653797.597023606</v>
      </c>
    </row>
    <row r="72" spans="1:42" ht="11.25" customHeight="1" x14ac:dyDescent="0.25">
      <c r="K72" s="24" t="s">
        <v>688</v>
      </c>
      <c r="L72" s="20">
        <f>CUSTOS!$F$2</f>
        <v>989033.5690054592</v>
      </c>
      <c r="M72" s="20">
        <f>CUSTOS!$F$3</f>
        <v>0</v>
      </c>
      <c r="N72" s="20">
        <f>CUSTOS!$F$4</f>
        <v>0</v>
      </c>
      <c r="O72" s="20">
        <f>CUSTOS!$F$5</f>
        <v>0</v>
      </c>
      <c r="P72" s="20">
        <f>CUSTOS!$F$6</f>
        <v>0</v>
      </c>
      <c r="Q72" s="20">
        <f>CUSTOS!$F$7</f>
        <v>13742306.890799999</v>
      </c>
      <c r="R72" s="20">
        <f>CUSTOS!$F$8</f>
        <v>5428655.5210999995</v>
      </c>
      <c r="S72" s="20">
        <f>CUSTOS!$F$9</f>
        <v>0</v>
      </c>
      <c r="T72" s="20">
        <f>CUSTOS!$F$10</f>
        <v>20159995.980905458</v>
      </c>
      <c r="U72" s="20">
        <f>CUSTOS!$F$11</f>
        <v>2073902.0646832099</v>
      </c>
      <c r="V72" s="20">
        <f>CUSTOS!$F$12</f>
        <v>270113.23884159565</v>
      </c>
      <c r="W72" s="20">
        <f>CUSTOS!$F$13</f>
        <v>0</v>
      </c>
      <c r="X72" s="20">
        <f>CUSTOS!$F$14</f>
        <v>0</v>
      </c>
      <c r="Y72" s="20">
        <f>CUSTOS!$F$15</f>
        <v>0</v>
      </c>
      <c r="Z72" s="20">
        <f>CUSTOS!$F$16</f>
        <v>0</v>
      </c>
      <c r="AA72" s="20">
        <f>CUSTOS!$F$17</f>
        <v>6529.2266751943253</v>
      </c>
      <c r="AB72" s="20">
        <f>CUSTOS!$F$18</f>
        <v>2350544.5301999999</v>
      </c>
      <c r="AC72" s="20">
        <f>CUSTOS!$F$19</f>
        <v>0</v>
      </c>
      <c r="AD72" s="20">
        <f>CUSTOS!$F$20</f>
        <v>0</v>
      </c>
      <c r="AE72" s="20">
        <f>CUSTOS!$F$21</f>
        <v>0</v>
      </c>
      <c r="AF72" s="20">
        <f>CUSTOS!$F$22</f>
        <v>0</v>
      </c>
      <c r="AG72" s="20">
        <f>CUSTOS!$F$23</f>
        <v>0</v>
      </c>
      <c r="AH72" s="20">
        <f>CUSTOS!$F$24</f>
        <v>10970876.086539844</v>
      </c>
      <c r="AI72" s="20">
        <f>CUSTOS!$F$25</f>
        <v>887045.08263701608</v>
      </c>
      <c r="AJ72" s="20">
        <f>CUSTOS!$F$26</f>
        <v>20942119.220847331</v>
      </c>
      <c r="AK72" s="20">
        <f>CUSTOS!$F$27</f>
        <v>0</v>
      </c>
      <c r="AL72" s="20">
        <f>CUSTOS!$F$28</f>
        <v>32800040.390024193</v>
      </c>
      <c r="AM72" s="20">
        <f>CUSTOS!$F$29</f>
        <v>55310580.901129648</v>
      </c>
    </row>
    <row r="73" spans="1:42" ht="11.25" customHeight="1" x14ac:dyDescent="0.25">
      <c r="K73" s="24" t="s">
        <v>750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f>SUM($L$73:$S$73)</f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f>SUM($U$73:$AA$73)</f>
        <v>0</v>
      </c>
      <c r="AC73" s="20">
        <v>0</v>
      </c>
      <c r="AD73" s="20">
        <f>SUM($AC$73:$AC$73)</f>
        <v>0</v>
      </c>
      <c r="AE73" s="20">
        <v>0</v>
      </c>
      <c r="AF73" s="20">
        <v>0</v>
      </c>
      <c r="AG73" s="20">
        <f>SUM($AE$73:$AF$73)</f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f>SUM($AH$73:$AK$73)</f>
        <v>0</v>
      </c>
      <c r="AM73" s="20">
        <f>SUMIF($L$4:$AL$4,"SUBTOTAL",$L$73:$AL$73)</f>
        <v>0</v>
      </c>
    </row>
    <row r="74" spans="1:42" ht="11.25" customHeight="1" x14ac:dyDescent="0.25">
      <c r="K74" s="24" t="s">
        <v>754</v>
      </c>
      <c r="L74" s="20">
        <f t="shared" ref="L74:R74" si="0">IF((L69-(0))&lt;&gt;0,(L71)/(L69-(0)),0)</f>
        <v>-2.2849797189632405E-2</v>
      </c>
      <c r="M74" s="20">
        <f t="shared" si="0"/>
        <v>5.3538496715563544E-2</v>
      </c>
      <c r="N74" s="20">
        <f t="shared" ca="1" si="0"/>
        <v>0</v>
      </c>
      <c r="O74" s="20">
        <f t="shared" si="0"/>
        <v>0</v>
      </c>
      <c r="P74" s="20">
        <f t="shared" si="0"/>
        <v>0</v>
      </c>
      <c r="Q74" s="20">
        <f t="shared" si="0"/>
        <v>6.9850593057062788E-2</v>
      </c>
      <c r="R74" s="20">
        <f t="shared" si="0"/>
        <v>7.1299639207020996E-2</v>
      </c>
      <c r="S74" s="20">
        <f>IF((R69-(0)&lt;&gt;0),(S71)/(R69-(0)),0)</f>
        <v>0</v>
      </c>
      <c r="T74" s="20"/>
      <c r="U74" s="20">
        <f t="shared" ref="U74:AA74" si="1">IF((U69-(0))&lt;&gt;0,(U71)/(U69-(0)),0)</f>
        <v>-0.15320816104348056</v>
      </c>
      <c r="V74" s="20">
        <f t="shared" si="1"/>
        <v>8.5670889941882131E-3</v>
      </c>
      <c r="W74" s="20">
        <f t="shared" si="1"/>
        <v>-1.5069460812702556E-2</v>
      </c>
      <c r="X74" s="20">
        <f t="shared" si="1"/>
        <v>0</v>
      </c>
      <c r="Y74" s="20">
        <f t="shared" si="1"/>
        <v>0</v>
      </c>
      <c r="Z74" s="20">
        <f t="shared" si="1"/>
        <v>0</v>
      </c>
      <c r="AA74" s="20">
        <f t="shared" si="1"/>
        <v>2.3236010970761889E-2</v>
      </c>
      <c r="AB74" s="20"/>
      <c r="AC74" s="20">
        <f>IF((AC69-(0))&lt;&gt;0,(AC71)/(AC69-(0)),0)</f>
        <v>3.4121209341433784E-3</v>
      </c>
      <c r="AD74" s="20"/>
      <c r="AE74" s="20">
        <f ca="1">IF(($AM69-(0))&lt;&gt;0,(AE71)/($AM69-(0)),0)</f>
        <v>-6.6503197605865857E-2</v>
      </c>
      <c r="AF74" s="20">
        <f ca="1">IF(($AM69-(0))&lt;&gt;0,(AF71)/($AM69-(0)),0)</f>
        <v>0</v>
      </c>
      <c r="AG74" s="20"/>
      <c r="AH74" s="20">
        <f>IF((AH69-(0))&lt;&gt;0,(AH71)/(AH69-(0)),0)</f>
        <v>-0.44837098373860756</v>
      </c>
      <c r="AI74" s="20">
        <f>IF((AI69-(0))&lt;&gt;0,(AI71)/(AI69-(0)),0)</f>
        <v>-0.44837098373860751</v>
      </c>
      <c r="AJ74" s="20">
        <f ca="1">IF((AJ69-(0))&lt;&gt;0,(AJ71)/(AJ69-(0)),0)</f>
        <v>-0.44837098373860729</v>
      </c>
      <c r="AK74" s="20">
        <f ca="1">IF((AK69-(0))&lt;&gt;0,(AK71)/(AK69-(0)),0)</f>
        <v>6.4593188573271437E-4</v>
      </c>
      <c r="AL74" s="20"/>
      <c r="AM74" s="20"/>
    </row>
  </sheetData>
  <mergeCells count="97"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F7:F9"/>
    <mergeCell ref="AE3:AG3"/>
    <mergeCell ref="AH3:AL3"/>
    <mergeCell ref="AM3:AM4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AM1"/>
    <mergeCell ref="A1:A4"/>
    <mergeCell ref="B1:B4"/>
    <mergeCell ref="B16:B20"/>
    <mergeCell ref="C16:C20"/>
    <mergeCell ref="D16:D20"/>
    <mergeCell ref="E16:E18"/>
    <mergeCell ref="A7:A10"/>
    <mergeCell ref="B7:B10"/>
    <mergeCell ref="C7:C10"/>
    <mergeCell ref="D7:D10"/>
    <mergeCell ref="E7:E9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A11:A20"/>
    <mergeCell ref="B11:B14"/>
    <mergeCell ref="C11:C14"/>
    <mergeCell ref="D11:D14"/>
    <mergeCell ref="E11:E13"/>
    <mergeCell ref="F11:F13"/>
    <mergeCell ref="C26:C30"/>
    <mergeCell ref="D26:D30"/>
    <mergeCell ref="E26:E28"/>
    <mergeCell ref="F26:F28"/>
    <mergeCell ref="E29:E30"/>
    <mergeCell ref="F29:F30"/>
    <mergeCell ref="A31:A32"/>
    <mergeCell ref="B31:B32"/>
    <mergeCell ref="C31:C32"/>
    <mergeCell ref="D31:D32"/>
    <mergeCell ref="A33:A45"/>
    <mergeCell ref="B33:B35"/>
    <mergeCell ref="C33:C35"/>
    <mergeCell ref="D33:D35"/>
    <mergeCell ref="E33:E35"/>
    <mergeCell ref="F33:F35"/>
    <mergeCell ref="B36:B40"/>
    <mergeCell ref="C36:C40"/>
    <mergeCell ref="B41:B45"/>
    <mergeCell ref="C41:C45"/>
    <mergeCell ref="D54:D56"/>
    <mergeCell ref="E54:E56"/>
    <mergeCell ref="F54:F56"/>
    <mergeCell ref="D46:D48"/>
    <mergeCell ref="E46:E48"/>
    <mergeCell ref="F46:F48"/>
    <mergeCell ref="D50:D52"/>
    <mergeCell ref="E50:E52"/>
    <mergeCell ref="F50:F52"/>
    <mergeCell ref="B58:B60"/>
    <mergeCell ref="C58:C60"/>
    <mergeCell ref="A61:A65"/>
    <mergeCell ref="B61:B63"/>
    <mergeCell ref="C61:C63"/>
    <mergeCell ref="A46:A60"/>
    <mergeCell ref="B46:B48"/>
    <mergeCell ref="C46:C48"/>
    <mergeCell ref="B54:B56"/>
    <mergeCell ref="C54:C56"/>
    <mergeCell ref="B50:B52"/>
    <mergeCell ref="C50:C52"/>
    <mergeCell ref="E61:E63"/>
    <mergeCell ref="F61:F63"/>
    <mergeCell ref="A66:A67"/>
    <mergeCell ref="B66:B67"/>
    <mergeCell ref="C66:C67"/>
    <mergeCell ref="D61:D63"/>
  </mergeCells>
  <conditionalFormatting sqref="L69">
    <cfRule type="cellIs" dxfId="1054" priority="55" operator="notEqual">
      <formula>$L$70-$L$73</formula>
    </cfRule>
    <cfRule type="cellIs" dxfId="1053" priority="56" operator="equal">
      <formula>$L$70-$L$73</formula>
    </cfRule>
  </conditionalFormatting>
  <conditionalFormatting sqref="M69">
    <cfRule type="cellIs" dxfId="1052" priority="53" operator="notEqual">
      <formula>$M$70-$M$73</formula>
    </cfRule>
    <cfRule type="cellIs" dxfId="1051" priority="54" operator="equal">
      <formula>$M$70-$M$73</formula>
    </cfRule>
  </conditionalFormatting>
  <conditionalFormatting sqref="N69">
    <cfRule type="cellIs" dxfId="1050" priority="51" operator="notEqual">
      <formula>$N$70-$N$73</formula>
    </cfRule>
    <cfRule type="cellIs" dxfId="1049" priority="52" operator="equal">
      <formula>$N$70-$N$73</formula>
    </cfRule>
  </conditionalFormatting>
  <conditionalFormatting sqref="O69">
    <cfRule type="cellIs" dxfId="1048" priority="49" operator="notEqual">
      <formula>$O$70-$O$73</formula>
    </cfRule>
    <cfRule type="cellIs" dxfId="1047" priority="50" operator="equal">
      <formula>$O$70-$O$73</formula>
    </cfRule>
  </conditionalFormatting>
  <conditionalFormatting sqref="P69">
    <cfRule type="cellIs" dxfId="1046" priority="47" operator="notEqual">
      <formula>$P$70-$P$73</formula>
    </cfRule>
    <cfRule type="cellIs" dxfId="1045" priority="48" operator="equal">
      <formula>$P$70-$P$73</formula>
    </cfRule>
  </conditionalFormatting>
  <conditionalFormatting sqref="Q69">
    <cfRule type="cellIs" dxfId="1044" priority="45" operator="notEqual">
      <formula>$Q$70-$Q$73</formula>
    </cfRule>
    <cfRule type="cellIs" dxfId="1043" priority="46" operator="equal">
      <formula>$Q$70-$Q$73</formula>
    </cfRule>
  </conditionalFormatting>
  <conditionalFormatting sqref="R69">
    <cfRule type="cellIs" dxfId="1042" priority="43" operator="notEqual">
      <formula>$R$70-$R$73</formula>
    </cfRule>
    <cfRule type="cellIs" dxfId="1041" priority="44" operator="equal">
      <formula>$R$70-$R$73</formula>
    </cfRule>
  </conditionalFormatting>
  <conditionalFormatting sqref="S69">
    <cfRule type="cellIs" dxfId="1040" priority="41" operator="notEqual">
      <formula>$S$70-$S$73</formula>
    </cfRule>
    <cfRule type="cellIs" dxfId="1039" priority="42" operator="equal">
      <formula>$S$70-$S$73</formula>
    </cfRule>
  </conditionalFormatting>
  <conditionalFormatting sqref="T69">
    <cfRule type="cellIs" dxfId="1038" priority="39" operator="notEqual">
      <formula>$T$70-$T$73</formula>
    </cfRule>
    <cfRule type="cellIs" dxfId="1037" priority="40" operator="equal">
      <formula>$T$70-$T$73</formula>
    </cfRule>
  </conditionalFormatting>
  <conditionalFormatting sqref="U69">
    <cfRule type="cellIs" dxfId="1036" priority="37" operator="notEqual">
      <formula>$U$70-$U$73</formula>
    </cfRule>
    <cfRule type="cellIs" dxfId="1035" priority="38" operator="equal">
      <formula>$U$70-$U$73</formula>
    </cfRule>
  </conditionalFormatting>
  <conditionalFormatting sqref="V69">
    <cfRule type="cellIs" dxfId="1034" priority="35" operator="notEqual">
      <formula>$V$70-$V$73</formula>
    </cfRule>
    <cfRule type="cellIs" dxfId="1033" priority="36" operator="equal">
      <formula>$V$70-$V$73</formula>
    </cfRule>
  </conditionalFormatting>
  <conditionalFormatting sqref="W69">
    <cfRule type="cellIs" dxfId="1032" priority="33" operator="notEqual">
      <formula>$W$70-$W$73</formula>
    </cfRule>
    <cfRule type="cellIs" dxfId="1031" priority="34" operator="equal">
      <formula>$W$70-$W$73</formula>
    </cfRule>
  </conditionalFormatting>
  <conditionalFormatting sqref="X69">
    <cfRule type="cellIs" dxfId="1030" priority="31" operator="notEqual">
      <formula>$X$70-$X$73</formula>
    </cfRule>
    <cfRule type="cellIs" dxfId="1029" priority="32" operator="equal">
      <formula>$X$70-$X$73</formula>
    </cfRule>
  </conditionalFormatting>
  <conditionalFormatting sqref="Y69">
    <cfRule type="cellIs" dxfId="1028" priority="29" operator="notEqual">
      <formula>$Y$70-$Y$73</formula>
    </cfRule>
    <cfRule type="cellIs" dxfId="1027" priority="30" operator="equal">
      <formula>$Y$70-$Y$73</formula>
    </cfRule>
  </conditionalFormatting>
  <conditionalFormatting sqref="Z69">
    <cfRule type="cellIs" dxfId="1026" priority="27" operator="notEqual">
      <formula>$Z$70-$Z$73</formula>
    </cfRule>
    <cfRule type="cellIs" dxfId="1025" priority="28" operator="equal">
      <formula>$Z$70-$Z$73</formula>
    </cfRule>
  </conditionalFormatting>
  <conditionalFormatting sqref="AA69">
    <cfRule type="cellIs" dxfId="1024" priority="25" operator="notEqual">
      <formula>$AA$70-$AA$73</formula>
    </cfRule>
    <cfRule type="cellIs" dxfId="1023" priority="26" operator="equal">
      <formula>$AA$70-$AA$73</formula>
    </cfRule>
  </conditionalFormatting>
  <conditionalFormatting sqref="AB69">
    <cfRule type="cellIs" dxfId="1022" priority="23" operator="notEqual">
      <formula>$AB$70-$AB$73</formula>
    </cfRule>
    <cfRule type="cellIs" dxfId="1021" priority="24" operator="equal">
      <formula>$AB$70-$AB$73</formula>
    </cfRule>
  </conditionalFormatting>
  <conditionalFormatting sqref="AC69">
    <cfRule type="cellIs" dxfId="1020" priority="21" operator="notEqual">
      <formula>$AC$70-$AC$73</formula>
    </cfRule>
    <cfRule type="cellIs" dxfId="1019" priority="22" operator="equal">
      <formula>$AC$70-$AC$73</formula>
    </cfRule>
  </conditionalFormatting>
  <conditionalFormatting sqref="AD69">
    <cfRule type="cellIs" dxfId="1018" priority="19" operator="notEqual">
      <formula>$AD$70-$AD$73</formula>
    </cfRule>
    <cfRule type="cellIs" dxfId="1017" priority="20" operator="equal">
      <formula>$AD$70-$AD$73</formula>
    </cfRule>
  </conditionalFormatting>
  <conditionalFormatting sqref="AE69">
    <cfRule type="cellIs" dxfId="1016" priority="17" operator="notEqual">
      <formula>$AE$70-$AE$73</formula>
    </cfRule>
    <cfRule type="cellIs" dxfId="1015" priority="18" operator="equal">
      <formula>$AE$70-$AE$73</formula>
    </cfRule>
  </conditionalFormatting>
  <conditionalFormatting sqref="AF69">
    <cfRule type="cellIs" dxfId="1014" priority="16" operator="equal">
      <formula>$AF$70-$AF$73</formula>
    </cfRule>
  </conditionalFormatting>
  <conditionalFormatting sqref="AF69">
    <cfRule type="cellIs" dxfId="1013" priority="15" operator="notEqual">
      <formula>$AF$70-$AF$73</formula>
    </cfRule>
  </conditionalFormatting>
  <conditionalFormatting sqref="AG69">
    <cfRule type="cellIs" dxfId="1012" priority="14" operator="equal">
      <formula>$AG$70-$AG$73</formula>
    </cfRule>
  </conditionalFormatting>
  <conditionalFormatting sqref="AG69">
    <cfRule type="cellIs" dxfId="1011" priority="13" operator="notEqual">
      <formula>$AG$70-$AG$73</formula>
    </cfRule>
  </conditionalFormatting>
  <conditionalFormatting sqref="AH69">
    <cfRule type="cellIs" dxfId="1010" priority="12" operator="equal">
      <formula>$AH$70-$AH$73</formula>
    </cfRule>
  </conditionalFormatting>
  <conditionalFormatting sqref="AH69">
    <cfRule type="cellIs" dxfId="1009" priority="11" operator="notEqual">
      <formula>$AH$70-$AH$73</formula>
    </cfRule>
  </conditionalFormatting>
  <conditionalFormatting sqref="AI69">
    <cfRule type="cellIs" dxfId="1008" priority="10" operator="equal">
      <formula>$AI$70-$AI$73</formula>
    </cfRule>
  </conditionalFormatting>
  <conditionalFormatting sqref="AI69">
    <cfRule type="cellIs" dxfId="1007" priority="9" operator="notEqual">
      <formula>$AI$70-$AI$73</formula>
    </cfRule>
  </conditionalFormatting>
  <conditionalFormatting sqref="AJ69">
    <cfRule type="cellIs" dxfId="1006" priority="8" operator="equal">
      <formula>$AJ$70-$AJ$73</formula>
    </cfRule>
  </conditionalFormatting>
  <conditionalFormatting sqref="AJ69">
    <cfRule type="cellIs" dxfId="1005" priority="7" operator="notEqual">
      <formula>$AJ$70-$AJ$73</formula>
    </cfRule>
  </conditionalFormatting>
  <conditionalFormatting sqref="AK69">
    <cfRule type="cellIs" dxfId="1004" priority="6" operator="equal">
      <formula>$AK$70-$AK$73</formula>
    </cfRule>
  </conditionalFormatting>
  <conditionalFormatting sqref="AK69">
    <cfRule type="cellIs" dxfId="1003" priority="5" operator="notEqual">
      <formula>$AK$70-$AK$73</formula>
    </cfRule>
  </conditionalFormatting>
  <conditionalFormatting sqref="AL69">
    <cfRule type="cellIs" dxfId="1002" priority="4" operator="equal">
      <formula>$AL$70-$AL$73</formula>
    </cfRule>
  </conditionalFormatting>
  <conditionalFormatting sqref="AL69">
    <cfRule type="cellIs" dxfId="1001" priority="3" operator="notEqual">
      <formula>$AL$70-$AL$73</formula>
    </cfRule>
  </conditionalFormatting>
  <conditionalFormatting sqref="AM69">
    <cfRule type="cellIs" dxfId="1000" priority="2" operator="equal">
      <formula>$AM$70-$AM$73</formula>
    </cfRule>
  </conditionalFormatting>
  <conditionalFormatting sqref="AM69">
    <cfRule type="cellIs" dxfId="999" priority="1" operator="notEqual">
      <formula>$AM$70-$AM$73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34E1-6AE0-4069-A041-A7B737739D4E}">
  <sheetPr codeName="Planilha10"/>
  <dimension ref="A1:AP74"/>
  <sheetViews>
    <sheetView showGridLines="0" topLeftCell="AA44" workbookViewId="0">
      <selection activeCell="AO69" sqref="AO69:AP7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761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O1" s="30"/>
      <c r="AP1" s="123" t="s">
        <v>746</v>
      </c>
    </row>
    <row r="2" spans="1:42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O2" s="30"/>
      <c r="AP2" s="124"/>
    </row>
    <row r="3" spans="1:42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/>
      <c r="U3" s="119" t="s">
        <v>654</v>
      </c>
      <c r="V3" s="119"/>
      <c r="W3" s="119"/>
      <c r="X3" s="119"/>
      <c r="Y3" s="119"/>
      <c r="Z3" s="119"/>
      <c r="AA3" s="119"/>
      <c r="AB3" s="119"/>
      <c r="AC3" s="119" t="s">
        <v>662</v>
      </c>
      <c r="AD3" s="119"/>
      <c r="AE3" s="119" t="s">
        <v>664</v>
      </c>
      <c r="AF3" s="119"/>
      <c r="AG3" s="119"/>
      <c r="AH3" s="119" t="s">
        <v>667</v>
      </c>
      <c r="AI3" s="119"/>
      <c r="AJ3" s="119"/>
      <c r="AK3" s="119"/>
      <c r="AL3" s="119"/>
      <c r="AM3" s="119" t="s">
        <v>653</v>
      </c>
      <c r="AO3" s="30"/>
      <c r="AP3" s="124"/>
    </row>
    <row r="4" spans="1:42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26" t="s">
        <v>730</v>
      </c>
      <c r="M4" s="26" t="s">
        <v>646</v>
      </c>
      <c r="N4" s="26" t="s">
        <v>647</v>
      </c>
      <c r="O4" s="26" t="s">
        <v>648</v>
      </c>
      <c r="P4" s="26" t="s">
        <v>649</v>
      </c>
      <c r="Q4" s="26" t="s">
        <v>650</v>
      </c>
      <c r="R4" s="26" t="s">
        <v>651</v>
      </c>
      <c r="S4" s="26" t="s">
        <v>652</v>
      </c>
      <c r="T4" s="26" t="s">
        <v>653</v>
      </c>
      <c r="U4" s="26" t="s">
        <v>655</v>
      </c>
      <c r="V4" s="26" t="s">
        <v>656</v>
      </c>
      <c r="W4" s="26" t="s">
        <v>657</v>
      </c>
      <c r="X4" s="26" t="s">
        <v>658</v>
      </c>
      <c r="Y4" s="26" t="s">
        <v>659</v>
      </c>
      <c r="Z4" s="26" t="s">
        <v>660</v>
      </c>
      <c r="AA4" s="26" t="s">
        <v>661</v>
      </c>
      <c r="AB4" s="26" t="s">
        <v>653</v>
      </c>
      <c r="AC4" s="26" t="s">
        <v>663</v>
      </c>
      <c r="AD4" s="26" t="s">
        <v>653</v>
      </c>
      <c r="AE4" s="26" t="s">
        <v>665</v>
      </c>
      <c r="AF4" s="26" t="s">
        <v>666</v>
      </c>
      <c r="AG4" s="26" t="s">
        <v>653</v>
      </c>
      <c r="AH4" s="26" t="s">
        <v>668</v>
      </c>
      <c r="AI4" s="26" t="s">
        <v>669</v>
      </c>
      <c r="AJ4" s="26" t="s">
        <v>670</v>
      </c>
      <c r="AK4" s="26" t="s">
        <v>671</v>
      </c>
      <c r="AL4" s="26" t="s">
        <v>653</v>
      </c>
      <c r="AM4" s="120"/>
      <c r="AO4" s="31" t="s">
        <v>763</v>
      </c>
      <c r="AP4" s="125"/>
    </row>
    <row r="5" spans="1:42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28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25">
        <f>'TUSD BE'!$L$5*'TUSD BE'!$L$74</f>
        <v>0</v>
      </c>
      <c r="M5" s="25">
        <f>'TUSD BE'!$M$5*'TUSD BE'!$M$74</f>
        <v>0</v>
      </c>
      <c r="N5" s="25">
        <f ca="1">'TUSD BE'!$N$5*'TUSD BE'!$N$74</f>
        <v>0</v>
      </c>
      <c r="O5" s="25">
        <f>'TUSD BE'!$O$5*'TUSD BE'!$O$74</f>
        <v>0</v>
      </c>
      <c r="P5" s="25">
        <f>'TUSD BE'!$P$5*'TUSD BE'!$P$74</f>
        <v>0</v>
      </c>
      <c r="Q5" s="25">
        <f>'TUSD BE'!$Q$5*'TUSD BE'!$Q$74</f>
        <v>0</v>
      </c>
      <c r="R5" s="25">
        <f>'TUSD BE'!$R$5*'TUSD BE'!$R$74</f>
        <v>0</v>
      </c>
      <c r="S5" s="25">
        <f>'TUSD BE'!$R$5*'TUSD BE'!$S$74</f>
        <v>0</v>
      </c>
      <c r="T5" s="25">
        <f ca="1">SUM($L$5:$S$5)</f>
        <v>0</v>
      </c>
      <c r="U5" s="25">
        <f>'TUSD BE'!$U$5*'TUSD BE'!$U$74</f>
        <v>0</v>
      </c>
      <c r="V5" s="25">
        <f>'TUSD BE'!$V$5*'TUSD BE'!$V$74</f>
        <v>0</v>
      </c>
      <c r="W5" s="25">
        <f>'TUSD BE'!$W$5*'TUSD BE'!$W$74</f>
        <v>0</v>
      </c>
      <c r="X5" s="25">
        <f>'TUSD BE'!$X$5*'TUSD BE'!$X$74</f>
        <v>0</v>
      </c>
      <c r="Y5" s="25">
        <f>'TUSD BE'!$Y$5*'TUSD BE'!$Y$74</f>
        <v>0</v>
      </c>
      <c r="Z5" s="25">
        <f>'TUSD BE'!$Z$5*'TUSD BE'!$Z$74</f>
        <v>0</v>
      </c>
      <c r="AA5" s="25">
        <f>'TUSD BE'!$AA$5*'TUSD BE'!$AA$74</f>
        <v>3.2181875194505221E-3</v>
      </c>
      <c r="AB5" s="25">
        <f>SUM($U$5:$AA$5)</f>
        <v>3.2181875194505221E-3</v>
      </c>
      <c r="AC5" s="25">
        <f>'TUSD BE'!$AC$5*'TUSD BE'!$AC$74</f>
        <v>2.3060478121314607E-2</v>
      </c>
      <c r="AD5" s="25">
        <f>SUM($AC$5:$AC$5)</f>
        <v>2.3060478121314607E-2</v>
      </c>
      <c r="AE5" s="25">
        <f ca="1">$AO$5*$AO$71</f>
        <v>-0.45866590356789622</v>
      </c>
      <c r="AF5" s="25">
        <f ca="1">$AP$5*$AP$71</f>
        <v>0</v>
      </c>
      <c r="AG5" s="25">
        <f ca="1">SUM($AE$5:$AF$5)</f>
        <v>-0.45866590356789622</v>
      </c>
      <c r="AH5" s="25">
        <f>'TUSD BE'!$AH$5*'TUSD BE'!$AH$74</f>
        <v>0</v>
      </c>
      <c r="AI5" s="25">
        <f>'TUSD BE'!$AI$5*'TUSD BE'!$AI$74</f>
        <v>0</v>
      </c>
      <c r="AJ5" s="25">
        <f ca="1">'TUSD BE'!$AJ$5*'TUSD BE'!$AJ$74</f>
        <v>0</v>
      </c>
      <c r="AK5" s="25">
        <f ca="1">'TUSD BE'!$AK$5*'TUSD BE'!$AK$74</f>
        <v>0</v>
      </c>
      <c r="AL5" s="25">
        <f ca="1">SUM($AH$5:$AK$5)</f>
        <v>0</v>
      </c>
      <c r="AM5" s="25">
        <f ca="1">SUMIF($L$4:$AL$4,"SUBTOTAL",$L$5:$AL$5)</f>
        <v>-0.43238723792713107</v>
      </c>
      <c r="AO5" s="30">
        <f>+'TUSD BE'!$T$5+'TUSD BE'!$AB$5+'TUSD BE'!$AD$5+'TUSD BE'!$AL$5</f>
        <v>6.8968999999999996</v>
      </c>
      <c r="AP5" s="30">
        <f>+'TUSD BE'!$T$5+'TUSD BE'!$AB$5+'TUSD BE'!$AD$5+'TUSD BE'!$AL$5</f>
        <v>6.8968999999999996</v>
      </c>
    </row>
    <row r="6" spans="1:42" ht="11.25" customHeight="1" x14ac:dyDescent="0.25">
      <c r="A6" s="118"/>
      <c r="B6" s="118"/>
      <c r="C6" s="118"/>
      <c r="D6" s="118"/>
      <c r="E6" s="118"/>
      <c r="F6" s="28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25">
        <f>'TUSD BE'!$L$6*'TUSD BE'!$L$74</f>
        <v>0</v>
      </c>
      <c r="M6" s="25">
        <f>'TUSD BE'!$M$6*'TUSD BE'!$M$74</f>
        <v>1.8845550843878368E-3</v>
      </c>
      <c r="N6" s="25">
        <f ca="1">'TUSD BE'!$N$6*'TUSD BE'!$N$74</f>
        <v>0</v>
      </c>
      <c r="O6" s="25">
        <f>'TUSD BE'!$O$6*'TUSD BE'!$O$74</f>
        <v>0</v>
      </c>
      <c r="P6" s="25">
        <f>'TUSD BE'!$P$6*'TUSD BE'!$P$74</f>
        <v>0</v>
      </c>
      <c r="Q6" s="25">
        <f>'TUSD BE'!$Q$6*'TUSD BE'!$Q$74</f>
        <v>0</v>
      </c>
      <c r="R6" s="25">
        <f>'TUSD BE'!$R$6*'TUSD BE'!$R$74</f>
        <v>0</v>
      </c>
      <c r="S6" s="25">
        <f>'TUSD BE'!$R$6*'TUSD BE'!$S$74</f>
        <v>0</v>
      </c>
      <c r="T6" s="25">
        <f ca="1">SUM($L$6:$S$6)</f>
        <v>1.8845550843878368E-3</v>
      </c>
      <c r="U6" s="25">
        <f>'TUSD BE'!$U$6*'TUSD BE'!$U$74</f>
        <v>0</v>
      </c>
      <c r="V6" s="25">
        <f>'TUSD BE'!$V$6*'TUSD BE'!$V$74</f>
        <v>0</v>
      </c>
      <c r="W6" s="25">
        <f>'TUSD BE'!$W$6*'TUSD BE'!$W$74</f>
        <v>0</v>
      </c>
      <c r="X6" s="25">
        <f>'TUSD BE'!$X$6*'TUSD BE'!$X$74</f>
        <v>0</v>
      </c>
      <c r="Y6" s="25">
        <f>'TUSD BE'!$Y$6*'TUSD BE'!$Y$74</f>
        <v>0</v>
      </c>
      <c r="Z6" s="25">
        <f>'TUSD BE'!$Z$6*'TUSD BE'!$Z$74</f>
        <v>0</v>
      </c>
      <c r="AA6" s="25">
        <f>'TUSD BE'!$AA$6*'TUSD BE'!$AA$74</f>
        <v>0</v>
      </c>
      <c r="AB6" s="25">
        <f>SUM($U$6:$AA$6)</f>
        <v>0</v>
      </c>
      <c r="AC6" s="25">
        <f>'TUSD BE'!$AC$6*'TUSD BE'!$AC$74</f>
        <v>3.9440705877763311E-3</v>
      </c>
      <c r="AD6" s="25">
        <f>SUM($AC$6:$AC$6)</f>
        <v>3.9440705877763311E-3</v>
      </c>
      <c r="AE6" s="25">
        <f ca="1">$AO$6*$AO$71</f>
        <v>-8.5124092935508294E-2</v>
      </c>
      <c r="AF6" s="25">
        <f ca="1">$AP$6*$AP$71</f>
        <v>0</v>
      </c>
      <c r="AG6" s="25">
        <f ca="1">SUM($AE$6:$AF$6)</f>
        <v>-8.5124092935508294E-2</v>
      </c>
      <c r="AH6" s="25">
        <f>'TUSD BE'!$AH$6*'TUSD BE'!$AH$74</f>
        <v>0</v>
      </c>
      <c r="AI6" s="25">
        <f>'TUSD BE'!$AI$6*'TUSD BE'!$AI$74</f>
        <v>0</v>
      </c>
      <c r="AJ6" s="25">
        <f ca="1">'TUSD BE'!$AJ$6*'TUSD BE'!$AJ$74</f>
        <v>0</v>
      </c>
      <c r="AK6" s="25">
        <f ca="1">'TUSD BE'!$AK$6*'TUSD BE'!$AK$74</f>
        <v>0</v>
      </c>
      <c r="AL6" s="25">
        <f ca="1">SUM($AH$6:$AK$6)</f>
        <v>0</v>
      </c>
      <c r="AM6" s="25">
        <f ca="1">SUMIF($L$4:$AL$4,"SUBTOTAL",$L$6:$AL$6)</f>
        <v>-7.9295467263344133E-2</v>
      </c>
      <c r="AO6" s="30">
        <f>+'TUSD BE'!$T$6+'TUSD BE'!$AB$6+'TUSD BE'!$AD$6+'TUSD BE'!$AL$6</f>
        <v>1.28</v>
      </c>
      <c r="AP6" s="30">
        <f>+'TUSD BE'!$T$6+'TUSD BE'!$AB$6+'TUSD BE'!$AD$6+'TUSD BE'!$AL$6</f>
        <v>1.28</v>
      </c>
    </row>
    <row r="7" spans="1:42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25">
        <f>'TUSD BE'!$L$7*'TUSD BE'!$L$74</f>
        <v>0</v>
      </c>
      <c r="M7" s="25">
        <f>'TUSD BE'!$M$7*'TUSD BE'!$M$74</f>
        <v>0</v>
      </c>
      <c r="N7" s="25">
        <f ca="1">'TUSD BE'!$N$7*'TUSD BE'!$N$74</f>
        <v>0</v>
      </c>
      <c r="O7" s="25">
        <f>'TUSD BE'!$O$7*'TUSD BE'!$O$74</f>
        <v>0</v>
      </c>
      <c r="P7" s="25">
        <f>'TUSD BE'!$P$7*'TUSD BE'!$P$74</f>
        <v>0</v>
      </c>
      <c r="Q7" s="25">
        <f>'TUSD BE'!$Q$7*'TUSD BE'!$Q$74</f>
        <v>0</v>
      </c>
      <c r="R7" s="25">
        <f>'TUSD BE'!$R$7*'TUSD BE'!$R$74</f>
        <v>0</v>
      </c>
      <c r="S7" s="25">
        <f>'TUSD BE'!$R$7*'TUSD BE'!$S$74</f>
        <v>0</v>
      </c>
      <c r="T7" s="25">
        <f ca="1">SUM($L$7:$S$7)</f>
        <v>0</v>
      </c>
      <c r="U7" s="25">
        <f>'TUSD BE'!$U$7*'TUSD BE'!$U$74</f>
        <v>-1.4887784135535125</v>
      </c>
      <c r="V7" s="25">
        <f>'TUSD BE'!$V$7*'TUSD BE'!$V$74</f>
        <v>1.0688522024562903E-2</v>
      </c>
      <c r="W7" s="25">
        <f>'TUSD BE'!$W$7*'TUSD BE'!$W$74</f>
        <v>-7.3838264123566851E-4</v>
      </c>
      <c r="X7" s="25">
        <f>'TUSD BE'!$X$7*'TUSD BE'!$X$74</f>
        <v>0</v>
      </c>
      <c r="Y7" s="25">
        <f>'TUSD BE'!$Y$7*'TUSD BE'!$Y$74</f>
        <v>0</v>
      </c>
      <c r="Z7" s="25">
        <f>'TUSD BE'!$Z$7*'TUSD BE'!$Z$74</f>
        <v>0</v>
      </c>
      <c r="AA7" s="25">
        <f>'TUSD BE'!$AA$7*'TUSD BE'!$AA$74</f>
        <v>0</v>
      </c>
      <c r="AB7" s="25">
        <f>SUM($U$7:$AA$7)</f>
        <v>-1.4788282741701853</v>
      </c>
      <c r="AC7" s="25">
        <f>'TUSD BE'!$AC$7*'TUSD BE'!$AC$74</f>
        <v>0.13482254139118829</v>
      </c>
      <c r="AD7" s="25">
        <f>SUM($AC$7:$AC$7)</f>
        <v>0.13482254139118829</v>
      </c>
      <c r="AE7" s="25">
        <f ca="1">$AO$7*$AO$71</f>
        <v>-3.3601942833625937</v>
      </c>
      <c r="AF7" s="25">
        <f ca="1">$AP$7*$AP$71</f>
        <v>0</v>
      </c>
      <c r="AG7" s="25">
        <f ca="1">SUM($AE$7:$AF$7)</f>
        <v>-3.3601942833625937</v>
      </c>
      <c r="AH7" s="25">
        <f>'TUSD BE'!$AH$7*'TUSD BE'!$AH$74</f>
        <v>0</v>
      </c>
      <c r="AI7" s="25">
        <f>'TUSD BE'!$AI$7*'TUSD BE'!$AI$74</f>
        <v>0</v>
      </c>
      <c r="AJ7" s="25">
        <f ca="1">'TUSD BE'!$AJ$7*'TUSD BE'!$AJ$74</f>
        <v>0</v>
      </c>
      <c r="AK7" s="25">
        <f ca="1">'TUSD BE'!$AK$7*'TUSD BE'!$AK$74</f>
        <v>0</v>
      </c>
      <c r="AL7" s="25">
        <f ca="1">SUM($AH$7:$AK$7)</f>
        <v>0</v>
      </c>
      <c r="AM7" s="25">
        <f ca="1">SUMIF($L$4:$AL$4,"SUBTOTAL",$L$7:$AL$7)</f>
        <v>-4.7042000161415904</v>
      </c>
      <c r="AO7" s="30">
        <f ca="1">+'TUSD BE'!$T$7+'TUSD BE'!$AB$7+'TUSD BE'!$AD$7+'TUSD BE'!$AL$7</f>
        <v>50.526807797678146</v>
      </c>
      <c r="AP7" s="30">
        <f ca="1">+'TUSD BE'!$T$7+'TUSD BE'!$AB$7+'TUSD BE'!$AD$7+'TUSD BE'!$AL$7</f>
        <v>50.526807797678146</v>
      </c>
    </row>
    <row r="8" spans="1:42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25">
        <f>'TUSD BE'!$L$8*'TUSD BE'!$L$74</f>
        <v>0</v>
      </c>
      <c r="M8" s="25">
        <f>'TUSD BE'!$M$8*'TUSD BE'!$M$74</f>
        <v>0</v>
      </c>
      <c r="N8" s="25">
        <f ca="1">'TUSD BE'!$N$8*'TUSD BE'!$N$74</f>
        <v>0</v>
      </c>
      <c r="O8" s="25">
        <f>'TUSD BE'!$O$8*'TUSD BE'!$O$74</f>
        <v>0</v>
      </c>
      <c r="P8" s="25">
        <f>'TUSD BE'!$P$8*'TUSD BE'!$P$74</f>
        <v>0</v>
      </c>
      <c r="Q8" s="25">
        <f>'TUSD BE'!$Q$8*'TUSD BE'!$Q$74</f>
        <v>0</v>
      </c>
      <c r="R8" s="25">
        <f>'TUSD BE'!$R$8*'TUSD BE'!$R$74</f>
        <v>0</v>
      </c>
      <c r="S8" s="25">
        <f>'TUSD BE'!$R$8*'TUSD BE'!$S$74</f>
        <v>0</v>
      </c>
      <c r="T8" s="25">
        <f ca="1">SUM($L$8:$S$8)</f>
        <v>0</v>
      </c>
      <c r="U8" s="25">
        <f>'TUSD BE'!$U$8*'TUSD BE'!$U$74</f>
        <v>-1.7010656776125377</v>
      </c>
      <c r="V8" s="25">
        <f>'TUSD BE'!$V$8*'TUSD BE'!$V$74</f>
        <v>1.2585615938320967E-2</v>
      </c>
      <c r="W8" s="25">
        <f>'TUSD BE'!$W$8*'TUSD BE'!$W$74</f>
        <v>-7.9254273716982521E-4</v>
      </c>
      <c r="X8" s="25">
        <f>'TUSD BE'!$X$8*'TUSD BE'!$X$74</f>
        <v>0</v>
      </c>
      <c r="Y8" s="25">
        <f>'TUSD BE'!$Y$8*'TUSD BE'!$Y$74</f>
        <v>0</v>
      </c>
      <c r="Z8" s="25">
        <f>'TUSD BE'!$Z$8*'TUSD BE'!$Z$74</f>
        <v>0</v>
      </c>
      <c r="AA8" s="25">
        <f>'TUSD BE'!$AA$8*'TUSD BE'!$AA$74</f>
        <v>0</v>
      </c>
      <c r="AB8" s="25">
        <f>SUM($U$8:$AA$8)</f>
        <v>-1.6892726044113866</v>
      </c>
      <c r="AC8" s="25">
        <f>'TUSD BE'!$AC$8*'TUSD BE'!$AC$74</f>
        <v>1.7436822357468969E-2</v>
      </c>
      <c r="AD8" s="25">
        <f>SUM($AC$8:$AC$8)</f>
        <v>1.7436822357468969E-2</v>
      </c>
      <c r="AE8" s="25">
        <f ca="1">$AO$8*$AO$71</f>
        <v>-1.1794267516588359</v>
      </c>
      <c r="AF8" s="25">
        <f ca="1">$AP$8*$AP$71</f>
        <v>0</v>
      </c>
      <c r="AG8" s="25">
        <f ca="1">SUM($AE$8:$AF$8)</f>
        <v>-1.1794267516588359</v>
      </c>
      <c r="AH8" s="25">
        <f>'TUSD BE'!$AH$8*'TUSD BE'!$AH$74</f>
        <v>0</v>
      </c>
      <c r="AI8" s="25">
        <f>'TUSD BE'!$AI$8*'TUSD BE'!$AI$74</f>
        <v>0</v>
      </c>
      <c r="AJ8" s="25">
        <f ca="1">'TUSD BE'!$AJ$8*'TUSD BE'!$AJ$74</f>
        <v>0</v>
      </c>
      <c r="AK8" s="25">
        <f ca="1">'TUSD BE'!$AK$8*'TUSD BE'!$AK$74</f>
        <v>0</v>
      </c>
      <c r="AL8" s="25">
        <f ca="1">SUM($AH$8:$AK$8)</f>
        <v>0</v>
      </c>
      <c r="AM8" s="25">
        <f ca="1">SUMIF($L$4:$AL$4,"SUBTOTAL",$L$8:$AL$8)</f>
        <v>-2.8512625337127533</v>
      </c>
      <c r="AO8" s="30">
        <f ca="1">+'TUSD BE'!$T$8+'TUSD BE'!$AB$8+'TUSD BE'!$AD$8+'TUSD BE'!$AL$8</f>
        <v>17.734887856802928</v>
      </c>
      <c r="AP8" s="30">
        <f ca="1">+'TUSD BE'!$T$8+'TUSD BE'!$AB$8+'TUSD BE'!$AD$8+'TUSD BE'!$AL$8</f>
        <v>17.734887856802928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25">
        <f>'TUSD BE'!$L$9*'TUSD BE'!$L$74</f>
        <v>-0.34969695999792089</v>
      </c>
      <c r="M9" s="25">
        <f>'TUSD BE'!$M$9*'TUSD BE'!$M$74</f>
        <v>1.4054766464062068E-2</v>
      </c>
      <c r="N9" s="25">
        <f ca="1">'TUSD BE'!$N$9*'TUSD BE'!$N$74</f>
        <v>0</v>
      </c>
      <c r="O9" s="25">
        <f>'TUSD BE'!$O$9*'TUSD BE'!$O$74</f>
        <v>0</v>
      </c>
      <c r="P9" s="25">
        <f>'TUSD BE'!$P$9*'TUSD BE'!$P$74</f>
        <v>0</v>
      </c>
      <c r="Q9" s="25">
        <f>'TUSD BE'!$Q$9*'TUSD BE'!$Q$74</f>
        <v>1.7419631419042405</v>
      </c>
      <c r="R9" s="25">
        <f>'TUSD BE'!$R$9*'TUSD BE'!$R$74</f>
        <v>1.0703727539264616</v>
      </c>
      <c r="S9" s="25">
        <f>'TUSD BE'!$R$9*'TUSD BE'!$S$74</f>
        <v>0</v>
      </c>
      <c r="T9" s="25">
        <f ca="1">SUM($L$9:$S$9)</f>
        <v>2.4766937022968434</v>
      </c>
      <c r="U9" s="25">
        <f>'TUSD BE'!$U$9*'TUSD BE'!$U$74</f>
        <v>0</v>
      </c>
      <c r="V9" s="25">
        <f>'TUSD BE'!$V$9*'TUSD BE'!$V$74</f>
        <v>0</v>
      </c>
      <c r="W9" s="25">
        <f>'TUSD BE'!$W$9*'TUSD BE'!$W$74</f>
        <v>0</v>
      </c>
      <c r="X9" s="25">
        <f>'TUSD BE'!$X$9*'TUSD BE'!$X$74</f>
        <v>0</v>
      </c>
      <c r="Y9" s="25">
        <f>'TUSD BE'!$Y$9*'TUSD BE'!$Y$74</f>
        <v>0</v>
      </c>
      <c r="Z9" s="25">
        <f>'TUSD BE'!$Z$9*'TUSD BE'!$Z$74</f>
        <v>0</v>
      </c>
      <c r="AA9" s="25">
        <f>'TUSD BE'!$AA$9*'TUSD BE'!$AA$74</f>
        <v>0</v>
      </c>
      <c r="AB9" s="25">
        <f>SUM($U$9:$AA$9)</f>
        <v>0</v>
      </c>
      <c r="AC9" s="25">
        <f>'TUSD BE'!$AC$9*'TUSD BE'!$AC$74</f>
        <v>0</v>
      </c>
      <c r="AD9" s="25">
        <f>SUM($AC$9:$AC$9)</f>
        <v>0</v>
      </c>
      <c r="AE9" s="25">
        <f ca="1">$AO$9*$AO$71</f>
        <v>-8.9989131260535054</v>
      </c>
      <c r="AF9" s="25">
        <f ca="1">$AP$9*$AP$71</f>
        <v>0</v>
      </c>
      <c r="AG9" s="25">
        <f ca="1">SUM($AE$9:$AF$9)</f>
        <v>-8.9989131260535054</v>
      </c>
      <c r="AH9" s="25">
        <f>'TUSD BE'!$AH$9*'TUSD BE'!$AH$74</f>
        <v>-15.500398475401411</v>
      </c>
      <c r="AI9" s="25">
        <f>'TUSD BE'!$AI$9*'TUSD BE'!$AI$74</f>
        <v>-1.2532775083831666</v>
      </c>
      <c r="AJ9" s="25">
        <f ca="1">'TUSD BE'!$AJ$9*'TUSD BE'!$AJ$74</f>
        <v>-15.606923815578032</v>
      </c>
      <c r="AK9" s="25">
        <f ca="1">'TUSD BE'!$AK$9*'TUSD BE'!$AK$74</f>
        <v>4.3771722925444725E-3</v>
      </c>
      <c r="AL9" s="25">
        <f ca="1">SUM($AH$9:$AK$9)</f>
        <v>-32.356222627070068</v>
      </c>
      <c r="AM9" s="25">
        <f ca="1">SUMIF($L$4:$AL$4,"SUBTOTAL",$L$9:$AL$9)</f>
        <v>-38.878442050826727</v>
      </c>
      <c r="AO9" s="30">
        <f ca="1">+'TUSD BE'!$T$9+'TUSD BE'!$AB$9+'TUSD BE'!$AD$9+'TUSD BE'!$AL$9</f>
        <v>135.31549534483983</v>
      </c>
      <c r="AP9" s="30">
        <f ca="1">+'TUSD BE'!$T$9+'TUSD BE'!$AB$9+'TUSD BE'!$AD$9+'TUSD BE'!$AL$9</f>
        <v>135.31549534483983</v>
      </c>
    </row>
    <row r="10" spans="1:42" ht="11.25" customHeight="1" x14ac:dyDescent="0.25">
      <c r="A10" s="118"/>
      <c r="B10" s="118"/>
      <c r="C10" s="118"/>
      <c r="D10" s="118"/>
      <c r="E10" s="28" t="s">
        <v>85</v>
      </c>
      <c r="F10" s="28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25">
        <f>'TUSD BE'!$L$10*'TUSD BE'!$L$74</f>
        <v>0</v>
      </c>
      <c r="M10" s="25">
        <f>'TUSD BE'!$M$10*'TUSD BE'!$M$74</f>
        <v>1.4054766464062068E-2</v>
      </c>
      <c r="N10" s="25">
        <f ca="1">'TUSD BE'!$N$10*'TUSD BE'!$N$74</f>
        <v>0</v>
      </c>
      <c r="O10" s="25">
        <f>'TUSD BE'!$O$10*'TUSD BE'!$O$74</f>
        <v>0</v>
      </c>
      <c r="P10" s="25">
        <f>'TUSD BE'!$P$10*'TUSD BE'!$P$74</f>
        <v>0</v>
      </c>
      <c r="Q10" s="25">
        <f>'TUSD BE'!$Q$10*'TUSD BE'!$Q$74</f>
        <v>0</v>
      </c>
      <c r="R10" s="25">
        <f>'TUSD BE'!$R$10*'TUSD BE'!$R$74</f>
        <v>0</v>
      </c>
      <c r="S10" s="25">
        <f>'TUSD BE'!$R$10*'TUSD BE'!$S$74</f>
        <v>0</v>
      </c>
      <c r="T10" s="25">
        <f ca="1">SUM($L$10:$S$10)</f>
        <v>1.4054766464062068E-2</v>
      </c>
      <c r="U10" s="25">
        <f>'TUSD BE'!$U$10*'TUSD BE'!$U$74</f>
        <v>0</v>
      </c>
      <c r="V10" s="25">
        <f>'TUSD BE'!$V$10*'TUSD BE'!$V$74</f>
        <v>0</v>
      </c>
      <c r="W10" s="25">
        <f>'TUSD BE'!$W$10*'TUSD BE'!$W$74</f>
        <v>0</v>
      </c>
      <c r="X10" s="25">
        <f>'TUSD BE'!$X$10*'TUSD BE'!$X$74</f>
        <v>0</v>
      </c>
      <c r="Y10" s="25">
        <f>'TUSD BE'!$Y$10*'TUSD BE'!$Y$74</f>
        <v>0</v>
      </c>
      <c r="Z10" s="25">
        <f>'TUSD BE'!$Z$10*'TUSD BE'!$Z$74</f>
        <v>0</v>
      </c>
      <c r="AA10" s="25">
        <f>'TUSD BE'!$AA$10*'TUSD BE'!$AA$74</f>
        <v>0</v>
      </c>
      <c r="AB10" s="25">
        <f>SUM($U$10:$AA$10)</f>
        <v>0</v>
      </c>
      <c r="AC10" s="25">
        <f>'TUSD BE'!$AC$10*'TUSD BE'!$AC$74</f>
        <v>0</v>
      </c>
      <c r="AD10" s="25">
        <f>SUM($AC$10:$AC$10)</f>
        <v>0</v>
      </c>
      <c r="AE10" s="25">
        <f ca="1">$AO$10*$AO$71</f>
        <v>-5.3235184301976508</v>
      </c>
      <c r="AF10" s="25">
        <f ca="1">$AP$10*$AP$71</f>
        <v>0</v>
      </c>
      <c r="AG10" s="25">
        <f ca="1">SUM($AE$10:$AF$10)</f>
        <v>-5.3235184301976508</v>
      </c>
      <c r="AH10" s="25">
        <f>'TUSD BE'!$AH$10*'TUSD BE'!$AH$74</f>
        <v>-15.500398475401411</v>
      </c>
      <c r="AI10" s="25">
        <f>'TUSD BE'!$AI$10*'TUSD BE'!$AI$74</f>
        <v>-1.2532775083831666</v>
      </c>
      <c r="AJ10" s="25">
        <f ca="1">'TUSD BE'!$AJ$10*'TUSD BE'!$AJ$74</f>
        <v>-15.606923815578032</v>
      </c>
      <c r="AK10" s="25">
        <f ca="1">'TUSD BE'!$AK$10*'TUSD BE'!$AK$74</f>
        <v>4.3771722925444725E-3</v>
      </c>
      <c r="AL10" s="25">
        <f ca="1">SUM($AH$10:$AK$10)</f>
        <v>-32.356222627070068</v>
      </c>
      <c r="AM10" s="25">
        <f ca="1">SUMIF($L$4:$AL$4,"SUBTOTAL",$L$10:$AL$10)</f>
        <v>-37.665686290803656</v>
      </c>
      <c r="AO10" s="30">
        <f ca="1">+'TUSD BE'!$T$10+'TUSD BE'!$AB$10+'TUSD BE'!$AD$10+'TUSD BE'!$AL$10</f>
        <v>80.049059621880417</v>
      </c>
      <c r="AP10" s="30">
        <f ca="1">+'TUSD BE'!$T$10+'TUSD BE'!$AB$10+'TUSD BE'!$AD$10+'TUSD BE'!$AL$10</f>
        <v>80.049059621880417</v>
      </c>
    </row>
    <row r="11" spans="1:42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25">
        <f>'TUSD BE'!$L$11*'TUSD BE'!$L$74</f>
        <v>0</v>
      </c>
      <c r="M11" s="25">
        <f>'TUSD BE'!$M$11*'TUSD BE'!$M$74</f>
        <v>0</v>
      </c>
      <c r="N11" s="25">
        <f ca="1">'TUSD BE'!$N$11*'TUSD BE'!$N$74</f>
        <v>0</v>
      </c>
      <c r="O11" s="25">
        <f>'TUSD BE'!$O$11*'TUSD BE'!$O$74</f>
        <v>0</v>
      </c>
      <c r="P11" s="25">
        <f>'TUSD BE'!$P$11*'TUSD BE'!$P$74</f>
        <v>0</v>
      </c>
      <c r="Q11" s="25">
        <f>'TUSD BE'!$Q$11*'TUSD BE'!$Q$74</f>
        <v>0</v>
      </c>
      <c r="R11" s="25">
        <f>'TUSD BE'!$R$11*'TUSD BE'!$R$74</f>
        <v>0</v>
      </c>
      <c r="S11" s="25">
        <f>'TUSD BE'!$R$11*'TUSD BE'!$S$74</f>
        <v>0</v>
      </c>
      <c r="T11" s="25">
        <f ca="1">SUM($L$11:$S$11)</f>
        <v>0</v>
      </c>
      <c r="U11" s="25">
        <f>'TUSD BE'!$U$11*'TUSD BE'!$U$74</f>
        <v>-1.4887784135535125</v>
      </c>
      <c r="V11" s="25">
        <f>'TUSD BE'!$V$11*'TUSD BE'!$V$74</f>
        <v>1.0688522024562903E-2</v>
      </c>
      <c r="W11" s="25">
        <f>'TUSD BE'!$W$11*'TUSD BE'!$W$74</f>
        <v>-7.3838264123566851E-4</v>
      </c>
      <c r="X11" s="25">
        <f>'TUSD BE'!$X$11*'TUSD BE'!$X$74</f>
        <v>0</v>
      </c>
      <c r="Y11" s="25">
        <f>'TUSD BE'!$Y$11*'TUSD BE'!$Y$74</f>
        <v>0</v>
      </c>
      <c r="Z11" s="25">
        <f>'TUSD BE'!$Z$11*'TUSD BE'!$Z$74</f>
        <v>0</v>
      </c>
      <c r="AA11" s="25">
        <f>'TUSD BE'!$AA$11*'TUSD BE'!$AA$74</f>
        <v>0</v>
      </c>
      <c r="AB11" s="25">
        <f>SUM($U$11:$AA$11)</f>
        <v>-1.4788282741701853</v>
      </c>
      <c r="AC11" s="25">
        <f>'TUSD BE'!$AC$11*'TUSD BE'!$AC$74</f>
        <v>0.16354308520949337</v>
      </c>
      <c r="AD11" s="25">
        <f>SUM($AC$11:$AC$11)</f>
        <v>0.16354308520949337</v>
      </c>
      <c r="AE11" s="25">
        <f ca="1">$AO$11*$AO$71</f>
        <v>-3.9199657679498427</v>
      </c>
      <c r="AF11" s="25">
        <f ca="1">$AP$11*$AP$71</f>
        <v>0</v>
      </c>
      <c r="AG11" s="25">
        <f ca="1">SUM($AE$11:$AF$11)</f>
        <v>-3.9199657679498427</v>
      </c>
      <c r="AH11" s="25">
        <f>'TUSD BE'!$AH$11*'TUSD BE'!$AH$74</f>
        <v>0</v>
      </c>
      <c r="AI11" s="25">
        <f>'TUSD BE'!$AI$11*'TUSD BE'!$AI$74</f>
        <v>0</v>
      </c>
      <c r="AJ11" s="25">
        <f ca="1">'TUSD BE'!$AJ$11*'TUSD BE'!$AJ$74</f>
        <v>0</v>
      </c>
      <c r="AK11" s="25">
        <f ca="1">'TUSD BE'!$AK$11*'TUSD BE'!$AK$74</f>
        <v>0</v>
      </c>
      <c r="AL11" s="25">
        <f ca="1">SUM($AH$11:$AK$11)</f>
        <v>0</v>
      </c>
      <c r="AM11" s="25">
        <f ca="1">SUMIF($L$4:$AL$4,"SUBTOTAL",$L$11:$AL$11)</f>
        <v>-5.2352509569105345</v>
      </c>
      <c r="AO11" s="30">
        <f ca="1">+'TUSD BE'!$T$11+'TUSD BE'!$AB$11+'TUSD BE'!$AD$11+'TUSD BE'!$AL$11</f>
        <v>58.944019371545011</v>
      </c>
      <c r="AP11" s="30">
        <f ca="1">+'TUSD BE'!$T$11+'TUSD BE'!$AB$11+'TUSD BE'!$AD$11+'TUSD BE'!$AL$11</f>
        <v>58.944019371545011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25">
        <f>'TUSD BE'!$L$12*'TUSD BE'!$L$74</f>
        <v>0</v>
      </c>
      <c r="M12" s="25">
        <f>'TUSD BE'!$M$12*'TUSD BE'!$M$74</f>
        <v>0</v>
      </c>
      <c r="N12" s="25">
        <f ca="1">'TUSD BE'!$N$12*'TUSD BE'!$N$74</f>
        <v>0</v>
      </c>
      <c r="O12" s="25">
        <f>'TUSD BE'!$O$12*'TUSD BE'!$O$74</f>
        <v>0</v>
      </c>
      <c r="P12" s="25">
        <f>'TUSD BE'!$P$12*'TUSD BE'!$P$74</f>
        <v>0</v>
      </c>
      <c r="Q12" s="25">
        <f>'TUSD BE'!$Q$12*'TUSD BE'!$Q$74</f>
        <v>0</v>
      </c>
      <c r="R12" s="25">
        <f>'TUSD BE'!$R$12*'TUSD BE'!$R$74</f>
        <v>0</v>
      </c>
      <c r="S12" s="25">
        <f>'TUSD BE'!$R$12*'TUSD BE'!$S$74</f>
        <v>0</v>
      </c>
      <c r="T12" s="25">
        <f ca="1">SUM($L$12:$S$12)</f>
        <v>0</v>
      </c>
      <c r="U12" s="25">
        <f>'TUSD BE'!$U$12*'TUSD BE'!$U$74</f>
        <v>-0.81840548378571409</v>
      </c>
      <c r="V12" s="25">
        <f>'TUSD BE'!$V$12*'TUSD BE'!$V$74</f>
        <v>6.0549623009744473E-3</v>
      </c>
      <c r="W12" s="25">
        <f>'TUSD BE'!$W$12*'TUSD BE'!$W$74</f>
        <v>-3.8092600807023493E-4</v>
      </c>
      <c r="X12" s="25">
        <f>'TUSD BE'!$X$12*'TUSD BE'!$X$74</f>
        <v>0</v>
      </c>
      <c r="Y12" s="25">
        <f>'TUSD BE'!$Y$12*'TUSD BE'!$Y$74</f>
        <v>0</v>
      </c>
      <c r="Z12" s="25">
        <f>'TUSD BE'!$Z$12*'TUSD BE'!$Z$74</f>
        <v>0</v>
      </c>
      <c r="AA12" s="25">
        <f>'TUSD BE'!$AA$12*'TUSD BE'!$AA$74</f>
        <v>0</v>
      </c>
      <c r="AB12" s="25">
        <f>SUM($U$12:$AA$12)</f>
        <v>-0.8127314474928099</v>
      </c>
      <c r="AC12" s="25">
        <f>'TUSD BE'!$AC$12*'TUSD BE'!$AC$74</f>
        <v>5.8396024722395114E-2</v>
      </c>
      <c r="AD12" s="25">
        <f>SUM($AC$12:$AC$12)</f>
        <v>5.8396024722395114E-2</v>
      </c>
      <c r="AE12" s="25">
        <f ca="1">$AO$12*$AO$71</f>
        <v>-1.5420844705863042</v>
      </c>
      <c r="AF12" s="25">
        <f ca="1">$AP$12*$AP$71</f>
        <v>0</v>
      </c>
      <c r="AG12" s="25">
        <f ca="1">SUM($AE$12:$AF$12)</f>
        <v>-1.5420844705863042</v>
      </c>
      <c r="AH12" s="25">
        <f>'TUSD BE'!$AH$12*'TUSD BE'!$AH$74</f>
        <v>0</v>
      </c>
      <c r="AI12" s="25">
        <f>'TUSD BE'!$AI$12*'TUSD BE'!$AI$74</f>
        <v>0</v>
      </c>
      <c r="AJ12" s="25">
        <f ca="1">'TUSD BE'!$AJ$12*'TUSD BE'!$AJ$74</f>
        <v>0</v>
      </c>
      <c r="AK12" s="25">
        <f ca="1">'TUSD BE'!$AK$12*'TUSD BE'!$AK$74</f>
        <v>0</v>
      </c>
      <c r="AL12" s="25">
        <f ca="1">SUM($AH$12:$AK$12)</f>
        <v>0</v>
      </c>
      <c r="AM12" s="25">
        <f ca="1">SUMIF($L$4:$AL$4,"SUBTOTAL",$L$12:$AL$12)</f>
        <v>-2.296419893356719</v>
      </c>
      <c r="AO12" s="30">
        <f ca="1">+'TUSD BE'!$T$12+'TUSD BE'!$AB$12+'TUSD BE'!$AD$12+'TUSD BE'!$AL$12</f>
        <v>23.188125174454559</v>
      </c>
      <c r="AP12" s="30">
        <f ca="1">+'TUSD BE'!$T$12+'TUSD BE'!$AB$12+'TUSD BE'!$AD$12+'TUSD BE'!$AL$12</f>
        <v>23.188125174454559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25">
        <f>'TUSD BE'!$L$13*'TUSD BE'!$L$74</f>
        <v>-0.47378297806169928</v>
      </c>
      <c r="M13" s="25">
        <f>'TUSD BE'!$M$13*'TUSD BE'!$M$74</f>
        <v>4.0972916841989941E-2</v>
      </c>
      <c r="N13" s="25">
        <f ca="1">'TUSD BE'!$N$13*'TUSD BE'!$N$74</f>
        <v>0</v>
      </c>
      <c r="O13" s="25">
        <f>'TUSD BE'!$O$13*'TUSD BE'!$O$74</f>
        <v>0</v>
      </c>
      <c r="P13" s="25">
        <f>'TUSD BE'!$P$13*'TUSD BE'!$P$74</f>
        <v>0</v>
      </c>
      <c r="Q13" s="25">
        <f>'TUSD BE'!$Q$13*'TUSD BE'!$Q$74</f>
        <v>2.3600790954831647</v>
      </c>
      <c r="R13" s="25">
        <f>'TUSD BE'!$R$13*'TUSD BE'!$R$74</f>
        <v>1.0703727539264616</v>
      </c>
      <c r="S13" s="25">
        <f>'TUSD BE'!$R$13*'TUSD BE'!$S$74</f>
        <v>0</v>
      </c>
      <c r="T13" s="25">
        <f ca="1">SUM($L$13:$S$13)</f>
        <v>2.9976417881899171</v>
      </c>
      <c r="U13" s="25">
        <f>'TUSD BE'!$U$13*'TUSD BE'!$U$74</f>
        <v>0</v>
      </c>
      <c r="V13" s="25">
        <f>'TUSD BE'!$V$13*'TUSD BE'!$V$74</f>
        <v>0</v>
      </c>
      <c r="W13" s="25">
        <f>'TUSD BE'!$W$13*'TUSD BE'!$W$74</f>
        <v>0</v>
      </c>
      <c r="X13" s="25">
        <f>'TUSD BE'!$X$13*'TUSD BE'!$X$74</f>
        <v>0</v>
      </c>
      <c r="Y13" s="25">
        <f>'TUSD BE'!$Y$13*'TUSD BE'!$Y$74</f>
        <v>0</v>
      </c>
      <c r="Z13" s="25">
        <f>'TUSD BE'!$Z$13*'TUSD BE'!$Z$74</f>
        <v>0</v>
      </c>
      <c r="AA13" s="25">
        <f>'TUSD BE'!$AA$13*'TUSD BE'!$AA$74</f>
        <v>0</v>
      </c>
      <c r="AB13" s="25">
        <f>SUM($U$13:$AA$13)</f>
        <v>0</v>
      </c>
      <c r="AC13" s="25">
        <f>'TUSD BE'!$AC$13*'TUSD BE'!$AC$74</f>
        <v>0</v>
      </c>
      <c r="AD13" s="25">
        <f>SUM($AC$13:$AC$13)</f>
        <v>0</v>
      </c>
      <c r="AE13" s="25">
        <f ca="1">$AO$13*$AO$71</f>
        <v>-12.441068681137567</v>
      </c>
      <c r="AF13" s="25">
        <f ca="1">$AP$13*$AP$71</f>
        <v>0</v>
      </c>
      <c r="AG13" s="25">
        <f ca="1">SUM($AE$13:$AF$13)</f>
        <v>-12.441068681137567</v>
      </c>
      <c r="AH13" s="25">
        <f>'TUSD BE'!$AH$13*'TUSD BE'!$AH$74</f>
        <v>-15.500398475401411</v>
      </c>
      <c r="AI13" s="25">
        <f>'TUSD BE'!$AI$13*'TUSD BE'!$AI$74</f>
        <v>-1.2532775083831666</v>
      </c>
      <c r="AJ13" s="25">
        <f ca="1">'TUSD BE'!$AJ$13*'TUSD BE'!$AJ$74</f>
        <v>-29.223802298384523</v>
      </c>
      <c r="AK13" s="25">
        <f ca="1">'TUSD BE'!$AK$13*'TUSD BE'!$AK$74</f>
        <v>8.1962095294913512E-3</v>
      </c>
      <c r="AL13" s="25">
        <f ca="1">SUM($AH$13:$AK$13)</f>
        <v>-45.969282072639608</v>
      </c>
      <c r="AM13" s="25">
        <f ca="1">SUMIF($L$4:$AL$4,"SUBTOTAL",$L$13:$AL$13)</f>
        <v>-55.412708965587257</v>
      </c>
      <c r="AO13" s="30">
        <f ca="1">+'TUSD BE'!$T$13+'TUSD BE'!$AB$13+'TUSD BE'!$AD$13+'TUSD BE'!$AL$13</f>
        <v>187.07474420809223</v>
      </c>
      <c r="AP13" s="30">
        <f ca="1">+'TUSD BE'!$T$13+'TUSD BE'!$AB$13+'TUSD BE'!$AD$13+'TUSD BE'!$AL$13</f>
        <v>187.07474420809223</v>
      </c>
    </row>
    <row r="14" spans="1:42" ht="11.25" customHeight="1" x14ac:dyDescent="0.25">
      <c r="A14" s="118"/>
      <c r="B14" s="118"/>
      <c r="C14" s="118"/>
      <c r="D14" s="118"/>
      <c r="E14" s="28" t="s">
        <v>85</v>
      </c>
      <c r="F14" s="28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25">
        <f>'TUSD BE'!$L$14*'TUSD BE'!$L$74</f>
        <v>0</v>
      </c>
      <c r="M14" s="25">
        <f>'TUSD BE'!$M$14*'TUSD BE'!$M$74</f>
        <v>4.0972916841989941E-2</v>
      </c>
      <c r="N14" s="25">
        <f ca="1">'TUSD BE'!$N$14*'TUSD BE'!$N$74</f>
        <v>0</v>
      </c>
      <c r="O14" s="25">
        <f>'TUSD BE'!$O$14*'TUSD BE'!$O$74</f>
        <v>0</v>
      </c>
      <c r="P14" s="25">
        <f>'TUSD BE'!$P$14*'TUSD BE'!$P$74</f>
        <v>0</v>
      </c>
      <c r="Q14" s="25">
        <f>'TUSD BE'!$Q$14*'TUSD BE'!$Q$74</f>
        <v>0</v>
      </c>
      <c r="R14" s="25">
        <f>'TUSD BE'!$R$14*'TUSD BE'!$R$74</f>
        <v>0</v>
      </c>
      <c r="S14" s="25">
        <f>'TUSD BE'!$R$14*'TUSD BE'!$S$74</f>
        <v>0</v>
      </c>
      <c r="T14" s="25">
        <f ca="1">SUM($L$14:$S$14)</f>
        <v>4.0972916841989941E-2</v>
      </c>
      <c r="U14" s="25">
        <f>'TUSD BE'!$U$14*'TUSD BE'!$U$74</f>
        <v>0</v>
      </c>
      <c r="V14" s="25">
        <f>'TUSD BE'!$V$14*'TUSD BE'!$V$74</f>
        <v>0</v>
      </c>
      <c r="W14" s="25">
        <f>'TUSD BE'!$W$14*'TUSD BE'!$W$74</f>
        <v>0</v>
      </c>
      <c r="X14" s="25">
        <f>'TUSD BE'!$X$14*'TUSD BE'!$X$74</f>
        <v>0</v>
      </c>
      <c r="Y14" s="25">
        <f>'TUSD BE'!$Y$14*'TUSD BE'!$Y$74</f>
        <v>0</v>
      </c>
      <c r="Z14" s="25">
        <f>'TUSD BE'!$Z$14*'TUSD BE'!$Z$74</f>
        <v>0</v>
      </c>
      <c r="AA14" s="25">
        <f>'TUSD BE'!$AA$14*'TUSD BE'!$AA$74</f>
        <v>0</v>
      </c>
      <c r="AB14" s="25">
        <f>SUM($U$14:$AA$14)</f>
        <v>0</v>
      </c>
      <c r="AC14" s="25">
        <f>'TUSD BE'!$AC$14*'TUSD BE'!$AC$74</f>
        <v>0</v>
      </c>
      <c r="AD14" s="25">
        <f>SUM($AC$14:$AC$14)</f>
        <v>0</v>
      </c>
      <c r="AE14" s="25">
        <f ca="1">$AO$14*$AO$71</f>
        <v>-7.816033339629139</v>
      </c>
      <c r="AF14" s="25">
        <f ca="1">$AP$14*$AP$71</f>
        <v>0</v>
      </c>
      <c r="AG14" s="25">
        <f ca="1">SUM($AE$14:$AF$14)</f>
        <v>-7.816033339629139</v>
      </c>
      <c r="AH14" s="25">
        <f>'TUSD BE'!$AH$14*'TUSD BE'!$AH$74</f>
        <v>-15.500398475401411</v>
      </c>
      <c r="AI14" s="25">
        <f>'TUSD BE'!$AI$14*'TUSD BE'!$AI$74</f>
        <v>-1.2532775083831666</v>
      </c>
      <c r="AJ14" s="25">
        <f ca="1">'TUSD BE'!$AJ$14*'TUSD BE'!$AJ$74</f>
        <v>-29.223802298384523</v>
      </c>
      <c r="AK14" s="25">
        <f ca="1">'TUSD BE'!$AK$14*'TUSD BE'!$AK$74</f>
        <v>8.1962095294913512E-3</v>
      </c>
      <c r="AL14" s="25">
        <f ca="1">SUM($AH$14:$AK$14)</f>
        <v>-45.969282072639608</v>
      </c>
      <c r="AM14" s="25">
        <f ca="1">SUMIF($L$4:$AL$4,"SUBTOTAL",$L$14:$AL$14)</f>
        <v>-53.744342495426757</v>
      </c>
      <c r="AO14" s="30">
        <f ca="1">+'TUSD BE'!$T$14+'TUSD BE'!$AB$14+'TUSD BE'!$AD$14+'TUSD BE'!$AL$14</f>
        <v>117.52868464989017</v>
      </c>
      <c r="AP14" s="30">
        <f ca="1">+'TUSD BE'!$T$14+'TUSD BE'!$AB$14+'TUSD BE'!$AD$14+'TUSD BE'!$AL$14</f>
        <v>117.52868464989017</v>
      </c>
    </row>
    <row r="15" spans="1:42" ht="11.25" customHeight="1" x14ac:dyDescent="0.25">
      <c r="A15" s="118"/>
      <c r="B15" s="28" t="s">
        <v>58</v>
      </c>
      <c r="C15" s="28" t="s">
        <v>25</v>
      </c>
      <c r="D15" s="28" t="s">
        <v>25</v>
      </c>
      <c r="E15" s="28" t="s">
        <v>25</v>
      </c>
      <c r="F15" s="28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25">
        <f>'TUSD BE'!$L$15*'TUSD BE'!$L$74</f>
        <v>0</v>
      </c>
      <c r="M15" s="25">
        <f>'TUSD BE'!$M$15*'TUSD BE'!$M$74</f>
        <v>1.8429331604020841E-3</v>
      </c>
      <c r="N15" s="25">
        <f ca="1">'TUSD BE'!$N$15*'TUSD BE'!$N$74</f>
        <v>0</v>
      </c>
      <c r="O15" s="25">
        <f>'TUSD BE'!$O$15*'TUSD BE'!$O$74</f>
        <v>0</v>
      </c>
      <c r="P15" s="25">
        <f>'TUSD BE'!$P$15*'TUSD BE'!$P$74</f>
        <v>0</v>
      </c>
      <c r="Q15" s="25">
        <f>'TUSD BE'!$Q$15*'TUSD BE'!$Q$74</f>
        <v>0</v>
      </c>
      <c r="R15" s="25">
        <f>'TUSD BE'!$R$15*'TUSD BE'!$R$74</f>
        <v>0</v>
      </c>
      <c r="S15" s="25">
        <f>'TUSD BE'!$R$15*'TUSD BE'!$S$74</f>
        <v>0</v>
      </c>
      <c r="T15" s="25">
        <f ca="1">SUM($L$15:$S$15)</f>
        <v>1.8429331604020841E-3</v>
      </c>
      <c r="U15" s="25">
        <f>'TUSD BE'!$U$15*'TUSD BE'!$U$74</f>
        <v>0</v>
      </c>
      <c r="V15" s="25">
        <f>'TUSD BE'!$V$15*'TUSD BE'!$V$74</f>
        <v>0</v>
      </c>
      <c r="W15" s="25">
        <f>'TUSD BE'!$W$15*'TUSD BE'!$W$74</f>
        <v>0</v>
      </c>
      <c r="X15" s="25">
        <f>'TUSD BE'!$X$15*'TUSD BE'!$X$74</f>
        <v>0</v>
      </c>
      <c r="Y15" s="25">
        <f>'TUSD BE'!$Y$15*'TUSD BE'!$Y$74</f>
        <v>0</v>
      </c>
      <c r="Z15" s="25">
        <f>'TUSD BE'!$Z$15*'TUSD BE'!$Z$74</f>
        <v>0</v>
      </c>
      <c r="AA15" s="25">
        <f>'TUSD BE'!$AA$15*'TUSD BE'!$AA$74</f>
        <v>0</v>
      </c>
      <c r="AB15" s="25">
        <f>SUM($U$15:$AA$15)</f>
        <v>0</v>
      </c>
      <c r="AC15" s="25">
        <f>'TUSD BE'!$AC$15*'TUSD BE'!$AC$74</f>
        <v>3.7522050964951065E-2</v>
      </c>
      <c r="AD15" s="25">
        <f>SUM($AC$15:$AC$15)</f>
        <v>3.7522050964951065E-2</v>
      </c>
      <c r="AE15" s="25">
        <f ca="1">$AO$15*$AO$71</f>
        <v>-0.74011413715918728</v>
      </c>
      <c r="AF15" s="25">
        <f ca="1">$AP$15*$AP$71</f>
        <v>0</v>
      </c>
      <c r="AG15" s="25">
        <f ca="1">SUM($AE$15:$AF$15)</f>
        <v>-0.74011413715918728</v>
      </c>
      <c r="AH15" s="25">
        <f>'TUSD BE'!$AH$15*'TUSD BE'!$AH$74</f>
        <v>0</v>
      </c>
      <c r="AI15" s="25">
        <f>'TUSD BE'!$AI$15*'TUSD BE'!$AI$74</f>
        <v>0</v>
      </c>
      <c r="AJ15" s="25">
        <f ca="1">'TUSD BE'!$AJ$15*'TUSD BE'!$AJ$74</f>
        <v>0</v>
      </c>
      <c r="AK15" s="25">
        <f ca="1">'TUSD BE'!$AK$15*'TUSD BE'!$AK$74</f>
        <v>0</v>
      </c>
      <c r="AL15" s="25">
        <f ca="1">SUM($AH$15:$AK$15)</f>
        <v>0</v>
      </c>
      <c r="AM15" s="25">
        <f ca="1">SUMIF($L$4:$AL$4,"SUBTOTAL",$L$15:$AL$15)</f>
        <v>-0.70074915303383412</v>
      </c>
      <c r="AO15" s="30">
        <f ca="1">+'TUSD BE'!$T$15+'TUSD BE'!$AB$15+'TUSD BE'!$AD$15+'TUSD BE'!$AL$15</f>
        <v>11.129000766933141</v>
      </c>
      <c r="AP15" s="30">
        <f ca="1">+'TUSD BE'!$T$15+'TUSD BE'!$AB$15+'TUSD BE'!$AD$15+'TUSD BE'!$AL$15</f>
        <v>11.129000766933141</v>
      </c>
    </row>
    <row r="16" spans="1:42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25">
        <f>'TUSD BE'!$L$16*'TUSD BE'!$L$74</f>
        <v>0</v>
      </c>
      <c r="M16" s="25">
        <f>'TUSD BE'!$M$16*'TUSD BE'!$M$74</f>
        <v>0</v>
      </c>
      <c r="N16" s="25">
        <f ca="1">'TUSD BE'!$N$16*'TUSD BE'!$N$74</f>
        <v>0</v>
      </c>
      <c r="O16" s="25">
        <f>'TUSD BE'!$O$16*'TUSD BE'!$O$74</f>
        <v>0</v>
      </c>
      <c r="P16" s="25">
        <f>'TUSD BE'!$P$16*'TUSD BE'!$P$74</f>
        <v>0</v>
      </c>
      <c r="Q16" s="25">
        <f>'TUSD BE'!$Q$16*'TUSD BE'!$Q$74</f>
        <v>0</v>
      </c>
      <c r="R16" s="25">
        <f>'TUSD BE'!$R$16*'TUSD BE'!$R$74</f>
        <v>0</v>
      </c>
      <c r="S16" s="25">
        <f>'TUSD BE'!$R$16*'TUSD BE'!$S$74</f>
        <v>0</v>
      </c>
      <c r="T16" s="25">
        <f ca="1">SUM($L$16:$S$16)</f>
        <v>0</v>
      </c>
      <c r="U16" s="25">
        <f>'TUSD BE'!$U$16*'TUSD BE'!$U$74</f>
        <v>-0.81840548378571409</v>
      </c>
      <c r="V16" s="25">
        <f>'TUSD BE'!$V$16*'TUSD BE'!$V$74</f>
        <v>6.0549623009744473E-3</v>
      </c>
      <c r="W16" s="25">
        <f>'TUSD BE'!$W$16*'TUSD BE'!$W$74</f>
        <v>-3.8092600807023493E-4</v>
      </c>
      <c r="X16" s="25">
        <f>'TUSD BE'!$X$16*'TUSD BE'!$X$74</f>
        <v>0</v>
      </c>
      <c r="Y16" s="25">
        <f>'TUSD BE'!$Y$16*'TUSD BE'!$Y$74</f>
        <v>0</v>
      </c>
      <c r="Z16" s="25">
        <f>'TUSD BE'!$Z$16*'TUSD BE'!$Z$74</f>
        <v>0</v>
      </c>
      <c r="AA16" s="25">
        <f>'TUSD BE'!$AA$16*'TUSD BE'!$AA$74</f>
        <v>0</v>
      </c>
      <c r="AB16" s="25">
        <f>SUM($U$16:$AA$16)</f>
        <v>-0.8127314474928099</v>
      </c>
      <c r="AC16" s="25">
        <f>'TUSD BE'!$AC$16*'TUSD BE'!$AC$74</f>
        <v>5.8396024722395114E-2</v>
      </c>
      <c r="AD16" s="25">
        <f>SUM($AC$16:$AC$16)</f>
        <v>5.8396024722395114E-2</v>
      </c>
      <c r="AE16" s="25">
        <f ca="1">$AO$16*$AO$71</f>
        <v>-1.5420844705863042</v>
      </c>
      <c r="AF16" s="25">
        <f ca="1">$AP$16*$AP$71</f>
        <v>0</v>
      </c>
      <c r="AG16" s="25">
        <f ca="1">SUM($AE$16:$AF$16)</f>
        <v>-1.5420844705863042</v>
      </c>
      <c r="AH16" s="25">
        <f>'TUSD BE'!$AH$16*'TUSD BE'!$AH$74</f>
        <v>0</v>
      </c>
      <c r="AI16" s="25">
        <f>'TUSD BE'!$AI$16*'TUSD BE'!$AI$74</f>
        <v>0</v>
      </c>
      <c r="AJ16" s="25">
        <f ca="1">'TUSD BE'!$AJ$16*'TUSD BE'!$AJ$74</f>
        <v>0</v>
      </c>
      <c r="AK16" s="25">
        <f ca="1">'TUSD BE'!$AK$16*'TUSD BE'!$AK$74</f>
        <v>0</v>
      </c>
      <c r="AL16" s="25">
        <f ca="1">SUM($AH$16:$AK$16)</f>
        <v>0</v>
      </c>
      <c r="AM16" s="25">
        <f ca="1">SUMIF($L$4:$AL$4,"SUBTOTAL",$L$16:$AL$16)</f>
        <v>-2.296419893356719</v>
      </c>
      <c r="AO16" s="30">
        <f ca="1">+'TUSD BE'!$T$16+'TUSD BE'!$AB$16+'TUSD BE'!$AD$16+'TUSD BE'!$AL$16</f>
        <v>23.188125174454559</v>
      </c>
      <c r="AP16" s="30">
        <f ca="1">+'TUSD BE'!$T$16+'TUSD BE'!$AB$16+'TUSD BE'!$AD$16+'TUSD BE'!$AL$16</f>
        <v>23.188125174454559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25">
        <f>'TUSD BE'!$L$17*'TUSD BE'!$L$74</f>
        <v>-0.47378297806169928</v>
      </c>
      <c r="M17" s="25">
        <f>'TUSD BE'!$M$17*'TUSD BE'!$M$74</f>
        <v>4.0972916841989941E-2</v>
      </c>
      <c r="N17" s="25">
        <f ca="1">'TUSD BE'!$N$17*'TUSD BE'!$N$74</f>
        <v>0</v>
      </c>
      <c r="O17" s="25">
        <f>'TUSD BE'!$O$17*'TUSD BE'!$O$74</f>
        <v>0</v>
      </c>
      <c r="P17" s="25">
        <f>'TUSD BE'!$P$17*'TUSD BE'!$P$74</f>
        <v>0</v>
      </c>
      <c r="Q17" s="25">
        <f>'TUSD BE'!$Q$17*'TUSD BE'!$Q$74</f>
        <v>2.3600790954831647</v>
      </c>
      <c r="R17" s="25">
        <f>'TUSD BE'!$R$17*'TUSD BE'!$R$74</f>
        <v>1.0703727539264616</v>
      </c>
      <c r="S17" s="25">
        <f>'TUSD BE'!$R$17*'TUSD BE'!$S$74</f>
        <v>0</v>
      </c>
      <c r="T17" s="25">
        <f ca="1">SUM($L$17:$S$17)</f>
        <v>2.9976417881899171</v>
      </c>
      <c r="U17" s="25">
        <f>'TUSD BE'!$U$17*'TUSD BE'!$U$74</f>
        <v>-35.805148736153306</v>
      </c>
      <c r="V17" s="25">
        <f>'TUSD BE'!$V$17*'TUSD BE'!$V$74</f>
        <v>0.25706544139077919</v>
      </c>
      <c r="W17" s="25">
        <f>'TUSD BE'!$W$17*'TUSD BE'!$W$74</f>
        <v>-1.7762706129872234E-2</v>
      </c>
      <c r="X17" s="25">
        <f>'TUSD BE'!$X$17*'TUSD BE'!$X$74</f>
        <v>0</v>
      </c>
      <c r="Y17" s="25">
        <f>'TUSD BE'!$Y$17*'TUSD BE'!$Y$74</f>
        <v>0</v>
      </c>
      <c r="Z17" s="25">
        <f>'TUSD BE'!$Z$17*'TUSD BE'!$Z$74</f>
        <v>0</v>
      </c>
      <c r="AA17" s="25">
        <f>'TUSD BE'!$AA$17*'TUSD BE'!$AA$74</f>
        <v>0</v>
      </c>
      <c r="AB17" s="25">
        <f>SUM($U$17:$AA$17)</f>
        <v>-35.5658460008924</v>
      </c>
      <c r="AC17" s="25">
        <f>'TUSD BE'!$AC$17*'TUSD BE'!$AC$74</f>
        <v>3.9332138876872782</v>
      </c>
      <c r="AD17" s="25">
        <f>SUM($AC$17:$AC$17)</f>
        <v>3.9332138876872782</v>
      </c>
      <c r="AE17" s="25">
        <f ca="1">$AO$17*$AO$71</f>
        <v>-107.55254961819681</v>
      </c>
      <c r="AF17" s="25">
        <f ca="1">$AP$17*$AP$71</f>
        <v>0</v>
      </c>
      <c r="AG17" s="25">
        <f ca="1">SUM($AE$17:$AF$17)</f>
        <v>-107.55254961819681</v>
      </c>
      <c r="AH17" s="25">
        <f>'TUSD BE'!$AH$17*'TUSD BE'!$AH$74</f>
        <v>-15.500398475401411</v>
      </c>
      <c r="AI17" s="25">
        <f>'TUSD BE'!$AI$17*'TUSD BE'!$AI$74</f>
        <v>-1.2532775083831666</v>
      </c>
      <c r="AJ17" s="25">
        <f ca="1">'TUSD BE'!$AJ$17*'TUSD BE'!$AJ$74</f>
        <v>-29.223802298384523</v>
      </c>
      <c r="AK17" s="25">
        <f ca="1">'TUSD BE'!$AK$17*'TUSD BE'!$AK$74</f>
        <v>8.1962095294913512E-3</v>
      </c>
      <c r="AL17" s="25">
        <f ca="1">SUM($AH$17:$AK$17)</f>
        <v>-45.969282072639608</v>
      </c>
      <c r="AM17" s="25">
        <f ca="1">SUMIF($L$4:$AL$4,"SUBTOTAL",$L$17:$AL$17)</f>
        <v>-182.15682201585162</v>
      </c>
      <c r="AO17" s="30">
        <f ca="1">+'TUSD BE'!$T$17+'TUSD BE'!$AB$17+'TUSD BE'!$AD$17+'TUSD BE'!$AL$17</f>
        <v>1617.2538086907</v>
      </c>
      <c r="AP17" s="30">
        <f ca="1">+'TUSD BE'!$T$17+'TUSD BE'!$AB$17+'TUSD BE'!$AD$17+'TUSD BE'!$AL$17</f>
        <v>1617.2538086907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25">
        <f>'TUSD BE'!$L$18*'TUSD BE'!$L$74</f>
        <v>-0.47378297806169928</v>
      </c>
      <c r="M18" s="25">
        <f>'TUSD BE'!$M$18*'TUSD BE'!$M$74</f>
        <v>4.0972916841989941E-2</v>
      </c>
      <c r="N18" s="25">
        <f ca="1">'TUSD BE'!$N$18*'TUSD BE'!$N$74</f>
        <v>0</v>
      </c>
      <c r="O18" s="25">
        <f>'TUSD BE'!$O$18*'TUSD BE'!$O$74</f>
        <v>0</v>
      </c>
      <c r="P18" s="25">
        <f>'TUSD BE'!$P$18*'TUSD BE'!$P$74</f>
        <v>0</v>
      </c>
      <c r="Q18" s="25">
        <f>'TUSD BE'!$Q$18*'TUSD BE'!$Q$74</f>
        <v>2.3600790954831647</v>
      </c>
      <c r="R18" s="25">
        <f>'TUSD BE'!$R$18*'TUSD BE'!$R$74</f>
        <v>1.0703727539264616</v>
      </c>
      <c r="S18" s="25">
        <f>'TUSD BE'!$R$18*'TUSD BE'!$S$74</f>
        <v>0</v>
      </c>
      <c r="T18" s="25">
        <f ca="1">SUM($L$18:$S$18)</f>
        <v>2.9976417881899171</v>
      </c>
      <c r="U18" s="25">
        <f>'TUSD BE'!$U$18*'TUSD BE'!$U$74</f>
        <v>0</v>
      </c>
      <c r="V18" s="25">
        <f>'TUSD BE'!$V$18*'TUSD BE'!$V$74</f>
        <v>0</v>
      </c>
      <c r="W18" s="25">
        <f>'TUSD BE'!$W$18*'TUSD BE'!$W$74</f>
        <v>0</v>
      </c>
      <c r="X18" s="25">
        <f>'TUSD BE'!$X$18*'TUSD BE'!$X$74</f>
        <v>0</v>
      </c>
      <c r="Y18" s="25">
        <f>'TUSD BE'!$Y$18*'TUSD BE'!$Y$74</f>
        <v>0</v>
      </c>
      <c r="Z18" s="25">
        <f>'TUSD BE'!$Z$18*'TUSD BE'!$Z$74</f>
        <v>0</v>
      </c>
      <c r="AA18" s="25">
        <f>'TUSD BE'!$AA$18*'TUSD BE'!$AA$74</f>
        <v>0</v>
      </c>
      <c r="AB18" s="25">
        <f>SUM($U$18:$AA$18)</f>
        <v>0</v>
      </c>
      <c r="AC18" s="25">
        <f>'TUSD BE'!$AC$18*'TUSD BE'!$AC$74</f>
        <v>0</v>
      </c>
      <c r="AD18" s="25">
        <f>SUM($AC$18:$AC$18)</f>
        <v>0</v>
      </c>
      <c r="AE18" s="25">
        <f ca="1">$AO$18*$AO$71</f>
        <v>-12.441068681137567</v>
      </c>
      <c r="AF18" s="25">
        <f ca="1">$AP$18*$AP$71</f>
        <v>0</v>
      </c>
      <c r="AG18" s="25">
        <f ca="1">SUM($AE$18:$AF$18)</f>
        <v>-12.441068681137567</v>
      </c>
      <c r="AH18" s="25">
        <f>'TUSD BE'!$AH$18*'TUSD BE'!$AH$74</f>
        <v>-15.500398475401411</v>
      </c>
      <c r="AI18" s="25">
        <f>'TUSD BE'!$AI$18*'TUSD BE'!$AI$74</f>
        <v>-1.2532775083831666</v>
      </c>
      <c r="AJ18" s="25">
        <f ca="1">'TUSD BE'!$AJ$18*'TUSD BE'!$AJ$74</f>
        <v>-29.223802298384523</v>
      </c>
      <c r="AK18" s="25">
        <f ca="1">'TUSD BE'!$AK$18*'TUSD BE'!$AK$74</f>
        <v>8.1962095294913512E-3</v>
      </c>
      <c r="AL18" s="25">
        <f ca="1">SUM($AH$18:$AK$18)</f>
        <v>-45.969282072639608</v>
      </c>
      <c r="AM18" s="25">
        <f ca="1">SUMIF($L$4:$AL$4,"SUBTOTAL",$L$18:$AL$18)</f>
        <v>-55.412708965587257</v>
      </c>
      <c r="AO18" s="30">
        <f ca="1">+'TUSD BE'!$T$18+'TUSD BE'!$AB$18+'TUSD BE'!$AD$18+'TUSD BE'!$AL$18</f>
        <v>187.07474420809223</v>
      </c>
      <c r="AP18" s="30">
        <f ca="1">+'TUSD BE'!$T$18+'TUSD BE'!$AB$18+'TUSD BE'!$AD$18+'TUSD BE'!$AL$18</f>
        <v>187.07474420809223</v>
      </c>
    </row>
    <row r="19" spans="1:42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25">
        <f>'TUSD BE'!$L$19*'TUSD BE'!$L$74</f>
        <v>0</v>
      </c>
      <c r="M19" s="25">
        <f>'TUSD BE'!$M$19*'TUSD BE'!$M$74</f>
        <v>4.0972916841989941E-2</v>
      </c>
      <c r="N19" s="25">
        <f ca="1">'TUSD BE'!$N$19*'TUSD BE'!$N$74</f>
        <v>0</v>
      </c>
      <c r="O19" s="25">
        <f>'TUSD BE'!$O$19*'TUSD BE'!$O$74</f>
        <v>0</v>
      </c>
      <c r="P19" s="25">
        <f>'TUSD BE'!$P$19*'TUSD BE'!$P$74</f>
        <v>0</v>
      </c>
      <c r="Q19" s="25">
        <f>'TUSD BE'!$Q$19*'TUSD BE'!$Q$74</f>
        <v>0</v>
      </c>
      <c r="R19" s="25">
        <f>'TUSD BE'!$R$19*'TUSD BE'!$R$74</f>
        <v>0</v>
      </c>
      <c r="S19" s="25">
        <f>'TUSD BE'!$R$19*'TUSD BE'!$S$74</f>
        <v>0</v>
      </c>
      <c r="T19" s="25">
        <f ca="1">SUM($L$19:$S$19)</f>
        <v>4.0972916841989941E-2</v>
      </c>
      <c r="U19" s="25">
        <f>'TUSD BE'!$U$19*'TUSD BE'!$U$74</f>
        <v>-35.805148736153306</v>
      </c>
      <c r="V19" s="25">
        <f>'TUSD BE'!$V$19*'TUSD BE'!$V$74</f>
        <v>0.25706544139077919</v>
      </c>
      <c r="W19" s="25">
        <f>'TUSD BE'!$W$19*'TUSD BE'!$W$74</f>
        <v>-1.7762706129872234E-2</v>
      </c>
      <c r="X19" s="25">
        <f>'TUSD BE'!$X$19*'TUSD BE'!$X$74</f>
        <v>0</v>
      </c>
      <c r="Y19" s="25">
        <f>'TUSD BE'!$Y$19*'TUSD BE'!$Y$74</f>
        <v>0</v>
      </c>
      <c r="Z19" s="25">
        <f>'TUSD BE'!$Z$19*'TUSD BE'!$Z$74</f>
        <v>0</v>
      </c>
      <c r="AA19" s="25">
        <f>'TUSD BE'!$AA$19*'TUSD BE'!$AA$74</f>
        <v>0</v>
      </c>
      <c r="AB19" s="25">
        <f>SUM($U$19:$AA$19)</f>
        <v>-35.5658460008924</v>
      </c>
      <c r="AC19" s="25">
        <f>'TUSD BE'!$AC$19*'TUSD BE'!$AC$74</f>
        <v>3.9332138876872782</v>
      </c>
      <c r="AD19" s="25">
        <f>SUM($AC$19:$AC$19)</f>
        <v>3.9332138876872782</v>
      </c>
      <c r="AE19" s="25">
        <f ca="1">$AO$19*$AO$71</f>
        <v>-102.92751427668837</v>
      </c>
      <c r="AF19" s="25">
        <f ca="1">$AP$19*$AP$71</f>
        <v>0</v>
      </c>
      <c r="AG19" s="25">
        <f ca="1">SUM($AE$19:$AF$19)</f>
        <v>-102.92751427668837</v>
      </c>
      <c r="AH19" s="25">
        <f>'TUSD BE'!$AH$19*'TUSD BE'!$AH$74</f>
        <v>-15.500398475401411</v>
      </c>
      <c r="AI19" s="25">
        <f>'TUSD BE'!$AI$19*'TUSD BE'!$AI$74</f>
        <v>-1.2532775083831666</v>
      </c>
      <c r="AJ19" s="25">
        <f ca="1">'TUSD BE'!$AJ$19*'TUSD BE'!$AJ$74</f>
        <v>-29.223802298384523</v>
      </c>
      <c r="AK19" s="25">
        <f ca="1">'TUSD BE'!$AK$19*'TUSD BE'!$AK$74</f>
        <v>8.1962095294913512E-3</v>
      </c>
      <c r="AL19" s="25">
        <f ca="1">SUM($AH$19:$AK$19)</f>
        <v>-45.969282072639608</v>
      </c>
      <c r="AM19" s="25">
        <f ca="1">SUMIF($L$4:$AL$4,"SUBTOTAL",$L$19:$AL$19)</f>
        <v>-180.4884555456911</v>
      </c>
      <c r="AO19" s="30">
        <f ca="1">+'TUSD BE'!$T$19+'TUSD BE'!$AB$19+'TUSD BE'!$AD$19+'TUSD BE'!$AL$19</f>
        <v>1547.7077491324978</v>
      </c>
      <c r="AP19" s="30">
        <f ca="1">+'TUSD BE'!$T$19+'TUSD BE'!$AB$19+'TUSD BE'!$AD$19+'TUSD BE'!$AL$19</f>
        <v>1547.7077491324978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25">
        <f>'TUSD BE'!$L$20*'TUSD BE'!$L$74</f>
        <v>0</v>
      </c>
      <c r="M20" s="25">
        <f>'TUSD BE'!$M$20*'TUSD BE'!$M$74</f>
        <v>4.0972916841989941E-2</v>
      </c>
      <c r="N20" s="25">
        <f ca="1">'TUSD BE'!$N$20*'TUSD BE'!$N$74</f>
        <v>0</v>
      </c>
      <c r="O20" s="25">
        <f>'TUSD BE'!$O$20*'TUSD BE'!$O$74</f>
        <v>0</v>
      </c>
      <c r="P20" s="25">
        <f>'TUSD BE'!$P$20*'TUSD BE'!$P$74</f>
        <v>0</v>
      </c>
      <c r="Q20" s="25">
        <f>'TUSD BE'!$Q$20*'TUSD BE'!$Q$74</f>
        <v>0</v>
      </c>
      <c r="R20" s="25">
        <f>'TUSD BE'!$R$20*'TUSD BE'!$R$74</f>
        <v>0</v>
      </c>
      <c r="S20" s="25">
        <f>'TUSD BE'!$R$20*'TUSD BE'!$S$74</f>
        <v>0</v>
      </c>
      <c r="T20" s="25">
        <f ca="1">SUM($L$20:$S$20)</f>
        <v>4.0972916841989941E-2</v>
      </c>
      <c r="U20" s="25">
        <f>'TUSD BE'!$U$20*'TUSD BE'!$U$74</f>
        <v>0</v>
      </c>
      <c r="V20" s="25">
        <f>'TUSD BE'!$V$20*'TUSD BE'!$V$74</f>
        <v>0</v>
      </c>
      <c r="W20" s="25">
        <f>'TUSD BE'!$W$20*'TUSD BE'!$W$74</f>
        <v>0</v>
      </c>
      <c r="X20" s="25">
        <f>'TUSD BE'!$X$20*'TUSD BE'!$X$74</f>
        <v>0</v>
      </c>
      <c r="Y20" s="25">
        <f>'TUSD BE'!$Y$20*'TUSD BE'!$Y$74</f>
        <v>0</v>
      </c>
      <c r="Z20" s="25">
        <f>'TUSD BE'!$Z$20*'TUSD BE'!$Z$74</f>
        <v>0</v>
      </c>
      <c r="AA20" s="25">
        <f>'TUSD BE'!$AA$20*'TUSD BE'!$AA$74</f>
        <v>0</v>
      </c>
      <c r="AB20" s="25">
        <f>SUM($U$20:$AA$20)</f>
        <v>0</v>
      </c>
      <c r="AC20" s="25">
        <f>'TUSD BE'!$AC$20*'TUSD BE'!$AC$74</f>
        <v>0</v>
      </c>
      <c r="AD20" s="25">
        <f>SUM($AC$20:$AC$20)</f>
        <v>0</v>
      </c>
      <c r="AE20" s="25">
        <f ca="1">$AO$20*$AO$71</f>
        <v>-7.816033339629139</v>
      </c>
      <c r="AF20" s="25">
        <f ca="1">$AP$20*$AP$71</f>
        <v>0</v>
      </c>
      <c r="AG20" s="25">
        <f ca="1">SUM($AE$20:$AF$20)</f>
        <v>-7.816033339629139</v>
      </c>
      <c r="AH20" s="25">
        <f>'TUSD BE'!$AH$20*'TUSD BE'!$AH$74</f>
        <v>-15.500398475401411</v>
      </c>
      <c r="AI20" s="25">
        <f>'TUSD BE'!$AI$20*'TUSD BE'!$AI$74</f>
        <v>-1.2532775083831666</v>
      </c>
      <c r="AJ20" s="25">
        <f ca="1">'TUSD BE'!$AJ$20*'TUSD BE'!$AJ$74</f>
        <v>-29.223802298384523</v>
      </c>
      <c r="AK20" s="25">
        <f ca="1">'TUSD BE'!$AK$20*'TUSD BE'!$AK$74</f>
        <v>8.1962095294913512E-3</v>
      </c>
      <c r="AL20" s="25">
        <f ca="1">SUM($AH$20:$AK$20)</f>
        <v>-45.969282072639608</v>
      </c>
      <c r="AM20" s="25">
        <f ca="1">SUMIF($L$4:$AL$4,"SUBTOTAL",$L$20:$AL$20)</f>
        <v>-53.744342495426757</v>
      </c>
      <c r="AO20" s="30">
        <f ca="1">+'TUSD BE'!$T$20+'TUSD BE'!$AB$20+'TUSD BE'!$AD$20+'TUSD BE'!$AL$20</f>
        <v>117.52868464989017</v>
      </c>
      <c r="AP20" s="30">
        <f ca="1">+'TUSD BE'!$T$20+'TUSD BE'!$AB$20+'TUSD BE'!$AD$20+'TUSD BE'!$AL$20</f>
        <v>117.52868464989017</v>
      </c>
    </row>
    <row r="21" spans="1:42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25">
        <f>'TUSD BE'!$L$21*'TUSD BE'!$L$74</f>
        <v>0</v>
      </c>
      <c r="M21" s="25">
        <f>'TUSD BE'!$M$21*'TUSD BE'!$M$74</f>
        <v>0</v>
      </c>
      <c r="N21" s="25">
        <f ca="1">'TUSD BE'!$N$21*'TUSD BE'!$N$74</f>
        <v>0</v>
      </c>
      <c r="O21" s="25">
        <f>'TUSD BE'!$O$21*'TUSD BE'!$O$74</f>
        <v>0</v>
      </c>
      <c r="P21" s="25">
        <f>'TUSD BE'!$P$21*'TUSD BE'!$P$74</f>
        <v>0</v>
      </c>
      <c r="Q21" s="25">
        <f>'TUSD BE'!$Q$21*'TUSD BE'!$Q$74</f>
        <v>0</v>
      </c>
      <c r="R21" s="25">
        <f>'TUSD BE'!$R$21*'TUSD BE'!$R$74</f>
        <v>0</v>
      </c>
      <c r="S21" s="25">
        <f>'TUSD BE'!$R$21*'TUSD BE'!$S$74</f>
        <v>0</v>
      </c>
      <c r="T21" s="25">
        <f ca="1">SUM($L$21:$S$21)</f>
        <v>0</v>
      </c>
      <c r="U21" s="25">
        <f>'TUSD BE'!$U$21*'TUSD BE'!$U$74</f>
        <v>-1.4887784135535125</v>
      </c>
      <c r="V21" s="25">
        <f>'TUSD BE'!$V$21*'TUSD BE'!$V$74</f>
        <v>1.0688522024562903E-2</v>
      </c>
      <c r="W21" s="25">
        <f>'TUSD BE'!$W$21*'TUSD BE'!$W$74</f>
        <v>-7.3838264123566851E-4</v>
      </c>
      <c r="X21" s="25">
        <f>'TUSD BE'!$X$21*'TUSD BE'!$X$74</f>
        <v>0</v>
      </c>
      <c r="Y21" s="25">
        <f>'TUSD BE'!$Y$21*'TUSD BE'!$Y$74</f>
        <v>0</v>
      </c>
      <c r="Z21" s="25">
        <f>'TUSD BE'!$Z$21*'TUSD BE'!$Z$74</f>
        <v>0</v>
      </c>
      <c r="AA21" s="25">
        <f>'TUSD BE'!$AA$21*'TUSD BE'!$AA$74</f>
        <v>0</v>
      </c>
      <c r="AB21" s="25">
        <f>SUM($U$21:$AA$21)</f>
        <v>-1.4788282741701853</v>
      </c>
      <c r="AC21" s="25">
        <f>'TUSD BE'!$AC$21*'TUSD BE'!$AC$74</f>
        <v>0.16354308520949337</v>
      </c>
      <c r="AD21" s="25">
        <f>SUM($AC$21:$AC$21)</f>
        <v>0.16354308520949337</v>
      </c>
      <c r="AE21" s="25">
        <f ca="1">$AO$21*$AO$71</f>
        <v>-3.9199657679498427</v>
      </c>
      <c r="AF21" s="25">
        <f ca="1">$AP$21*$AP$71</f>
        <v>0</v>
      </c>
      <c r="AG21" s="25">
        <f ca="1">SUM($AE$21:$AF$21)</f>
        <v>-3.9199657679498427</v>
      </c>
      <c r="AH21" s="25">
        <f>'TUSD BE'!$AH$21*'TUSD BE'!$AH$74</f>
        <v>0</v>
      </c>
      <c r="AI21" s="25">
        <f>'TUSD BE'!$AI$21*'TUSD BE'!$AI$74</f>
        <v>0</v>
      </c>
      <c r="AJ21" s="25">
        <f ca="1">'TUSD BE'!$AJ$21*'TUSD BE'!$AJ$74</f>
        <v>0</v>
      </c>
      <c r="AK21" s="25">
        <f ca="1">'TUSD BE'!$AK$21*'TUSD BE'!$AK$74</f>
        <v>0</v>
      </c>
      <c r="AL21" s="25">
        <f ca="1">SUM($AH$21:$AK$21)</f>
        <v>0</v>
      </c>
      <c r="AM21" s="25">
        <f ca="1">SUMIF($L$4:$AL$4,"SUBTOTAL",$L$21:$AL$21)</f>
        <v>-5.2352509569105345</v>
      </c>
      <c r="AO21" s="30">
        <f ca="1">+'TUSD BE'!$T$21+'TUSD BE'!$AB$21+'TUSD BE'!$AD$21+'TUSD BE'!$AL$21</f>
        <v>58.944019371545011</v>
      </c>
      <c r="AP21" s="30">
        <f ca="1">+'TUSD BE'!$T$21+'TUSD BE'!$AB$21+'TUSD BE'!$AD$21+'TUSD BE'!$AL$21</f>
        <v>58.944019371545011</v>
      </c>
    </row>
    <row r="22" spans="1:42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25">
        <f>'TUSD BE'!$L$22*'TUSD BE'!$L$74</f>
        <v>0</v>
      </c>
      <c r="M22" s="25">
        <f>'TUSD BE'!$M$22*'TUSD BE'!$M$74</f>
        <v>0</v>
      </c>
      <c r="N22" s="25">
        <f ca="1">'TUSD BE'!$N$22*'TUSD BE'!$N$74</f>
        <v>0</v>
      </c>
      <c r="O22" s="25">
        <f>'TUSD BE'!$O$22*'TUSD BE'!$O$74</f>
        <v>0</v>
      </c>
      <c r="P22" s="25">
        <f>'TUSD BE'!$P$22*'TUSD BE'!$P$74</f>
        <v>0</v>
      </c>
      <c r="Q22" s="25">
        <f>'TUSD BE'!$Q$22*'TUSD BE'!$Q$74</f>
        <v>0</v>
      </c>
      <c r="R22" s="25">
        <f>'TUSD BE'!$R$22*'TUSD BE'!$R$74</f>
        <v>0</v>
      </c>
      <c r="S22" s="25">
        <f>'TUSD BE'!$R$22*'TUSD BE'!$S$74</f>
        <v>0</v>
      </c>
      <c r="T22" s="25">
        <f ca="1">SUM($L$22:$S$22)</f>
        <v>0</v>
      </c>
      <c r="U22" s="25">
        <f>'TUSD BE'!$U$22*'TUSD BE'!$U$74</f>
        <v>-0.81840548378571409</v>
      </c>
      <c r="V22" s="25">
        <f>'TUSD BE'!$V$22*'TUSD BE'!$V$74</f>
        <v>6.0549623009744473E-3</v>
      </c>
      <c r="W22" s="25">
        <f>'TUSD BE'!$W$22*'TUSD BE'!$W$74</f>
        <v>-3.8092600807023493E-4</v>
      </c>
      <c r="X22" s="25">
        <f>'TUSD BE'!$X$22*'TUSD BE'!$X$74</f>
        <v>0</v>
      </c>
      <c r="Y22" s="25">
        <f>'TUSD BE'!$Y$22*'TUSD BE'!$Y$74</f>
        <v>0</v>
      </c>
      <c r="Z22" s="25">
        <f>'TUSD BE'!$Z$22*'TUSD BE'!$Z$74</f>
        <v>0</v>
      </c>
      <c r="AA22" s="25">
        <f>'TUSD BE'!$AA$22*'TUSD BE'!$AA$74</f>
        <v>0</v>
      </c>
      <c r="AB22" s="25">
        <f>SUM($U$22:$AA$22)</f>
        <v>-0.8127314474928099</v>
      </c>
      <c r="AC22" s="25">
        <f>'TUSD BE'!$AC$22*'TUSD BE'!$AC$74</f>
        <v>5.8396024722395114E-2</v>
      </c>
      <c r="AD22" s="25">
        <f>SUM($AC$22:$AC$22)</f>
        <v>5.8396024722395114E-2</v>
      </c>
      <c r="AE22" s="25">
        <f ca="1">$AO$22*$AO$71</f>
        <v>-1.5420844705863042</v>
      </c>
      <c r="AF22" s="25">
        <f ca="1">$AP$22*$AP$71</f>
        <v>0</v>
      </c>
      <c r="AG22" s="25">
        <f ca="1">SUM($AE$22:$AF$22)</f>
        <v>-1.5420844705863042</v>
      </c>
      <c r="AH22" s="25">
        <f>'TUSD BE'!$AH$22*'TUSD BE'!$AH$74</f>
        <v>0</v>
      </c>
      <c r="AI22" s="25">
        <f>'TUSD BE'!$AI$22*'TUSD BE'!$AI$74</f>
        <v>0</v>
      </c>
      <c r="AJ22" s="25">
        <f ca="1">'TUSD BE'!$AJ$22*'TUSD BE'!$AJ$74</f>
        <v>0</v>
      </c>
      <c r="AK22" s="25">
        <f ca="1">'TUSD BE'!$AK$22*'TUSD BE'!$AK$74</f>
        <v>0</v>
      </c>
      <c r="AL22" s="25">
        <f ca="1">SUM($AH$22:$AK$22)</f>
        <v>0</v>
      </c>
      <c r="AM22" s="25">
        <f ca="1">SUMIF($L$4:$AL$4,"SUBTOTAL",$L$22:$AL$22)</f>
        <v>-2.296419893356719</v>
      </c>
      <c r="AO22" s="30">
        <f ca="1">+'TUSD BE'!$T$22+'TUSD BE'!$AB$22+'TUSD BE'!$AD$22+'TUSD BE'!$AL$22</f>
        <v>23.188125174454559</v>
      </c>
      <c r="AP22" s="30">
        <f ca="1">+'TUSD BE'!$T$22+'TUSD BE'!$AB$22+'TUSD BE'!$AD$22+'TUSD BE'!$AL$22</f>
        <v>23.188125174454559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25">
        <f>'TUSD BE'!$L$23*'TUSD BE'!$L$74</f>
        <v>-0.47378297806169928</v>
      </c>
      <c r="M23" s="25">
        <f>'TUSD BE'!$M$23*'TUSD BE'!$M$74</f>
        <v>4.0972916841989941E-2</v>
      </c>
      <c r="N23" s="25">
        <f ca="1">'TUSD BE'!$N$23*'TUSD BE'!$N$74</f>
        <v>0</v>
      </c>
      <c r="O23" s="25">
        <f>'TUSD BE'!$O$23*'TUSD BE'!$O$74</f>
        <v>0</v>
      </c>
      <c r="P23" s="25">
        <f>'TUSD BE'!$P$23*'TUSD BE'!$P$74</f>
        <v>0</v>
      </c>
      <c r="Q23" s="25">
        <f>'TUSD BE'!$Q$23*'TUSD BE'!$Q$74</f>
        <v>2.3600790954831647</v>
      </c>
      <c r="R23" s="25">
        <f>'TUSD BE'!$R$23*'TUSD BE'!$R$74</f>
        <v>1.0703727539264616</v>
      </c>
      <c r="S23" s="25">
        <f>'TUSD BE'!$R$23*'TUSD BE'!$S$74</f>
        <v>0</v>
      </c>
      <c r="T23" s="25">
        <f ca="1">SUM($L$23:$S$23)</f>
        <v>2.9976417881899171</v>
      </c>
      <c r="U23" s="25">
        <f>'TUSD BE'!$U$23*'TUSD BE'!$U$74</f>
        <v>0</v>
      </c>
      <c r="V23" s="25">
        <f>'TUSD BE'!$V$23*'TUSD BE'!$V$74</f>
        <v>0</v>
      </c>
      <c r="W23" s="25">
        <f>'TUSD BE'!$W$23*'TUSD BE'!$W$74</f>
        <v>0</v>
      </c>
      <c r="X23" s="25">
        <f>'TUSD BE'!$X$23*'TUSD BE'!$X$74</f>
        <v>0</v>
      </c>
      <c r="Y23" s="25">
        <f>'TUSD BE'!$Y$23*'TUSD BE'!$Y$74</f>
        <v>0</v>
      </c>
      <c r="Z23" s="25">
        <f>'TUSD BE'!$Z$23*'TUSD BE'!$Z$74</f>
        <v>0</v>
      </c>
      <c r="AA23" s="25">
        <f>'TUSD BE'!$AA$23*'TUSD BE'!$AA$74</f>
        <v>0</v>
      </c>
      <c r="AB23" s="25">
        <f>SUM($U$23:$AA$23)</f>
        <v>0</v>
      </c>
      <c r="AC23" s="25">
        <f>'TUSD BE'!$AC$23*'TUSD BE'!$AC$74</f>
        <v>0</v>
      </c>
      <c r="AD23" s="25">
        <f>SUM($AC$23:$AC$23)</f>
        <v>0</v>
      </c>
      <c r="AE23" s="25">
        <f ca="1">$AO$23*$AO$71</f>
        <v>-12.441068681137567</v>
      </c>
      <c r="AF23" s="25">
        <f ca="1">$AP$23*$AP$71</f>
        <v>0</v>
      </c>
      <c r="AG23" s="25">
        <f ca="1">SUM($AE$23:$AF$23)</f>
        <v>-12.441068681137567</v>
      </c>
      <c r="AH23" s="25">
        <f>'TUSD BE'!$AH$23*'TUSD BE'!$AH$74</f>
        <v>-15.500398475401411</v>
      </c>
      <c r="AI23" s="25">
        <f>'TUSD BE'!$AI$23*'TUSD BE'!$AI$74</f>
        <v>-1.2532775083831666</v>
      </c>
      <c r="AJ23" s="25">
        <f ca="1">'TUSD BE'!$AJ$23*'TUSD BE'!$AJ$74</f>
        <v>-29.223802298384523</v>
      </c>
      <c r="AK23" s="25">
        <f ca="1">'TUSD BE'!$AK$23*'TUSD BE'!$AK$74</f>
        <v>8.1962095294913512E-3</v>
      </c>
      <c r="AL23" s="25">
        <f ca="1">SUM($AH$23:$AK$23)</f>
        <v>-45.969282072639608</v>
      </c>
      <c r="AM23" s="25">
        <f ca="1">SUMIF($L$4:$AL$4,"SUBTOTAL",$L$23:$AL$23)</f>
        <v>-55.412708965587257</v>
      </c>
      <c r="AO23" s="30">
        <f ca="1">+'TUSD BE'!$T$23+'TUSD BE'!$AB$23+'TUSD BE'!$AD$23+'TUSD BE'!$AL$23</f>
        <v>187.07474420809223</v>
      </c>
      <c r="AP23" s="30">
        <f ca="1">+'TUSD BE'!$T$23+'TUSD BE'!$AB$23+'TUSD BE'!$AD$23+'TUSD BE'!$AL$23</f>
        <v>187.07474420809223</v>
      </c>
    </row>
    <row r="24" spans="1:42" ht="11.25" customHeight="1" x14ac:dyDescent="0.25">
      <c r="A24" s="118"/>
      <c r="B24" s="118"/>
      <c r="C24" s="118"/>
      <c r="D24" s="118"/>
      <c r="E24" s="28" t="s">
        <v>85</v>
      </c>
      <c r="F24" s="28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25">
        <f>'TUSD BE'!$L$24*'TUSD BE'!$L$74</f>
        <v>0</v>
      </c>
      <c r="M24" s="25">
        <f>'TUSD BE'!$M$24*'TUSD BE'!$M$74</f>
        <v>4.0972916841989941E-2</v>
      </c>
      <c r="N24" s="25">
        <f ca="1">'TUSD BE'!$N$24*'TUSD BE'!$N$74</f>
        <v>0</v>
      </c>
      <c r="O24" s="25">
        <f>'TUSD BE'!$O$24*'TUSD BE'!$O$74</f>
        <v>0</v>
      </c>
      <c r="P24" s="25">
        <f>'TUSD BE'!$P$24*'TUSD BE'!$P$74</f>
        <v>0</v>
      </c>
      <c r="Q24" s="25">
        <f>'TUSD BE'!$Q$24*'TUSD BE'!$Q$74</f>
        <v>0</v>
      </c>
      <c r="R24" s="25">
        <f>'TUSD BE'!$R$24*'TUSD BE'!$R$74</f>
        <v>0</v>
      </c>
      <c r="S24" s="25">
        <f>'TUSD BE'!$R$24*'TUSD BE'!$S$74</f>
        <v>0</v>
      </c>
      <c r="T24" s="25">
        <f ca="1">SUM($L$24:$S$24)</f>
        <v>4.0972916841989941E-2</v>
      </c>
      <c r="U24" s="25">
        <f>'TUSD BE'!$U$24*'TUSD BE'!$U$74</f>
        <v>0</v>
      </c>
      <c r="V24" s="25">
        <f>'TUSD BE'!$V$24*'TUSD BE'!$V$74</f>
        <v>0</v>
      </c>
      <c r="W24" s="25">
        <f>'TUSD BE'!$W$24*'TUSD BE'!$W$74</f>
        <v>0</v>
      </c>
      <c r="X24" s="25">
        <f>'TUSD BE'!$X$24*'TUSD BE'!$X$74</f>
        <v>0</v>
      </c>
      <c r="Y24" s="25">
        <f>'TUSD BE'!$Y$24*'TUSD BE'!$Y$74</f>
        <v>0</v>
      </c>
      <c r="Z24" s="25">
        <f>'TUSD BE'!$Z$24*'TUSD BE'!$Z$74</f>
        <v>0</v>
      </c>
      <c r="AA24" s="25">
        <f>'TUSD BE'!$AA$24*'TUSD BE'!$AA$74</f>
        <v>0</v>
      </c>
      <c r="AB24" s="25">
        <f>SUM($U$24:$AA$24)</f>
        <v>0</v>
      </c>
      <c r="AC24" s="25">
        <f>'TUSD BE'!$AC$24*'TUSD BE'!$AC$74</f>
        <v>0</v>
      </c>
      <c r="AD24" s="25">
        <f>SUM($AC$24:$AC$24)</f>
        <v>0</v>
      </c>
      <c r="AE24" s="25">
        <f ca="1">$AO$24*$AO$71</f>
        <v>-7.816033339629139</v>
      </c>
      <c r="AF24" s="25">
        <f ca="1">$AP$24*$AP$71</f>
        <v>0</v>
      </c>
      <c r="AG24" s="25">
        <f ca="1">SUM($AE$24:$AF$24)</f>
        <v>-7.816033339629139</v>
      </c>
      <c r="AH24" s="25">
        <f>'TUSD BE'!$AH$24*'TUSD BE'!$AH$74</f>
        <v>-15.500398475401411</v>
      </c>
      <c r="AI24" s="25">
        <f>'TUSD BE'!$AI$24*'TUSD BE'!$AI$74</f>
        <v>-1.2532775083831666</v>
      </c>
      <c r="AJ24" s="25">
        <f ca="1">'TUSD BE'!$AJ$24*'TUSD BE'!$AJ$74</f>
        <v>-29.223802298384523</v>
      </c>
      <c r="AK24" s="25">
        <f ca="1">'TUSD BE'!$AK$24*'TUSD BE'!$AK$74</f>
        <v>8.1962095294913512E-3</v>
      </c>
      <c r="AL24" s="25">
        <f ca="1">SUM($AH$24:$AK$24)</f>
        <v>-45.969282072639608</v>
      </c>
      <c r="AM24" s="25">
        <f ca="1">SUMIF($L$4:$AL$4,"SUBTOTAL",$L$24:$AL$24)</f>
        <v>-53.744342495426757</v>
      </c>
      <c r="AO24" s="30">
        <f ca="1">+'TUSD BE'!$T$24+'TUSD BE'!$AB$24+'TUSD BE'!$AD$24+'TUSD BE'!$AL$24</f>
        <v>117.52868464989017</v>
      </c>
      <c r="AP24" s="30">
        <f ca="1">+'TUSD BE'!$T$24+'TUSD BE'!$AB$24+'TUSD BE'!$AD$24+'TUSD BE'!$AL$24</f>
        <v>117.52868464989017</v>
      </c>
    </row>
    <row r="25" spans="1:42" ht="11.25" customHeight="1" x14ac:dyDescent="0.25">
      <c r="A25" s="118"/>
      <c r="B25" s="28" t="s">
        <v>58</v>
      </c>
      <c r="C25" s="28" t="s">
        <v>25</v>
      </c>
      <c r="D25" s="28" t="s">
        <v>25</v>
      </c>
      <c r="E25" s="28" t="s">
        <v>25</v>
      </c>
      <c r="F25" s="28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25">
        <f>'TUSD BE'!$L$25*'TUSD BE'!$L$74</f>
        <v>0</v>
      </c>
      <c r="M25" s="25">
        <f>'TUSD BE'!$M$25*'TUSD BE'!$M$74</f>
        <v>1.8429331604020841E-3</v>
      </c>
      <c r="N25" s="25">
        <f ca="1">'TUSD BE'!$N$25*'TUSD BE'!$N$74</f>
        <v>0</v>
      </c>
      <c r="O25" s="25">
        <f>'TUSD BE'!$O$25*'TUSD BE'!$O$74</f>
        <v>0</v>
      </c>
      <c r="P25" s="25">
        <f>'TUSD BE'!$P$25*'TUSD BE'!$P$74</f>
        <v>0</v>
      </c>
      <c r="Q25" s="25">
        <f>'TUSD BE'!$Q$25*'TUSD BE'!$Q$74</f>
        <v>0</v>
      </c>
      <c r="R25" s="25">
        <f>'TUSD BE'!$R$25*'TUSD BE'!$R$74</f>
        <v>0</v>
      </c>
      <c r="S25" s="25">
        <f>'TUSD BE'!$R$25*'TUSD BE'!$S$74</f>
        <v>0</v>
      </c>
      <c r="T25" s="25">
        <f ca="1">SUM($L$25:$S$25)</f>
        <v>1.8429331604020841E-3</v>
      </c>
      <c r="U25" s="25">
        <f>'TUSD BE'!$U$25*'TUSD BE'!$U$74</f>
        <v>0</v>
      </c>
      <c r="V25" s="25">
        <f>'TUSD BE'!$V$25*'TUSD BE'!$V$74</f>
        <v>0</v>
      </c>
      <c r="W25" s="25">
        <f>'TUSD BE'!$W$25*'TUSD BE'!$W$74</f>
        <v>0</v>
      </c>
      <c r="X25" s="25">
        <f>'TUSD BE'!$X$25*'TUSD BE'!$X$74</f>
        <v>0</v>
      </c>
      <c r="Y25" s="25">
        <f>'TUSD BE'!$Y$25*'TUSD BE'!$Y$74</f>
        <v>0</v>
      </c>
      <c r="Z25" s="25">
        <f>'TUSD BE'!$Z$25*'TUSD BE'!$Z$74</f>
        <v>0</v>
      </c>
      <c r="AA25" s="25">
        <f>'TUSD BE'!$AA$25*'TUSD BE'!$AA$74</f>
        <v>0</v>
      </c>
      <c r="AB25" s="25">
        <f>SUM($U$25:$AA$25)</f>
        <v>0</v>
      </c>
      <c r="AC25" s="25">
        <f>'TUSD BE'!$AC$25*'TUSD BE'!$AC$74</f>
        <v>3.7522050964951065E-2</v>
      </c>
      <c r="AD25" s="25">
        <f>SUM($AC$25:$AC$25)</f>
        <v>3.7522050964951065E-2</v>
      </c>
      <c r="AE25" s="25">
        <f ca="1">$AO$25*$AO$71</f>
        <v>-0.74011413715918728</v>
      </c>
      <c r="AF25" s="25">
        <f ca="1">$AP$25*$AP$71</f>
        <v>0</v>
      </c>
      <c r="AG25" s="25">
        <f ca="1">SUM($AE$25:$AF$25)</f>
        <v>-0.74011413715918728</v>
      </c>
      <c r="AH25" s="25">
        <f>'TUSD BE'!$AH$25*'TUSD BE'!$AH$74</f>
        <v>0</v>
      </c>
      <c r="AI25" s="25">
        <f>'TUSD BE'!$AI$25*'TUSD BE'!$AI$74</f>
        <v>0</v>
      </c>
      <c r="AJ25" s="25">
        <f ca="1">'TUSD BE'!$AJ$25*'TUSD BE'!$AJ$74</f>
        <v>0</v>
      </c>
      <c r="AK25" s="25">
        <f ca="1">'TUSD BE'!$AK$25*'TUSD BE'!$AK$74</f>
        <v>0</v>
      </c>
      <c r="AL25" s="25">
        <f ca="1">SUM($AH$25:$AK$25)</f>
        <v>0</v>
      </c>
      <c r="AM25" s="25">
        <f ca="1">SUMIF($L$4:$AL$4,"SUBTOTAL",$L$25:$AL$25)</f>
        <v>-0.70074915303383412</v>
      </c>
      <c r="AO25" s="30">
        <f ca="1">+'TUSD BE'!$T$25+'TUSD BE'!$AB$25+'TUSD BE'!$AD$25+'TUSD BE'!$AL$25</f>
        <v>11.129000766933141</v>
      </c>
      <c r="AP25" s="30">
        <f ca="1">+'TUSD BE'!$T$25+'TUSD BE'!$AB$25+'TUSD BE'!$AD$25+'TUSD BE'!$AL$25</f>
        <v>11.129000766933141</v>
      </c>
    </row>
    <row r="26" spans="1:42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25">
        <f>'TUSD BE'!$L$26*'TUSD BE'!$L$74</f>
        <v>0</v>
      </c>
      <c r="M26" s="25">
        <f>'TUSD BE'!$M$26*'TUSD BE'!$M$74</f>
        <v>0</v>
      </c>
      <c r="N26" s="25">
        <f ca="1">'TUSD BE'!$N$26*'TUSD BE'!$N$74</f>
        <v>0</v>
      </c>
      <c r="O26" s="25">
        <f>'TUSD BE'!$O$26*'TUSD BE'!$O$74</f>
        <v>0</v>
      </c>
      <c r="P26" s="25">
        <f>'TUSD BE'!$P$26*'TUSD BE'!$P$74</f>
        <v>0</v>
      </c>
      <c r="Q26" s="25">
        <f>'TUSD BE'!$Q$26*'TUSD BE'!$Q$74</f>
        <v>0</v>
      </c>
      <c r="R26" s="25">
        <f>'TUSD BE'!$R$26*'TUSD BE'!$R$74</f>
        <v>0</v>
      </c>
      <c r="S26" s="25">
        <f>'TUSD BE'!$R$26*'TUSD BE'!$S$74</f>
        <v>0</v>
      </c>
      <c r="T26" s="25">
        <f ca="1">SUM($L$26:$S$26)</f>
        <v>0</v>
      </c>
      <c r="U26" s="25">
        <f>'TUSD BE'!$U$26*'TUSD BE'!$U$74</f>
        <v>-0.81840548378571409</v>
      </c>
      <c r="V26" s="25">
        <f>'TUSD BE'!$V$26*'TUSD BE'!$V$74</f>
        <v>6.0549623009744473E-3</v>
      </c>
      <c r="W26" s="25">
        <f>'TUSD BE'!$W$26*'TUSD BE'!$W$74</f>
        <v>-3.8092600807023493E-4</v>
      </c>
      <c r="X26" s="25">
        <f>'TUSD BE'!$X$26*'TUSD BE'!$X$74</f>
        <v>0</v>
      </c>
      <c r="Y26" s="25">
        <f>'TUSD BE'!$Y$26*'TUSD BE'!$Y$74</f>
        <v>0</v>
      </c>
      <c r="Z26" s="25">
        <f>'TUSD BE'!$Z$26*'TUSD BE'!$Z$74</f>
        <v>0</v>
      </c>
      <c r="AA26" s="25">
        <f>'TUSD BE'!$AA$26*'TUSD BE'!$AA$74</f>
        <v>0</v>
      </c>
      <c r="AB26" s="25">
        <f>SUM($U$26:$AA$26)</f>
        <v>-0.8127314474928099</v>
      </c>
      <c r="AC26" s="25">
        <f>'TUSD BE'!$AC$26*'TUSD BE'!$AC$74</f>
        <v>5.8396024722395114E-2</v>
      </c>
      <c r="AD26" s="25">
        <f>SUM($AC$26:$AC$26)</f>
        <v>5.8396024722395114E-2</v>
      </c>
      <c r="AE26" s="25">
        <f ca="1">$AO$26*$AO$71</f>
        <v>-1.5420844705863042</v>
      </c>
      <c r="AF26" s="25">
        <f ca="1">$AP$26*$AP$71</f>
        <v>0</v>
      </c>
      <c r="AG26" s="25">
        <f ca="1">SUM($AE$26:$AF$26)</f>
        <v>-1.5420844705863042</v>
      </c>
      <c r="AH26" s="25">
        <f>'TUSD BE'!$AH$26*'TUSD BE'!$AH$74</f>
        <v>0</v>
      </c>
      <c r="AI26" s="25">
        <f>'TUSD BE'!$AI$26*'TUSD BE'!$AI$74</f>
        <v>0</v>
      </c>
      <c r="AJ26" s="25">
        <f ca="1">'TUSD BE'!$AJ$26*'TUSD BE'!$AJ$74</f>
        <v>0</v>
      </c>
      <c r="AK26" s="25">
        <f ca="1">'TUSD BE'!$AK$26*'TUSD BE'!$AK$74</f>
        <v>0</v>
      </c>
      <c r="AL26" s="25">
        <f ca="1">SUM($AH$26:$AK$26)</f>
        <v>0</v>
      </c>
      <c r="AM26" s="25">
        <f ca="1">SUMIF($L$4:$AL$4,"SUBTOTAL",$L$26:$AL$26)</f>
        <v>-2.296419893356719</v>
      </c>
      <c r="AO26" s="30">
        <f ca="1">+'TUSD BE'!$T$26+'TUSD BE'!$AB$26+'TUSD BE'!$AD$26+'TUSD BE'!$AL$26</f>
        <v>23.188125174454559</v>
      </c>
      <c r="AP26" s="30">
        <f ca="1">+'TUSD BE'!$T$26+'TUSD BE'!$AB$26+'TUSD BE'!$AD$26+'TUSD BE'!$AL$26</f>
        <v>23.188125174454559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25">
        <f>'TUSD BE'!$L$27*'TUSD BE'!$L$74</f>
        <v>-0.47378297806169928</v>
      </c>
      <c r="M27" s="25">
        <f>'TUSD BE'!$M$27*'TUSD BE'!$M$74</f>
        <v>4.0972916841989941E-2</v>
      </c>
      <c r="N27" s="25">
        <f ca="1">'TUSD BE'!$N$27*'TUSD BE'!$N$74</f>
        <v>0</v>
      </c>
      <c r="O27" s="25">
        <f>'TUSD BE'!$O$27*'TUSD BE'!$O$74</f>
        <v>0</v>
      </c>
      <c r="P27" s="25">
        <f>'TUSD BE'!$P$27*'TUSD BE'!$P$74</f>
        <v>0</v>
      </c>
      <c r="Q27" s="25">
        <f>'TUSD BE'!$Q$27*'TUSD BE'!$Q$74</f>
        <v>2.3600790954831647</v>
      </c>
      <c r="R27" s="25">
        <f>'TUSD BE'!$R$27*'TUSD BE'!$R$74</f>
        <v>1.0703727539264616</v>
      </c>
      <c r="S27" s="25">
        <f>'TUSD BE'!$R$27*'TUSD BE'!$S$74</f>
        <v>0</v>
      </c>
      <c r="T27" s="25">
        <f ca="1">SUM($L$27:$S$27)</f>
        <v>2.9976417881899171</v>
      </c>
      <c r="U27" s="25">
        <f>'TUSD BE'!$U$27*'TUSD BE'!$U$74</f>
        <v>-35.805148736153306</v>
      </c>
      <c r="V27" s="25">
        <f>'TUSD BE'!$V$27*'TUSD BE'!$V$74</f>
        <v>0.25706544139077919</v>
      </c>
      <c r="W27" s="25">
        <f>'TUSD BE'!$W$27*'TUSD BE'!$W$74</f>
        <v>-1.7762706129872234E-2</v>
      </c>
      <c r="X27" s="25">
        <f>'TUSD BE'!$X$27*'TUSD BE'!$X$74</f>
        <v>0</v>
      </c>
      <c r="Y27" s="25">
        <f>'TUSD BE'!$Y$27*'TUSD BE'!$Y$74</f>
        <v>0</v>
      </c>
      <c r="Z27" s="25">
        <f>'TUSD BE'!$Z$27*'TUSD BE'!$Z$74</f>
        <v>0</v>
      </c>
      <c r="AA27" s="25">
        <f>'TUSD BE'!$AA$27*'TUSD BE'!$AA$74</f>
        <v>0</v>
      </c>
      <c r="AB27" s="25">
        <f>SUM($U$27:$AA$27)</f>
        <v>-35.5658460008924</v>
      </c>
      <c r="AC27" s="25">
        <f>'TUSD BE'!$AC$27*'TUSD BE'!$AC$74</f>
        <v>3.9332138876872782</v>
      </c>
      <c r="AD27" s="25">
        <f>SUM($AC$27:$AC$27)</f>
        <v>3.9332138876872782</v>
      </c>
      <c r="AE27" s="25">
        <f ca="1">$AO$27*$AO$71</f>
        <v>-107.55254961819681</v>
      </c>
      <c r="AF27" s="25">
        <f ca="1">$AP$27*$AP$71</f>
        <v>0</v>
      </c>
      <c r="AG27" s="25">
        <f ca="1">SUM($AE$27:$AF$27)</f>
        <v>-107.55254961819681</v>
      </c>
      <c r="AH27" s="25">
        <f>'TUSD BE'!$AH$27*'TUSD BE'!$AH$74</f>
        <v>-15.500398475401411</v>
      </c>
      <c r="AI27" s="25">
        <f>'TUSD BE'!$AI$27*'TUSD BE'!$AI$74</f>
        <v>-1.2532775083831666</v>
      </c>
      <c r="AJ27" s="25">
        <f ca="1">'TUSD BE'!$AJ$27*'TUSD BE'!$AJ$74</f>
        <v>-29.223802298384523</v>
      </c>
      <c r="AK27" s="25">
        <f ca="1">'TUSD BE'!$AK$27*'TUSD BE'!$AK$74</f>
        <v>8.1962095294913512E-3</v>
      </c>
      <c r="AL27" s="25">
        <f ca="1">SUM($AH$27:$AK$27)</f>
        <v>-45.969282072639608</v>
      </c>
      <c r="AM27" s="25">
        <f ca="1">SUMIF($L$4:$AL$4,"SUBTOTAL",$L$27:$AL$27)</f>
        <v>-182.15682201585162</v>
      </c>
      <c r="AO27" s="30">
        <f ca="1">+'TUSD BE'!$T$27+'TUSD BE'!$AB$27+'TUSD BE'!$AD$27+'TUSD BE'!$AL$27</f>
        <v>1617.2538086907</v>
      </c>
      <c r="AP27" s="30">
        <f ca="1">+'TUSD BE'!$T$27+'TUSD BE'!$AB$27+'TUSD BE'!$AD$27+'TUSD BE'!$AL$27</f>
        <v>1617.2538086907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25">
        <f>'TUSD BE'!$L$28*'TUSD BE'!$L$74</f>
        <v>-0.47378297806169928</v>
      </c>
      <c r="M28" s="25">
        <f>'TUSD BE'!$M$28*'TUSD BE'!$M$74</f>
        <v>4.0972916841989941E-2</v>
      </c>
      <c r="N28" s="25">
        <f ca="1">'TUSD BE'!$N$28*'TUSD BE'!$N$74</f>
        <v>0</v>
      </c>
      <c r="O28" s="25">
        <f>'TUSD BE'!$O$28*'TUSD BE'!$O$74</f>
        <v>0</v>
      </c>
      <c r="P28" s="25">
        <f>'TUSD BE'!$P$28*'TUSD BE'!$P$74</f>
        <v>0</v>
      </c>
      <c r="Q28" s="25">
        <f>'TUSD BE'!$Q$28*'TUSD BE'!$Q$74</f>
        <v>2.3600790954831647</v>
      </c>
      <c r="R28" s="25">
        <f>'TUSD BE'!$R$28*'TUSD BE'!$R$74</f>
        <v>1.0703727539264616</v>
      </c>
      <c r="S28" s="25">
        <f>'TUSD BE'!$R$28*'TUSD BE'!$S$74</f>
        <v>0</v>
      </c>
      <c r="T28" s="25">
        <f ca="1">SUM($L$28:$S$28)</f>
        <v>2.9976417881899171</v>
      </c>
      <c r="U28" s="25">
        <f>'TUSD BE'!$U$28*'TUSD BE'!$U$74</f>
        <v>0</v>
      </c>
      <c r="V28" s="25">
        <f>'TUSD BE'!$V$28*'TUSD BE'!$V$74</f>
        <v>0</v>
      </c>
      <c r="W28" s="25">
        <f>'TUSD BE'!$W$28*'TUSD BE'!$W$74</f>
        <v>0</v>
      </c>
      <c r="X28" s="25">
        <f>'TUSD BE'!$X$28*'TUSD BE'!$X$74</f>
        <v>0</v>
      </c>
      <c r="Y28" s="25">
        <f>'TUSD BE'!$Y$28*'TUSD BE'!$Y$74</f>
        <v>0</v>
      </c>
      <c r="Z28" s="25">
        <f>'TUSD BE'!$Z$28*'TUSD BE'!$Z$74</f>
        <v>0</v>
      </c>
      <c r="AA28" s="25">
        <f>'TUSD BE'!$AA$28*'TUSD BE'!$AA$74</f>
        <v>0</v>
      </c>
      <c r="AB28" s="25">
        <f>SUM($U$28:$AA$28)</f>
        <v>0</v>
      </c>
      <c r="AC28" s="25">
        <f>'TUSD BE'!$AC$28*'TUSD BE'!$AC$74</f>
        <v>0</v>
      </c>
      <c r="AD28" s="25">
        <f>SUM($AC$28:$AC$28)</f>
        <v>0</v>
      </c>
      <c r="AE28" s="25">
        <f ca="1">$AO$28*$AO$71</f>
        <v>-12.441068681137567</v>
      </c>
      <c r="AF28" s="25">
        <f ca="1">$AP$28*$AP$71</f>
        <v>0</v>
      </c>
      <c r="AG28" s="25">
        <f ca="1">SUM($AE$28:$AF$28)</f>
        <v>-12.441068681137567</v>
      </c>
      <c r="AH28" s="25">
        <f>'TUSD BE'!$AH$28*'TUSD BE'!$AH$74</f>
        <v>-15.500398475401411</v>
      </c>
      <c r="AI28" s="25">
        <f>'TUSD BE'!$AI$28*'TUSD BE'!$AI$74</f>
        <v>-1.2532775083831666</v>
      </c>
      <c r="AJ28" s="25">
        <f ca="1">'TUSD BE'!$AJ$28*'TUSD BE'!$AJ$74</f>
        <v>-29.223802298384523</v>
      </c>
      <c r="AK28" s="25">
        <f ca="1">'TUSD BE'!$AK$28*'TUSD BE'!$AK$74</f>
        <v>8.1962095294913512E-3</v>
      </c>
      <c r="AL28" s="25">
        <f ca="1">SUM($AH$28:$AK$28)</f>
        <v>-45.969282072639608</v>
      </c>
      <c r="AM28" s="25">
        <f ca="1">SUMIF($L$4:$AL$4,"SUBTOTAL",$L$28:$AL$28)</f>
        <v>-55.412708965587257</v>
      </c>
      <c r="AO28" s="30">
        <f ca="1">+'TUSD BE'!$T$28+'TUSD BE'!$AB$28+'TUSD BE'!$AD$28+'TUSD BE'!$AL$28</f>
        <v>187.07474420809223</v>
      </c>
      <c r="AP28" s="30">
        <f ca="1">+'TUSD BE'!$T$28+'TUSD BE'!$AB$28+'TUSD BE'!$AD$28+'TUSD BE'!$AL$28</f>
        <v>187.07474420809223</v>
      </c>
    </row>
    <row r="29" spans="1:42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25">
        <f>'TUSD BE'!$L$29*'TUSD BE'!$L$74</f>
        <v>0</v>
      </c>
      <c r="M29" s="25">
        <f>'TUSD BE'!$M$29*'TUSD BE'!$M$74</f>
        <v>4.0972916841989941E-2</v>
      </c>
      <c r="N29" s="25">
        <f ca="1">'TUSD BE'!$N$29*'TUSD BE'!$N$74</f>
        <v>0</v>
      </c>
      <c r="O29" s="25">
        <f>'TUSD BE'!$O$29*'TUSD BE'!$O$74</f>
        <v>0</v>
      </c>
      <c r="P29" s="25">
        <f>'TUSD BE'!$P$29*'TUSD BE'!$P$74</f>
        <v>0</v>
      </c>
      <c r="Q29" s="25">
        <f>'TUSD BE'!$Q$29*'TUSD BE'!$Q$74</f>
        <v>0</v>
      </c>
      <c r="R29" s="25">
        <f>'TUSD BE'!$R$29*'TUSD BE'!$R$74</f>
        <v>0</v>
      </c>
      <c r="S29" s="25">
        <f>'TUSD BE'!$R$29*'TUSD BE'!$S$74</f>
        <v>0</v>
      </c>
      <c r="T29" s="25">
        <f ca="1">SUM($L$29:$S$29)</f>
        <v>4.0972916841989941E-2</v>
      </c>
      <c r="U29" s="25">
        <f>'TUSD BE'!$U$29*'TUSD BE'!$U$74</f>
        <v>-35.805148736153306</v>
      </c>
      <c r="V29" s="25">
        <f>'TUSD BE'!$V$29*'TUSD BE'!$V$74</f>
        <v>0.25706544139077919</v>
      </c>
      <c r="W29" s="25">
        <f>'TUSD BE'!$W$29*'TUSD BE'!$W$74</f>
        <v>-1.7762706129872234E-2</v>
      </c>
      <c r="X29" s="25">
        <f>'TUSD BE'!$X$29*'TUSD BE'!$X$74</f>
        <v>0</v>
      </c>
      <c r="Y29" s="25">
        <f>'TUSD BE'!$Y$29*'TUSD BE'!$Y$74</f>
        <v>0</v>
      </c>
      <c r="Z29" s="25">
        <f>'TUSD BE'!$Z$29*'TUSD BE'!$Z$74</f>
        <v>0</v>
      </c>
      <c r="AA29" s="25">
        <f>'TUSD BE'!$AA$29*'TUSD BE'!$AA$74</f>
        <v>0</v>
      </c>
      <c r="AB29" s="25">
        <f>SUM($U$29:$AA$29)</f>
        <v>-35.5658460008924</v>
      </c>
      <c r="AC29" s="25">
        <f>'TUSD BE'!$AC$29*'TUSD BE'!$AC$74</f>
        <v>3.9332138876872782</v>
      </c>
      <c r="AD29" s="25">
        <f>SUM($AC$29:$AC$29)</f>
        <v>3.9332138876872782</v>
      </c>
      <c r="AE29" s="25">
        <f ca="1">$AO$29*$AO$71</f>
        <v>-102.92751427668837</v>
      </c>
      <c r="AF29" s="25">
        <f ca="1">$AP$29*$AP$71</f>
        <v>0</v>
      </c>
      <c r="AG29" s="25">
        <f ca="1">SUM($AE$29:$AF$29)</f>
        <v>-102.92751427668837</v>
      </c>
      <c r="AH29" s="25">
        <f>'TUSD BE'!$AH$29*'TUSD BE'!$AH$74</f>
        <v>-15.500398475401411</v>
      </c>
      <c r="AI29" s="25">
        <f>'TUSD BE'!$AI$29*'TUSD BE'!$AI$74</f>
        <v>-1.2532775083831666</v>
      </c>
      <c r="AJ29" s="25">
        <f ca="1">'TUSD BE'!$AJ$29*'TUSD BE'!$AJ$74</f>
        <v>-29.223802298384523</v>
      </c>
      <c r="AK29" s="25">
        <f ca="1">'TUSD BE'!$AK$29*'TUSD BE'!$AK$74</f>
        <v>8.1962095294913512E-3</v>
      </c>
      <c r="AL29" s="25">
        <f ca="1">SUM($AH$29:$AK$29)</f>
        <v>-45.969282072639608</v>
      </c>
      <c r="AM29" s="25">
        <f ca="1">SUMIF($L$4:$AL$4,"SUBTOTAL",$L$29:$AL$29)</f>
        <v>-180.4884555456911</v>
      </c>
      <c r="AO29" s="30">
        <f ca="1">+'TUSD BE'!$T$29+'TUSD BE'!$AB$29+'TUSD BE'!$AD$29+'TUSD BE'!$AL$29</f>
        <v>1547.7077491324978</v>
      </c>
      <c r="AP29" s="30">
        <f ca="1">+'TUSD BE'!$T$29+'TUSD BE'!$AB$29+'TUSD BE'!$AD$29+'TUSD BE'!$AL$29</f>
        <v>1547.7077491324978</v>
      </c>
    </row>
    <row r="30" spans="1:42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25">
        <f>'TUSD BE'!$L$30*'TUSD BE'!$L$74</f>
        <v>0</v>
      </c>
      <c r="M30" s="25">
        <f>'TUSD BE'!$M$30*'TUSD BE'!$M$74</f>
        <v>4.0972916841989941E-2</v>
      </c>
      <c r="N30" s="25">
        <f ca="1">'TUSD BE'!$N$30*'TUSD BE'!$N$74</f>
        <v>0</v>
      </c>
      <c r="O30" s="25">
        <f>'TUSD BE'!$O$30*'TUSD BE'!$O$74</f>
        <v>0</v>
      </c>
      <c r="P30" s="25">
        <f>'TUSD BE'!$P$30*'TUSD BE'!$P$74</f>
        <v>0</v>
      </c>
      <c r="Q30" s="25">
        <f>'TUSD BE'!$Q$30*'TUSD BE'!$Q$74</f>
        <v>0</v>
      </c>
      <c r="R30" s="25">
        <f>'TUSD BE'!$R$30*'TUSD BE'!$R$74</f>
        <v>0</v>
      </c>
      <c r="S30" s="25">
        <f>'TUSD BE'!$R$30*'TUSD BE'!$S$74</f>
        <v>0</v>
      </c>
      <c r="T30" s="25">
        <f ca="1">SUM($L$30:$S$30)</f>
        <v>4.0972916841989941E-2</v>
      </c>
      <c r="U30" s="25">
        <f>'TUSD BE'!$U$30*'TUSD BE'!$U$74</f>
        <v>0</v>
      </c>
      <c r="V30" s="25">
        <f>'TUSD BE'!$V$30*'TUSD BE'!$V$74</f>
        <v>0</v>
      </c>
      <c r="W30" s="25">
        <f>'TUSD BE'!$W$30*'TUSD BE'!$W$74</f>
        <v>0</v>
      </c>
      <c r="X30" s="25">
        <f>'TUSD BE'!$X$30*'TUSD BE'!$X$74</f>
        <v>0</v>
      </c>
      <c r="Y30" s="25">
        <f>'TUSD BE'!$Y$30*'TUSD BE'!$Y$74</f>
        <v>0</v>
      </c>
      <c r="Z30" s="25">
        <f>'TUSD BE'!$Z$30*'TUSD BE'!$Z$74</f>
        <v>0</v>
      </c>
      <c r="AA30" s="25">
        <f>'TUSD BE'!$AA$30*'TUSD BE'!$AA$74</f>
        <v>0</v>
      </c>
      <c r="AB30" s="25">
        <f>SUM($U$30:$AA$30)</f>
        <v>0</v>
      </c>
      <c r="AC30" s="25">
        <f>'TUSD BE'!$AC$30*'TUSD BE'!$AC$74</f>
        <v>0</v>
      </c>
      <c r="AD30" s="25">
        <f>SUM($AC$30:$AC$30)</f>
        <v>0</v>
      </c>
      <c r="AE30" s="25">
        <f ca="1">$AO$30*$AO$71</f>
        <v>-7.816033339629139</v>
      </c>
      <c r="AF30" s="25">
        <f ca="1">$AP$30*$AP$71</f>
        <v>0</v>
      </c>
      <c r="AG30" s="25">
        <f ca="1">SUM($AE$30:$AF$30)</f>
        <v>-7.816033339629139</v>
      </c>
      <c r="AH30" s="25">
        <f>'TUSD BE'!$AH$30*'TUSD BE'!$AH$74</f>
        <v>-15.500398475401411</v>
      </c>
      <c r="AI30" s="25">
        <f>'TUSD BE'!$AI$30*'TUSD BE'!$AI$74</f>
        <v>-1.2532775083831666</v>
      </c>
      <c r="AJ30" s="25">
        <f ca="1">'TUSD BE'!$AJ$30*'TUSD BE'!$AJ$74</f>
        <v>-29.223802298384523</v>
      </c>
      <c r="AK30" s="25">
        <f ca="1">'TUSD BE'!$AK$30*'TUSD BE'!$AK$74</f>
        <v>8.1962095294913512E-3</v>
      </c>
      <c r="AL30" s="25">
        <f ca="1">SUM($AH$30:$AK$30)</f>
        <v>-45.969282072639608</v>
      </c>
      <c r="AM30" s="25">
        <f ca="1">SUMIF($L$4:$AL$4,"SUBTOTAL",$L$30:$AL$30)</f>
        <v>-53.744342495426757</v>
      </c>
      <c r="AO30" s="30">
        <f ca="1">+'TUSD BE'!$T$30+'TUSD BE'!$AB$30+'TUSD BE'!$AD$30+'TUSD BE'!$AL$30</f>
        <v>117.52868464989017</v>
      </c>
      <c r="AP30" s="30">
        <f ca="1">+'TUSD BE'!$T$30+'TUSD BE'!$AB$30+'TUSD BE'!$AD$30+'TUSD BE'!$AL$30</f>
        <v>117.52868464989017</v>
      </c>
    </row>
    <row r="31" spans="1:42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28" t="s">
        <v>88</v>
      </c>
      <c r="F31" s="28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25">
        <f>'TUSD BE'!$L$31*'TUSD BE'!$L$74</f>
        <v>0</v>
      </c>
      <c r="M31" s="25">
        <f>'TUSD BE'!$M$31*'TUSD BE'!$M$74</f>
        <v>1.821123300515669E-3</v>
      </c>
      <c r="N31" s="25">
        <f ca="1">'TUSD BE'!$N$31*'TUSD BE'!$N$74</f>
        <v>0</v>
      </c>
      <c r="O31" s="25">
        <f>'TUSD BE'!$O$31*'TUSD BE'!$O$74</f>
        <v>0</v>
      </c>
      <c r="P31" s="25">
        <f>'TUSD BE'!$P$31*'TUSD BE'!$P$74</f>
        <v>0</v>
      </c>
      <c r="Q31" s="25">
        <f>'TUSD BE'!$Q$31*'TUSD BE'!$Q$74</f>
        <v>0</v>
      </c>
      <c r="R31" s="25">
        <f>'TUSD BE'!$R$31*'TUSD BE'!$R$74</f>
        <v>0</v>
      </c>
      <c r="S31" s="25">
        <f>'TUSD BE'!$R$31*'TUSD BE'!$S$74</f>
        <v>0</v>
      </c>
      <c r="T31" s="25">
        <f ca="1">SUM($L$31:$S$31)</f>
        <v>1.821123300515669E-3</v>
      </c>
      <c r="U31" s="25">
        <f>'TUSD BE'!$U$31*'TUSD BE'!$U$74</f>
        <v>0</v>
      </c>
      <c r="V31" s="25">
        <f>'TUSD BE'!$V$31*'TUSD BE'!$V$74</f>
        <v>0</v>
      </c>
      <c r="W31" s="25">
        <f>'TUSD BE'!$W$31*'TUSD BE'!$W$74</f>
        <v>0</v>
      </c>
      <c r="X31" s="25">
        <f>'TUSD BE'!$X$31*'TUSD BE'!$X$74</f>
        <v>0</v>
      </c>
      <c r="Y31" s="25">
        <f>'TUSD BE'!$Y$31*'TUSD BE'!$Y$74</f>
        <v>0</v>
      </c>
      <c r="Z31" s="25">
        <f>'TUSD BE'!$Z$31*'TUSD BE'!$Z$74</f>
        <v>0</v>
      </c>
      <c r="AA31" s="25">
        <f>'TUSD BE'!$AA$31*'TUSD BE'!$AA$74</f>
        <v>0</v>
      </c>
      <c r="AB31" s="25">
        <f>SUM($U$31:$AA$31)</f>
        <v>0</v>
      </c>
      <c r="AC31" s="25">
        <f>'TUSD BE'!$AC$31*'TUSD BE'!$AC$74</f>
        <v>3.7158117287306641E-2</v>
      </c>
      <c r="AD31" s="25">
        <f>SUM($AC$31:$AC$31)</f>
        <v>3.7158117287306641E-2</v>
      </c>
      <c r="AE31" s="25">
        <f ca="1">$AO$31*$AO$71</f>
        <v>-0.73293246484827468</v>
      </c>
      <c r="AF31" s="25">
        <f ca="1">$AP$31*$AP$71</f>
        <v>0</v>
      </c>
      <c r="AG31" s="25">
        <f ca="1">SUM($AE$31:$AF$31)</f>
        <v>-0.73293246484827468</v>
      </c>
      <c r="AH31" s="25">
        <f>'TUSD BE'!$AH$31*'TUSD BE'!$AH$74</f>
        <v>0</v>
      </c>
      <c r="AI31" s="25">
        <f>'TUSD BE'!$AI$31*'TUSD BE'!$AI$74</f>
        <v>0</v>
      </c>
      <c r="AJ31" s="25">
        <f ca="1">'TUSD BE'!$AJ$31*'TUSD BE'!$AJ$74</f>
        <v>0</v>
      </c>
      <c r="AK31" s="25">
        <f ca="1">'TUSD BE'!$AK$31*'TUSD BE'!$AK$74</f>
        <v>0</v>
      </c>
      <c r="AL31" s="25">
        <f ca="1">SUM($AH$31:$AK$31)</f>
        <v>0</v>
      </c>
      <c r="AM31" s="25">
        <f ca="1">SUMIF($L$4:$AL$4,"SUBTOTAL",$L$31:$AL$31)</f>
        <v>-0.69395322426045236</v>
      </c>
      <c r="AO31" s="30">
        <f ca="1">+'TUSD BE'!$T$31+'TUSD BE'!$AB$31+'TUSD BE'!$AD$31+'TUSD BE'!$AL$31</f>
        <v>11.021010887206227</v>
      </c>
      <c r="AP31" s="30">
        <f ca="1">+'TUSD BE'!$T$31+'TUSD BE'!$AB$31+'TUSD BE'!$AD$31+'TUSD BE'!$AL$31</f>
        <v>11.021010887206227</v>
      </c>
    </row>
    <row r="32" spans="1:42" ht="11.25" customHeight="1" x14ac:dyDescent="0.25">
      <c r="A32" s="118"/>
      <c r="B32" s="118"/>
      <c r="C32" s="118"/>
      <c r="D32" s="118"/>
      <c r="E32" s="28" t="s">
        <v>89</v>
      </c>
      <c r="F32" s="28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25">
        <f>'TUSD BE'!$L$32*'TUSD BE'!$L$74</f>
        <v>0</v>
      </c>
      <c r="M32" s="25">
        <f>'TUSD BE'!$M$32*'TUSD BE'!$M$74</f>
        <v>1.821123300515669E-3</v>
      </c>
      <c r="N32" s="25">
        <f ca="1">'TUSD BE'!$N$32*'TUSD BE'!$N$74</f>
        <v>0</v>
      </c>
      <c r="O32" s="25">
        <f>'TUSD BE'!$O$32*'TUSD BE'!$O$74</f>
        <v>0</v>
      </c>
      <c r="P32" s="25">
        <f>'TUSD BE'!$P$32*'TUSD BE'!$P$74</f>
        <v>0</v>
      </c>
      <c r="Q32" s="25">
        <f>'TUSD BE'!$Q$32*'TUSD BE'!$Q$74</f>
        <v>0</v>
      </c>
      <c r="R32" s="25">
        <f>'TUSD BE'!$R$32*'TUSD BE'!$R$74</f>
        <v>0</v>
      </c>
      <c r="S32" s="25">
        <f>'TUSD BE'!$R$32*'TUSD BE'!$S$74</f>
        <v>0</v>
      </c>
      <c r="T32" s="25">
        <f ca="1">SUM($L$32:$S$32)</f>
        <v>1.821123300515669E-3</v>
      </c>
      <c r="U32" s="25">
        <f>'TUSD BE'!$U$32*'TUSD BE'!$U$74</f>
        <v>0</v>
      </c>
      <c r="V32" s="25">
        <f>'TUSD BE'!$V$32*'TUSD BE'!$V$74</f>
        <v>0</v>
      </c>
      <c r="W32" s="25">
        <f>'TUSD BE'!$W$32*'TUSD BE'!$W$74</f>
        <v>0</v>
      </c>
      <c r="X32" s="25">
        <f>'TUSD BE'!$X$32*'TUSD BE'!$X$74</f>
        <v>0</v>
      </c>
      <c r="Y32" s="25">
        <f>'TUSD BE'!$Y$32*'TUSD BE'!$Y$74</f>
        <v>0</v>
      </c>
      <c r="Z32" s="25">
        <f>'TUSD BE'!$Z$32*'TUSD BE'!$Z$74</f>
        <v>0</v>
      </c>
      <c r="AA32" s="25">
        <f>'TUSD BE'!$AA$32*'TUSD BE'!$AA$74</f>
        <v>0</v>
      </c>
      <c r="AB32" s="25">
        <f>SUM($U$32:$AA$32)</f>
        <v>0</v>
      </c>
      <c r="AC32" s="25">
        <f>'TUSD BE'!$AC$32*'TUSD BE'!$AC$74</f>
        <v>8.4762775267827786E-2</v>
      </c>
      <c r="AD32" s="25">
        <f>SUM($AC$32:$AC$32)</f>
        <v>8.4762775267827786E-2</v>
      </c>
      <c r="AE32" s="25">
        <f ca="1">$AO$32*$AO$71</f>
        <v>-1.6607606508187862</v>
      </c>
      <c r="AF32" s="25">
        <f ca="1">$AP$32*$AP$71</f>
        <v>0</v>
      </c>
      <c r="AG32" s="25">
        <f ca="1">SUM($AE$32:$AF$32)</f>
        <v>-1.6607606508187862</v>
      </c>
      <c r="AH32" s="25">
        <f>'TUSD BE'!$AH$32*'TUSD BE'!$AH$74</f>
        <v>0</v>
      </c>
      <c r="AI32" s="25">
        <f>'TUSD BE'!$AI$32*'TUSD BE'!$AI$74</f>
        <v>0</v>
      </c>
      <c r="AJ32" s="25">
        <f ca="1">'TUSD BE'!$AJ$32*'TUSD BE'!$AJ$74</f>
        <v>0</v>
      </c>
      <c r="AK32" s="25">
        <f ca="1">'TUSD BE'!$AK$32*'TUSD BE'!$AK$74</f>
        <v>0</v>
      </c>
      <c r="AL32" s="25">
        <f ca="1">SUM($AH$32:$AK$32)</f>
        <v>0</v>
      </c>
      <c r="AM32" s="25">
        <f ca="1">SUMIF($L$4:$AL$4,"SUBTOTAL",$L$32:$AL$32)</f>
        <v>-1.5741767522504428</v>
      </c>
      <c r="AO32" s="30">
        <f ca="1">+'TUSD BE'!$T$32+'TUSD BE'!$AB$32+'TUSD BE'!$AD$32+'TUSD BE'!$AL$32</f>
        <v>24.972643581160678</v>
      </c>
      <c r="AP32" s="30">
        <f ca="1">+'TUSD BE'!$T$32+'TUSD BE'!$AB$32+'TUSD BE'!$AD$32+'TUSD BE'!$AL$32</f>
        <v>24.972643581160678</v>
      </c>
    </row>
    <row r="33" spans="1:42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25">
        <f>'TUSD BE'!$L$33*'TUSD BE'!$L$74</f>
        <v>-0.56402735483535626</v>
      </c>
      <c r="M33" s="25">
        <f>'TUSD BE'!$M$33*'TUSD BE'!$M$74</f>
        <v>5.0881679654958122E-2</v>
      </c>
      <c r="N33" s="25">
        <f ca="1">'TUSD BE'!$N$33*'TUSD BE'!$N$74</f>
        <v>0</v>
      </c>
      <c r="O33" s="25">
        <f>'TUSD BE'!$O$33*'TUSD BE'!$O$74</f>
        <v>0</v>
      </c>
      <c r="P33" s="25">
        <f>'TUSD BE'!$P$33*'TUSD BE'!$P$74</f>
        <v>0</v>
      </c>
      <c r="Q33" s="25">
        <f>'TUSD BE'!$Q$33*'TUSD BE'!$Q$74</f>
        <v>2.8096179708132913</v>
      </c>
      <c r="R33" s="25">
        <f>'TUSD BE'!$R$33*'TUSD BE'!$R$74</f>
        <v>1.0703727539264616</v>
      </c>
      <c r="S33" s="25">
        <f>'TUSD BE'!$R$33*'TUSD BE'!$S$74</f>
        <v>0</v>
      </c>
      <c r="T33" s="25">
        <f ca="1">SUM($L$33:$S$33)</f>
        <v>3.3668450495593549</v>
      </c>
      <c r="U33" s="25">
        <f>'TUSD BE'!$U$33*'TUSD BE'!$U$74</f>
        <v>-17.514525263613027</v>
      </c>
      <c r="V33" s="25">
        <f>'TUSD BE'!$V$33*'TUSD BE'!$V$74</f>
        <v>0.12768732290310392</v>
      </c>
      <c r="W33" s="25">
        <f>'TUSD BE'!$W$33*'TUSD BE'!$W$74</f>
        <v>-8.4182842446990768E-3</v>
      </c>
      <c r="X33" s="25">
        <f>'TUSD BE'!$X$33*'TUSD BE'!$X$74</f>
        <v>0</v>
      </c>
      <c r="Y33" s="25">
        <f>'TUSD BE'!$Y$33*'TUSD BE'!$Y$74</f>
        <v>0</v>
      </c>
      <c r="Z33" s="25">
        <f>'TUSD BE'!$Z$33*'TUSD BE'!$Z$74</f>
        <v>0</v>
      </c>
      <c r="AA33" s="25">
        <f>'TUSD BE'!$AA$33*'TUSD BE'!$AA$74</f>
        <v>0</v>
      </c>
      <c r="AB33" s="25">
        <f>SUM($U$33:$AA$33)</f>
        <v>-17.395256224954622</v>
      </c>
      <c r="AC33" s="25">
        <f>'TUSD BE'!$AC$33*'TUSD BE'!$AC$74</f>
        <v>3.1045746745854368</v>
      </c>
      <c r="AD33" s="25">
        <f>SUM($AC$33:$AC$33)</f>
        <v>3.1045746745854368</v>
      </c>
      <c r="AE33" s="25">
        <f ca="1">$AO$33*$AO$71</f>
        <v>-83.229730286054291</v>
      </c>
      <c r="AF33" s="25">
        <f ca="1">$AP$33*$AP$71</f>
        <v>0</v>
      </c>
      <c r="AG33" s="25">
        <f ca="1">SUM($AE$33:$AF$33)</f>
        <v>-83.229730286054291</v>
      </c>
      <c r="AH33" s="25">
        <f>'TUSD BE'!$AH$33*'TUSD BE'!$AH$74</f>
        <v>-15.500398475401411</v>
      </c>
      <c r="AI33" s="25">
        <f>'TUSD BE'!$AI$33*'TUSD BE'!$AI$74</f>
        <v>-1.2532775083831666</v>
      </c>
      <c r="AJ33" s="25">
        <f ca="1">'TUSD BE'!$AJ$33*'TUSD BE'!$AJ$74</f>
        <v>-31.065137347412591</v>
      </c>
      <c r="AK33" s="25">
        <f ca="1">'TUSD BE'!$AK$33*'TUSD BE'!$AK$74</f>
        <v>8.7126367801870826E-3</v>
      </c>
      <c r="AL33" s="25">
        <f ca="1">SUM($AH$33:$AK$33)</f>
        <v>-47.810100694416981</v>
      </c>
      <c r="AM33" s="25">
        <f ca="1">SUMIF($L$4:$AL$4,"SUBTOTAL",$L$33:$AL$33)</f>
        <v>-141.96366748128111</v>
      </c>
      <c r="AO33" s="30">
        <f ca="1">+'TUSD BE'!$T$33+'TUSD BE'!$AB$33+'TUSD BE'!$AD$33+'TUSD BE'!$AL$33</f>
        <v>1251.5147133122675</v>
      </c>
      <c r="AP33" s="30">
        <f ca="1">+'TUSD BE'!$T$33+'TUSD BE'!$AB$33+'TUSD BE'!$AD$33+'TUSD BE'!$AL$33</f>
        <v>1251.5147133122675</v>
      </c>
    </row>
    <row r="34" spans="1:42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25">
        <f>'TUSD BE'!$L$34*'TUSD BE'!$L$74</f>
        <v>-0.56402735483535626</v>
      </c>
      <c r="M34" s="25">
        <f>'TUSD BE'!$M$34*'TUSD BE'!$M$74</f>
        <v>5.0881679654958122E-2</v>
      </c>
      <c r="N34" s="25">
        <f ca="1">'TUSD BE'!$N$34*'TUSD BE'!$N$74</f>
        <v>0</v>
      </c>
      <c r="O34" s="25">
        <f>'TUSD BE'!$O$34*'TUSD BE'!$O$74</f>
        <v>0</v>
      </c>
      <c r="P34" s="25">
        <f>'TUSD BE'!$P$34*'TUSD BE'!$P$74</f>
        <v>0</v>
      </c>
      <c r="Q34" s="25">
        <f>'TUSD BE'!$Q$34*'TUSD BE'!$Q$74</f>
        <v>2.8096179708132913</v>
      </c>
      <c r="R34" s="25">
        <f>'TUSD BE'!$R$34*'TUSD BE'!$R$74</f>
        <v>1.0703727539264616</v>
      </c>
      <c r="S34" s="25">
        <f>'TUSD BE'!$R$34*'TUSD BE'!$S$74</f>
        <v>0</v>
      </c>
      <c r="T34" s="25">
        <f ca="1">SUM($L$34:$S$34)</f>
        <v>3.3668450495593549</v>
      </c>
      <c r="U34" s="25">
        <f>'TUSD BE'!$U$34*'TUSD BE'!$U$74</f>
        <v>-10.508702285771813</v>
      </c>
      <c r="V34" s="25">
        <f>'TUSD BE'!$V$34*'TUSD BE'!$V$74</f>
        <v>7.6612535527655623E-2</v>
      </c>
      <c r="W34" s="25">
        <f>'TUSD BE'!$W$34*'TUSD BE'!$W$74</f>
        <v>-5.051331614125674E-3</v>
      </c>
      <c r="X34" s="25">
        <f>'TUSD BE'!$X$34*'TUSD BE'!$X$74</f>
        <v>0</v>
      </c>
      <c r="Y34" s="25">
        <f>'TUSD BE'!$Y$34*'TUSD BE'!$Y$74</f>
        <v>0</v>
      </c>
      <c r="Z34" s="25">
        <f>'TUSD BE'!$Z$34*'TUSD BE'!$Z$74</f>
        <v>0</v>
      </c>
      <c r="AA34" s="25">
        <f>'TUSD BE'!$AA$34*'TUSD BE'!$AA$74</f>
        <v>0</v>
      </c>
      <c r="AB34" s="25">
        <f>SUM($U$34:$AA$34)</f>
        <v>-10.437141081858284</v>
      </c>
      <c r="AC34" s="25">
        <f>'TUSD BE'!$AC$34*'TUSD BE'!$AC$74</f>
        <v>1.8627449824966476</v>
      </c>
      <c r="AD34" s="25">
        <f>SUM($AC$34:$AC$34)</f>
        <v>1.8627449824966476</v>
      </c>
      <c r="AE34" s="25">
        <f ca="1">$AO$34*$AO$71</f>
        <v>-55.328494941442713</v>
      </c>
      <c r="AF34" s="25">
        <f ca="1">$AP$34*$AP$71</f>
        <v>0</v>
      </c>
      <c r="AG34" s="25">
        <f ca="1">SUM($AE$34:$AF$34)</f>
        <v>-55.328494941442713</v>
      </c>
      <c r="AH34" s="25">
        <f>'TUSD BE'!$AH$34*'TUSD BE'!$AH$74</f>
        <v>-15.500398475401411</v>
      </c>
      <c r="AI34" s="25">
        <f>'TUSD BE'!$AI$34*'TUSD BE'!$AI$74</f>
        <v>-1.2532775083831666</v>
      </c>
      <c r="AJ34" s="25">
        <f ca="1">'TUSD BE'!$AJ$34*'TUSD BE'!$AJ$74</f>
        <v>-31.065137347412591</v>
      </c>
      <c r="AK34" s="25">
        <f ca="1">'TUSD BE'!$AK$34*'TUSD BE'!$AK$74</f>
        <v>8.7126367801870826E-3</v>
      </c>
      <c r="AL34" s="25">
        <f ca="1">SUM($AH$34:$AK$34)</f>
        <v>-47.810100694416981</v>
      </c>
      <c r="AM34" s="25">
        <f ca="1">SUMIF($L$4:$AL$4,"SUBTOTAL",$L$34:$AL$34)</f>
        <v>-108.34614668566198</v>
      </c>
      <c r="AO34" s="30">
        <f ca="1">+'TUSD BE'!$T$34+'TUSD BE'!$AB$34+'TUSD BE'!$AD$34+'TUSD BE'!$AL$34</f>
        <v>831.96743815762795</v>
      </c>
      <c r="AP34" s="30">
        <f ca="1">+'TUSD BE'!$T$34+'TUSD BE'!$AB$34+'TUSD BE'!$AD$34+'TUSD BE'!$AL$34</f>
        <v>831.96743815762795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25">
        <f>'TUSD BE'!$L$35*'TUSD BE'!$L$74</f>
        <v>-0.56402735483535626</v>
      </c>
      <c r="M35" s="25">
        <f>'TUSD BE'!$M$35*'TUSD BE'!$M$74</f>
        <v>5.0881679654958122E-2</v>
      </c>
      <c r="N35" s="25">
        <f ca="1">'TUSD BE'!$N$35*'TUSD BE'!$N$74</f>
        <v>0</v>
      </c>
      <c r="O35" s="25">
        <f>'TUSD BE'!$O$35*'TUSD BE'!$O$74</f>
        <v>0</v>
      </c>
      <c r="P35" s="25">
        <f>'TUSD BE'!$P$35*'TUSD BE'!$P$74</f>
        <v>0</v>
      </c>
      <c r="Q35" s="25">
        <f>'TUSD BE'!$Q$35*'TUSD BE'!$Q$74</f>
        <v>2.8096179708132913</v>
      </c>
      <c r="R35" s="25">
        <f>'TUSD BE'!$R$35*'TUSD BE'!$R$74</f>
        <v>1.0703727539264616</v>
      </c>
      <c r="S35" s="25">
        <f>'TUSD BE'!$R$35*'TUSD BE'!$S$74</f>
        <v>0</v>
      </c>
      <c r="T35" s="25">
        <f ca="1">SUM($L$35:$S$35)</f>
        <v>3.3668450495593549</v>
      </c>
      <c r="U35" s="25">
        <f>'TUSD BE'!$U$35*'TUSD BE'!$U$74</f>
        <v>-3.5029007619239376</v>
      </c>
      <c r="V35" s="25">
        <f>'TUSD BE'!$V$35*'TUSD BE'!$V$74</f>
        <v>2.5537748152207298E-2</v>
      </c>
      <c r="W35" s="25">
        <f>'TUSD BE'!$W$35*'TUSD BE'!$W$74</f>
        <v>-1.6843789835522709E-3</v>
      </c>
      <c r="X35" s="25">
        <f>'TUSD BE'!$X$35*'TUSD BE'!$X$74</f>
        <v>0</v>
      </c>
      <c r="Y35" s="25">
        <f>'TUSD BE'!$Y$35*'TUSD BE'!$Y$74</f>
        <v>0</v>
      </c>
      <c r="Z35" s="25">
        <f>'TUSD BE'!$Z$35*'TUSD BE'!$Z$74</f>
        <v>0</v>
      </c>
      <c r="AA35" s="25">
        <f>'TUSD BE'!$AA$35*'TUSD BE'!$AA$74</f>
        <v>0</v>
      </c>
      <c r="AB35" s="25">
        <f>SUM($U$35:$AA$35)</f>
        <v>-3.4790473927552825</v>
      </c>
      <c r="AC35" s="25">
        <f>'TUSD BE'!$AC$35*'TUSD BE'!$AC$74</f>
        <v>0.62091484604439429</v>
      </c>
      <c r="AD35" s="25">
        <f>SUM($AC$35:$AC$35)</f>
        <v>0.62091484604439429</v>
      </c>
      <c r="AE35" s="25">
        <f ca="1">$AO$35*$AO$71</f>
        <v>-27.427260248615386</v>
      </c>
      <c r="AF35" s="25">
        <f ca="1">$AP$35*$AP$71</f>
        <v>0</v>
      </c>
      <c r="AG35" s="25">
        <f ca="1">SUM($AE$35:$AF$35)</f>
        <v>-27.427260248615386</v>
      </c>
      <c r="AH35" s="25">
        <f>'TUSD BE'!$AH$35*'TUSD BE'!$AH$74</f>
        <v>-15.500398475401411</v>
      </c>
      <c r="AI35" s="25">
        <f>'TUSD BE'!$AI$35*'TUSD BE'!$AI$74</f>
        <v>-1.2532775083831666</v>
      </c>
      <c r="AJ35" s="25">
        <f ca="1">'TUSD BE'!$AJ$35*'TUSD BE'!$AJ$74</f>
        <v>-31.065137347412591</v>
      </c>
      <c r="AK35" s="25">
        <f ca="1">'TUSD BE'!$AK$35*'TUSD BE'!$AK$74</f>
        <v>8.7126367801870826E-3</v>
      </c>
      <c r="AL35" s="25">
        <f ca="1">SUM($AH$35:$AK$35)</f>
        <v>-47.810100694416981</v>
      </c>
      <c r="AM35" s="25">
        <f ca="1">SUMIF($L$4:$AL$4,"SUBTOTAL",$L$35:$AL$35)</f>
        <v>-74.728648440183903</v>
      </c>
      <c r="AO35" s="30">
        <f ca="1">+'TUSD BE'!$T$35+'TUSD BE'!$AB$35+'TUSD BE'!$AD$35+'TUSD BE'!$AL$35</f>
        <v>412.42017280378394</v>
      </c>
      <c r="AP35" s="30">
        <f ca="1">+'TUSD BE'!$T$35+'TUSD BE'!$AB$35+'TUSD BE'!$AD$35+'TUSD BE'!$AL$35</f>
        <v>412.42017280378394</v>
      </c>
    </row>
    <row r="36" spans="1:42" ht="11.25" customHeight="1" x14ac:dyDescent="0.25">
      <c r="A36" s="118"/>
      <c r="B36" s="118" t="s">
        <v>23</v>
      </c>
      <c r="C36" s="118" t="s">
        <v>24</v>
      </c>
      <c r="D36" s="28" t="s">
        <v>24</v>
      </c>
      <c r="E36" s="28" t="s">
        <v>25</v>
      </c>
      <c r="F36" s="28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25">
        <f>'TUSD BE'!$L$36*'TUSD BE'!$L$74</f>
        <v>-0.56402735483535626</v>
      </c>
      <c r="M36" s="25">
        <f>'TUSD BE'!$M$36*'TUSD BE'!$M$74</f>
        <v>5.0881679654958122E-2</v>
      </c>
      <c r="N36" s="25">
        <f ca="1">'TUSD BE'!$N$36*'TUSD BE'!$N$74</f>
        <v>0</v>
      </c>
      <c r="O36" s="25">
        <f>'TUSD BE'!$O$36*'TUSD BE'!$O$74</f>
        <v>0</v>
      </c>
      <c r="P36" s="25">
        <f>'TUSD BE'!$P$36*'TUSD BE'!$P$74</f>
        <v>0</v>
      </c>
      <c r="Q36" s="25">
        <f>'TUSD BE'!$Q$36*'TUSD BE'!$Q$74</f>
        <v>2.8096179708132913</v>
      </c>
      <c r="R36" s="25">
        <f>'TUSD BE'!$R$36*'TUSD BE'!$R$74</f>
        <v>1.0703727539264616</v>
      </c>
      <c r="S36" s="25">
        <f>'TUSD BE'!$R$36*'TUSD BE'!$S$74</f>
        <v>0</v>
      </c>
      <c r="T36" s="25">
        <f ca="1">SUM($L$36:$S$36)</f>
        <v>3.3668450495593549</v>
      </c>
      <c r="U36" s="25">
        <f>'TUSD BE'!$U$36*'TUSD BE'!$U$74</f>
        <v>-5.3890714940388778</v>
      </c>
      <c r="V36" s="25">
        <f>'TUSD BE'!$V$36*'TUSD BE'!$V$74</f>
        <v>3.9288134382121878E-2</v>
      </c>
      <c r="W36" s="25">
        <f>'TUSD BE'!$W$36*'TUSD BE'!$W$74</f>
        <v>-2.5906579221838246E-3</v>
      </c>
      <c r="X36" s="25">
        <f>'TUSD BE'!$X$36*'TUSD BE'!$X$74</f>
        <v>0</v>
      </c>
      <c r="Y36" s="25">
        <f>'TUSD BE'!$Y$36*'TUSD BE'!$Y$74</f>
        <v>0</v>
      </c>
      <c r="Z36" s="25">
        <f>'TUSD BE'!$Z$36*'TUSD BE'!$Z$74</f>
        <v>0</v>
      </c>
      <c r="AA36" s="25">
        <f>'TUSD BE'!$AA$36*'TUSD BE'!$AA$74</f>
        <v>0</v>
      </c>
      <c r="AB36" s="25">
        <f>SUM($U$36:$AA$36)</f>
        <v>-5.3523740175789394</v>
      </c>
      <c r="AC36" s="25">
        <f>'TUSD BE'!$AC$36*'TUSD BE'!$AC$74</f>
        <v>0.95525391693531303</v>
      </c>
      <c r="AD36" s="25">
        <f>SUM($AC$36:$AC$36)</f>
        <v>0.95525391693531303</v>
      </c>
      <c r="AE36" s="25">
        <f ca="1">$AO$36*$AO$71</f>
        <v>-34.93912692930229</v>
      </c>
      <c r="AF36" s="25">
        <f ca="1">$AP$36*$AP$71</f>
        <v>0</v>
      </c>
      <c r="AG36" s="25">
        <f ca="1">SUM($AE$36:$AF$36)</f>
        <v>-34.93912692930229</v>
      </c>
      <c r="AH36" s="25">
        <f>'TUSD BE'!$AH$36*'TUSD BE'!$AH$74</f>
        <v>-15.500398475401411</v>
      </c>
      <c r="AI36" s="25">
        <f>'TUSD BE'!$AI$36*'TUSD BE'!$AI$74</f>
        <v>-1.2532775083831666</v>
      </c>
      <c r="AJ36" s="25">
        <f ca="1">'TUSD BE'!$AJ$36*'TUSD BE'!$AJ$74</f>
        <v>-31.065137347412591</v>
      </c>
      <c r="AK36" s="25">
        <f ca="1">'TUSD BE'!$AK$36*'TUSD BE'!$AK$74</f>
        <v>8.7126367801870826E-3</v>
      </c>
      <c r="AL36" s="25">
        <f ca="1">SUM($AH$36:$AK$36)</f>
        <v>-47.810100694416981</v>
      </c>
      <c r="AM36" s="25">
        <f ca="1">SUMIF($L$4:$AL$4,"SUBTOTAL",$L$36:$AL$36)</f>
        <v>-83.779502674803553</v>
      </c>
      <c r="AO36" s="30">
        <f ca="1">+'TUSD BE'!$T$36+'TUSD BE'!$AB$36+'TUSD BE'!$AD$36+'TUSD BE'!$AL$36</f>
        <v>525.37514265660684</v>
      </c>
      <c r="AP36" s="30">
        <f ca="1">+'TUSD BE'!$T$36+'TUSD BE'!$AB$36+'TUSD BE'!$AD$36+'TUSD BE'!$AL$36</f>
        <v>525.37514265660684</v>
      </c>
    </row>
    <row r="37" spans="1:42" ht="11.25" customHeight="1" x14ac:dyDescent="0.25">
      <c r="A37" s="118"/>
      <c r="B37" s="118"/>
      <c r="C37" s="118"/>
      <c r="D37" s="28" t="s">
        <v>29</v>
      </c>
      <c r="E37" s="28" t="s">
        <v>25</v>
      </c>
      <c r="F37" s="28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25">
        <f>'TUSD BE'!$L$37*'TUSD BE'!$L$74</f>
        <v>0</v>
      </c>
      <c r="M37" s="25">
        <f>'TUSD BE'!$M$37*'TUSD BE'!$M$74</f>
        <v>5.0881679654958122E-2</v>
      </c>
      <c r="N37" s="25">
        <f ca="1">'TUSD BE'!$N$37*'TUSD BE'!$N$74</f>
        <v>0</v>
      </c>
      <c r="O37" s="25">
        <f>'TUSD BE'!$O$37*'TUSD BE'!$O$74</f>
        <v>0</v>
      </c>
      <c r="P37" s="25">
        <f>'TUSD BE'!$P$37*'TUSD BE'!$P$74</f>
        <v>0</v>
      </c>
      <c r="Q37" s="25">
        <f>'TUSD BE'!$Q$37*'TUSD BE'!$Q$74</f>
        <v>0</v>
      </c>
      <c r="R37" s="25">
        <f>'TUSD BE'!$R$37*'TUSD BE'!$R$74</f>
        <v>0</v>
      </c>
      <c r="S37" s="25">
        <f>'TUSD BE'!$R$37*'TUSD BE'!$S$74</f>
        <v>0</v>
      </c>
      <c r="T37" s="25">
        <f ca="1">SUM($L$37:$S$37)</f>
        <v>5.0881679654958122E-2</v>
      </c>
      <c r="U37" s="25">
        <f>'TUSD BE'!$U$37*'TUSD BE'!$U$74</f>
        <v>-5.3890714940388778</v>
      </c>
      <c r="V37" s="25">
        <f>'TUSD BE'!$V$37*'TUSD BE'!$V$74</f>
        <v>3.9288134382121878E-2</v>
      </c>
      <c r="W37" s="25">
        <f>'TUSD BE'!$W$37*'TUSD BE'!$W$74</f>
        <v>-2.5906579221838246E-3</v>
      </c>
      <c r="X37" s="25">
        <f>'TUSD BE'!$X$37*'TUSD BE'!$X$74</f>
        <v>0</v>
      </c>
      <c r="Y37" s="25">
        <f>'TUSD BE'!$Y$37*'TUSD BE'!$Y$74</f>
        <v>0</v>
      </c>
      <c r="Z37" s="25">
        <f>'TUSD BE'!$Z$37*'TUSD BE'!$Z$74</f>
        <v>0</v>
      </c>
      <c r="AA37" s="25">
        <f>'TUSD BE'!$AA$37*'TUSD BE'!$AA$74</f>
        <v>0</v>
      </c>
      <c r="AB37" s="25">
        <f>SUM($U$37:$AA$37)</f>
        <v>-5.3523740175789394</v>
      </c>
      <c r="AC37" s="25">
        <f>'TUSD BE'!$AC$37*'TUSD BE'!$AC$74</f>
        <v>0.95525391693531303</v>
      </c>
      <c r="AD37" s="25">
        <f>SUM($AC$37:$AC$37)</f>
        <v>0.95525391693531303</v>
      </c>
      <c r="AE37" s="25">
        <f ca="1">$AO$37*$AO$71</f>
        <v>-29.623443845501079</v>
      </c>
      <c r="AF37" s="25">
        <f ca="1">$AP$37*$AP$71</f>
        <v>0</v>
      </c>
      <c r="AG37" s="25">
        <f ca="1">SUM($AE$37:$AF$37)</f>
        <v>-29.623443845501079</v>
      </c>
      <c r="AH37" s="25">
        <f>'TUSD BE'!$AH$37*'TUSD BE'!$AH$74</f>
        <v>-15.500398475401411</v>
      </c>
      <c r="AI37" s="25">
        <f>'TUSD BE'!$AI$37*'TUSD BE'!$AI$74</f>
        <v>-1.2532775083831666</v>
      </c>
      <c r="AJ37" s="25">
        <f ca="1">'TUSD BE'!$AJ$37*'TUSD BE'!$AJ$74</f>
        <v>-31.065137347412591</v>
      </c>
      <c r="AK37" s="25">
        <f ca="1">'TUSD BE'!$AK$37*'TUSD BE'!$AK$74</f>
        <v>8.7126367801870826E-3</v>
      </c>
      <c r="AL37" s="25">
        <f ca="1">SUM($AH$37:$AK$37)</f>
        <v>-47.810100694416981</v>
      </c>
      <c r="AM37" s="25">
        <f ca="1">SUMIF($L$4:$AL$4,"SUBTOTAL",$L$37:$AL$37)</f>
        <v>-81.779782960906729</v>
      </c>
      <c r="AO37" s="30">
        <f ca="1">+'TUSD BE'!$T$37+'TUSD BE'!$AB$37+'TUSD BE'!$AD$37+'TUSD BE'!$AL$37</f>
        <v>445.44390212731918</v>
      </c>
      <c r="AP37" s="30">
        <f ca="1">+'TUSD BE'!$T$37+'TUSD BE'!$AB$37+'TUSD BE'!$AD$37+'TUSD BE'!$AL$37</f>
        <v>445.44390212731918</v>
      </c>
    </row>
    <row r="38" spans="1:42" ht="11.25" customHeight="1" x14ac:dyDescent="0.25">
      <c r="A38" s="118"/>
      <c r="B38" s="118"/>
      <c r="C38" s="118"/>
      <c r="D38" s="28" t="s">
        <v>30</v>
      </c>
      <c r="E38" s="28" t="s">
        <v>25</v>
      </c>
      <c r="F38" s="28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25">
        <f>'TUSD BE'!$L$38*'TUSD BE'!$L$74</f>
        <v>0</v>
      </c>
      <c r="M38" s="25">
        <f>'TUSD BE'!$M$38*'TUSD BE'!$M$74</f>
        <v>5.0881679654958122E-2</v>
      </c>
      <c r="N38" s="25">
        <f ca="1">'TUSD BE'!$N$38*'TUSD BE'!$N$74</f>
        <v>0</v>
      </c>
      <c r="O38" s="25">
        <f>'TUSD BE'!$O$38*'TUSD BE'!$O$74</f>
        <v>0</v>
      </c>
      <c r="P38" s="25">
        <f>'TUSD BE'!$P$38*'TUSD BE'!$P$74</f>
        <v>0</v>
      </c>
      <c r="Q38" s="25">
        <f>'TUSD BE'!$Q$38*'TUSD BE'!$Q$74</f>
        <v>0</v>
      </c>
      <c r="R38" s="25">
        <f>'TUSD BE'!$R$38*'TUSD BE'!$R$74</f>
        <v>0</v>
      </c>
      <c r="S38" s="25">
        <f>'TUSD BE'!$R$38*'TUSD BE'!$S$74</f>
        <v>0</v>
      </c>
      <c r="T38" s="25">
        <f ca="1">SUM($L$38:$S$38)</f>
        <v>5.0881679654958122E-2</v>
      </c>
      <c r="U38" s="25">
        <f>'TUSD BE'!$U$38*'TUSD BE'!$U$74</f>
        <v>-5.3890714940388778</v>
      </c>
      <c r="V38" s="25">
        <f>'TUSD BE'!$V$38*'TUSD BE'!$V$74</f>
        <v>3.9288134382121878E-2</v>
      </c>
      <c r="W38" s="25">
        <f>'TUSD BE'!$W$38*'TUSD BE'!$W$74</f>
        <v>-2.5906579221838246E-3</v>
      </c>
      <c r="X38" s="25">
        <f>'TUSD BE'!$X$38*'TUSD BE'!$X$74</f>
        <v>0</v>
      </c>
      <c r="Y38" s="25">
        <f>'TUSD BE'!$Y$38*'TUSD BE'!$Y$74</f>
        <v>0</v>
      </c>
      <c r="Z38" s="25">
        <f>'TUSD BE'!$Z$38*'TUSD BE'!$Z$74</f>
        <v>0</v>
      </c>
      <c r="AA38" s="25">
        <f>'TUSD BE'!$AA$38*'TUSD BE'!$AA$74</f>
        <v>0</v>
      </c>
      <c r="AB38" s="25">
        <f>SUM($U$38:$AA$38)</f>
        <v>-5.3523740175789394</v>
      </c>
      <c r="AC38" s="25">
        <f>'TUSD BE'!$AC$38*'TUSD BE'!$AC$74</f>
        <v>0.95525391693531303</v>
      </c>
      <c r="AD38" s="25">
        <f>SUM($AC$38:$AC$38)</f>
        <v>0.95525391693531303</v>
      </c>
      <c r="AE38" s="25">
        <f ca="1">$AO$38*$AO$71</f>
        <v>-29.623443845501079</v>
      </c>
      <c r="AF38" s="25">
        <f ca="1">$AP$38*$AP$71</f>
        <v>0</v>
      </c>
      <c r="AG38" s="25">
        <f ca="1">SUM($AE$38:$AF$38)</f>
        <v>-29.623443845501079</v>
      </c>
      <c r="AH38" s="25">
        <f>'TUSD BE'!$AH$38*'TUSD BE'!$AH$74</f>
        <v>-15.500398475401411</v>
      </c>
      <c r="AI38" s="25">
        <f>'TUSD BE'!$AI$38*'TUSD BE'!$AI$74</f>
        <v>-1.2532775083831666</v>
      </c>
      <c r="AJ38" s="25">
        <f ca="1">'TUSD BE'!$AJ$38*'TUSD BE'!$AJ$74</f>
        <v>-31.065137347412591</v>
      </c>
      <c r="AK38" s="25">
        <f ca="1">'TUSD BE'!$AK$38*'TUSD BE'!$AK$74</f>
        <v>8.7126367801870826E-3</v>
      </c>
      <c r="AL38" s="25">
        <f ca="1">SUM($AH$38:$AK$38)</f>
        <v>-47.810100694416981</v>
      </c>
      <c r="AM38" s="25">
        <f ca="1">SUMIF($L$4:$AL$4,"SUBTOTAL",$L$38:$AL$38)</f>
        <v>-81.779782960906729</v>
      </c>
      <c r="AO38" s="30">
        <f ca="1">+'TUSD BE'!$T$38+'TUSD BE'!$AB$38+'TUSD BE'!$AD$38+'TUSD BE'!$AL$38</f>
        <v>445.44390212731918</v>
      </c>
      <c r="AP38" s="30">
        <f ca="1">+'TUSD BE'!$T$38+'TUSD BE'!$AB$38+'TUSD BE'!$AD$38+'TUSD BE'!$AL$38</f>
        <v>445.44390212731918</v>
      </c>
    </row>
    <row r="39" spans="1:42" ht="11.25" customHeight="1" x14ac:dyDescent="0.25">
      <c r="A39" s="118"/>
      <c r="B39" s="118"/>
      <c r="C39" s="118"/>
      <c r="D39" s="28" t="s">
        <v>31</v>
      </c>
      <c r="E39" s="28" t="s">
        <v>25</v>
      </c>
      <c r="F39" s="28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25">
        <f>'TUSD BE'!$L$39*'TUSD BE'!$L$74</f>
        <v>0</v>
      </c>
      <c r="M39" s="25">
        <f>'TUSD BE'!$M$39*'TUSD BE'!$M$74</f>
        <v>5.0881679654958122E-2</v>
      </c>
      <c r="N39" s="25">
        <f ca="1">'TUSD BE'!$N$39*'TUSD BE'!$N$74</f>
        <v>0</v>
      </c>
      <c r="O39" s="25">
        <f>'TUSD BE'!$O$39*'TUSD BE'!$O$74</f>
        <v>0</v>
      </c>
      <c r="P39" s="25">
        <f>'TUSD BE'!$P$39*'TUSD BE'!$P$74</f>
        <v>0</v>
      </c>
      <c r="Q39" s="25">
        <f>'TUSD BE'!$Q$39*'TUSD BE'!$Q$74</f>
        <v>0</v>
      </c>
      <c r="R39" s="25">
        <f>'TUSD BE'!$R$39*'TUSD BE'!$R$74</f>
        <v>0</v>
      </c>
      <c r="S39" s="25">
        <f>'TUSD BE'!$R$39*'TUSD BE'!$S$74</f>
        <v>0</v>
      </c>
      <c r="T39" s="25">
        <f ca="1">SUM($L$39:$S$39)</f>
        <v>5.0881679654958122E-2</v>
      </c>
      <c r="U39" s="25">
        <f>'TUSD BE'!$U$39*'TUSD BE'!$U$74</f>
        <v>-5.3890714940388778</v>
      </c>
      <c r="V39" s="25">
        <f>'TUSD BE'!$V$39*'TUSD BE'!$V$74</f>
        <v>3.9288134382121878E-2</v>
      </c>
      <c r="W39" s="25">
        <f>'TUSD BE'!$W$39*'TUSD BE'!$W$74</f>
        <v>-2.5906579221838246E-3</v>
      </c>
      <c r="X39" s="25">
        <f>'TUSD BE'!$X$39*'TUSD BE'!$X$74</f>
        <v>0</v>
      </c>
      <c r="Y39" s="25">
        <f>'TUSD BE'!$Y$39*'TUSD BE'!$Y$74</f>
        <v>0</v>
      </c>
      <c r="Z39" s="25">
        <f>'TUSD BE'!$Z$39*'TUSD BE'!$Z$74</f>
        <v>0</v>
      </c>
      <c r="AA39" s="25">
        <f>'TUSD BE'!$AA$39*'TUSD BE'!$AA$74</f>
        <v>0</v>
      </c>
      <c r="AB39" s="25">
        <f>SUM($U$39:$AA$39)</f>
        <v>-5.3523740175789394</v>
      </c>
      <c r="AC39" s="25">
        <f>'TUSD BE'!$AC$39*'TUSD BE'!$AC$74</f>
        <v>0.95525391693531303</v>
      </c>
      <c r="AD39" s="25">
        <f>SUM($AC$39:$AC$39)</f>
        <v>0.95525391693531303</v>
      </c>
      <c r="AE39" s="25">
        <f ca="1">$AO$39*$AO$71</f>
        <v>-29.623443845501079</v>
      </c>
      <c r="AF39" s="25">
        <f ca="1">$AP$39*$AP$71</f>
        <v>0</v>
      </c>
      <c r="AG39" s="25">
        <f ca="1">SUM($AE$39:$AF$39)</f>
        <v>-29.623443845501079</v>
      </c>
      <c r="AH39" s="25">
        <f>'TUSD BE'!$AH$39*'TUSD BE'!$AH$74</f>
        <v>-15.500398475401411</v>
      </c>
      <c r="AI39" s="25">
        <f>'TUSD BE'!$AI$39*'TUSD BE'!$AI$74</f>
        <v>-1.2532775083831666</v>
      </c>
      <c r="AJ39" s="25">
        <f ca="1">'TUSD BE'!$AJ$39*'TUSD BE'!$AJ$74</f>
        <v>-31.065137347412591</v>
      </c>
      <c r="AK39" s="25">
        <f ca="1">'TUSD BE'!$AK$39*'TUSD BE'!$AK$74</f>
        <v>8.7126367801870826E-3</v>
      </c>
      <c r="AL39" s="25">
        <f ca="1">SUM($AH$39:$AK$39)</f>
        <v>-47.810100694416981</v>
      </c>
      <c r="AM39" s="25">
        <f ca="1">SUMIF($L$4:$AL$4,"SUBTOTAL",$L$39:$AL$39)</f>
        <v>-81.779782960906729</v>
      </c>
      <c r="AO39" s="30">
        <f ca="1">+'TUSD BE'!$T$39+'TUSD BE'!$AB$39+'TUSD BE'!$AD$39+'TUSD BE'!$AL$39</f>
        <v>445.44390212731918</v>
      </c>
      <c r="AP39" s="30">
        <f ca="1">+'TUSD BE'!$T$39+'TUSD BE'!$AB$39+'TUSD BE'!$AD$39+'TUSD BE'!$AL$39</f>
        <v>445.44390212731918</v>
      </c>
    </row>
    <row r="40" spans="1:42" ht="11.25" customHeight="1" x14ac:dyDescent="0.25">
      <c r="A40" s="118"/>
      <c r="B40" s="118"/>
      <c r="C40" s="118"/>
      <c r="D40" s="28" t="s">
        <v>32</v>
      </c>
      <c r="E40" s="28" t="s">
        <v>25</v>
      </c>
      <c r="F40" s="28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25">
        <f>'TUSD BE'!$L$40*'TUSD BE'!$L$74</f>
        <v>0</v>
      </c>
      <c r="M40" s="25">
        <f>'TUSD BE'!$M$40*'TUSD BE'!$M$74</f>
        <v>5.0881679654958122E-2</v>
      </c>
      <c r="N40" s="25">
        <f ca="1">'TUSD BE'!$N$40*'TUSD BE'!$N$74</f>
        <v>0</v>
      </c>
      <c r="O40" s="25">
        <f>'TUSD BE'!$O$40*'TUSD BE'!$O$74</f>
        <v>0</v>
      </c>
      <c r="P40" s="25">
        <f>'TUSD BE'!$P$40*'TUSD BE'!$P$74</f>
        <v>0</v>
      </c>
      <c r="Q40" s="25">
        <f>'TUSD BE'!$Q$40*'TUSD BE'!$Q$74</f>
        <v>0</v>
      </c>
      <c r="R40" s="25">
        <f>'TUSD BE'!$R$40*'TUSD BE'!$R$74</f>
        <v>0</v>
      </c>
      <c r="S40" s="25">
        <f>'TUSD BE'!$R$40*'TUSD BE'!$S$74</f>
        <v>0</v>
      </c>
      <c r="T40" s="25">
        <f ca="1">SUM($L$40:$S$40)</f>
        <v>5.0881679654958122E-2</v>
      </c>
      <c r="U40" s="25">
        <f>'TUSD BE'!$U$40*'TUSD BE'!$U$74</f>
        <v>-5.3890714940388778</v>
      </c>
      <c r="V40" s="25">
        <f>'TUSD BE'!$V$40*'TUSD BE'!$V$74</f>
        <v>3.9288134382121878E-2</v>
      </c>
      <c r="W40" s="25">
        <f>'TUSD BE'!$W$40*'TUSD BE'!$W$74</f>
        <v>-2.5906579221838246E-3</v>
      </c>
      <c r="X40" s="25">
        <f>'TUSD BE'!$X$40*'TUSD BE'!$X$74</f>
        <v>0</v>
      </c>
      <c r="Y40" s="25">
        <f>'TUSD BE'!$Y$40*'TUSD BE'!$Y$74</f>
        <v>0</v>
      </c>
      <c r="Z40" s="25">
        <f>'TUSD BE'!$Z$40*'TUSD BE'!$Z$74</f>
        <v>0</v>
      </c>
      <c r="AA40" s="25">
        <f>'TUSD BE'!$AA$40*'TUSD BE'!$AA$74</f>
        <v>0</v>
      </c>
      <c r="AB40" s="25">
        <f>SUM($U$40:$AA$40)</f>
        <v>-5.3523740175789394</v>
      </c>
      <c r="AC40" s="25">
        <f>'TUSD BE'!$AC$40*'TUSD BE'!$AC$74</f>
        <v>0.95525391693531303</v>
      </c>
      <c r="AD40" s="25">
        <f>SUM($AC$40:$AC$40)</f>
        <v>0.95525391693531303</v>
      </c>
      <c r="AE40" s="25">
        <f ca="1">$AO$40*$AO$71</f>
        <v>-29.623443845501079</v>
      </c>
      <c r="AF40" s="25">
        <f ca="1">$AP$40*$AP$71</f>
        <v>0</v>
      </c>
      <c r="AG40" s="25">
        <f ca="1">SUM($AE$40:$AF$40)</f>
        <v>-29.623443845501079</v>
      </c>
      <c r="AH40" s="25">
        <f>'TUSD BE'!$AH$40*'TUSD BE'!$AH$74</f>
        <v>-15.500398475401411</v>
      </c>
      <c r="AI40" s="25">
        <f>'TUSD BE'!$AI$40*'TUSD BE'!$AI$74</f>
        <v>-1.2532775083831666</v>
      </c>
      <c r="AJ40" s="25">
        <f ca="1">'TUSD BE'!$AJ$40*'TUSD BE'!$AJ$74</f>
        <v>-31.065137347412591</v>
      </c>
      <c r="AK40" s="25">
        <f ca="1">'TUSD BE'!$AK$40*'TUSD BE'!$AK$74</f>
        <v>8.7126367801870826E-3</v>
      </c>
      <c r="AL40" s="25">
        <f ca="1">SUM($AH$40:$AK$40)</f>
        <v>-47.810100694416981</v>
      </c>
      <c r="AM40" s="25">
        <f ca="1">SUMIF($L$4:$AL$4,"SUBTOTAL",$L$40:$AL$40)</f>
        <v>-81.779782960906729</v>
      </c>
      <c r="AO40" s="30">
        <f ca="1">+'TUSD BE'!$T$40+'TUSD BE'!$AB$40+'TUSD BE'!$AD$40+'TUSD BE'!$AL$40</f>
        <v>445.44390212731918</v>
      </c>
      <c r="AP40" s="30">
        <f ca="1">+'TUSD BE'!$T$40+'TUSD BE'!$AB$40+'TUSD BE'!$AD$40+'TUSD BE'!$AL$40</f>
        <v>445.44390212731918</v>
      </c>
    </row>
    <row r="41" spans="1:42" ht="11.25" customHeight="1" x14ac:dyDescent="0.25">
      <c r="A41" s="118"/>
      <c r="B41" s="118" t="s">
        <v>92</v>
      </c>
      <c r="C41" s="118" t="s">
        <v>24</v>
      </c>
      <c r="D41" s="28" t="s">
        <v>24</v>
      </c>
      <c r="E41" s="28" t="s">
        <v>25</v>
      </c>
      <c r="F41" s="28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25">
        <f>'TUSD BE'!$L$41*'TUSD BE'!$L$74</f>
        <v>-0.56402735483535626</v>
      </c>
      <c r="M41" s="25">
        <f>'TUSD BE'!$M$41*'TUSD BE'!$M$74</f>
        <v>5.0881679654958122E-2</v>
      </c>
      <c r="N41" s="25">
        <f ca="1">'TUSD BE'!$N$41*'TUSD BE'!$N$74</f>
        <v>0</v>
      </c>
      <c r="O41" s="25">
        <f>'TUSD BE'!$O$41*'TUSD BE'!$O$74</f>
        <v>0</v>
      </c>
      <c r="P41" s="25">
        <f>'TUSD BE'!$P$41*'TUSD BE'!$P$74</f>
        <v>0</v>
      </c>
      <c r="Q41" s="25">
        <f>'TUSD BE'!$Q$41*'TUSD BE'!$Q$74</f>
        <v>2.8096179708132913</v>
      </c>
      <c r="R41" s="25">
        <f>'TUSD BE'!$R$41*'TUSD BE'!$R$74</f>
        <v>1.0703727539264616</v>
      </c>
      <c r="S41" s="25">
        <f>'TUSD BE'!$R$41*'TUSD BE'!$S$74</f>
        <v>0</v>
      </c>
      <c r="T41" s="25">
        <f ca="1">SUM($L$41:$S$41)</f>
        <v>3.3668450495593549</v>
      </c>
      <c r="U41" s="25">
        <f>'TUSD BE'!$U$41*'TUSD BE'!$U$74</f>
        <v>-5.3890714940388778</v>
      </c>
      <c r="V41" s="25">
        <f>'TUSD BE'!$V$41*'TUSD BE'!$V$74</f>
        <v>3.9288134382121878E-2</v>
      </c>
      <c r="W41" s="25">
        <f>'TUSD BE'!$W$41*'TUSD BE'!$W$74</f>
        <v>-2.5906579221838246E-3</v>
      </c>
      <c r="X41" s="25">
        <f>'TUSD BE'!$X$41*'TUSD BE'!$X$74</f>
        <v>0</v>
      </c>
      <c r="Y41" s="25">
        <f>'TUSD BE'!$Y$41*'TUSD BE'!$Y$74</f>
        <v>0</v>
      </c>
      <c r="Z41" s="25">
        <f>'TUSD BE'!$Z$41*'TUSD BE'!$Z$74</f>
        <v>0</v>
      </c>
      <c r="AA41" s="25">
        <f>'TUSD BE'!$AA$41*'TUSD BE'!$AA$74</f>
        <v>0</v>
      </c>
      <c r="AB41" s="25">
        <f>SUM($U$41:$AA$41)</f>
        <v>-5.3523740175789394</v>
      </c>
      <c r="AC41" s="25">
        <f>'TUSD BE'!$AC$41*'TUSD BE'!$AC$74</f>
        <v>0.95525391693531303</v>
      </c>
      <c r="AD41" s="25">
        <f>SUM($AC$41:$AC$41)</f>
        <v>0.95525391693531303</v>
      </c>
      <c r="AE41" s="25">
        <f ca="1">$AO$41*$AO$71</f>
        <v>-34.93912692930229</v>
      </c>
      <c r="AF41" s="25">
        <f ca="1">$AP$41*$AP$71</f>
        <v>0</v>
      </c>
      <c r="AG41" s="25">
        <f ca="1">SUM($AE$41:$AF$41)</f>
        <v>-34.93912692930229</v>
      </c>
      <c r="AH41" s="25">
        <f>'TUSD BE'!$AH$41*'TUSD BE'!$AH$74</f>
        <v>-15.500398475401411</v>
      </c>
      <c r="AI41" s="25">
        <f>'TUSD BE'!$AI$41*'TUSD BE'!$AI$74</f>
        <v>-1.2532775083831666</v>
      </c>
      <c r="AJ41" s="25">
        <f ca="1">'TUSD BE'!$AJ$41*'TUSD BE'!$AJ$74</f>
        <v>-31.065137347412591</v>
      </c>
      <c r="AK41" s="25">
        <f ca="1">'TUSD BE'!$AK$41*'TUSD BE'!$AK$74</f>
        <v>8.7126367801870826E-3</v>
      </c>
      <c r="AL41" s="25">
        <f ca="1">SUM($AH$41:$AK$41)</f>
        <v>-47.810100694416981</v>
      </c>
      <c r="AM41" s="25">
        <f ca="1">SUMIF($L$4:$AL$4,"SUBTOTAL",$L$41:$AL$41)</f>
        <v>-83.779502674803553</v>
      </c>
      <c r="AO41" s="30">
        <f ca="1">+'TUSD BE'!$T$41+'TUSD BE'!$AB$41+'TUSD BE'!$AD$41+'TUSD BE'!$AL$41</f>
        <v>525.37514265660684</v>
      </c>
      <c r="AP41" s="30">
        <f ca="1">+'TUSD BE'!$T$41+'TUSD BE'!$AB$41+'TUSD BE'!$AD$41+'TUSD BE'!$AL$41</f>
        <v>525.37514265660684</v>
      </c>
    </row>
    <row r="42" spans="1:42" ht="11.25" customHeight="1" x14ac:dyDescent="0.25">
      <c r="A42" s="118"/>
      <c r="B42" s="118"/>
      <c r="C42" s="118"/>
      <c r="D42" s="28" t="s">
        <v>29</v>
      </c>
      <c r="E42" s="28" t="s">
        <v>25</v>
      </c>
      <c r="F42" s="28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25">
        <f>'TUSD BE'!$L$42*'TUSD BE'!$L$74</f>
        <v>0</v>
      </c>
      <c r="M42" s="25">
        <f>'TUSD BE'!$M$42*'TUSD BE'!$M$74</f>
        <v>5.0881679654958122E-2</v>
      </c>
      <c r="N42" s="25">
        <f ca="1">'TUSD BE'!$N$42*'TUSD BE'!$N$74</f>
        <v>0</v>
      </c>
      <c r="O42" s="25">
        <f>'TUSD BE'!$O$42*'TUSD BE'!$O$74</f>
        <v>0</v>
      </c>
      <c r="P42" s="25">
        <f>'TUSD BE'!$P$42*'TUSD BE'!$P$74</f>
        <v>0</v>
      </c>
      <c r="Q42" s="25">
        <f>'TUSD BE'!$Q$42*'TUSD BE'!$Q$74</f>
        <v>0</v>
      </c>
      <c r="R42" s="25">
        <f>'TUSD BE'!$R$42*'TUSD BE'!$R$74</f>
        <v>0</v>
      </c>
      <c r="S42" s="25">
        <f>'TUSD BE'!$R$42*'TUSD BE'!$S$74</f>
        <v>0</v>
      </c>
      <c r="T42" s="25">
        <f ca="1">SUM($L$42:$S$42)</f>
        <v>5.0881679654958122E-2</v>
      </c>
      <c r="U42" s="25">
        <f>'TUSD BE'!$U$42*'TUSD BE'!$U$74</f>
        <v>-5.3890714940388778</v>
      </c>
      <c r="V42" s="25">
        <f>'TUSD BE'!$V$42*'TUSD BE'!$V$74</f>
        <v>3.9288134382121878E-2</v>
      </c>
      <c r="W42" s="25">
        <f>'TUSD BE'!$W$42*'TUSD BE'!$W$74</f>
        <v>-2.5906579221838246E-3</v>
      </c>
      <c r="X42" s="25">
        <f>'TUSD BE'!$X$42*'TUSD BE'!$X$74</f>
        <v>0</v>
      </c>
      <c r="Y42" s="25">
        <f>'TUSD BE'!$Y$42*'TUSD BE'!$Y$74</f>
        <v>0</v>
      </c>
      <c r="Z42" s="25">
        <f>'TUSD BE'!$Z$42*'TUSD BE'!$Z$74</f>
        <v>0</v>
      </c>
      <c r="AA42" s="25">
        <f>'TUSD BE'!$AA$42*'TUSD BE'!$AA$74</f>
        <v>0</v>
      </c>
      <c r="AB42" s="25">
        <f>SUM($U$42:$AA$42)</f>
        <v>-5.3523740175789394</v>
      </c>
      <c r="AC42" s="25">
        <f>'TUSD BE'!$AC$42*'TUSD BE'!$AC$74</f>
        <v>0.95525391693531303</v>
      </c>
      <c r="AD42" s="25">
        <f>SUM($AC$42:$AC$42)</f>
        <v>0.95525391693531303</v>
      </c>
      <c r="AE42" s="25">
        <f ca="1">$AO$42*$AO$71</f>
        <v>-29.623443845501079</v>
      </c>
      <c r="AF42" s="25">
        <f ca="1">$AP$42*$AP$71</f>
        <v>0</v>
      </c>
      <c r="AG42" s="25">
        <f ca="1">SUM($AE$42:$AF$42)</f>
        <v>-29.623443845501079</v>
      </c>
      <c r="AH42" s="25">
        <f>'TUSD BE'!$AH$42*'TUSD BE'!$AH$74</f>
        <v>-15.500398475401411</v>
      </c>
      <c r="AI42" s="25">
        <f>'TUSD BE'!$AI$42*'TUSD BE'!$AI$74</f>
        <v>-1.2532775083831666</v>
      </c>
      <c r="AJ42" s="25">
        <f ca="1">'TUSD BE'!$AJ$42*'TUSD BE'!$AJ$74</f>
        <v>-31.065137347412591</v>
      </c>
      <c r="AK42" s="25">
        <f ca="1">'TUSD BE'!$AK$42*'TUSD BE'!$AK$74</f>
        <v>8.7126367801870826E-3</v>
      </c>
      <c r="AL42" s="25">
        <f ca="1">SUM($AH$42:$AK$42)</f>
        <v>-47.810100694416981</v>
      </c>
      <c r="AM42" s="25">
        <f ca="1">SUMIF($L$4:$AL$4,"SUBTOTAL",$L$42:$AL$42)</f>
        <v>-81.779782960906729</v>
      </c>
      <c r="AO42" s="30">
        <f ca="1">+'TUSD BE'!$T$42+'TUSD BE'!$AB$42+'TUSD BE'!$AD$42+'TUSD BE'!$AL$42</f>
        <v>445.44390212731918</v>
      </c>
      <c r="AP42" s="30">
        <f ca="1">+'TUSD BE'!$T$42+'TUSD BE'!$AB$42+'TUSD BE'!$AD$42+'TUSD BE'!$AL$42</f>
        <v>445.44390212731918</v>
      </c>
    </row>
    <row r="43" spans="1:42" ht="11.25" customHeight="1" x14ac:dyDescent="0.25">
      <c r="A43" s="118"/>
      <c r="B43" s="118"/>
      <c r="C43" s="118"/>
      <c r="D43" s="28" t="s">
        <v>30</v>
      </c>
      <c r="E43" s="28" t="s">
        <v>25</v>
      </c>
      <c r="F43" s="28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25">
        <f>'TUSD BE'!$L$43*'TUSD BE'!$L$74</f>
        <v>0</v>
      </c>
      <c r="M43" s="25">
        <f>'TUSD BE'!$M$43*'TUSD BE'!$M$74</f>
        <v>5.0881679654958122E-2</v>
      </c>
      <c r="N43" s="25">
        <f ca="1">'TUSD BE'!$N$43*'TUSD BE'!$N$74</f>
        <v>0</v>
      </c>
      <c r="O43" s="25">
        <f>'TUSD BE'!$O$43*'TUSD BE'!$O$74</f>
        <v>0</v>
      </c>
      <c r="P43" s="25">
        <f>'TUSD BE'!$P$43*'TUSD BE'!$P$74</f>
        <v>0</v>
      </c>
      <c r="Q43" s="25">
        <f>'TUSD BE'!$Q$43*'TUSD BE'!$Q$74</f>
        <v>0</v>
      </c>
      <c r="R43" s="25">
        <f>'TUSD BE'!$R$43*'TUSD BE'!$R$74</f>
        <v>0</v>
      </c>
      <c r="S43" s="25">
        <f>'TUSD BE'!$R$43*'TUSD BE'!$S$74</f>
        <v>0</v>
      </c>
      <c r="T43" s="25">
        <f ca="1">SUM($L$43:$S$43)</f>
        <v>5.0881679654958122E-2</v>
      </c>
      <c r="U43" s="25">
        <f>'TUSD BE'!$U$43*'TUSD BE'!$U$74</f>
        <v>-5.3890714940388778</v>
      </c>
      <c r="V43" s="25">
        <f>'TUSD BE'!$V$43*'TUSD BE'!$V$74</f>
        <v>3.9288134382121878E-2</v>
      </c>
      <c r="W43" s="25">
        <f>'TUSD BE'!$W$43*'TUSD BE'!$W$74</f>
        <v>-2.5906579221838246E-3</v>
      </c>
      <c r="X43" s="25">
        <f>'TUSD BE'!$X$43*'TUSD BE'!$X$74</f>
        <v>0</v>
      </c>
      <c r="Y43" s="25">
        <f>'TUSD BE'!$Y$43*'TUSD BE'!$Y$74</f>
        <v>0</v>
      </c>
      <c r="Z43" s="25">
        <f>'TUSD BE'!$Z$43*'TUSD BE'!$Z$74</f>
        <v>0</v>
      </c>
      <c r="AA43" s="25">
        <f>'TUSD BE'!$AA$43*'TUSD BE'!$AA$74</f>
        <v>0</v>
      </c>
      <c r="AB43" s="25">
        <f>SUM($U$43:$AA$43)</f>
        <v>-5.3523740175789394</v>
      </c>
      <c r="AC43" s="25">
        <f>'TUSD BE'!$AC$43*'TUSD BE'!$AC$74</f>
        <v>0.95525391693531303</v>
      </c>
      <c r="AD43" s="25">
        <f>SUM($AC$43:$AC$43)</f>
        <v>0.95525391693531303</v>
      </c>
      <c r="AE43" s="25">
        <f ca="1">$AO$43*$AO$71</f>
        <v>-29.623443845501079</v>
      </c>
      <c r="AF43" s="25">
        <f ca="1">$AP$43*$AP$71</f>
        <v>0</v>
      </c>
      <c r="AG43" s="25">
        <f ca="1">SUM($AE$43:$AF$43)</f>
        <v>-29.623443845501079</v>
      </c>
      <c r="AH43" s="25">
        <f>'TUSD BE'!$AH$43*'TUSD BE'!$AH$74</f>
        <v>-15.500398475401411</v>
      </c>
      <c r="AI43" s="25">
        <f>'TUSD BE'!$AI$43*'TUSD BE'!$AI$74</f>
        <v>-1.2532775083831666</v>
      </c>
      <c r="AJ43" s="25">
        <f ca="1">'TUSD BE'!$AJ$43*'TUSD BE'!$AJ$74</f>
        <v>-31.065137347412591</v>
      </c>
      <c r="AK43" s="25">
        <f ca="1">'TUSD BE'!$AK$43*'TUSD BE'!$AK$74</f>
        <v>8.7126367801870826E-3</v>
      </c>
      <c r="AL43" s="25">
        <f ca="1">SUM($AH$43:$AK$43)</f>
        <v>-47.810100694416981</v>
      </c>
      <c r="AM43" s="25">
        <f ca="1">SUMIF($L$4:$AL$4,"SUBTOTAL",$L$43:$AL$43)</f>
        <v>-81.779782960906729</v>
      </c>
      <c r="AO43" s="30">
        <f ca="1">+'TUSD BE'!$T$43+'TUSD BE'!$AB$43+'TUSD BE'!$AD$43+'TUSD BE'!$AL$43</f>
        <v>445.44390212731918</v>
      </c>
      <c r="AP43" s="30">
        <f ca="1">+'TUSD BE'!$T$43+'TUSD BE'!$AB$43+'TUSD BE'!$AD$43+'TUSD BE'!$AL$43</f>
        <v>445.44390212731918</v>
      </c>
    </row>
    <row r="44" spans="1:42" ht="11.25" customHeight="1" x14ac:dyDescent="0.25">
      <c r="A44" s="118"/>
      <c r="B44" s="118"/>
      <c r="C44" s="118"/>
      <c r="D44" s="28" t="s">
        <v>31</v>
      </c>
      <c r="E44" s="28" t="s">
        <v>25</v>
      </c>
      <c r="F44" s="28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25">
        <f>'TUSD BE'!$L$44*'TUSD BE'!$L$74</f>
        <v>0</v>
      </c>
      <c r="M44" s="25">
        <f>'TUSD BE'!$M$44*'TUSD BE'!$M$74</f>
        <v>5.0881679654958122E-2</v>
      </c>
      <c r="N44" s="25">
        <f ca="1">'TUSD BE'!$N$44*'TUSD BE'!$N$74</f>
        <v>0</v>
      </c>
      <c r="O44" s="25">
        <f>'TUSD BE'!$O$44*'TUSD BE'!$O$74</f>
        <v>0</v>
      </c>
      <c r="P44" s="25">
        <f>'TUSD BE'!$P$44*'TUSD BE'!$P$74</f>
        <v>0</v>
      </c>
      <c r="Q44" s="25">
        <f>'TUSD BE'!$Q$44*'TUSD BE'!$Q$74</f>
        <v>0</v>
      </c>
      <c r="R44" s="25">
        <f>'TUSD BE'!$R$44*'TUSD BE'!$R$74</f>
        <v>0</v>
      </c>
      <c r="S44" s="25">
        <f>'TUSD BE'!$R$44*'TUSD BE'!$S$74</f>
        <v>0</v>
      </c>
      <c r="T44" s="25">
        <f ca="1">SUM($L$44:$S$44)</f>
        <v>5.0881679654958122E-2</v>
      </c>
      <c r="U44" s="25">
        <f>'TUSD BE'!$U$44*'TUSD BE'!$U$74</f>
        <v>-5.3890714940388778</v>
      </c>
      <c r="V44" s="25">
        <f>'TUSD BE'!$V$44*'TUSD BE'!$V$74</f>
        <v>3.9288134382121878E-2</v>
      </c>
      <c r="W44" s="25">
        <f>'TUSD BE'!$W$44*'TUSD BE'!$W$74</f>
        <v>-2.5906579221838246E-3</v>
      </c>
      <c r="X44" s="25">
        <f>'TUSD BE'!$X$44*'TUSD BE'!$X$74</f>
        <v>0</v>
      </c>
      <c r="Y44" s="25">
        <f>'TUSD BE'!$Y$44*'TUSD BE'!$Y$74</f>
        <v>0</v>
      </c>
      <c r="Z44" s="25">
        <f>'TUSD BE'!$Z$44*'TUSD BE'!$Z$74</f>
        <v>0</v>
      </c>
      <c r="AA44" s="25">
        <f>'TUSD BE'!$AA$44*'TUSD BE'!$AA$74</f>
        <v>0</v>
      </c>
      <c r="AB44" s="25">
        <f>SUM($U$44:$AA$44)</f>
        <v>-5.3523740175789394</v>
      </c>
      <c r="AC44" s="25">
        <f>'TUSD BE'!$AC$44*'TUSD BE'!$AC$74</f>
        <v>0.95525391693531303</v>
      </c>
      <c r="AD44" s="25">
        <f>SUM($AC$44:$AC$44)</f>
        <v>0.95525391693531303</v>
      </c>
      <c r="AE44" s="25">
        <f ca="1">$AO$44*$AO$71</f>
        <v>-29.623443845501079</v>
      </c>
      <c r="AF44" s="25">
        <f ca="1">$AP$44*$AP$71</f>
        <v>0</v>
      </c>
      <c r="AG44" s="25">
        <f ca="1">SUM($AE$44:$AF$44)</f>
        <v>-29.623443845501079</v>
      </c>
      <c r="AH44" s="25">
        <f>'TUSD BE'!$AH$44*'TUSD BE'!$AH$74</f>
        <v>-15.500398475401411</v>
      </c>
      <c r="AI44" s="25">
        <f>'TUSD BE'!$AI$44*'TUSD BE'!$AI$74</f>
        <v>-1.2532775083831666</v>
      </c>
      <c r="AJ44" s="25">
        <f ca="1">'TUSD BE'!$AJ$44*'TUSD BE'!$AJ$74</f>
        <v>-31.065137347412591</v>
      </c>
      <c r="AK44" s="25">
        <f ca="1">'TUSD BE'!$AK$44*'TUSD BE'!$AK$74</f>
        <v>8.7126367801870826E-3</v>
      </c>
      <c r="AL44" s="25">
        <f ca="1">SUM($AH$44:$AK$44)</f>
        <v>-47.810100694416981</v>
      </c>
      <c r="AM44" s="25">
        <f ca="1">SUMIF($L$4:$AL$4,"SUBTOTAL",$L$44:$AL$44)</f>
        <v>-81.779782960906729</v>
      </c>
      <c r="AO44" s="30">
        <f ca="1">+'TUSD BE'!$T$44+'TUSD BE'!$AB$44+'TUSD BE'!$AD$44+'TUSD BE'!$AL$44</f>
        <v>445.44390212731918</v>
      </c>
      <c r="AP44" s="30">
        <f ca="1">+'TUSD BE'!$T$44+'TUSD BE'!$AB$44+'TUSD BE'!$AD$44+'TUSD BE'!$AL$44</f>
        <v>445.44390212731918</v>
      </c>
    </row>
    <row r="45" spans="1:42" ht="11.25" customHeight="1" x14ac:dyDescent="0.25">
      <c r="A45" s="118"/>
      <c r="B45" s="118"/>
      <c r="C45" s="118"/>
      <c r="D45" s="28" t="s">
        <v>32</v>
      </c>
      <c r="E45" s="28" t="s">
        <v>25</v>
      </c>
      <c r="F45" s="28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25">
        <f>'TUSD BE'!$L$45*'TUSD BE'!$L$74</f>
        <v>0</v>
      </c>
      <c r="M45" s="25">
        <f>'TUSD BE'!$M$45*'TUSD BE'!$M$74</f>
        <v>5.0881679654958122E-2</v>
      </c>
      <c r="N45" s="25">
        <f ca="1">'TUSD BE'!$N$45*'TUSD BE'!$N$74</f>
        <v>0</v>
      </c>
      <c r="O45" s="25">
        <f>'TUSD BE'!$O$45*'TUSD BE'!$O$74</f>
        <v>0</v>
      </c>
      <c r="P45" s="25">
        <f>'TUSD BE'!$P$45*'TUSD BE'!$P$74</f>
        <v>0</v>
      </c>
      <c r="Q45" s="25">
        <f>'TUSD BE'!$Q$45*'TUSD BE'!$Q$74</f>
        <v>0</v>
      </c>
      <c r="R45" s="25">
        <f>'TUSD BE'!$R$45*'TUSD BE'!$R$74</f>
        <v>0</v>
      </c>
      <c r="S45" s="25">
        <f>'TUSD BE'!$R$45*'TUSD BE'!$S$74</f>
        <v>0</v>
      </c>
      <c r="T45" s="25">
        <f ca="1">SUM($L$45:$S$45)</f>
        <v>5.0881679654958122E-2</v>
      </c>
      <c r="U45" s="25">
        <f>'TUSD BE'!$U$45*'TUSD BE'!$U$74</f>
        <v>-5.3890714940388778</v>
      </c>
      <c r="V45" s="25">
        <f>'TUSD BE'!$V$45*'TUSD BE'!$V$74</f>
        <v>3.9288134382121878E-2</v>
      </c>
      <c r="W45" s="25">
        <f>'TUSD BE'!$W$45*'TUSD BE'!$W$74</f>
        <v>-2.5906579221838246E-3</v>
      </c>
      <c r="X45" s="25">
        <f>'TUSD BE'!$X$45*'TUSD BE'!$X$74</f>
        <v>0</v>
      </c>
      <c r="Y45" s="25">
        <f>'TUSD BE'!$Y$45*'TUSD BE'!$Y$74</f>
        <v>0</v>
      </c>
      <c r="Z45" s="25">
        <f>'TUSD BE'!$Z$45*'TUSD BE'!$Z$74</f>
        <v>0</v>
      </c>
      <c r="AA45" s="25">
        <f>'TUSD BE'!$AA$45*'TUSD BE'!$AA$74</f>
        <v>0</v>
      </c>
      <c r="AB45" s="25">
        <f>SUM($U$45:$AA$45)</f>
        <v>-5.3523740175789394</v>
      </c>
      <c r="AC45" s="25">
        <f>'TUSD BE'!$AC$45*'TUSD BE'!$AC$74</f>
        <v>0.95525391693531303</v>
      </c>
      <c r="AD45" s="25">
        <f>SUM($AC$45:$AC$45)</f>
        <v>0.95525391693531303</v>
      </c>
      <c r="AE45" s="25">
        <f ca="1">$AO$45*$AO$71</f>
        <v>-29.623443845501079</v>
      </c>
      <c r="AF45" s="25">
        <f ca="1">$AP$45*$AP$71</f>
        <v>0</v>
      </c>
      <c r="AG45" s="25">
        <f ca="1">SUM($AE$45:$AF$45)</f>
        <v>-29.623443845501079</v>
      </c>
      <c r="AH45" s="25">
        <f>'TUSD BE'!$AH$45*'TUSD BE'!$AH$74</f>
        <v>-15.500398475401411</v>
      </c>
      <c r="AI45" s="25">
        <f>'TUSD BE'!$AI$45*'TUSD BE'!$AI$74</f>
        <v>-1.2532775083831666</v>
      </c>
      <c r="AJ45" s="25">
        <f ca="1">'TUSD BE'!$AJ$45*'TUSD BE'!$AJ$74</f>
        <v>-31.065137347412591</v>
      </c>
      <c r="AK45" s="25">
        <f ca="1">'TUSD BE'!$AK$45*'TUSD BE'!$AK$74</f>
        <v>8.7126367801870826E-3</v>
      </c>
      <c r="AL45" s="25">
        <f ca="1">SUM($AH$45:$AK$45)</f>
        <v>-47.810100694416981</v>
      </c>
      <c r="AM45" s="25">
        <f ca="1">SUMIF($L$4:$AL$4,"SUBTOTAL",$L$45:$AL$45)</f>
        <v>-81.779782960906729</v>
      </c>
      <c r="AO45" s="30">
        <f ca="1">+'TUSD BE'!$T$45+'TUSD BE'!$AB$45+'TUSD BE'!$AD$45+'TUSD BE'!$AL$45</f>
        <v>445.44390212731918</v>
      </c>
      <c r="AP45" s="30">
        <f ca="1">+'TUSD BE'!$T$45+'TUSD BE'!$AB$45+'TUSD BE'!$AD$45+'TUSD BE'!$AL$45</f>
        <v>445.44390212731918</v>
      </c>
    </row>
    <row r="46" spans="1:42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25">
        <f>'TUSD BE'!$L$46*'TUSD BE'!$L$74</f>
        <v>-0.56402735483535626</v>
      </c>
      <c r="M46" s="25">
        <f>'TUSD BE'!$M$46*'TUSD BE'!$M$74</f>
        <v>5.0881679654958122E-2</v>
      </c>
      <c r="N46" s="25">
        <f ca="1">'TUSD BE'!$N$46*'TUSD BE'!$N$74</f>
        <v>0</v>
      </c>
      <c r="O46" s="25">
        <f>'TUSD BE'!$O$46*'TUSD BE'!$O$74</f>
        <v>0</v>
      </c>
      <c r="P46" s="25">
        <f>'TUSD BE'!$P$46*'TUSD BE'!$P$74</f>
        <v>0</v>
      </c>
      <c r="Q46" s="25">
        <f>'TUSD BE'!$Q$46*'TUSD BE'!$Q$74</f>
        <v>2.8096179708132913</v>
      </c>
      <c r="R46" s="25">
        <f>'TUSD BE'!$R$46*'TUSD BE'!$R$74</f>
        <v>1.0703727539264616</v>
      </c>
      <c r="S46" s="25">
        <f>'TUSD BE'!$R$46*'TUSD BE'!$S$74</f>
        <v>0</v>
      </c>
      <c r="T46" s="25">
        <f ca="1">SUM($L$46:$S$46)</f>
        <v>3.3668450495593549</v>
      </c>
      <c r="U46" s="25">
        <f>'TUSD BE'!$U$46*'TUSD BE'!$U$74</f>
        <v>-17.514525263613027</v>
      </c>
      <c r="V46" s="25">
        <f>'TUSD BE'!$V$46*'TUSD BE'!$V$74</f>
        <v>0.12768732290310392</v>
      </c>
      <c r="W46" s="25">
        <f>'TUSD BE'!$W$46*'TUSD BE'!$W$74</f>
        <v>-8.4182842446990768E-3</v>
      </c>
      <c r="X46" s="25">
        <f>'TUSD BE'!$X$46*'TUSD BE'!$X$74</f>
        <v>0</v>
      </c>
      <c r="Y46" s="25">
        <f>'TUSD BE'!$Y$46*'TUSD BE'!$Y$74</f>
        <v>0</v>
      </c>
      <c r="Z46" s="25">
        <f>'TUSD BE'!$Z$46*'TUSD BE'!$Z$74</f>
        <v>0</v>
      </c>
      <c r="AA46" s="25">
        <f>'TUSD BE'!$AA$46*'TUSD BE'!$AA$74</f>
        <v>0</v>
      </c>
      <c r="AB46" s="25">
        <f>SUM($U$46:$AA$46)</f>
        <v>-17.395256224954622</v>
      </c>
      <c r="AC46" s="25">
        <f>'TUSD BE'!$AC$46*'TUSD BE'!$AC$74</f>
        <v>3.1045746745854368</v>
      </c>
      <c r="AD46" s="25">
        <f>SUM($AC$46:$AC$46)</f>
        <v>3.1045746745854368</v>
      </c>
      <c r="AE46" s="25">
        <f ca="1">$AO$46*$AO$71</f>
        <v>-83.229730286054291</v>
      </c>
      <c r="AF46" s="25">
        <f ca="1">$AP$46*$AP$71</f>
        <v>0</v>
      </c>
      <c r="AG46" s="25">
        <f ca="1">SUM($AE$46:$AF$46)</f>
        <v>-83.229730286054291</v>
      </c>
      <c r="AH46" s="25">
        <f>'TUSD BE'!$AH$46*'TUSD BE'!$AH$74</f>
        <v>-15.500398475401411</v>
      </c>
      <c r="AI46" s="25">
        <f>'TUSD BE'!$AI$46*'TUSD BE'!$AI$74</f>
        <v>-1.2532775083831666</v>
      </c>
      <c r="AJ46" s="25">
        <f ca="1">'TUSD BE'!$AJ$46*'TUSD BE'!$AJ$74</f>
        <v>-31.065137347412591</v>
      </c>
      <c r="AK46" s="25">
        <f ca="1">'TUSD BE'!$AK$46*'TUSD BE'!$AK$74</f>
        <v>8.7126367801870826E-3</v>
      </c>
      <c r="AL46" s="25">
        <f ca="1">SUM($AH$46:$AK$46)</f>
        <v>-47.810100694416981</v>
      </c>
      <c r="AM46" s="25">
        <f ca="1">SUMIF($L$4:$AL$4,"SUBTOTAL",$L$46:$AL$46)</f>
        <v>-141.96366748128111</v>
      </c>
      <c r="AO46" s="30">
        <f ca="1">+'TUSD BE'!$T$46+'TUSD BE'!$AB$46+'TUSD BE'!$AD$46+'TUSD BE'!$AL$46</f>
        <v>1251.5147133122675</v>
      </c>
      <c r="AP46" s="30">
        <f ca="1">+'TUSD BE'!$T$46+'TUSD BE'!$AB$46+'TUSD BE'!$AD$46+'TUSD BE'!$AL$46</f>
        <v>1251.5147133122675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25">
        <f>'TUSD BE'!$L$47*'TUSD BE'!$L$74</f>
        <v>-0.56402735483535626</v>
      </c>
      <c r="M47" s="25">
        <f>'TUSD BE'!$M$47*'TUSD BE'!$M$74</f>
        <v>5.0881679654958122E-2</v>
      </c>
      <c r="N47" s="25">
        <f ca="1">'TUSD BE'!$N$47*'TUSD BE'!$N$74</f>
        <v>0</v>
      </c>
      <c r="O47" s="25">
        <f>'TUSD BE'!$O$47*'TUSD BE'!$O$74</f>
        <v>0</v>
      </c>
      <c r="P47" s="25">
        <f>'TUSD BE'!$P$47*'TUSD BE'!$P$74</f>
        <v>0</v>
      </c>
      <c r="Q47" s="25">
        <f>'TUSD BE'!$Q$47*'TUSD BE'!$Q$74</f>
        <v>2.8096179708132913</v>
      </c>
      <c r="R47" s="25">
        <f>'TUSD BE'!$R$47*'TUSD BE'!$R$74</f>
        <v>1.0703727539264616</v>
      </c>
      <c r="S47" s="25">
        <f>'TUSD BE'!$R$47*'TUSD BE'!$S$74</f>
        <v>0</v>
      </c>
      <c r="T47" s="25">
        <f ca="1">SUM($L$47:$S$47)</f>
        <v>3.3668450495593549</v>
      </c>
      <c r="U47" s="25">
        <f>'TUSD BE'!$U$47*'TUSD BE'!$U$74</f>
        <v>-10.508702285771813</v>
      </c>
      <c r="V47" s="25">
        <f>'TUSD BE'!$V$47*'TUSD BE'!$V$74</f>
        <v>7.6612535527655623E-2</v>
      </c>
      <c r="W47" s="25">
        <f>'TUSD BE'!$W$47*'TUSD BE'!$W$74</f>
        <v>-5.051331614125674E-3</v>
      </c>
      <c r="X47" s="25">
        <f>'TUSD BE'!$X$47*'TUSD BE'!$X$74</f>
        <v>0</v>
      </c>
      <c r="Y47" s="25">
        <f>'TUSD BE'!$Y$47*'TUSD BE'!$Y$74</f>
        <v>0</v>
      </c>
      <c r="Z47" s="25">
        <f>'TUSD BE'!$Z$47*'TUSD BE'!$Z$74</f>
        <v>0</v>
      </c>
      <c r="AA47" s="25">
        <f>'TUSD BE'!$AA$47*'TUSD BE'!$AA$74</f>
        <v>0</v>
      </c>
      <c r="AB47" s="25">
        <f>SUM($U$47:$AA$47)</f>
        <v>-10.437141081858284</v>
      </c>
      <c r="AC47" s="25">
        <f>'TUSD BE'!$AC$47*'TUSD BE'!$AC$74</f>
        <v>1.8627449824966476</v>
      </c>
      <c r="AD47" s="25">
        <f>SUM($AC$47:$AC$47)</f>
        <v>1.8627449824966476</v>
      </c>
      <c r="AE47" s="25">
        <f ca="1">$AO$47*$AO$71</f>
        <v>-55.328494941442713</v>
      </c>
      <c r="AF47" s="25">
        <f ca="1">$AP$47*$AP$71</f>
        <v>0</v>
      </c>
      <c r="AG47" s="25">
        <f ca="1">SUM($AE$47:$AF$47)</f>
        <v>-55.328494941442713</v>
      </c>
      <c r="AH47" s="25">
        <f>'TUSD BE'!$AH$47*'TUSD BE'!$AH$74</f>
        <v>-15.500398475401411</v>
      </c>
      <c r="AI47" s="25">
        <f>'TUSD BE'!$AI$47*'TUSD BE'!$AI$74</f>
        <v>-1.2532775083831666</v>
      </c>
      <c r="AJ47" s="25">
        <f ca="1">'TUSD BE'!$AJ$47*'TUSD BE'!$AJ$74</f>
        <v>-31.065137347412591</v>
      </c>
      <c r="AK47" s="25">
        <f ca="1">'TUSD BE'!$AK$47*'TUSD BE'!$AK$74</f>
        <v>8.7126367801870826E-3</v>
      </c>
      <c r="AL47" s="25">
        <f ca="1">SUM($AH$47:$AK$47)</f>
        <v>-47.810100694416981</v>
      </c>
      <c r="AM47" s="25">
        <f ca="1">SUMIF($L$4:$AL$4,"SUBTOTAL",$L$47:$AL$47)</f>
        <v>-108.34614668566198</v>
      </c>
      <c r="AO47" s="30">
        <f ca="1">+'TUSD BE'!$T$47+'TUSD BE'!$AB$47+'TUSD BE'!$AD$47+'TUSD BE'!$AL$47</f>
        <v>831.96743815762795</v>
      </c>
      <c r="AP47" s="30">
        <f ca="1">+'TUSD BE'!$T$47+'TUSD BE'!$AB$47+'TUSD BE'!$AD$47+'TUSD BE'!$AL$47</f>
        <v>831.96743815762795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25">
        <f>'TUSD BE'!$L$48*'TUSD BE'!$L$74</f>
        <v>-0.56402735483535626</v>
      </c>
      <c r="M48" s="25">
        <f>'TUSD BE'!$M$48*'TUSD BE'!$M$74</f>
        <v>5.0881679654958122E-2</v>
      </c>
      <c r="N48" s="25">
        <f ca="1">'TUSD BE'!$N$48*'TUSD BE'!$N$74</f>
        <v>0</v>
      </c>
      <c r="O48" s="25">
        <f>'TUSD BE'!$O$48*'TUSD BE'!$O$74</f>
        <v>0</v>
      </c>
      <c r="P48" s="25">
        <f>'TUSD BE'!$P$48*'TUSD BE'!$P$74</f>
        <v>0</v>
      </c>
      <c r="Q48" s="25">
        <f>'TUSD BE'!$Q$48*'TUSD BE'!$Q$74</f>
        <v>2.8096179708132913</v>
      </c>
      <c r="R48" s="25">
        <f>'TUSD BE'!$R$48*'TUSD BE'!$R$74</f>
        <v>1.0703727539264616</v>
      </c>
      <c r="S48" s="25">
        <f>'TUSD BE'!$R$48*'TUSD BE'!$S$74</f>
        <v>0</v>
      </c>
      <c r="T48" s="25">
        <f ca="1">SUM($L$48:$S$48)</f>
        <v>3.3668450495593549</v>
      </c>
      <c r="U48" s="25">
        <f>'TUSD BE'!$U$48*'TUSD BE'!$U$74</f>
        <v>-3.5029007619239376</v>
      </c>
      <c r="V48" s="25">
        <f>'TUSD BE'!$V$48*'TUSD BE'!$V$74</f>
        <v>2.5537748152207298E-2</v>
      </c>
      <c r="W48" s="25">
        <f>'TUSD BE'!$W$48*'TUSD BE'!$W$74</f>
        <v>-1.6843789835522709E-3</v>
      </c>
      <c r="X48" s="25">
        <f>'TUSD BE'!$X$48*'TUSD BE'!$X$74</f>
        <v>0</v>
      </c>
      <c r="Y48" s="25">
        <f>'TUSD BE'!$Y$48*'TUSD BE'!$Y$74</f>
        <v>0</v>
      </c>
      <c r="Z48" s="25">
        <f>'TUSD BE'!$Z$48*'TUSD BE'!$Z$74</f>
        <v>0</v>
      </c>
      <c r="AA48" s="25">
        <f>'TUSD BE'!$AA$48*'TUSD BE'!$AA$74</f>
        <v>0</v>
      </c>
      <c r="AB48" s="25">
        <f>SUM($U$48:$AA$48)</f>
        <v>-3.4790473927552825</v>
      </c>
      <c r="AC48" s="25">
        <f>'TUSD BE'!$AC$48*'TUSD BE'!$AC$74</f>
        <v>0.62091484604439429</v>
      </c>
      <c r="AD48" s="25">
        <f>SUM($AC$48:$AC$48)</f>
        <v>0.62091484604439429</v>
      </c>
      <c r="AE48" s="25">
        <f ca="1">$AO$48*$AO$71</f>
        <v>-27.427260248615386</v>
      </c>
      <c r="AF48" s="25">
        <f ca="1">$AP$48*$AP$71</f>
        <v>0</v>
      </c>
      <c r="AG48" s="25">
        <f ca="1">SUM($AE$48:$AF$48)</f>
        <v>-27.427260248615386</v>
      </c>
      <c r="AH48" s="25">
        <f>'TUSD BE'!$AH$48*'TUSD BE'!$AH$74</f>
        <v>-15.500398475401411</v>
      </c>
      <c r="AI48" s="25">
        <f>'TUSD BE'!$AI$48*'TUSD BE'!$AI$74</f>
        <v>-1.2532775083831666</v>
      </c>
      <c r="AJ48" s="25">
        <f ca="1">'TUSD BE'!$AJ$48*'TUSD BE'!$AJ$74</f>
        <v>-31.065137347412591</v>
      </c>
      <c r="AK48" s="25">
        <f ca="1">'TUSD BE'!$AK$48*'TUSD BE'!$AK$74</f>
        <v>8.7126367801870826E-3</v>
      </c>
      <c r="AL48" s="25">
        <f ca="1">SUM($AH$48:$AK$48)</f>
        <v>-47.810100694416981</v>
      </c>
      <c r="AM48" s="25">
        <f ca="1">SUMIF($L$4:$AL$4,"SUBTOTAL",$L$48:$AL$48)</f>
        <v>-74.728648440183903</v>
      </c>
      <c r="AO48" s="30">
        <f ca="1">+'TUSD BE'!$T$48+'TUSD BE'!$AB$48+'TUSD BE'!$AD$48+'TUSD BE'!$AL$48</f>
        <v>412.42017280378394</v>
      </c>
      <c r="AP48" s="30">
        <f ca="1">+'TUSD BE'!$T$48+'TUSD BE'!$AB$48+'TUSD BE'!$AD$48+'TUSD BE'!$AL$48</f>
        <v>412.42017280378394</v>
      </c>
    </row>
    <row r="49" spans="1:42" ht="11.25" customHeight="1" x14ac:dyDescent="0.25">
      <c r="A49" s="118"/>
      <c r="B49" s="28" t="s">
        <v>23</v>
      </c>
      <c r="C49" s="28" t="s">
        <v>46</v>
      </c>
      <c r="D49" s="28" t="s">
        <v>25</v>
      </c>
      <c r="E49" s="28" t="s">
        <v>25</v>
      </c>
      <c r="F49" s="28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25">
        <f>'TUSD BE'!$L$49*'TUSD BE'!$L$74</f>
        <v>-0.56402735483535626</v>
      </c>
      <c r="M49" s="25">
        <f>'TUSD BE'!$M$49*'TUSD BE'!$M$74</f>
        <v>5.0881679654958122E-2</v>
      </c>
      <c r="N49" s="25">
        <f ca="1">'TUSD BE'!$N$49*'TUSD BE'!$N$74</f>
        <v>0</v>
      </c>
      <c r="O49" s="25">
        <f>'TUSD BE'!$O$49*'TUSD BE'!$O$74</f>
        <v>0</v>
      </c>
      <c r="P49" s="25">
        <f>'TUSD BE'!$P$49*'TUSD BE'!$P$74</f>
        <v>0</v>
      </c>
      <c r="Q49" s="25">
        <f>'TUSD BE'!$Q$49*'TUSD BE'!$Q$74</f>
        <v>2.8096179708132913</v>
      </c>
      <c r="R49" s="25">
        <f>'TUSD BE'!$R$49*'TUSD BE'!$R$74</f>
        <v>1.0703727539264616</v>
      </c>
      <c r="S49" s="25">
        <f>'TUSD BE'!$R$49*'TUSD BE'!$S$74</f>
        <v>0</v>
      </c>
      <c r="T49" s="25">
        <f ca="1">SUM($L$49:$S$49)</f>
        <v>3.3668450495593549</v>
      </c>
      <c r="U49" s="25">
        <f>'TUSD BE'!$U$49*'TUSD BE'!$U$74</f>
        <v>-5.3890714940388778</v>
      </c>
      <c r="V49" s="25">
        <f>'TUSD BE'!$V$49*'TUSD BE'!$V$74</f>
        <v>3.9288134382121878E-2</v>
      </c>
      <c r="W49" s="25">
        <f>'TUSD BE'!$W$49*'TUSD BE'!$W$74</f>
        <v>-2.5906579221838246E-3</v>
      </c>
      <c r="X49" s="25">
        <f>'TUSD BE'!$X$49*'TUSD BE'!$X$74</f>
        <v>0</v>
      </c>
      <c r="Y49" s="25">
        <f>'TUSD BE'!$Y$49*'TUSD BE'!$Y$74</f>
        <v>0</v>
      </c>
      <c r="Z49" s="25">
        <f>'TUSD BE'!$Z$49*'TUSD BE'!$Z$74</f>
        <v>0</v>
      </c>
      <c r="AA49" s="25">
        <f>'TUSD BE'!$AA$49*'TUSD BE'!$AA$74</f>
        <v>0</v>
      </c>
      <c r="AB49" s="25">
        <f>SUM($U$49:$AA$49)</f>
        <v>-5.3523740175789394</v>
      </c>
      <c r="AC49" s="25">
        <f>'TUSD BE'!$AC$49*'TUSD BE'!$AC$74</f>
        <v>0.95525391693531303</v>
      </c>
      <c r="AD49" s="25">
        <f>SUM($AC$49:$AC$49)</f>
        <v>0.95525391693531303</v>
      </c>
      <c r="AE49" s="25">
        <f ca="1">$AO$49*$AO$71</f>
        <v>-34.93912692930229</v>
      </c>
      <c r="AF49" s="25">
        <f ca="1">$AP$49*$AP$71</f>
        <v>0</v>
      </c>
      <c r="AG49" s="25">
        <f ca="1">SUM($AE$49:$AF$49)</f>
        <v>-34.93912692930229</v>
      </c>
      <c r="AH49" s="25">
        <f>'TUSD BE'!$AH$49*'TUSD BE'!$AH$74</f>
        <v>-15.500398475401411</v>
      </c>
      <c r="AI49" s="25">
        <f>'TUSD BE'!$AI$49*'TUSD BE'!$AI$74</f>
        <v>-1.2532775083831666</v>
      </c>
      <c r="AJ49" s="25">
        <f ca="1">'TUSD BE'!$AJ$49*'TUSD BE'!$AJ$74</f>
        <v>-31.065137347412591</v>
      </c>
      <c r="AK49" s="25">
        <f ca="1">'TUSD BE'!$AK$49*'TUSD BE'!$AK$74</f>
        <v>8.7126367801870826E-3</v>
      </c>
      <c r="AL49" s="25">
        <f ca="1">SUM($AH$49:$AK$49)</f>
        <v>-47.810100694416981</v>
      </c>
      <c r="AM49" s="25">
        <f ca="1">SUMIF($L$4:$AL$4,"SUBTOTAL",$L$49:$AL$49)</f>
        <v>-83.779502674803553</v>
      </c>
      <c r="AO49" s="30">
        <f ca="1">+'TUSD BE'!$T$49+'TUSD BE'!$AB$49+'TUSD BE'!$AD$49+'TUSD BE'!$AL$49</f>
        <v>525.37514265660684</v>
      </c>
      <c r="AP49" s="30">
        <f ca="1">+'TUSD BE'!$T$49+'TUSD BE'!$AB$49+'TUSD BE'!$AD$49+'TUSD BE'!$AL$49</f>
        <v>525.37514265660684</v>
      </c>
    </row>
    <row r="50" spans="1:42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25">
        <f>'TUSD BE'!$L$50*'TUSD BE'!$L$74</f>
        <v>-0.56402735483535626</v>
      </c>
      <c r="M50" s="25">
        <f>'TUSD BE'!$M$50*'TUSD BE'!$M$74</f>
        <v>5.0881679654958122E-2</v>
      </c>
      <c r="N50" s="25">
        <f ca="1">'TUSD BE'!$N$50*'TUSD BE'!$N$74</f>
        <v>0</v>
      </c>
      <c r="O50" s="25">
        <f>'TUSD BE'!$O$50*'TUSD BE'!$O$74</f>
        <v>0</v>
      </c>
      <c r="P50" s="25">
        <f>'TUSD BE'!$P$50*'TUSD BE'!$P$74</f>
        <v>0</v>
      </c>
      <c r="Q50" s="25">
        <f>'TUSD BE'!$Q$50*'TUSD BE'!$Q$74</f>
        <v>2.8096179708132913</v>
      </c>
      <c r="R50" s="25">
        <f>'TUSD BE'!$R$50*'TUSD BE'!$R$74</f>
        <v>1.0703727539264616</v>
      </c>
      <c r="S50" s="25">
        <f>'TUSD BE'!$R$50*'TUSD BE'!$S$74</f>
        <v>0</v>
      </c>
      <c r="T50" s="25">
        <f ca="1">SUM($L$50:$S$50)</f>
        <v>3.3668450495593549</v>
      </c>
      <c r="U50" s="25">
        <f>'TUSD BE'!$U$50*'TUSD BE'!$U$74</f>
        <v>-17.514525263613027</v>
      </c>
      <c r="V50" s="25">
        <f>'TUSD BE'!$V$50*'TUSD BE'!$V$74</f>
        <v>0.12768732290310392</v>
      </c>
      <c r="W50" s="25">
        <f>'TUSD BE'!$W$50*'TUSD BE'!$W$74</f>
        <v>-8.4182842446990768E-3</v>
      </c>
      <c r="X50" s="25">
        <f>'TUSD BE'!$X$50*'TUSD BE'!$X$74</f>
        <v>0</v>
      </c>
      <c r="Y50" s="25">
        <f>'TUSD BE'!$Y$50*'TUSD BE'!$Y$74</f>
        <v>0</v>
      </c>
      <c r="Z50" s="25">
        <f>'TUSD BE'!$Z$50*'TUSD BE'!$Z$74</f>
        <v>0</v>
      </c>
      <c r="AA50" s="25">
        <f>'TUSD BE'!$AA$50*'TUSD BE'!$AA$74</f>
        <v>0</v>
      </c>
      <c r="AB50" s="25">
        <f>SUM($U$50:$AA$50)</f>
        <v>-17.395256224954622</v>
      </c>
      <c r="AC50" s="25">
        <f>'TUSD BE'!$AC$50*'TUSD BE'!$AC$74</f>
        <v>3.1045746745854368</v>
      </c>
      <c r="AD50" s="25">
        <f>SUM($AC$50:$AC$50)</f>
        <v>3.1045746745854368</v>
      </c>
      <c r="AE50" s="25">
        <f ca="1">$AO$50*$AO$71</f>
        <v>-83.229730286054291</v>
      </c>
      <c r="AF50" s="25">
        <f ca="1">$AP$50*$AP$71</f>
        <v>0</v>
      </c>
      <c r="AG50" s="25">
        <f ca="1">SUM($AE$50:$AF$50)</f>
        <v>-83.229730286054291</v>
      </c>
      <c r="AH50" s="25">
        <f>'TUSD BE'!$AH$50*'TUSD BE'!$AH$74</f>
        <v>-15.500398475401411</v>
      </c>
      <c r="AI50" s="25">
        <f>'TUSD BE'!$AI$50*'TUSD BE'!$AI$74</f>
        <v>-1.2532775083831666</v>
      </c>
      <c r="AJ50" s="25">
        <f ca="1">'TUSD BE'!$AJ$50*'TUSD BE'!$AJ$74</f>
        <v>-31.065137347412591</v>
      </c>
      <c r="AK50" s="25">
        <f ca="1">'TUSD BE'!$AK$50*'TUSD BE'!$AK$74</f>
        <v>8.7126367801870826E-3</v>
      </c>
      <c r="AL50" s="25">
        <f ca="1">SUM($AH$50:$AK$50)</f>
        <v>-47.810100694416981</v>
      </c>
      <c r="AM50" s="25">
        <f ca="1">SUMIF($L$4:$AL$4,"SUBTOTAL",$L$50:$AL$50)</f>
        <v>-141.96366748128111</v>
      </c>
      <c r="AO50" s="30">
        <f ca="1">+'TUSD BE'!$T$50+'TUSD BE'!$AB$50+'TUSD BE'!$AD$50+'TUSD BE'!$AL$50</f>
        <v>1251.5147133122675</v>
      </c>
      <c r="AP50" s="30">
        <f ca="1">+'TUSD BE'!$T$50+'TUSD BE'!$AB$50+'TUSD BE'!$AD$50+'TUSD BE'!$AL$50</f>
        <v>1251.5147133122675</v>
      </c>
    </row>
    <row r="51" spans="1:42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25">
        <f>'TUSD BE'!$L$51*'TUSD BE'!$L$74</f>
        <v>-0.56402735483535626</v>
      </c>
      <c r="M51" s="25">
        <f>'TUSD BE'!$M$51*'TUSD BE'!$M$74</f>
        <v>5.0881679654958122E-2</v>
      </c>
      <c r="N51" s="25">
        <f ca="1">'TUSD BE'!$N$51*'TUSD BE'!$N$74</f>
        <v>0</v>
      </c>
      <c r="O51" s="25">
        <f>'TUSD BE'!$O$51*'TUSD BE'!$O$74</f>
        <v>0</v>
      </c>
      <c r="P51" s="25">
        <f>'TUSD BE'!$P$51*'TUSD BE'!$P$74</f>
        <v>0</v>
      </c>
      <c r="Q51" s="25">
        <f>'TUSD BE'!$Q$51*'TUSD BE'!$Q$74</f>
        <v>2.8096179708132913</v>
      </c>
      <c r="R51" s="25">
        <f>'TUSD BE'!$R$51*'TUSD BE'!$R$74</f>
        <v>1.0703727539264616</v>
      </c>
      <c r="S51" s="25">
        <f>'TUSD BE'!$R$51*'TUSD BE'!$S$74</f>
        <v>0</v>
      </c>
      <c r="T51" s="25">
        <f ca="1">SUM($L$51:$S$51)</f>
        <v>3.3668450495593549</v>
      </c>
      <c r="U51" s="25">
        <f>'TUSD BE'!$U$51*'TUSD BE'!$U$74</f>
        <v>-10.508702285771813</v>
      </c>
      <c r="V51" s="25">
        <f>'TUSD BE'!$V$51*'TUSD BE'!$V$74</f>
        <v>7.6612535527655623E-2</v>
      </c>
      <c r="W51" s="25">
        <f>'TUSD BE'!$W$51*'TUSD BE'!$W$74</f>
        <v>-5.051331614125674E-3</v>
      </c>
      <c r="X51" s="25">
        <f>'TUSD BE'!$X$51*'TUSD BE'!$X$74</f>
        <v>0</v>
      </c>
      <c r="Y51" s="25">
        <f>'TUSD BE'!$Y$51*'TUSD BE'!$Y$74</f>
        <v>0</v>
      </c>
      <c r="Z51" s="25">
        <f>'TUSD BE'!$Z$51*'TUSD BE'!$Z$74</f>
        <v>0</v>
      </c>
      <c r="AA51" s="25">
        <f>'TUSD BE'!$AA$51*'TUSD BE'!$AA$74</f>
        <v>0</v>
      </c>
      <c r="AB51" s="25">
        <f>SUM($U$51:$AA$51)</f>
        <v>-10.437141081858284</v>
      </c>
      <c r="AC51" s="25">
        <f>'TUSD BE'!$AC$51*'TUSD BE'!$AC$74</f>
        <v>1.8627449824966476</v>
      </c>
      <c r="AD51" s="25">
        <f>SUM($AC$51:$AC$51)</f>
        <v>1.8627449824966476</v>
      </c>
      <c r="AE51" s="25">
        <f ca="1">$AO$51*$AO$71</f>
        <v>-55.328494941442713</v>
      </c>
      <c r="AF51" s="25">
        <f ca="1">$AP$51*$AP$71</f>
        <v>0</v>
      </c>
      <c r="AG51" s="25">
        <f ca="1">SUM($AE$51:$AF$51)</f>
        <v>-55.328494941442713</v>
      </c>
      <c r="AH51" s="25">
        <f>'TUSD BE'!$AH$51*'TUSD BE'!$AH$74</f>
        <v>-15.500398475401411</v>
      </c>
      <c r="AI51" s="25">
        <f>'TUSD BE'!$AI$51*'TUSD BE'!$AI$74</f>
        <v>-1.2532775083831666</v>
      </c>
      <c r="AJ51" s="25">
        <f ca="1">'TUSD BE'!$AJ$51*'TUSD BE'!$AJ$74</f>
        <v>-31.065137347412591</v>
      </c>
      <c r="AK51" s="25">
        <f ca="1">'TUSD BE'!$AK$51*'TUSD BE'!$AK$74</f>
        <v>8.7126367801870826E-3</v>
      </c>
      <c r="AL51" s="25">
        <f ca="1">SUM($AH$51:$AK$51)</f>
        <v>-47.810100694416981</v>
      </c>
      <c r="AM51" s="25">
        <f ca="1">SUMIF($L$4:$AL$4,"SUBTOTAL",$L$51:$AL$51)</f>
        <v>-108.34614668566198</v>
      </c>
      <c r="AO51" s="30">
        <f ca="1">+'TUSD BE'!$T$51+'TUSD BE'!$AB$51+'TUSD BE'!$AD$51+'TUSD BE'!$AL$51</f>
        <v>831.96743815762795</v>
      </c>
      <c r="AP51" s="30">
        <f ca="1">+'TUSD BE'!$T$51+'TUSD BE'!$AB$51+'TUSD BE'!$AD$51+'TUSD BE'!$AL$51</f>
        <v>831.96743815762795</v>
      </c>
    </row>
    <row r="52" spans="1:42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25">
        <f>'TUSD BE'!$L$52*'TUSD BE'!$L$74</f>
        <v>-0.56402735483535626</v>
      </c>
      <c r="M52" s="25">
        <f>'TUSD BE'!$M$52*'TUSD BE'!$M$74</f>
        <v>5.0881679654958122E-2</v>
      </c>
      <c r="N52" s="25">
        <f ca="1">'TUSD BE'!$N$52*'TUSD BE'!$N$74</f>
        <v>0</v>
      </c>
      <c r="O52" s="25">
        <f>'TUSD BE'!$O$52*'TUSD BE'!$O$74</f>
        <v>0</v>
      </c>
      <c r="P52" s="25">
        <f>'TUSD BE'!$P$52*'TUSD BE'!$P$74</f>
        <v>0</v>
      </c>
      <c r="Q52" s="25">
        <f>'TUSD BE'!$Q$52*'TUSD BE'!$Q$74</f>
        <v>2.8096179708132913</v>
      </c>
      <c r="R52" s="25">
        <f>'TUSD BE'!$R$52*'TUSD BE'!$R$74</f>
        <v>1.0703727539264616</v>
      </c>
      <c r="S52" s="25">
        <f>'TUSD BE'!$R$52*'TUSD BE'!$S$74</f>
        <v>0</v>
      </c>
      <c r="T52" s="25">
        <f ca="1">SUM($L$52:$S$52)</f>
        <v>3.3668450495593549</v>
      </c>
      <c r="U52" s="25">
        <f>'TUSD BE'!$U$52*'TUSD BE'!$U$74</f>
        <v>-3.5029007619239376</v>
      </c>
      <c r="V52" s="25">
        <f>'TUSD BE'!$V$52*'TUSD BE'!$V$74</f>
        <v>2.5537748152207298E-2</v>
      </c>
      <c r="W52" s="25">
        <f>'TUSD BE'!$W$52*'TUSD BE'!$W$74</f>
        <v>-1.6843789835522709E-3</v>
      </c>
      <c r="X52" s="25">
        <f>'TUSD BE'!$X$52*'TUSD BE'!$X$74</f>
        <v>0</v>
      </c>
      <c r="Y52" s="25">
        <f>'TUSD BE'!$Y$52*'TUSD BE'!$Y$74</f>
        <v>0</v>
      </c>
      <c r="Z52" s="25">
        <f>'TUSD BE'!$Z$52*'TUSD BE'!$Z$74</f>
        <v>0</v>
      </c>
      <c r="AA52" s="25">
        <f>'TUSD BE'!$AA$52*'TUSD BE'!$AA$74</f>
        <v>0</v>
      </c>
      <c r="AB52" s="25">
        <f>SUM($U$52:$AA$52)</f>
        <v>-3.4790473927552825</v>
      </c>
      <c r="AC52" s="25">
        <f>'TUSD BE'!$AC$52*'TUSD BE'!$AC$74</f>
        <v>0.62091484604439429</v>
      </c>
      <c r="AD52" s="25">
        <f>SUM($AC$52:$AC$52)</f>
        <v>0.62091484604439429</v>
      </c>
      <c r="AE52" s="25">
        <f ca="1">$AO$52*$AO$71</f>
        <v>-27.427260248615386</v>
      </c>
      <c r="AF52" s="25">
        <f ca="1">$AP$52*$AP$71</f>
        <v>0</v>
      </c>
      <c r="AG52" s="25">
        <f ca="1">SUM($AE$52:$AF$52)</f>
        <v>-27.427260248615386</v>
      </c>
      <c r="AH52" s="25">
        <f>'TUSD BE'!$AH$52*'TUSD BE'!$AH$74</f>
        <v>-15.500398475401411</v>
      </c>
      <c r="AI52" s="25">
        <f>'TUSD BE'!$AI$52*'TUSD BE'!$AI$74</f>
        <v>-1.2532775083831666</v>
      </c>
      <c r="AJ52" s="25">
        <f ca="1">'TUSD BE'!$AJ$52*'TUSD BE'!$AJ$74</f>
        <v>-31.065137347412591</v>
      </c>
      <c r="AK52" s="25">
        <f ca="1">'TUSD BE'!$AK$52*'TUSD BE'!$AK$74</f>
        <v>8.7126367801870826E-3</v>
      </c>
      <c r="AL52" s="25">
        <f ca="1">SUM($AH$52:$AK$52)</f>
        <v>-47.810100694416981</v>
      </c>
      <c r="AM52" s="25">
        <f ca="1">SUMIF($L$4:$AL$4,"SUBTOTAL",$L$52:$AL$52)</f>
        <v>-74.728648440183903</v>
      </c>
      <c r="AO52" s="30">
        <f ca="1">+'TUSD BE'!$T$52+'TUSD BE'!$AB$52+'TUSD BE'!$AD$52+'TUSD BE'!$AL$52</f>
        <v>412.42017280378394</v>
      </c>
      <c r="AP52" s="30">
        <f ca="1">+'TUSD BE'!$T$52+'TUSD BE'!$AB$52+'TUSD BE'!$AD$52+'TUSD BE'!$AL$52</f>
        <v>412.42017280378394</v>
      </c>
    </row>
    <row r="53" spans="1:42" ht="11.25" customHeight="1" x14ac:dyDescent="0.25">
      <c r="A53" s="118"/>
      <c r="B53" s="28" t="s">
        <v>23</v>
      </c>
      <c r="C53" s="28" t="s">
        <v>46</v>
      </c>
      <c r="D53" s="28" t="s">
        <v>93</v>
      </c>
      <c r="E53" s="28" t="s">
        <v>25</v>
      </c>
      <c r="F53" s="28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25">
        <f>'TUSD BE'!$L$53*'TUSD BE'!$L$74</f>
        <v>-0.56402735483535626</v>
      </c>
      <c r="M53" s="25">
        <f>'TUSD BE'!$M$53*'TUSD BE'!$M$74</f>
        <v>5.0881679654958122E-2</v>
      </c>
      <c r="N53" s="25">
        <f ca="1">'TUSD BE'!$N$53*'TUSD BE'!$N$74</f>
        <v>0</v>
      </c>
      <c r="O53" s="25">
        <f>'TUSD BE'!$O$53*'TUSD BE'!$O$74</f>
        <v>0</v>
      </c>
      <c r="P53" s="25">
        <f>'TUSD BE'!$P$53*'TUSD BE'!$P$74</f>
        <v>0</v>
      </c>
      <c r="Q53" s="25">
        <f>'TUSD BE'!$Q$53*'TUSD BE'!$Q$74</f>
        <v>2.8096179708132913</v>
      </c>
      <c r="R53" s="25">
        <f>'TUSD BE'!$R$53*'TUSD BE'!$R$74</f>
        <v>1.0703727539264616</v>
      </c>
      <c r="S53" s="25">
        <f>'TUSD BE'!$R$53*'TUSD BE'!$S$74</f>
        <v>0</v>
      </c>
      <c r="T53" s="25">
        <f ca="1">SUM($L$53:$S$53)</f>
        <v>3.3668450495593549</v>
      </c>
      <c r="U53" s="25">
        <f>'TUSD BE'!$U$53*'TUSD BE'!$U$74</f>
        <v>-5.3890714940388778</v>
      </c>
      <c r="V53" s="25">
        <f>'TUSD BE'!$V$53*'TUSD BE'!$V$74</f>
        <v>3.9288134382121878E-2</v>
      </c>
      <c r="W53" s="25">
        <f>'TUSD BE'!$W$53*'TUSD BE'!$W$74</f>
        <v>-2.5906579221838246E-3</v>
      </c>
      <c r="X53" s="25">
        <f>'TUSD BE'!$X$53*'TUSD BE'!$X$74</f>
        <v>0</v>
      </c>
      <c r="Y53" s="25">
        <f>'TUSD BE'!$Y$53*'TUSD BE'!$Y$74</f>
        <v>0</v>
      </c>
      <c r="Z53" s="25">
        <f>'TUSD BE'!$Z$53*'TUSD BE'!$Z$74</f>
        <v>0</v>
      </c>
      <c r="AA53" s="25">
        <f>'TUSD BE'!$AA$53*'TUSD BE'!$AA$74</f>
        <v>0</v>
      </c>
      <c r="AB53" s="25">
        <f>SUM($U$53:$AA$53)</f>
        <v>-5.3523740175789394</v>
      </c>
      <c r="AC53" s="25">
        <f>'TUSD BE'!$AC$53*'TUSD BE'!$AC$74</f>
        <v>0.95525391693531303</v>
      </c>
      <c r="AD53" s="25">
        <f>SUM($AC$53:$AC$53)</f>
        <v>0.95525391693531303</v>
      </c>
      <c r="AE53" s="25">
        <f ca="1">$AO$53*$AO$71</f>
        <v>-34.93912692930229</v>
      </c>
      <c r="AF53" s="25">
        <f ca="1">$AP$53*$AP$71</f>
        <v>0</v>
      </c>
      <c r="AG53" s="25">
        <f ca="1">SUM($AE$53:$AF$53)</f>
        <v>-34.93912692930229</v>
      </c>
      <c r="AH53" s="25">
        <f>'TUSD BE'!$AH$53*'TUSD BE'!$AH$74</f>
        <v>-15.500398475401411</v>
      </c>
      <c r="AI53" s="25">
        <f>'TUSD BE'!$AI$53*'TUSD BE'!$AI$74</f>
        <v>-1.2532775083831666</v>
      </c>
      <c r="AJ53" s="25">
        <f ca="1">'TUSD BE'!$AJ$53*'TUSD BE'!$AJ$74</f>
        <v>-31.065137347412591</v>
      </c>
      <c r="AK53" s="25">
        <f ca="1">'TUSD BE'!$AK$53*'TUSD BE'!$AK$74</f>
        <v>8.7126367801870826E-3</v>
      </c>
      <c r="AL53" s="25">
        <f ca="1">SUM($AH$53:$AK$53)</f>
        <v>-47.810100694416981</v>
      </c>
      <c r="AM53" s="25">
        <f ca="1">SUMIF($L$4:$AL$4,"SUBTOTAL",$L$53:$AL$53)</f>
        <v>-83.779502674803553</v>
      </c>
      <c r="AO53" s="30">
        <f ca="1">+'TUSD BE'!$T$53+'TUSD BE'!$AB$53+'TUSD BE'!$AD$53+'TUSD BE'!$AL$53</f>
        <v>525.37514265660684</v>
      </c>
      <c r="AP53" s="30">
        <f ca="1">+'TUSD BE'!$T$53+'TUSD BE'!$AB$53+'TUSD BE'!$AD$53+'TUSD BE'!$AL$53</f>
        <v>525.37514265660684</v>
      </c>
    </row>
    <row r="54" spans="1:42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25">
        <f>'TUSD BE'!$L$54*'TUSD BE'!$L$74</f>
        <v>-0.56402735483535626</v>
      </c>
      <c r="M54" s="25">
        <f>'TUSD BE'!$M$54*'TUSD BE'!$M$74</f>
        <v>5.0881679654958122E-2</v>
      </c>
      <c r="N54" s="25">
        <f ca="1">'TUSD BE'!$N$54*'TUSD BE'!$N$74</f>
        <v>0</v>
      </c>
      <c r="O54" s="25">
        <f>'TUSD BE'!$O$54*'TUSD BE'!$O$74</f>
        <v>0</v>
      </c>
      <c r="P54" s="25">
        <f>'TUSD BE'!$P$54*'TUSD BE'!$P$74</f>
        <v>0</v>
      </c>
      <c r="Q54" s="25">
        <f>'TUSD BE'!$Q$54*'TUSD BE'!$Q$74</f>
        <v>2.8096179708132913</v>
      </c>
      <c r="R54" s="25">
        <f>'TUSD BE'!$R$54*'TUSD BE'!$R$74</f>
        <v>1.0703727539264616</v>
      </c>
      <c r="S54" s="25">
        <f>'TUSD BE'!$R$54*'TUSD BE'!$S$74</f>
        <v>0</v>
      </c>
      <c r="T54" s="25">
        <f ca="1">SUM($L$54:$S$54)</f>
        <v>3.3668450495593549</v>
      </c>
      <c r="U54" s="25">
        <f>'TUSD BE'!$U$54*'TUSD BE'!$U$74</f>
        <v>-17.514525263613027</v>
      </c>
      <c r="V54" s="25">
        <f>'TUSD BE'!$V$54*'TUSD BE'!$V$74</f>
        <v>0.12768732290310392</v>
      </c>
      <c r="W54" s="25">
        <f>'TUSD BE'!$W$54*'TUSD BE'!$W$74</f>
        <v>-8.4182842446990768E-3</v>
      </c>
      <c r="X54" s="25">
        <f>'TUSD BE'!$X$54*'TUSD BE'!$X$74</f>
        <v>0</v>
      </c>
      <c r="Y54" s="25">
        <f>'TUSD BE'!$Y$54*'TUSD BE'!$Y$74</f>
        <v>0</v>
      </c>
      <c r="Z54" s="25">
        <f>'TUSD BE'!$Z$54*'TUSD BE'!$Z$74</f>
        <v>0</v>
      </c>
      <c r="AA54" s="25">
        <f>'TUSD BE'!$AA$54*'TUSD BE'!$AA$74</f>
        <v>0</v>
      </c>
      <c r="AB54" s="25">
        <f>SUM($U$54:$AA$54)</f>
        <v>-17.395256224954622</v>
      </c>
      <c r="AC54" s="25">
        <f>'TUSD BE'!$AC$54*'TUSD BE'!$AC$74</f>
        <v>3.1045746745854368</v>
      </c>
      <c r="AD54" s="25">
        <f>SUM($AC$54:$AC$54)</f>
        <v>3.1045746745854368</v>
      </c>
      <c r="AE54" s="25">
        <f ca="1">$AO$54*$AO$71</f>
        <v>-83.229730286054291</v>
      </c>
      <c r="AF54" s="25">
        <f ca="1">$AP$54*$AP$71</f>
        <v>0</v>
      </c>
      <c r="AG54" s="25">
        <f ca="1">SUM($AE$54:$AF$54)</f>
        <v>-83.229730286054291</v>
      </c>
      <c r="AH54" s="25">
        <f>'TUSD BE'!$AH$54*'TUSD BE'!$AH$74</f>
        <v>-15.500398475401411</v>
      </c>
      <c r="AI54" s="25">
        <f>'TUSD BE'!$AI$54*'TUSD BE'!$AI$74</f>
        <v>-1.2532775083831666</v>
      </c>
      <c r="AJ54" s="25">
        <f ca="1">'TUSD BE'!$AJ$54*'TUSD BE'!$AJ$74</f>
        <v>-31.065137347412591</v>
      </c>
      <c r="AK54" s="25">
        <f ca="1">'TUSD BE'!$AK$54*'TUSD BE'!$AK$74</f>
        <v>8.7126367801870826E-3</v>
      </c>
      <c r="AL54" s="25">
        <f ca="1">SUM($AH$54:$AK$54)</f>
        <v>-47.810100694416981</v>
      </c>
      <c r="AM54" s="25">
        <f ca="1">SUMIF($L$4:$AL$4,"SUBTOTAL",$L$54:$AL$54)</f>
        <v>-141.96366748128111</v>
      </c>
      <c r="AO54" s="30">
        <f ca="1">+'TUSD BE'!$T$54+'TUSD BE'!$AB$54+'TUSD BE'!$AD$54+'TUSD BE'!$AL$54</f>
        <v>1251.5147133122675</v>
      </c>
      <c r="AP54" s="30">
        <f ca="1">+'TUSD BE'!$T$54+'TUSD BE'!$AB$54+'TUSD BE'!$AD$54+'TUSD BE'!$AL$54</f>
        <v>1251.5147133122675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25">
        <f>'TUSD BE'!$L$55*'TUSD BE'!$L$74</f>
        <v>-0.56402735483535626</v>
      </c>
      <c r="M55" s="25">
        <f>'TUSD BE'!$M$55*'TUSD BE'!$M$74</f>
        <v>5.0881679654958122E-2</v>
      </c>
      <c r="N55" s="25">
        <f ca="1">'TUSD BE'!$N$55*'TUSD BE'!$N$74</f>
        <v>0</v>
      </c>
      <c r="O55" s="25">
        <f>'TUSD BE'!$O$55*'TUSD BE'!$O$74</f>
        <v>0</v>
      </c>
      <c r="P55" s="25">
        <f>'TUSD BE'!$P$55*'TUSD BE'!$P$74</f>
        <v>0</v>
      </c>
      <c r="Q55" s="25">
        <f>'TUSD BE'!$Q$55*'TUSD BE'!$Q$74</f>
        <v>2.8096179708132913</v>
      </c>
      <c r="R55" s="25">
        <f>'TUSD BE'!$R$55*'TUSD BE'!$R$74</f>
        <v>1.0703727539264616</v>
      </c>
      <c r="S55" s="25">
        <f>'TUSD BE'!$R$55*'TUSD BE'!$S$74</f>
        <v>0</v>
      </c>
      <c r="T55" s="25">
        <f ca="1">SUM($L$55:$S$55)</f>
        <v>3.3668450495593549</v>
      </c>
      <c r="U55" s="25">
        <f>'TUSD BE'!$U$55*'TUSD BE'!$U$74</f>
        <v>-10.508702285771813</v>
      </c>
      <c r="V55" s="25">
        <f>'TUSD BE'!$V$55*'TUSD BE'!$V$74</f>
        <v>7.6612535527655623E-2</v>
      </c>
      <c r="W55" s="25">
        <f>'TUSD BE'!$W$55*'TUSD BE'!$W$74</f>
        <v>-5.051331614125674E-3</v>
      </c>
      <c r="X55" s="25">
        <f>'TUSD BE'!$X$55*'TUSD BE'!$X$74</f>
        <v>0</v>
      </c>
      <c r="Y55" s="25">
        <f>'TUSD BE'!$Y$55*'TUSD BE'!$Y$74</f>
        <v>0</v>
      </c>
      <c r="Z55" s="25">
        <f>'TUSD BE'!$Z$55*'TUSD BE'!$Z$74</f>
        <v>0</v>
      </c>
      <c r="AA55" s="25">
        <f>'TUSD BE'!$AA$55*'TUSD BE'!$AA$74</f>
        <v>0</v>
      </c>
      <c r="AB55" s="25">
        <f>SUM($U$55:$AA$55)</f>
        <v>-10.437141081858284</v>
      </c>
      <c r="AC55" s="25">
        <f>'TUSD BE'!$AC$55*'TUSD BE'!$AC$74</f>
        <v>1.8627449824966476</v>
      </c>
      <c r="AD55" s="25">
        <f>SUM($AC$55:$AC$55)</f>
        <v>1.8627449824966476</v>
      </c>
      <c r="AE55" s="25">
        <f ca="1">$AO$55*$AO$71</f>
        <v>-55.328494941442713</v>
      </c>
      <c r="AF55" s="25">
        <f ca="1">$AP$55*$AP$71</f>
        <v>0</v>
      </c>
      <c r="AG55" s="25">
        <f ca="1">SUM($AE$55:$AF$55)</f>
        <v>-55.328494941442713</v>
      </c>
      <c r="AH55" s="25">
        <f>'TUSD BE'!$AH$55*'TUSD BE'!$AH$74</f>
        <v>-15.500398475401411</v>
      </c>
      <c r="AI55" s="25">
        <f>'TUSD BE'!$AI$55*'TUSD BE'!$AI$74</f>
        <v>-1.2532775083831666</v>
      </c>
      <c r="AJ55" s="25">
        <f ca="1">'TUSD BE'!$AJ$55*'TUSD BE'!$AJ$74</f>
        <v>-31.065137347412591</v>
      </c>
      <c r="AK55" s="25">
        <f ca="1">'TUSD BE'!$AK$55*'TUSD BE'!$AK$74</f>
        <v>8.7126367801870826E-3</v>
      </c>
      <c r="AL55" s="25">
        <f ca="1">SUM($AH$55:$AK$55)</f>
        <v>-47.810100694416981</v>
      </c>
      <c r="AM55" s="25">
        <f ca="1">SUMIF($L$4:$AL$4,"SUBTOTAL",$L$55:$AL$55)</f>
        <v>-108.34614668566198</v>
      </c>
      <c r="AO55" s="30">
        <f ca="1">+'TUSD BE'!$T$55+'TUSD BE'!$AB$55+'TUSD BE'!$AD$55+'TUSD BE'!$AL$55</f>
        <v>831.96743815762795</v>
      </c>
      <c r="AP55" s="30">
        <f ca="1">+'TUSD BE'!$T$55+'TUSD BE'!$AB$55+'TUSD BE'!$AD$55+'TUSD BE'!$AL$55</f>
        <v>831.96743815762795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25">
        <f>'TUSD BE'!$L$56*'TUSD BE'!$L$74</f>
        <v>-0.56402735483535626</v>
      </c>
      <c r="M56" s="25">
        <f>'TUSD BE'!$M$56*'TUSD BE'!$M$74</f>
        <v>5.0881679654958122E-2</v>
      </c>
      <c r="N56" s="25">
        <f ca="1">'TUSD BE'!$N$56*'TUSD BE'!$N$74</f>
        <v>0</v>
      </c>
      <c r="O56" s="25">
        <f>'TUSD BE'!$O$56*'TUSD BE'!$O$74</f>
        <v>0</v>
      </c>
      <c r="P56" s="25">
        <f>'TUSD BE'!$P$56*'TUSD BE'!$P$74</f>
        <v>0</v>
      </c>
      <c r="Q56" s="25">
        <f>'TUSD BE'!$Q$56*'TUSD BE'!$Q$74</f>
        <v>2.8096179708132913</v>
      </c>
      <c r="R56" s="25">
        <f>'TUSD BE'!$R$56*'TUSD BE'!$R$74</f>
        <v>1.0703727539264616</v>
      </c>
      <c r="S56" s="25">
        <f>'TUSD BE'!$R$56*'TUSD BE'!$S$74</f>
        <v>0</v>
      </c>
      <c r="T56" s="25">
        <f ca="1">SUM($L$56:$S$56)</f>
        <v>3.3668450495593549</v>
      </c>
      <c r="U56" s="25">
        <f>'TUSD BE'!$U$56*'TUSD BE'!$U$74</f>
        <v>-3.5029007619239376</v>
      </c>
      <c r="V56" s="25">
        <f>'TUSD BE'!$V$56*'TUSD BE'!$V$74</f>
        <v>2.5537748152207298E-2</v>
      </c>
      <c r="W56" s="25">
        <f>'TUSD BE'!$W$56*'TUSD BE'!$W$74</f>
        <v>-1.6843789835522709E-3</v>
      </c>
      <c r="X56" s="25">
        <f>'TUSD BE'!$X$56*'TUSD BE'!$X$74</f>
        <v>0</v>
      </c>
      <c r="Y56" s="25">
        <f>'TUSD BE'!$Y$56*'TUSD BE'!$Y$74</f>
        <v>0</v>
      </c>
      <c r="Z56" s="25">
        <f>'TUSD BE'!$Z$56*'TUSD BE'!$Z$74</f>
        <v>0</v>
      </c>
      <c r="AA56" s="25">
        <f>'TUSD BE'!$AA$56*'TUSD BE'!$AA$74</f>
        <v>0</v>
      </c>
      <c r="AB56" s="25">
        <f>SUM($U$56:$AA$56)</f>
        <v>-3.4790473927552825</v>
      </c>
      <c r="AC56" s="25">
        <f>'TUSD BE'!$AC$56*'TUSD BE'!$AC$74</f>
        <v>0.62091484604439429</v>
      </c>
      <c r="AD56" s="25">
        <f>SUM($AC$56:$AC$56)</f>
        <v>0.62091484604439429</v>
      </c>
      <c r="AE56" s="25">
        <f ca="1">$AO$56*$AO$71</f>
        <v>-27.427260248615386</v>
      </c>
      <c r="AF56" s="25">
        <f ca="1">$AP$56*$AP$71</f>
        <v>0</v>
      </c>
      <c r="AG56" s="25">
        <f ca="1">SUM($AE$56:$AF$56)</f>
        <v>-27.427260248615386</v>
      </c>
      <c r="AH56" s="25">
        <f>'TUSD BE'!$AH$56*'TUSD BE'!$AH$74</f>
        <v>-15.500398475401411</v>
      </c>
      <c r="AI56" s="25">
        <f>'TUSD BE'!$AI$56*'TUSD BE'!$AI$74</f>
        <v>-1.2532775083831666</v>
      </c>
      <c r="AJ56" s="25">
        <f ca="1">'TUSD BE'!$AJ$56*'TUSD BE'!$AJ$74</f>
        <v>-31.065137347412591</v>
      </c>
      <c r="AK56" s="25">
        <f ca="1">'TUSD BE'!$AK$56*'TUSD BE'!$AK$74</f>
        <v>8.7126367801870826E-3</v>
      </c>
      <c r="AL56" s="25">
        <f ca="1">SUM($AH$56:$AK$56)</f>
        <v>-47.810100694416981</v>
      </c>
      <c r="AM56" s="25">
        <f ca="1">SUMIF($L$4:$AL$4,"SUBTOTAL",$L$56:$AL$56)</f>
        <v>-74.728648440183903</v>
      </c>
      <c r="AO56" s="30">
        <f ca="1">+'TUSD BE'!$T$56+'TUSD BE'!$AB$56+'TUSD BE'!$AD$56+'TUSD BE'!$AL$56</f>
        <v>412.42017280378394</v>
      </c>
      <c r="AP56" s="30">
        <f ca="1">+'TUSD BE'!$T$56+'TUSD BE'!$AB$56+'TUSD BE'!$AD$56+'TUSD BE'!$AL$56</f>
        <v>412.42017280378394</v>
      </c>
    </row>
    <row r="57" spans="1:42" ht="11.25" customHeight="1" x14ac:dyDescent="0.25">
      <c r="A57" s="118"/>
      <c r="B57" s="28" t="s">
        <v>23</v>
      </c>
      <c r="C57" s="28" t="s">
        <v>46</v>
      </c>
      <c r="D57" s="28" t="s">
        <v>94</v>
      </c>
      <c r="E57" s="28" t="s">
        <v>25</v>
      </c>
      <c r="F57" s="28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25">
        <f>'TUSD BE'!$L$57*'TUSD BE'!$L$74</f>
        <v>-0.56402735483535626</v>
      </c>
      <c r="M57" s="25">
        <f>'TUSD BE'!$M$57*'TUSD BE'!$M$74</f>
        <v>5.0881679654958122E-2</v>
      </c>
      <c r="N57" s="25">
        <f ca="1">'TUSD BE'!$N$57*'TUSD BE'!$N$74</f>
        <v>0</v>
      </c>
      <c r="O57" s="25">
        <f>'TUSD BE'!$O$57*'TUSD BE'!$O$74</f>
        <v>0</v>
      </c>
      <c r="P57" s="25">
        <f>'TUSD BE'!$P$57*'TUSD BE'!$P$74</f>
        <v>0</v>
      </c>
      <c r="Q57" s="25">
        <f>'TUSD BE'!$Q$57*'TUSD BE'!$Q$74</f>
        <v>2.8096179708132913</v>
      </c>
      <c r="R57" s="25">
        <f>'TUSD BE'!$R$57*'TUSD BE'!$R$74</f>
        <v>1.0703727539264616</v>
      </c>
      <c r="S57" s="25">
        <f>'TUSD BE'!$R$57*'TUSD BE'!$S$74</f>
        <v>0</v>
      </c>
      <c r="T57" s="25">
        <f ca="1">SUM($L$57:$S$57)</f>
        <v>3.3668450495593549</v>
      </c>
      <c r="U57" s="25">
        <f>'TUSD BE'!$U$57*'TUSD BE'!$U$74</f>
        <v>-5.3890714940388778</v>
      </c>
      <c r="V57" s="25">
        <f>'TUSD BE'!$V$57*'TUSD BE'!$V$74</f>
        <v>3.9288134382121878E-2</v>
      </c>
      <c r="W57" s="25">
        <f>'TUSD BE'!$W$57*'TUSD BE'!$W$74</f>
        <v>-2.5906579221838246E-3</v>
      </c>
      <c r="X57" s="25">
        <f>'TUSD BE'!$X$57*'TUSD BE'!$X$74</f>
        <v>0</v>
      </c>
      <c r="Y57" s="25">
        <f>'TUSD BE'!$Y$57*'TUSD BE'!$Y$74</f>
        <v>0</v>
      </c>
      <c r="Z57" s="25">
        <f>'TUSD BE'!$Z$57*'TUSD BE'!$Z$74</f>
        <v>0</v>
      </c>
      <c r="AA57" s="25">
        <f>'TUSD BE'!$AA$57*'TUSD BE'!$AA$74</f>
        <v>0</v>
      </c>
      <c r="AB57" s="25">
        <f>SUM($U$57:$AA$57)</f>
        <v>-5.3523740175789394</v>
      </c>
      <c r="AC57" s="25">
        <f>'TUSD BE'!$AC$57*'TUSD BE'!$AC$74</f>
        <v>0.95525391693531303</v>
      </c>
      <c r="AD57" s="25">
        <f>SUM($AC$57:$AC$57)</f>
        <v>0.95525391693531303</v>
      </c>
      <c r="AE57" s="25">
        <f ca="1">$AO$57*$AO$71</f>
        <v>-34.93912692930229</v>
      </c>
      <c r="AF57" s="25">
        <f ca="1">$AP$57*$AP$71</f>
        <v>0</v>
      </c>
      <c r="AG57" s="25">
        <f ca="1">SUM($AE$57:$AF$57)</f>
        <v>-34.93912692930229</v>
      </c>
      <c r="AH57" s="25">
        <f>'TUSD BE'!$AH$57*'TUSD BE'!$AH$74</f>
        <v>-15.500398475401411</v>
      </c>
      <c r="AI57" s="25">
        <f>'TUSD BE'!$AI$57*'TUSD BE'!$AI$74</f>
        <v>-1.2532775083831666</v>
      </c>
      <c r="AJ57" s="25">
        <f ca="1">'TUSD BE'!$AJ$57*'TUSD BE'!$AJ$74</f>
        <v>-31.065137347412591</v>
      </c>
      <c r="AK57" s="25">
        <f ca="1">'TUSD BE'!$AK$57*'TUSD BE'!$AK$74</f>
        <v>8.7126367801870826E-3</v>
      </c>
      <c r="AL57" s="25">
        <f ca="1">SUM($AH$57:$AK$57)</f>
        <v>-47.810100694416981</v>
      </c>
      <c r="AM57" s="25">
        <f ca="1">SUMIF($L$4:$AL$4,"SUBTOTAL",$L$57:$AL$57)</f>
        <v>-83.779502674803553</v>
      </c>
      <c r="AO57" s="30">
        <f ca="1">+'TUSD BE'!$T$57+'TUSD BE'!$AB$57+'TUSD BE'!$AD$57+'TUSD BE'!$AL$57</f>
        <v>525.37514265660684</v>
      </c>
      <c r="AP57" s="30">
        <f ca="1">+'TUSD BE'!$T$57+'TUSD BE'!$AB$57+'TUSD BE'!$AD$57+'TUSD BE'!$AL$57</f>
        <v>525.37514265660684</v>
      </c>
    </row>
    <row r="58" spans="1:42" ht="11.25" customHeight="1" x14ac:dyDescent="0.25">
      <c r="A58" s="118"/>
      <c r="B58" s="118" t="s">
        <v>92</v>
      </c>
      <c r="C58" s="118" t="s">
        <v>46</v>
      </c>
      <c r="D58" s="28" t="s">
        <v>25</v>
      </c>
      <c r="E58" s="28" t="s">
        <v>25</v>
      </c>
      <c r="F58" s="28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25">
        <f>'TUSD BE'!$L$58*'TUSD BE'!$L$74</f>
        <v>-0.56402735483535626</v>
      </c>
      <c r="M58" s="25">
        <f>'TUSD BE'!$M$58*'TUSD BE'!$M$74</f>
        <v>5.0881679654958122E-2</v>
      </c>
      <c r="N58" s="25">
        <f ca="1">'TUSD BE'!$N$58*'TUSD BE'!$N$74</f>
        <v>0</v>
      </c>
      <c r="O58" s="25">
        <f>'TUSD BE'!$O$58*'TUSD BE'!$O$74</f>
        <v>0</v>
      </c>
      <c r="P58" s="25">
        <f>'TUSD BE'!$P$58*'TUSD BE'!$P$74</f>
        <v>0</v>
      </c>
      <c r="Q58" s="25">
        <f>'TUSD BE'!$Q$58*'TUSD BE'!$Q$74</f>
        <v>2.8096179708132913</v>
      </c>
      <c r="R58" s="25">
        <f>'TUSD BE'!$R$58*'TUSD BE'!$R$74</f>
        <v>1.0703727539264616</v>
      </c>
      <c r="S58" s="25">
        <f>'TUSD BE'!$R$58*'TUSD BE'!$S$74</f>
        <v>0</v>
      </c>
      <c r="T58" s="25">
        <f ca="1">SUM($L$58:$S$58)</f>
        <v>3.3668450495593549</v>
      </c>
      <c r="U58" s="25">
        <f>'TUSD BE'!$U$58*'TUSD BE'!$U$74</f>
        <v>-5.3890714940388778</v>
      </c>
      <c r="V58" s="25">
        <f>'TUSD BE'!$V$58*'TUSD BE'!$V$74</f>
        <v>3.9288134382121878E-2</v>
      </c>
      <c r="W58" s="25">
        <f>'TUSD BE'!$W$58*'TUSD BE'!$W$74</f>
        <v>-2.5906579221838246E-3</v>
      </c>
      <c r="X58" s="25">
        <f>'TUSD BE'!$X$58*'TUSD BE'!$X$74</f>
        <v>0</v>
      </c>
      <c r="Y58" s="25">
        <f>'TUSD BE'!$Y$58*'TUSD BE'!$Y$74</f>
        <v>0</v>
      </c>
      <c r="Z58" s="25">
        <f>'TUSD BE'!$Z$58*'TUSD BE'!$Z$74</f>
        <v>0</v>
      </c>
      <c r="AA58" s="25">
        <f>'TUSD BE'!$AA$58*'TUSD BE'!$AA$74</f>
        <v>0</v>
      </c>
      <c r="AB58" s="25">
        <f>SUM($U$58:$AA$58)</f>
        <v>-5.3523740175789394</v>
      </c>
      <c r="AC58" s="25">
        <f>'TUSD BE'!$AC$58*'TUSD BE'!$AC$74</f>
        <v>0.95525391693531303</v>
      </c>
      <c r="AD58" s="25">
        <f>SUM($AC$58:$AC$58)</f>
        <v>0.95525391693531303</v>
      </c>
      <c r="AE58" s="25">
        <f ca="1">$AO$58*$AO$71</f>
        <v>-34.93912692930229</v>
      </c>
      <c r="AF58" s="25">
        <f ca="1">$AP$58*$AP$71</f>
        <v>0</v>
      </c>
      <c r="AG58" s="25">
        <f ca="1">SUM($AE$58:$AF$58)</f>
        <v>-34.93912692930229</v>
      </c>
      <c r="AH58" s="25">
        <f>'TUSD BE'!$AH$58*'TUSD BE'!$AH$74</f>
        <v>-15.500398475401411</v>
      </c>
      <c r="AI58" s="25">
        <f>'TUSD BE'!$AI$58*'TUSD BE'!$AI$74</f>
        <v>-1.2532775083831666</v>
      </c>
      <c r="AJ58" s="25">
        <f ca="1">'TUSD BE'!$AJ$58*'TUSD BE'!$AJ$74</f>
        <v>-31.065137347412591</v>
      </c>
      <c r="AK58" s="25">
        <f ca="1">'TUSD BE'!$AK$58*'TUSD BE'!$AK$74</f>
        <v>8.7126367801870826E-3</v>
      </c>
      <c r="AL58" s="25">
        <f ca="1">SUM($AH$58:$AK$58)</f>
        <v>-47.810100694416981</v>
      </c>
      <c r="AM58" s="25">
        <f ca="1">SUMIF($L$4:$AL$4,"SUBTOTAL",$L$58:$AL$58)</f>
        <v>-83.779502674803553</v>
      </c>
      <c r="AO58" s="30">
        <f ca="1">+'TUSD BE'!$T$58+'TUSD BE'!$AB$58+'TUSD BE'!$AD$58+'TUSD BE'!$AL$58</f>
        <v>525.37514265660684</v>
      </c>
      <c r="AP58" s="30">
        <f ca="1">+'TUSD BE'!$T$58+'TUSD BE'!$AB$58+'TUSD BE'!$AD$58+'TUSD BE'!$AL$58</f>
        <v>525.37514265660684</v>
      </c>
    </row>
    <row r="59" spans="1:42" ht="11.25" customHeight="1" x14ac:dyDescent="0.25">
      <c r="A59" s="118"/>
      <c r="B59" s="118"/>
      <c r="C59" s="118"/>
      <c r="D59" s="28" t="s">
        <v>93</v>
      </c>
      <c r="E59" s="28" t="s">
        <v>25</v>
      </c>
      <c r="F59" s="28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25">
        <f>'TUSD BE'!$L$59*'TUSD BE'!$L$74</f>
        <v>-0.56402735483535626</v>
      </c>
      <c r="M59" s="25">
        <f>'TUSD BE'!$M$59*'TUSD BE'!$M$74</f>
        <v>5.0881679654958122E-2</v>
      </c>
      <c r="N59" s="25">
        <f ca="1">'TUSD BE'!$N$59*'TUSD BE'!$N$74</f>
        <v>0</v>
      </c>
      <c r="O59" s="25">
        <f>'TUSD BE'!$O$59*'TUSD BE'!$O$74</f>
        <v>0</v>
      </c>
      <c r="P59" s="25">
        <f>'TUSD BE'!$P$59*'TUSD BE'!$P$74</f>
        <v>0</v>
      </c>
      <c r="Q59" s="25">
        <f>'TUSD BE'!$Q$59*'TUSD BE'!$Q$74</f>
        <v>2.8096179708132913</v>
      </c>
      <c r="R59" s="25">
        <f>'TUSD BE'!$R$59*'TUSD BE'!$R$74</f>
        <v>1.0703727539264616</v>
      </c>
      <c r="S59" s="25">
        <f>'TUSD BE'!$R$59*'TUSD BE'!$S$74</f>
        <v>0</v>
      </c>
      <c r="T59" s="25">
        <f ca="1">SUM($L$59:$S$59)</f>
        <v>3.3668450495593549</v>
      </c>
      <c r="U59" s="25">
        <f>'TUSD BE'!$U$59*'TUSD BE'!$U$74</f>
        <v>-5.3890714940388778</v>
      </c>
      <c r="V59" s="25">
        <f>'TUSD BE'!$V$59*'TUSD BE'!$V$74</f>
        <v>3.9288134382121878E-2</v>
      </c>
      <c r="W59" s="25">
        <f>'TUSD BE'!$W$59*'TUSD BE'!$W$74</f>
        <v>-2.5906579221838246E-3</v>
      </c>
      <c r="X59" s="25">
        <f>'TUSD BE'!$X$59*'TUSD BE'!$X$74</f>
        <v>0</v>
      </c>
      <c r="Y59" s="25">
        <f>'TUSD BE'!$Y$59*'TUSD BE'!$Y$74</f>
        <v>0</v>
      </c>
      <c r="Z59" s="25">
        <f>'TUSD BE'!$Z$59*'TUSD BE'!$Z$74</f>
        <v>0</v>
      </c>
      <c r="AA59" s="25">
        <f>'TUSD BE'!$AA$59*'TUSD BE'!$AA$74</f>
        <v>0</v>
      </c>
      <c r="AB59" s="25">
        <f>SUM($U$59:$AA$59)</f>
        <v>-5.3523740175789394</v>
      </c>
      <c r="AC59" s="25">
        <f>'TUSD BE'!$AC$59*'TUSD BE'!$AC$74</f>
        <v>0.95525391693531303</v>
      </c>
      <c r="AD59" s="25">
        <f>SUM($AC$59:$AC$59)</f>
        <v>0.95525391693531303</v>
      </c>
      <c r="AE59" s="25">
        <f ca="1">$AO$59*$AO$71</f>
        <v>-34.93912692930229</v>
      </c>
      <c r="AF59" s="25">
        <f ca="1">$AP$59*$AP$71</f>
        <v>0</v>
      </c>
      <c r="AG59" s="25">
        <f ca="1">SUM($AE$59:$AF$59)</f>
        <v>-34.93912692930229</v>
      </c>
      <c r="AH59" s="25">
        <f>'TUSD BE'!$AH$59*'TUSD BE'!$AH$74</f>
        <v>-15.500398475401411</v>
      </c>
      <c r="AI59" s="25">
        <f>'TUSD BE'!$AI$59*'TUSD BE'!$AI$74</f>
        <v>-1.2532775083831666</v>
      </c>
      <c r="AJ59" s="25">
        <f ca="1">'TUSD BE'!$AJ$59*'TUSD BE'!$AJ$74</f>
        <v>-31.065137347412591</v>
      </c>
      <c r="AK59" s="25">
        <f ca="1">'TUSD BE'!$AK$59*'TUSD BE'!$AK$74</f>
        <v>8.7126367801870826E-3</v>
      </c>
      <c r="AL59" s="25">
        <f ca="1">SUM($AH$59:$AK$59)</f>
        <v>-47.810100694416981</v>
      </c>
      <c r="AM59" s="25">
        <f ca="1">SUMIF($L$4:$AL$4,"SUBTOTAL",$L$59:$AL$59)</f>
        <v>-83.779502674803553</v>
      </c>
      <c r="AO59" s="30">
        <f ca="1">+'TUSD BE'!$T$59+'TUSD BE'!$AB$59+'TUSD BE'!$AD$59+'TUSD BE'!$AL$59</f>
        <v>525.37514265660684</v>
      </c>
      <c r="AP59" s="30">
        <f ca="1">+'TUSD BE'!$T$59+'TUSD BE'!$AB$59+'TUSD BE'!$AD$59+'TUSD BE'!$AL$59</f>
        <v>525.37514265660684</v>
      </c>
    </row>
    <row r="60" spans="1:42" ht="11.25" customHeight="1" x14ac:dyDescent="0.25">
      <c r="A60" s="118"/>
      <c r="B60" s="118"/>
      <c r="C60" s="118"/>
      <c r="D60" s="28" t="s">
        <v>94</v>
      </c>
      <c r="E60" s="28" t="s">
        <v>25</v>
      </c>
      <c r="F60" s="28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25">
        <f>'TUSD BE'!$L$60*'TUSD BE'!$L$74</f>
        <v>-0.56402735483535626</v>
      </c>
      <c r="M60" s="25">
        <f>'TUSD BE'!$M$60*'TUSD BE'!$M$74</f>
        <v>5.0881679654958122E-2</v>
      </c>
      <c r="N60" s="25">
        <f ca="1">'TUSD BE'!$N$60*'TUSD BE'!$N$74</f>
        <v>0</v>
      </c>
      <c r="O60" s="25">
        <f>'TUSD BE'!$O$60*'TUSD BE'!$O$74</f>
        <v>0</v>
      </c>
      <c r="P60" s="25">
        <f>'TUSD BE'!$P$60*'TUSD BE'!$P$74</f>
        <v>0</v>
      </c>
      <c r="Q60" s="25">
        <f>'TUSD BE'!$Q$60*'TUSD BE'!$Q$74</f>
        <v>2.8096179708132913</v>
      </c>
      <c r="R60" s="25">
        <f>'TUSD BE'!$R$60*'TUSD BE'!$R$74</f>
        <v>1.0703727539264616</v>
      </c>
      <c r="S60" s="25">
        <f>'TUSD BE'!$R$60*'TUSD BE'!$S$74</f>
        <v>0</v>
      </c>
      <c r="T60" s="25">
        <f ca="1">SUM($L$60:$S$60)</f>
        <v>3.3668450495593549</v>
      </c>
      <c r="U60" s="25">
        <f>'TUSD BE'!$U$60*'TUSD BE'!$U$74</f>
        <v>-5.3890714940388778</v>
      </c>
      <c r="V60" s="25">
        <f>'TUSD BE'!$V$60*'TUSD BE'!$V$74</f>
        <v>3.9288134382121878E-2</v>
      </c>
      <c r="W60" s="25">
        <f>'TUSD BE'!$W$60*'TUSD BE'!$W$74</f>
        <v>-2.5906579221838246E-3</v>
      </c>
      <c r="X60" s="25">
        <f>'TUSD BE'!$X$60*'TUSD BE'!$X$74</f>
        <v>0</v>
      </c>
      <c r="Y60" s="25">
        <f>'TUSD BE'!$Y$60*'TUSD BE'!$Y$74</f>
        <v>0</v>
      </c>
      <c r="Z60" s="25">
        <f>'TUSD BE'!$Z$60*'TUSD BE'!$Z$74</f>
        <v>0</v>
      </c>
      <c r="AA60" s="25">
        <f>'TUSD BE'!$AA$60*'TUSD BE'!$AA$74</f>
        <v>0</v>
      </c>
      <c r="AB60" s="25">
        <f>SUM($U$60:$AA$60)</f>
        <v>-5.3523740175789394</v>
      </c>
      <c r="AC60" s="25">
        <f>'TUSD BE'!$AC$60*'TUSD BE'!$AC$74</f>
        <v>0.95525391693531303</v>
      </c>
      <c r="AD60" s="25">
        <f>SUM($AC$60:$AC$60)</f>
        <v>0.95525391693531303</v>
      </c>
      <c r="AE60" s="25">
        <f ca="1">$AO$60*$AO$71</f>
        <v>-34.93912692930229</v>
      </c>
      <c r="AF60" s="25">
        <f ca="1">$AP$60*$AP$71</f>
        <v>0</v>
      </c>
      <c r="AG60" s="25">
        <f ca="1">SUM($AE$60:$AF$60)</f>
        <v>-34.93912692930229</v>
      </c>
      <c r="AH60" s="25">
        <f>'TUSD BE'!$AH$60*'TUSD BE'!$AH$74</f>
        <v>-15.500398475401411</v>
      </c>
      <c r="AI60" s="25">
        <f>'TUSD BE'!$AI$60*'TUSD BE'!$AI$74</f>
        <v>-1.2532775083831666</v>
      </c>
      <c r="AJ60" s="25">
        <f ca="1">'TUSD BE'!$AJ$60*'TUSD BE'!$AJ$74</f>
        <v>-31.065137347412591</v>
      </c>
      <c r="AK60" s="25">
        <f ca="1">'TUSD BE'!$AK$60*'TUSD BE'!$AK$74</f>
        <v>8.7126367801870826E-3</v>
      </c>
      <c r="AL60" s="25">
        <f ca="1">SUM($AH$60:$AK$60)</f>
        <v>-47.810100694416981</v>
      </c>
      <c r="AM60" s="25">
        <f ca="1">SUMIF($L$4:$AL$4,"SUBTOTAL",$L$60:$AL$60)</f>
        <v>-83.779502674803553</v>
      </c>
      <c r="AO60" s="30">
        <f ca="1">+'TUSD BE'!$T$60+'TUSD BE'!$AB$60+'TUSD BE'!$AD$60+'TUSD BE'!$AL$60</f>
        <v>525.37514265660684</v>
      </c>
      <c r="AP60" s="30">
        <f ca="1">+'TUSD BE'!$T$60+'TUSD BE'!$AB$60+'TUSD BE'!$AD$60+'TUSD BE'!$AL$60</f>
        <v>525.37514265660684</v>
      </c>
    </row>
    <row r="61" spans="1:42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25">
        <f>'TUSD BE'!$L$61*'TUSD BE'!$L$74</f>
        <v>-0.56402735483535626</v>
      </c>
      <c r="M61" s="25">
        <f>'TUSD BE'!$M$61*'TUSD BE'!$M$74</f>
        <v>5.0881679654958122E-2</v>
      </c>
      <c r="N61" s="25">
        <f ca="1">'TUSD BE'!$N$61*'TUSD BE'!$N$74</f>
        <v>0</v>
      </c>
      <c r="O61" s="25">
        <f>'TUSD BE'!$O$61*'TUSD BE'!$O$74</f>
        <v>0</v>
      </c>
      <c r="P61" s="25">
        <f>'TUSD BE'!$P$61*'TUSD BE'!$P$74</f>
        <v>0</v>
      </c>
      <c r="Q61" s="25">
        <f>'TUSD BE'!$Q$61*'TUSD BE'!$Q$74</f>
        <v>2.8096179708132913</v>
      </c>
      <c r="R61" s="25">
        <f>'TUSD BE'!$R$61*'TUSD BE'!$R$74</f>
        <v>1.0703727539264616</v>
      </c>
      <c r="S61" s="25">
        <f>'TUSD BE'!$R$61*'TUSD BE'!$S$74</f>
        <v>0</v>
      </c>
      <c r="T61" s="25">
        <f ca="1">SUM($L$61:$S$61)</f>
        <v>3.3668450495593549</v>
      </c>
      <c r="U61" s="25">
        <f>'TUSD BE'!$U$61*'TUSD BE'!$U$74</f>
        <v>-17.514525263613027</v>
      </c>
      <c r="V61" s="25">
        <f>'TUSD BE'!$V$61*'TUSD BE'!$V$74</f>
        <v>0.12768732290310392</v>
      </c>
      <c r="W61" s="25">
        <f>'TUSD BE'!$W$61*'TUSD BE'!$W$74</f>
        <v>-8.4182842446990768E-3</v>
      </c>
      <c r="X61" s="25">
        <f>'TUSD BE'!$X$61*'TUSD BE'!$X$74</f>
        <v>0</v>
      </c>
      <c r="Y61" s="25">
        <f>'TUSD BE'!$Y$61*'TUSD BE'!$Y$74</f>
        <v>0</v>
      </c>
      <c r="Z61" s="25">
        <f>'TUSD BE'!$Z$61*'TUSD BE'!$Z$74</f>
        <v>0</v>
      </c>
      <c r="AA61" s="25">
        <f>'TUSD BE'!$AA$61*'TUSD BE'!$AA$74</f>
        <v>0</v>
      </c>
      <c r="AB61" s="25">
        <f>SUM($U$61:$AA$61)</f>
        <v>-17.395256224954622</v>
      </c>
      <c r="AC61" s="25">
        <f>'TUSD BE'!$AC$61*'TUSD BE'!$AC$74</f>
        <v>3.1045746745854368</v>
      </c>
      <c r="AD61" s="25">
        <f>SUM($AC$61:$AC$61)</f>
        <v>3.1045746745854368</v>
      </c>
      <c r="AE61" s="25">
        <f ca="1">$AO$61*$AO$71</f>
        <v>-83.229730286054291</v>
      </c>
      <c r="AF61" s="25">
        <f ca="1">$AP$61*$AP$71</f>
        <v>0</v>
      </c>
      <c r="AG61" s="25">
        <f ca="1">SUM($AE$61:$AF$61)</f>
        <v>-83.229730286054291</v>
      </c>
      <c r="AH61" s="25">
        <f>'TUSD BE'!$AH$61*'TUSD BE'!$AH$74</f>
        <v>-15.500398475401411</v>
      </c>
      <c r="AI61" s="25">
        <f>'TUSD BE'!$AI$61*'TUSD BE'!$AI$74</f>
        <v>-1.2532775083831666</v>
      </c>
      <c r="AJ61" s="25">
        <f ca="1">'TUSD BE'!$AJ$61*'TUSD BE'!$AJ$74</f>
        <v>-31.065137347412591</v>
      </c>
      <c r="AK61" s="25">
        <f ca="1">'TUSD BE'!$AK$61*'TUSD BE'!$AK$74</f>
        <v>8.7126367801870826E-3</v>
      </c>
      <c r="AL61" s="25">
        <f ca="1">SUM($AH$61:$AK$61)</f>
        <v>-47.810100694416981</v>
      </c>
      <c r="AM61" s="25">
        <f ca="1">SUMIF($L$4:$AL$4,"SUBTOTAL",$L$61:$AL$61)</f>
        <v>-141.96366748128111</v>
      </c>
      <c r="AO61" s="30">
        <f ca="1">+'TUSD BE'!$T$61+'TUSD BE'!$AB$61+'TUSD BE'!$AD$61+'TUSD BE'!$AL$61</f>
        <v>1251.5147133122675</v>
      </c>
      <c r="AP61" s="30">
        <f ca="1">+'TUSD BE'!$T$61+'TUSD BE'!$AB$61+'TUSD BE'!$AD$61+'TUSD BE'!$AL$61</f>
        <v>1251.5147133122675</v>
      </c>
    </row>
    <row r="62" spans="1:42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25">
        <f>'TUSD BE'!$L$62*'TUSD BE'!$L$74</f>
        <v>-0.56402735483535626</v>
      </c>
      <c r="M62" s="25">
        <f>'TUSD BE'!$M$62*'TUSD BE'!$M$74</f>
        <v>5.0881679654958122E-2</v>
      </c>
      <c r="N62" s="25">
        <f ca="1">'TUSD BE'!$N$62*'TUSD BE'!$N$74</f>
        <v>0</v>
      </c>
      <c r="O62" s="25">
        <f>'TUSD BE'!$O$62*'TUSD BE'!$O$74</f>
        <v>0</v>
      </c>
      <c r="P62" s="25">
        <f>'TUSD BE'!$P$62*'TUSD BE'!$P$74</f>
        <v>0</v>
      </c>
      <c r="Q62" s="25">
        <f>'TUSD BE'!$Q$62*'TUSD BE'!$Q$74</f>
        <v>2.8096179708132913</v>
      </c>
      <c r="R62" s="25">
        <f>'TUSD BE'!$R$62*'TUSD BE'!$R$74</f>
        <v>1.0703727539264616</v>
      </c>
      <c r="S62" s="25">
        <f>'TUSD BE'!$R$62*'TUSD BE'!$S$74</f>
        <v>0</v>
      </c>
      <c r="T62" s="25">
        <f ca="1">SUM($L$62:$S$62)</f>
        <v>3.3668450495593549</v>
      </c>
      <c r="U62" s="25">
        <f>'TUSD BE'!$U$62*'TUSD BE'!$U$74</f>
        <v>-10.508702285771813</v>
      </c>
      <c r="V62" s="25">
        <f>'TUSD BE'!$V$62*'TUSD BE'!$V$74</f>
        <v>7.6612535527655623E-2</v>
      </c>
      <c r="W62" s="25">
        <f>'TUSD BE'!$W$62*'TUSD BE'!$W$74</f>
        <v>-5.051331614125674E-3</v>
      </c>
      <c r="X62" s="25">
        <f>'TUSD BE'!$X$62*'TUSD BE'!$X$74</f>
        <v>0</v>
      </c>
      <c r="Y62" s="25">
        <f>'TUSD BE'!$Y$62*'TUSD BE'!$Y$74</f>
        <v>0</v>
      </c>
      <c r="Z62" s="25">
        <f>'TUSD BE'!$Z$62*'TUSD BE'!$Z$74</f>
        <v>0</v>
      </c>
      <c r="AA62" s="25">
        <f>'TUSD BE'!$AA$62*'TUSD BE'!$AA$74</f>
        <v>0</v>
      </c>
      <c r="AB62" s="25">
        <f>SUM($U$62:$AA$62)</f>
        <v>-10.437141081858284</v>
      </c>
      <c r="AC62" s="25">
        <f>'TUSD BE'!$AC$62*'TUSD BE'!$AC$74</f>
        <v>1.8627449824966476</v>
      </c>
      <c r="AD62" s="25">
        <f>SUM($AC$62:$AC$62)</f>
        <v>1.8627449824966476</v>
      </c>
      <c r="AE62" s="25">
        <f ca="1">$AO$62*$AO$71</f>
        <v>-55.328494941442713</v>
      </c>
      <c r="AF62" s="25">
        <f ca="1">$AP$62*$AP$71</f>
        <v>0</v>
      </c>
      <c r="AG62" s="25">
        <f ca="1">SUM($AE$62:$AF$62)</f>
        <v>-55.328494941442713</v>
      </c>
      <c r="AH62" s="25">
        <f>'TUSD BE'!$AH$62*'TUSD BE'!$AH$74</f>
        <v>-15.500398475401411</v>
      </c>
      <c r="AI62" s="25">
        <f>'TUSD BE'!$AI$62*'TUSD BE'!$AI$74</f>
        <v>-1.2532775083831666</v>
      </c>
      <c r="AJ62" s="25">
        <f ca="1">'TUSD BE'!$AJ$62*'TUSD BE'!$AJ$74</f>
        <v>-31.065137347412591</v>
      </c>
      <c r="AK62" s="25">
        <f ca="1">'TUSD BE'!$AK$62*'TUSD BE'!$AK$74</f>
        <v>8.7126367801870826E-3</v>
      </c>
      <c r="AL62" s="25">
        <f ca="1">SUM($AH$62:$AK$62)</f>
        <v>-47.810100694416981</v>
      </c>
      <c r="AM62" s="25">
        <f ca="1">SUMIF($L$4:$AL$4,"SUBTOTAL",$L$62:$AL$62)</f>
        <v>-108.34614668566198</v>
      </c>
      <c r="AO62" s="30">
        <f ca="1">+'TUSD BE'!$T$62+'TUSD BE'!$AB$62+'TUSD BE'!$AD$62+'TUSD BE'!$AL$62</f>
        <v>831.96743815762795</v>
      </c>
      <c r="AP62" s="30">
        <f ca="1">+'TUSD BE'!$T$62+'TUSD BE'!$AB$62+'TUSD BE'!$AD$62+'TUSD BE'!$AL$62</f>
        <v>831.96743815762795</v>
      </c>
    </row>
    <row r="63" spans="1:42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25">
        <f>'TUSD BE'!$L$63*'TUSD BE'!$L$74</f>
        <v>-0.56402735483535626</v>
      </c>
      <c r="M63" s="25">
        <f>'TUSD BE'!$M$63*'TUSD BE'!$M$74</f>
        <v>5.0881679654958122E-2</v>
      </c>
      <c r="N63" s="25">
        <f ca="1">'TUSD BE'!$N$63*'TUSD BE'!$N$74</f>
        <v>0</v>
      </c>
      <c r="O63" s="25">
        <f>'TUSD BE'!$O$63*'TUSD BE'!$O$74</f>
        <v>0</v>
      </c>
      <c r="P63" s="25">
        <f>'TUSD BE'!$P$63*'TUSD BE'!$P$74</f>
        <v>0</v>
      </c>
      <c r="Q63" s="25">
        <f>'TUSD BE'!$Q$63*'TUSD BE'!$Q$74</f>
        <v>2.8096179708132913</v>
      </c>
      <c r="R63" s="25">
        <f>'TUSD BE'!$R$63*'TUSD BE'!$R$74</f>
        <v>1.0703727539264616</v>
      </c>
      <c r="S63" s="25">
        <f>'TUSD BE'!$R$63*'TUSD BE'!$S$74</f>
        <v>0</v>
      </c>
      <c r="T63" s="25">
        <f ca="1">SUM($L$63:$S$63)</f>
        <v>3.3668450495593549</v>
      </c>
      <c r="U63" s="25">
        <f>'TUSD BE'!$U$63*'TUSD BE'!$U$74</f>
        <v>-3.5029007619239376</v>
      </c>
      <c r="V63" s="25">
        <f>'TUSD BE'!$V$63*'TUSD BE'!$V$74</f>
        <v>2.5537748152207298E-2</v>
      </c>
      <c r="W63" s="25">
        <f>'TUSD BE'!$W$63*'TUSD BE'!$W$74</f>
        <v>-1.6843789835522709E-3</v>
      </c>
      <c r="X63" s="25">
        <f>'TUSD BE'!$X$63*'TUSD BE'!$X$74</f>
        <v>0</v>
      </c>
      <c r="Y63" s="25">
        <f>'TUSD BE'!$Y$63*'TUSD BE'!$Y$74</f>
        <v>0</v>
      </c>
      <c r="Z63" s="25">
        <f>'TUSD BE'!$Z$63*'TUSD BE'!$Z$74</f>
        <v>0</v>
      </c>
      <c r="AA63" s="25">
        <f>'TUSD BE'!$AA$63*'TUSD BE'!$AA$74</f>
        <v>0</v>
      </c>
      <c r="AB63" s="25">
        <f>SUM($U$63:$AA$63)</f>
        <v>-3.4790473927552825</v>
      </c>
      <c r="AC63" s="25">
        <f>'TUSD BE'!$AC$63*'TUSD BE'!$AC$74</f>
        <v>0.62091484604439429</v>
      </c>
      <c r="AD63" s="25">
        <f>SUM($AC$63:$AC$63)</f>
        <v>0.62091484604439429</v>
      </c>
      <c r="AE63" s="25">
        <f ca="1">$AO$63*$AO$71</f>
        <v>-27.427260248615386</v>
      </c>
      <c r="AF63" s="25">
        <f ca="1">$AP$63*$AP$71</f>
        <v>0</v>
      </c>
      <c r="AG63" s="25">
        <f ca="1">SUM($AE$63:$AF$63)</f>
        <v>-27.427260248615386</v>
      </c>
      <c r="AH63" s="25">
        <f>'TUSD BE'!$AH$63*'TUSD BE'!$AH$74</f>
        <v>-15.500398475401411</v>
      </c>
      <c r="AI63" s="25">
        <f>'TUSD BE'!$AI$63*'TUSD BE'!$AI$74</f>
        <v>-1.2532775083831666</v>
      </c>
      <c r="AJ63" s="25">
        <f ca="1">'TUSD BE'!$AJ$63*'TUSD BE'!$AJ$74</f>
        <v>-31.065137347412591</v>
      </c>
      <c r="AK63" s="25">
        <f ca="1">'TUSD BE'!$AK$63*'TUSD BE'!$AK$74</f>
        <v>8.7126367801870826E-3</v>
      </c>
      <c r="AL63" s="25">
        <f ca="1">SUM($AH$63:$AK$63)</f>
        <v>-47.810100694416981</v>
      </c>
      <c r="AM63" s="25">
        <f ca="1">SUMIF($L$4:$AL$4,"SUBTOTAL",$L$63:$AL$63)</f>
        <v>-74.728648440183903</v>
      </c>
      <c r="AO63" s="30">
        <f ca="1">+'TUSD BE'!$T$63+'TUSD BE'!$AB$63+'TUSD BE'!$AD$63+'TUSD BE'!$AL$63</f>
        <v>412.42017280378394</v>
      </c>
      <c r="AP63" s="30">
        <f ca="1">+'TUSD BE'!$T$63+'TUSD BE'!$AB$63+'TUSD BE'!$AD$63+'TUSD BE'!$AL$63</f>
        <v>412.42017280378394</v>
      </c>
    </row>
    <row r="64" spans="1:42" ht="11.25" customHeight="1" x14ac:dyDescent="0.25">
      <c r="A64" s="118"/>
      <c r="B64" s="28" t="s">
        <v>23</v>
      </c>
      <c r="C64" s="28" t="s">
        <v>25</v>
      </c>
      <c r="D64" s="28" t="s">
        <v>25</v>
      </c>
      <c r="E64" s="28" t="s">
        <v>25</v>
      </c>
      <c r="F64" s="28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25">
        <f>'TUSD BE'!$L$64*'TUSD BE'!$L$74</f>
        <v>-0.56402735483535626</v>
      </c>
      <c r="M64" s="25">
        <f>'TUSD BE'!$M$64*'TUSD BE'!$M$74</f>
        <v>5.0881679654958122E-2</v>
      </c>
      <c r="N64" s="25">
        <f ca="1">'TUSD BE'!$N$64*'TUSD BE'!$N$74</f>
        <v>0</v>
      </c>
      <c r="O64" s="25">
        <f>'TUSD BE'!$O$64*'TUSD BE'!$O$74</f>
        <v>0</v>
      </c>
      <c r="P64" s="25">
        <f>'TUSD BE'!$P$64*'TUSD BE'!$P$74</f>
        <v>0</v>
      </c>
      <c r="Q64" s="25">
        <f>'TUSD BE'!$Q$64*'TUSD BE'!$Q$74</f>
        <v>2.8096179708132913</v>
      </c>
      <c r="R64" s="25">
        <f>'TUSD BE'!$R$64*'TUSD BE'!$R$74</f>
        <v>1.0703727539264616</v>
      </c>
      <c r="S64" s="25">
        <f>'TUSD BE'!$R$64*'TUSD BE'!$S$74</f>
        <v>0</v>
      </c>
      <c r="T64" s="25">
        <f ca="1">SUM($L$64:$S$64)</f>
        <v>3.3668450495593549</v>
      </c>
      <c r="U64" s="25">
        <f>'TUSD BE'!$U$64*'TUSD BE'!$U$74</f>
        <v>-5.3890714940388778</v>
      </c>
      <c r="V64" s="25">
        <f>'TUSD BE'!$V$64*'TUSD BE'!$V$74</f>
        <v>3.9288134382121878E-2</v>
      </c>
      <c r="W64" s="25">
        <f>'TUSD BE'!$W$64*'TUSD BE'!$W$74</f>
        <v>-2.5906579221838246E-3</v>
      </c>
      <c r="X64" s="25">
        <f>'TUSD BE'!$X$64*'TUSD BE'!$X$74</f>
        <v>0</v>
      </c>
      <c r="Y64" s="25">
        <f>'TUSD BE'!$Y$64*'TUSD BE'!$Y$74</f>
        <v>0</v>
      </c>
      <c r="Z64" s="25">
        <f>'TUSD BE'!$Z$64*'TUSD BE'!$Z$74</f>
        <v>0</v>
      </c>
      <c r="AA64" s="25">
        <f>'TUSD BE'!$AA$64*'TUSD BE'!$AA$74</f>
        <v>0</v>
      </c>
      <c r="AB64" s="25">
        <f>SUM($U$64:$AA$64)</f>
        <v>-5.3523740175789394</v>
      </c>
      <c r="AC64" s="25">
        <f>'TUSD BE'!$AC$64*'TUSD BE'!$AC$74</f>
        <v>0.95525391693531303</v>
      </c>
      <c r="AD64" s="25">
        <f>SUM($AC$64:$AC$64)</f>
        <v>0.95525391693531303</v>
      </c>
      <c r="AE64" s="25">
        <f ca="1">$AO$64*$AO$71</f>
        <v>-34.93912692930229</v>
      </c>
      <c r="AF64" s="25">
        <f ca="1">$AP$64*$AP$71</f>
        <v>0</v>
      </c>
      <c r="AG64" s="25">
        <f ca="1">SUM($AE$64:$AF$64)</f>
        <v>-34.93912692930229</v>
      </c>
      <c r="AH64" s="25">
        <f>'TUSD BE'!$AH$64*'TUSD BE'!$AH$74</f>
        <v>-15.500398475401411</v>
      </c>
      <c r="AI64" s="25">
        <f>'TUSD BE'!$AI$64*'TUSD BE'!$AI$74</f>
        <v>-1.2532775083831666</v>
      </c>
      <c r="AJ64" s="25">
        <f ca="1">'TUSD BE'!$AJ$64*'TUSD BE'!$AJ$74</f>
        <v>-31.065137347412591</v>
      </c>
      <c r="AK64" s="25">
        <f ca="1">'TUSD BE'!$AK$64*'TUSD BE'!$AK$74</f>
        <v>8.7126367801870826E-3</v>
      </c>
      <c r="AL64" s="25">
        <f ca="1">SUM($AH$64:$AK$64)</f>
        <v>-47.810100694416981</v>
      </c>
      <c r="AM64" s="25">
        <f ca="1">SUMIF($L$4:$AL$4,"SUBTOTAL",$L$64:$AL$64)</f>
        <v>-83.779502674803553</v>
      </c>
      <c r="AO64" s="30">
        <f ca="1">+'TUSD BE'!$T$64+'TUSD BE'!$AB$64+'TUSD BE'!$AD$64+'TUSD BE'!$AL$64</f>
        <v>525.37514265660684</v>
      </c>
      <c r="AP64" s="30">
        <f ca="1">+'TUSD BE'!$T$64+'TUSD BE'!$AB$64+'TUSD BE'!$AD$64+'TUSD BE'!$AL$64</f>
        <v>525.37514265660684</v>
      </c>
    </row>
    <row r="65" spans="1:42" ht="11.25" customHeight="1" x14ac:dyDescent="0.25">
      <c r="A65" s="118"/>
      <c r="B65" s="28" t="s">
        <v>92</v>
      </c>
      <c r="C65" s="28" t="s">
        <v>25</v>
      </c>
      <c r="D65" s="28" t="s">
        <v>25</v>
      </c>
      <c r="E65" s="28" t="s">
        <v>25</v>
      </c>
      <c r="F65" s="28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25">
        <f>'TUSD BE'!$L$65*'TUSD BE'!$L$74</f>
        <v>-0.56402735483535626</v>
      </c>
      <c r="M65" s="25">
        <f>'TUSD BE'!$M$65*'TUSD BE'!$M$74</f>
        <v>5.0881679654958122E-2</v>
      </c>
      <c r="N65" s="25">
        <f ca="1">'TUSD BE'!$N$65*'TUSD BE'!$N$74</f>
        <v>0</v>
      </c>
      <c r="O65" s="25">
        <f>'TUSD BE'!$O$65*'TUSD BE'!$O$74</f>
        <v>0</v>
      </c>
      <c r="P65" s="25">
        <f>'TUSD BE'!$P$65*'TUSD BE'!$P$74</f>
        <v>0</v>
      </c>
      <c r="Q65" s="25">
        <f>'TUSD BE'!$Q$65*'TUSD BE'!$Q$74</f>
        <v>2.8096179708132913</v>
      </c>
      <c r="R65" s="25">
        <f>'TUSD BE'!$R$65*'TUSD BE'!$R$74</f>
        <v>1.0703727539264616</v>
      </c>
      <c r="S65" s="25">
        <f>'TUSD BE'!$R$65*'TUSD BE'!$S$74</f>
        <v>0</v>
      </c>
      <c r="T65" s="25">
        <f ca="1">SUM($L$65:$S$65)</f>
        <v>3.3668450495593549</v>
      </c>
      <c r="U65" s="25">
        <f>'TUSD BE'!$U$65*'TUSD BE'!$U$74</f>
        <v>-5.3890714940388778</v>
      </c>
      <c r="V65" s="25">
        <f>'TUSD BE'!$V$65*'TUSD BE'!$V$74</f>
        <v>3.9288134382121878E-2</v>
      </c>
      <c r="W65" s="25">
        <f>'TUSD BE'!$W$65*'TUSD BE'!$W$74</f>
        <v>-2.5906579221838246E-3</v>
      </c>
      <c r="X65" s="25">
        <f>'TUSD BE'!$X$65*'TUSD BE'!$X$74</f>
        <v>0</v>
      </c>
      <c r="Y65" s="25">
        <f>'TUSD BE'!$Y$65*'TUSD BE'!$Y$74</f>
        <v>0</v>
      </c>
      <c r="Z65" s="25">
        <f>'TUSD BE'!$Z$65*'TUSD BE'!$Z$74</f>
        <v>0</v>
      </c>
      <c r="AA65" s="25">
        <f>'TUSD BE'!$AA$65*'TUSD BE'!$AA$74</f>
        <v>0</v>
      </c>
      <c r="AB65" s="25">
        <f>SUM($U$65:$AA$65)</f>
        <v>-5.3523740175789394</v>
      </c>
      <c r="AC65" s="25">
        <f>'TUSD BE'!$AC$65*'TUSD BE'!$AC$74</f>
        <v>0.95525391693531303</v>
      </c>
      <c r="AD65" s="25">
        <f>SUM($AC$65:$AC$65)</f>
        <v>0.95525391693531303</v>
      </c>
      <c r="AE65" s="25">
        <f ca="1">$AO$65*$AO$71</f>
        <v>-34.93912692930229</v>
      </c>
      <c r="AF65" s="25">
        <f ca="1">$AP$65*$AP$71</f>
        <v>0</v>
      </c>
      <c r="AG65" s="25">
        <f ca="1">SUM($AE$65:$AF$65)</f>
        <v>-34.93912692930229</v>
      </c>
      <c r="AH65" s="25">
        <f>'TUSD BE'!$AH$65*'TUSD BE'!$AH$74</f>
        <v>-15.500398475401411</v>
      </c>
      <c r="AI65" s="25">
        <f>'TUSD BE'!$AI$65*'TUSD BE'!$AI$74</f>
        <v>-1.2532775083831666</v>
      </c>
      <c r="AJ65" s="25">
        <f ca="1">'TUSD BE'!$AJ$65*'TUSD BE'!$AJ$74</f>
        <v>-31.065137347412591</v>
      </c>
      <c r="AK65" s="25">
        <f ca="1">'TUSD BE'!$AK$65*'TUSD BE'!$AK$74</f>
        <v>8.7126367801870826E-3</v>
      </c>
      <c r="AL65" s="25">
        <f ca="1">SUM($AH$65:$AK$65)</f>
        <v>-47.810100694416981</v>
      </c>
      <c r="AM65" s="25">
        <f ca="1">SUMIF($L$4:$AL$4,"SUBTOTAL",$L$65:$AL$65)</f>
        <v>-83.779502674803553</v>
      </c>
      <c r="AO65" s="30">
        <f ca="1">+'TUSD BE'!$T$65+'TUSD BE'!$AB$65+'TUSD BE'!$AD$65+'TUSD BE'!$AL$65</f>
        <v>525.37514265660684</v>
      </c>
      <c r="AP65" s="30">
        <f ca="1">+'TUSD BE'!$T$65+'TUSD BE'!$AB$65+'TUSD BE'!$AD$65+'TUSD BE'!$AL$65</f>
        <v>525.37514265660684</v>
      </c>
    </row>
    <row r="66" spans="1:42" ht="11.25" customHeight="1" x14ac:dyDescent="0.25">
      <c r="A66" s="118" t="s">
        <v>48</v>
      </c>
      <c r="B66" s="118" t="s">
        <v>23</v>
      </c>
      <c r="C66" s="118" t="s">
        <v>49</v>
      </c>
      <c r="D66" s="28" t="s">
        <v>50</v>
      </c>
      <c r="E66" s="28" t="s">
        <v>25</v>
      </c>
      <c r="F66" s="28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25">
        <f>'TUSD BE'!$L$66*'TUSD BE'!$L$74</f>
        <v>-0.31021504515944598</v>
      </c>
      <c r="M66" s="25">
        <f>'TUSD BE'!$M$66*'TUSD BE'!$M$74</f>
        <v>2.7984923810226967E-2</v>
      </c>
      <c r="N66" s="25">
        <f ca="1">'TUSD BE'!$N$66*'TUSD BE'!$N$74</f>
        <v>0</v>
      </c>
      <c r="O66" s="25">
        <f>'TUSD BE'!$O$66*'TUSD BE'!$O$74</f>
        <v>0</v>
      </c>
      <c r="P66" s="25">
        <f>'TUSD BE'!$P$66*'TUSD BE'!$P$74</f>
        <v>0</v>
      </c>
      <c r="Q66" s="25">
        <f>'TUSD BE'!$Q$66*'TUSD BE'!$Q$74</f>
        <v>1.5452898839473104</v>
      </c>
      <c r="R66" s="25">
        <f>'TUSD BE'!$R$66*'TUSD BE'!$R$74</f>
        <v>0.58870501465955383</v>
      </c>
      <c r="S66" s="25">
        <f>'TUSD BE'!$R$66*'TUSD BE'!$S$74</f>
        <v>0</v>
      </c>
      <c r="T66" s="25">
        <f ca="1">SUM($L$66:$S$66)</f>
        <v>1.8517647772576453</v>
      </c>
      <c r="U66" s="25">
        <f>'TUSD BE'!$U$66*'TUSD BE'!$U$74</f>
        <v>-2.9639893217213831</v>
      </c>
      <c r="V66" s="25">
        <f>'TUSD BE'!$V$66*'TUSD BE'!$V$74</f>
        <v>2.1608473910167032E-2</v>
      </c>
      <c r="W66" s="25">
        <f>'TUSD BE'!$W$66*'TUSD BE'!$W$74</f>
        <v>-1.4248618572011036E-3</v>
      </c>
      <c r="X66" s="25">
        <f>'TUSD BE'!$X$66*'TUSD BE'!$X$74</f>
        <v>0</v>
      </c>
      <c r="Y66" s="25">
        <f>'TUSD BE'!$Y$66*'TUSD BE'!$Y$74</f>
        <v>0</v>
      </c>
      <c r="Z66" s="25">
        <f>'TUSD BE'!$Z$66*'TUSD BE'!$Z$74</f>
        <v>0</v>
      </c>
      <c r="AA66" s="25">
        <f>'TUSD BE'!$AA$66*'TUSD BE'!$AA$74</f>
        <v>0</v>
      </c>
      <c r="AB66" s="25">
        <f>SUM($U$66:$AA$66)</f>
        <v>-2.9438057096684171</v>
      </c>
      <c r="AC66" s="25">
        <f>'TUSD BE'!$AC$66*'TUSD BE'!$AC$74</f>
        <v>0.52538965431442231</v>
      </c>
      <c r="AD66" s="25">
        <f>SUM($AC$66:$AC$66)</f>
        <v>0.52538965431442231</v>
      </c>
      <c r="AE66" s="25">
        <f ca="1">$AO$66*$AO$71</f>
        <v>-19.216519811116264</v>
      </c>
      <c r="AF66" s="25">
        <f ca="1">$AP$66*$AP$71</f>
        <v>0</v>
      </c>
      <c r="AG66" s="25">
        <f ca="1">SUM($AE$66:$AF$66)</f>
        <v>-19.216519811116264</v>
      </c>
      <c r="AH66" s="25">
        <f>'TUSD BE'!$AH$66*'TUSD BE'!$AH$74</f>
        <v>-8.525219161470778</v>
      </c>
      <c r="AI66" s="25">
        <f>'TUSD BE'!$AI$66*'TUSD BE'!$AI$74</f>
        <v>-0.68930262961074174</v>
      </c>
      <c r="AJ66" s="25">
        <f ca="1">'TUSD BE'!$AJ$66*'TUSD BE'!$AJ$74</f>
        <v>-17.085825541076929</v>
      </c>
      <c r="AK66" s="25">
        <f ca="1">'TUSD BE'!$AK$66*'TUSD BE'!$AK$74</f>
        <v>4.7919502291028961E-3</v>
      </c>
      <c r="AL66" s="25">
        <f ca="1">SUM($AH$66:$AK$66)</f>
        <v>-26.295555381929347</v>
      </c>
      <c r="AM66" s="25">
        <f ca="1">SUMIF($L$4:$AL$4,"SUBTOTAL",$L$66:$AL$66)</f>
        <v>-46.078726471141962</v>
      </c>
      <c r="AO66" s="30">
        <f ca="1">+'TUSD BE'!$T$66+'TUSD BE'!$AB$66+'TUSD BE'!$AD$66+'TUSD BE'!$AL$66</f>
        <v>288.95632846113381</v>
      </c>
      <c r="AP66" s="30">
        <f ca="1">+'TUSD BE'!$T$66+'TUSD BE'!$AB$66+'TUSD BE'!$AD$66+'TUSD BE'!$AL$66</f>
        <v>288.95632846113381</v>
      </c>
    </row>
    <row r="67" spans="1:42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25">
        <f>'TUSD BE'!$L$67*'TUSD BE'!$L$74</f>
        <v>-0.33841641290121377</v>
      </c>
      <c r="M67" s="25">
        <f>'TUSD BE'!$M$67*'TUSD BE'!$M$74</f>
        <v>3.0529007792974867E-2</v>
      </c>
      <c r="N67" s="25">
        <f ca="1">'TUSD BE'!$N$67*'TUSD BE'!$N$74</f>
        <v>0</v>
      </c>
      <c r="O67" s="25">
        <f>'TUSD BE'!$O$67*'TUSD BE'!$O$74</f>
        <v>0</v>
      </c>
      <c r="P67" s="25">
        <f>'TUSD BE'!$P$67*'TUSD BE'!$P$74</f>
        <v>0</v>
      </c>
      <c r="Q67" s="25">
        <f>'TUSD BE'!$Q$67*'TUSD BE'!$Q$74</f>
        <v>1.6857707824879746</v>
      </c>
      <c r="R67" s="25">
        <f>'TUSD BE'!$R$67*'TUSD BE'!$R$74</f>
        <v>0.64222365235587686</v>
      </c>
      <c r="S67" s="25">
        <f>'TUSD BE'!$R$67*'TUSD BE'!$S$74</f>
        <v>0</v>
      </c>
      <c r="T67" s="25">
        <f ca="1">SUM($L$67:$S$67)</f>
        <v>2.0201070297356125</v>
      </c>
      <c r="U67" s="25">
        <f>'TUSD BE'!$U$67*'TUSD BE'!$U$74</f>
        <v>-3.2334428964233264</v>
      </c>
      <c r="V67" s="25">
        <f>'TUSD BE'!$V$67*'TUSD BE'!$V$74</f>
        <v>2.3572880629273121E-2</v>
      </c>
      <c r="W67" s="25">
        <f>'TUSD BE'!$W$67*'TUSD BE'!$W$74</f>
        <v>-1.5543947533102947E-3</v>
      </c>
      <c r="X67" s="25">
        <f>'TUSD BE'!$X$67*'TUSD BE'!$X$74</f>
        <v>0</v>
      </c>
      <c r="Y67" s="25">
        <f>'TUSD BE'!$Y$67*'TUSD BE'!$Y$74</f>
        <v>0</v>
      </c>
      <c r="Z67" s="25">
        <f>'TUSD BE'!$Z$67*'TUSD BE'!$Z$74</f>
        <v>0</v>
      </c>
      <c r="AA67" s="25">
        <f>'TUSD BE'!$AA$67*'TUSD BE'!$AA$74</f>
        <v>0</v>
      </c>
      <c r="AB67" s="25">
        <f>SUM($U$67:$AA$67)</f>
        <v>-3.2114244105473633</v>
      </c>
      <c r="AC67" s="25">
        <f>'TUSD BE'!$AC$67*'TUSD BE'!$AC$74</f>
        <v>0.57315235016118782</v>
      </c>
      <c r="AD67" s="25">
        <f>SUM($AC$67:$AC$67)</f>
        <v>0.57315235016118782</v>
      </c>
      <c r="AE67" s="25">
        <f ca="1">$AO$67*$AO$71</f>
        <v>-20.963476157581372</v>
      </c>
      <c r="AF67" s="25">
        <f ca="1">$AP$67*$AP$71</f>
        <v>0</v>
      </c>
      <c r="AG67" s="25">
        <f ca="1">SUM($AE$67:$AF$67)</f>
        <v>-20.963476157581372</v>
      </c>
      <c r="AH67" s="25">
        <f>'TUSD BE'!$AH$67*'TUSD BE'!$AH$74</f>
        <v>-9.3002390852408467</v>
      </c>
      <c r="AI67" s="25">
        <f>'TUSD BE'!$AI$67*'TUSD BE'!$AI$74</f>
        <v>-0.75196650502990003</v>
      </c>
      <c r="AJ67" s="25">
        <f ca="1">'TUSD BE'!$AJ$67*'TUSD BE'!$AJ$74</f>
        <v>-18.639082408447557</v>
      </c>
      <c r="AK67" s="25">
        <f ca="1">'TUSD BE'!$AK$67*'TUSD BE'!$AK$74</f>
        <v>5.2275820681122499E-3</v>
      </c>
      <c r="AL67" s="25">
        <f ca="1">SUM($AH$67:$AK$67)</f>
        <v>-28.686060416650189</v>
      </c>
      <c r="AM67" s="25">
        <f ca="1">SUMIF($L$4:$AL$4,"SUBTOTAL",$L$67:$AL$67)</f>
        <v>-50.26770160488212</v>
      </c>
      <c r="AO67" s="30">
        <f ca="1">+'TUSD BE'!$T$67+'TUSD BE'!$AB$67+'TUSD BE'!$AD$67+'TUSD BE'!$AL$67</f>
        <v>315.22508559396408</v>
      </c>
      <c r="AP67" s="30">
        <f ca="1">+'TUSD BE'!$T$67+'TUSD BE'!$AB$67+'TUSD BE'!$AD$67+'TUSD BE'!$AL$67</f>
        <v>315.22508559396408</v>
      </c>
    </row>
    <row r="69" spans="1:42" ht="11.25" customHeight="1" x14ac:dyDescent="0.25">
      <c r="K69" s="27" t="s">
        <v>753</v>
      </c>
      <c r="L69" s="25">
        <f>SUMPRODUCT($I$5:$I67,$L$5:$L67)</f>
        <v>-511218.24048191489</v>
      </c>
      <c r="M69" s="25">
        <f>SUMPRODUCT($I$5:$I67,$M$5:$M67)</f>
        <v>49080.996513516853</v>
      </c>
      <c r="N69" s="25">
        <f ca="1">SUMPRODUCT($I$5:$I67,$N$5:$N67)</f>
        <v>0</v>
      </c>
      <c r="O69" s="25">
        <f>SUMPRODUCT($I$5:$I67,$O$5:$O67)</f>
        <v>0</v>
      </c>
      <c r="P69" s="25">
        <f>SUMPRODUCT($I$5:$I67,$P$5:$P67)</f>
        <v>0</v>
      </c>
      <c r="Q69" s="25">
        <f>SUMPRODUCT($I$5:$I67,$Q$5:$Q67)</f>
        <v>2546557.2603031169</v>
      </c>
      <c r="R69" s="25">
        <f>SUMPRODUCT($I$5:$I67,$R$5:$R67)</f>
        <v>1040911.9664008768</v>
      </c>
      <c r="S69" s="25">
        <f>SUMPRODUCT($I$5:$I67,$S$5:$S67)</f>
        <v>0</v>
      </c>
      <c r="T69" s="25">
        <f ca="1">SUMPRODUCT($I$5:$I67,$T$5:$T67)</f>
        <v>3125331.9827355961</v>
      </c>
      <c r="U69" s="25">
        <f>SUMPRODUCT($I$5:$I67,$U$5:$U67)</f>
        <v>-6455532.2363079768</v>
      </c>
      <c r="V69" s="25">
        <f>SUMPRODUCT($I$5:$I67,$V$5:$V67)</f>
        <v>47045.350917512202</v>
      </c>
      <c r="W69" s="25">
        <f>SUMPRODUCT($I$5:$I67,$W$5:$W67)</f>
        <v>-3105.5234803236685</v>
      </c>
      <c r="X69" s="25">
        <f>SUMPRODUCT($I$5:$I67,$X$5:$X67)</f>
        <v>0</v>
      </c>
      <c r="Y69" s="25">
        <f>SUMPRODUCT($I$5:$I67,$Y$5:$Y67)</f>
        <v>0</v>
      </c>
      <c r="Z69" s="25">
        <f>SUMPRODUCT($I$5:$I67,$Z$5:$Z67)</f>
        <v>0</v>
      </c>
      <c r="AA69" s="25">
        <f>SUMPRODUCT($I$5:$I67,$AA$5:$AA67)</f>
        <v>3001.4104081403348</v>
      </c>
      <c r="AB69" s="25">
        <f>SUMPRODUCT($I$5:$I67,$AB$5:$AB67)</f>
        <v>-6408590.9984626453</v>
      </c>
      <c r="AC69" s="25">
        <f>SUMPRODUCT($I$5:$I67,$AC$5:$AC67)</f>
        <v>942776.39571014908</v>
      </c>
      <c r="AD69" s="25">
        <f>SUMPRODUCT($I$5:$I67,$AD$5:$AD67)</f>
        <v>942776.39571014908</v>
      </c>
      <c r="AE69" s="25">
        <f ca="1">SUMPRODUCT($I$5:$I67,$AE$5:$AE67)</f>
        <v>-35005959.495061576</v>
      </c>
      <c r="AF69" s="25">
        <f ca="1">SUMPRODUCT($I$5:$I67,$AF$5:$AF67)</f>
        <v>0</v>
      </c>
      <c r="AG69" s="25">
        <f ca="1">SUMPRODUCT($I$5:$I67,$AG$5:$AG67)</f>
        <v>-35005959.495061576</v>
      </c>
      <c r="AH69" s="25">
        <f>SUMPRODUCT($I$5:$I67,$AH$5:$AH67)</f>
        <v>-16495155.64637628</v>
      </c>
      <c r="AI69" s="25">
        <f>SUMPRODUCT($I$5:$I67,$AI$5:$AI67)</f>
        <v>-1333708.1367095383</v>
      </c>
      <c r="AJ69" s="25">
        <f ca="1">SUMPRODUCT($I$5:$I67,$AJ$5:$AJ67)</f>
        <v>-31487322.743228253</v>
      </c>
      <c r="AK69" s="25">
        <f ca="1">SUMPRODUCT($I$5:$I67,$AK$5:$AK67)</f>
        <v>8831.0443689418025</v>
      </c>
      <c r="AL69" s="25">
        <f ca="1">SUMPRODUCT($I$5:$I67,$AL$5:$AL67)</f>
        <v>-49307355.48194512</v>
      </c>
      <c r="AM69" s="25">
        <f ca="1">SUMPRODUCT($I$5:$I67,$AM$5:$AM67)</f>
        <v>-86653797.597023606</v>
      </c>
      <c r="AO69" s="22">
        <f ca="1">SUMPRODUCT($I$5:$I67,$AO$5:$AO67)</f>
        <v>526380095.32302409</v>
      </c>
      <c r="AP69" s="22">
        <f ca="1">SUMPRODUCT($I$5:$I67,$AP$5:$AP67)</f>
        <v>526380095.32302409</v>
      </c>
    </row>
    <row r="70" spans="1:42" ht="11.25" customHeight="1" x14ac:dyDescent="0.25">
      <c r="K70" s="27" t="s">
        <v>686</v>
      </c>
      <c r="L70" s="25">
        <f>'TR TUSD'!$L$72</f>
        <v>22372988.094348121</v>
      </c>
      <c r="M70" s="25">
        <f>'TR TUSD'!$M$72</f>
        <v>916742.14863132499</v>
      </c>
      <c r="N70" s="25">
        <f>'TR TUSD'!$N$72</f>
        <v>4108047.7492148024</v>
      </c>
      <c r="O70" s="25">
        <f>'TR TUSD'!$O$72</f>
        <v>0</v>
      </c>
      <c r="P70" s="25">
        <f>'TR TUSD'!$P$72</f>
        <v>0</v>
      </c>
      <c r="Q70" s="25">
        <f>'TR TUSD'!$Q$72</f>
        <v>36457203.136740267</v>
      </c>
      <c r="R70" s="25">
        <f>'TR TUSD'!$R$72</f>
        <v>14599119.686686665</v>
      </c>
      <c r="S70" s="25">
        <f>'TR TUSD'!$S$72</f>
        <v>0</v>
      </c>
      <c r="T70" s="25">
        <f>'TR TUSD'!$T$72</f>
        <v>78454100.815621182</v>
      </c>
      <c r="U70" s="25">
        <f>'TR TUSD'!$U$72</f>
        <v>42135694.28899999</v>
      </c>
      <c r="V70" s="25">
        <f>'TR TUSD'!$V$72</f>
        <v>5491404.4839999983</v>
      </c>
      <c r="W70" s="25">
        <f>'TR TUSD'!$W$72</f>
        <v>206080.596971719</v>
      </c>
      <c r="X70" s="25">
        <f>'TR TUSD'!$X$72</f>
        <v>0</v>
      </c>
      <c r="Y70" s="25">
        <f>'TR TUSD'!$Y$72</f>
        <v>0</v>
      </c>
      <c r="Z70" s="25">
        <f>'TR TUSD'!$Z$72</f>
        <v>0</v>
      </c>
      <c r="AA70" s="25">
        <f>'TR TUSD'!$AA$72</f>
        <v>129170.64000000001</v>
      </c>
      <c r="AB70" s="25">
        <f>'TR TUSD'!$AB$72</f>
        <v>47962350.009971708</v>
      </c>
      <c r="AC70" s="25">
        <f>'TR TUSD'!$AC$72</f>
        <v>276302163.34839129</v>
      </c>
      <c r="AD70" s="25">
        <f>'TR TUSD'!$AD$72</f>
        <v>276302163.34839129</v>
      </c>
      <c r="AE70" s="25">
        <f>'TR TUSD'!$AE$72</f>
        <v>0</v>
      </c>
      <c r="AF70" s="25">
        <f>'TR TUSD'!$AF$72</f>
        <v>0</v>
      </c>
      <c r="AG70" s="25">
        <f>'TR TUSD'!$AG$72</f>
        <v>0</v>
      </c>
      <c r="AH70" s="25">
        <f>'TR TUSD'!$AH$72</f>
        <v>36789079.232639797</v>
      </c>
      <c r="AI70" s="25">
        <f>'TR TUSD'!$AI$72</f>
        <v>2974563.8881196366</v>
      </c>
      <c r="AJ70" s="25">
        <f>'TR TUSD'!$AJ$72</f>
        <v>70226049.153940842</v>
      </c>
      <c r="AK70" s="25">
        <f>'TR TUSD'!$AK$72</f>
        <v>13671788.874339724</v>
      </c>
      <c r="AL70" s="25">
        <f>'TR TUSD'!$AL$72</f>
        <v>123661481.14904001</v>
      </c>
      <c r="AM70" s="25">
        <f>'TUSD BE'!$AM$70</f>
        <v>526380095.32302415</v>
      </c>
      <c r="AO70" s="22">
        <f>$AE$71</f>
        <v>-35005959.495061576</v>
      </c>
      <c r="AP70" s="22">
        <f>$AF$71</f>
        <v>0</v>
      </c>
    </row>
    <row r="71" spans="1:42" ht="11.25" customHeight="1" x14ac:dyDescent="0.25">
      <c r="K71" s="27" t="s">
        <v>687</v>
      </c>
      <c r="L71" s="25">
        <f>CUSTOS!$E$2</f>
        <v>-511218.24048191495</v>
      </c>
      <c r="M71" s="25">
        <f>CUSTOS!$E$3</f>
        <v>49080.99651351686</v>
      </c>
      <c r="N71" s="25">
        <f>CUSTOS!$E$4</f>
        <v>0</v>
      </c>
      <c r="O71" s="25">
        <f>CUSTOS!$E$5</f>
        <v>0</v>
      </c>
      <c r="P71" s="25">
        <f>CUSTOS!$E$6</f>
        <v>0</v>
      </c>
      <c r="Q71" s="25">
        <f>CUSTOS!$E$7</f>
        <v>2546557.2603031173</v>
      </c>
      <c r="R71" s="25">
        <f>CUSTOS!$E$8</f>
        <v>1040911.9664008766</v>
      </c>
      <c r="S71" s="25">
        <f>CUSTOS!$E$9</f>
        <v>0</v>
      </c>
      <c r="T71" s="25">
        <f>CUSTOS!$E$10</f>
        <v>3125331.9827355957</v>
      </c>
      <c r="U71" s="25">
        <f>CUSTOS!$E$11</f>
        <v>-6455532.2363079749</v>
      </c>
      <c r="V71" s="25">
        <f>CUSTOS!$E$12</f>
        <v>47045.350917512202</v>
      </c>
      <c r="W71" s="25">
        <f>CUSTOS!$E$13</f>
        <v>-3105.523480323669</v>
      </c>
      <c r="X71" s="25">
        <f>CUSTOS!$E$14</f>
        <v>0</v>
      </c>
      <c r="Y71" s="25">
        <f>CUSTOS!$E$15</f>
        <v>0</v>
      </c>
      <c r="Z71" s="25">
        <f>CUSTOS!$E$16</f>
        <v>0</v>
      </c>
      <c r="AA71" s="25">
        <f>CUSTOS!$E$17</f>
        <v>3001.4104081403348</v>
      </c>
      <c r="AB71" s="25">
        <f>CUSTOS!$E$18</f>
        <v>-6408590.9984626463</v>
      </c>
      <c r="AC71" s="25">
        <f>CUSTOS!$E$19</f>
        <v>942776.39571014885</v>
      </c>
      <c r="AD71" s="25">
        <f>CUSTOS!$E$20</f>
        <v>942776.39571014885</v>
      </c>
      <c r="AE71" s="25">
        <f>CUSTOS!$E$21</f>
        <v>-35005959.495061576</v>
      </c>
      <c r="AF71" s="25">
        <f>CUSTOS!$E$22</f>
        <v>0</v>
      </c>
      <c r="AG71" s="25">
        <f>CUSTOS!$E$23</f>
        <v>-35005959.495061576</v>
      </c>
      <c r="AH71" s="25">
        <f>CUSTOS!$E$24</f>
        <v>-16495155.646376276</v>
      </c>
      <c r="AI71" s="25">
        <f>CUSTOS!$E$25</f>
        <v>-1333708.1367095383</v>
      </c>
      <c r="AJ71" s="25">
        <f>CUSTOS!$E$26</f>
        <v>-31487322.743228253</v>
      </c>
      <c r="AK71" s="25">
        <f>CUSTOS!$E$27</f>
        <v>8831.0443689418025</v>
      </c>
      <c r="AL71" s="25">
        <f>CUSTOS!$E$28</f>
        <v>-49307355.48194512</v>
      </c>
      <c r="AM71" s="25">
        <f>CUSTOS!$E$29</f>
        <v>-86653797.597023606</v>
      </c>
      <c r="AO71" s="22">
        <f ca="1">IF(AO69&lt;&gt;0,AO70/AO69,0)</f>
        <v>-6.6503197605865857E-2</v>
      </c>
      <c r="AP71" s="22">
        <f ca="1">IF(AP69&lt;&gt;0,AP70/AP69,0)</f>
        <v>0</v>
      </c>
    </row>
    <row r="72" spans="1:42" ht="11.25" customHeight="1" x14ac:dyDescent="0.25">
      <c r="K72" s="27" t="s">
        <v>688</v>
      </c>
      <c r="L72" s="25">
        <f>CUSTOS!$F$2</f>
        <v>989033.5690054592</v>
      </c>
      <c r="M72" s="25">
        <f>CUSTOS!$F$3</f>
        <v>0</v>
      </c>
      <c r="N72" s="25">
        <f>CUSTOS!$F$4</f>
        <v>0</v>
      </c>
      <c r="O72" s="25">
        <f>CUSTOS!$F$5</f>
        <v>0</v>
      </c>
      <c r="P72" s="25">
        <f>CUSTOS!$F$6</f>
        <v>0</v>
      </c>
      <c r="Q72" s="25">
        <f>CUSTOS!$F$7</f>
        <v>13742306.890799999</v>
      </c>
      <c r="R72" s="25">
        <f>CUSTOS!$F$8</f>
        <v>5428655.5210999995</v>
      </c>
      <c r="S72" s="25">
        <f>CUSTOS!$F$9</f>
        <v>0</v>
      </c>
      <c r="T72" s="25">
        <f>CUSTOS!$F$10</f>
        <v>20159995.980905458</v>
      </c>
      <c r="U72" s="25">
        <f>CUSTOS!$F$11</f>
        <v>2073902.0646832099</v>
      </c>
      <c r="V72" s="25">
        <f>CUSTOS!$F$12</f>
        <v>270113.23884159565</v>
      </c>
      <c r="W72" s="25">
        <f>CUSTOS!$F$13</f>
        <v>0</v>
      </c>
      <c r="X72" s="25">
        <f>CUSTOS!$F$14</f>
        <v>0</v>
      </c>
      <c r="Y72" s="25">
        <f>CUSTOS!$F$15</f>
        <v>0</v>
      </c>
      <c r="Z72" s="25">
        <f>CUSTOS!$F$16</f>
        <v>0</v>
      </c>
      <c r="AA72" s="25">
        <f>CUSTOS!$F$17</f>
        <v>6529.2266751943253</v>
      </c>
      <c r="AB72" s="25">
        <f>CUSTOS!$F$18</f>
        <v>2350544.5301999999</v>
      </c>
      <c r="AC72" s="25">
        <f>CUSTOS!$F$19</f>
        <v>0</v>
      </c>
      <c r="AD72" s="25">
        <f>CUSTOS!$F$20</f>
        <v>0</v>
      </c>
      <c r="AE72" s="25">
        <f>CUSTOS!$F$21</f>
        <v>0</v>
      </c>
      <c r="AF72" s="25">
        <f>CUSTOS!$F$22</f>
        <v>0</v>
      </c>
      <c r="AG72" s="25">
        <f>CUSTOS!$F$23</f>
        <v>0</v>
      </c>
      <c r="AH72" s="25">
        <f>CUSTOS!$F$24</f>
        <v>10970876.086539844</v>
      </c>
      <c r="AI72" s="25">
        <f>CUSTOS!$F$25</f>
        <v>887045.08263701608</v>
      </c>
      <c r="AJ72" s="25">
        <f>CUSTOS!$F$26</f>
        <v>20942119.220847331</v>
      </c>
      <c r="AK72" s="25">
        <f>CUSTOS!$F$27</f>
        <v>0</v>
      </c>
      <c r="AL72" s="25">
        <f>CUSTOS!$F$28</f>
        <v>32800040.390024193</v>
      </c>
      <c r="AM72" s="25">
        <f>CUSTOS!$F$29</f>
        <v>55310580.901129648</v>
      </c>
    </row>
    <row r="73" spans="1:42" ht="11.25" customHeight="1" x14ac:dyDescent="0.25">
      <c r="K73" s="27" t="s">
        <v>750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f>SUM($L$73:$S$73)</f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f>SUM($U$73:$AA$73)</f>
        <v>0</v>
      </c>
      <c r="AC73" s="25">
        <v>0</v>
      </c>
      <c r="AD73" s="25">
        <f>SUM($AC$73:$AC$73)</f>
        <v>0</v>
      </c>
      <c r="AE73" s="25">
        <v>0</v>
      </c>
      <c r="AF73" s="25">
        <v>0</v>
      </c>
      <c r="AG73" s="25">
        <f>SUM($AE$73:$AF$73)</f>
        <v>0</v>
      </c>
      <c r="AH73" s="25">
        <v>0</v>
      </c>
      <c r="AI73" s="25">
        <v>0</v>
      </c>
      <c r="AJ73" s="25">
        <v>0</v>
      </c>
      <c r="AK73" s="25">
        <v>0</v>
      </c>
      <c r="AL73" s="25">
        <f>SUM($AH$73:$AK$73)</f>
        <v>0</v>
      </c>
      <c r="AM73" s="25"/>
    </row>
    <row r="74" spans="1:42" ht="11.25" customHeight="1" x14ac:dyDescent="0.25">
      <c r="K74" s="27" t="s">
        <v>762</v>
      </c>
      <c r="L74" s="25">
        <f t="shared" ref="L74:R74" si="0">IF((L70-(0))&lt;&gt;0,(L72)/(L70-(0)),0)</f>
        <v>4.4206592558609079E-2</v>
      </c>
      <c r="M74" s="25">
        <f t="shared" si="0"/>
        <v>0</v>
      </c>
      <c r="N74" s="25">
        <f t="shared" si="0"/>
        <v>0</v>
      </c>
      <c r="O74" s="25">
        <f t="shared" si="0"/>
        <v>0</v>
      </c>
      <c r="P74" s="25">
        <f t="shared" si="0"/>
        <v>0</v>
      </c>
      <c r="Q74" s="25">
        <f t="shared" si="0"/>
        <v>0.37694353127574376</v>
      </c>
      <c r="R74" s="25">
        <f t="shared" si="0"/>
        <v>0.37184814136776606</v>
      </c>
      <c r="S74" s="25">
        <f>IF((R69-(0)&lt;&gt;0),(S71)/(R69-(0)),0)</f>
        <v>0</v>
      </c>
      <c r="T74" s="25"/>
      <c r="U74" s="25">
        <f t="shared" ref="U74:AA74" si="1">IF((U70-(0))&lt;&gt;0,(U72)/(U70-(0)),0)</f>
        <v>4.9219601093048231E-2</v>
      </c>
      <c r="V74" s="25">
        <f t="shared" si="1"/>
        <v>4.9188370594191282E-2</v>
      </c>
      <c r="W74" s="25">
        <f t="shared" si="1"/>
        <v>0</v>
      </c>
      <c r="X74" s="25">
        <f t="shared" si="1"/>
        <v>0</v>
      </c>
      <c r="Y74" s="25">
        <f t="shared" si="1"/>
        <v>0</v>
      </c>
      <c r="Z74" s="25">
        <f t="shared" si="1"/>
        <v>0</v>
      </c>
      <c r="AA74" s="25">
        <f t="shared" si="1"/>
        <v>5.0547296778852564E-2</v>
      </c>
      <c r="AB74" s="25"/>
      <c r="AC74" s="25">
        <f>IF((AC70-(0))&lt;&gt;0,(AC72)/(AC70-(0)),0)</f>
        <v>0</v>
      </c>
      <c r="AD74" s="25"/>
      <c r="AE74" s="25">
        <f ca="1">IF(($AM69-(0))&lt;&gt;0,(AE71)/($AM69-(0)),0)</f>
        <v>0.40397490318720858</v>
      </c>
      <c r="AF74" s="25">
        <f ca="1">IF(($AM69-(0))&lt;&gt;0,(AF71)/($AM69-(0)),0)</f>
        <v>0</v>
      </c>
      <c r="AG74" s="25"/>
      <c r="AH74" s="25">
        <f>IF((AH70-(0))&lt;&gt;0,(AH72)/(AH70-(0)),0)</f>
        <v>0.29821012961929</v>
      </c>
      <c r="AI74" s="25">
        <f>IF((AI70-(0))&lt;&gt;0,(AI72)/(AI70-(0)),0)</f>
        <v>0.29821012961929</v>
      </c>
      <c r="AJ74" s="25">
        <f>IF((AJ70-(0))&lt;&gt;0,(AJ72)/(AJ70-(0)),0)</f>
        <v>0.29821012961929</v>
      </c>
      <c r="AK74" s="25">
        <f>IF((AK70-(0))&lt;&gt;0,(AK72)/(AK70-(0)),0)</f>
        <v>0</v>
      </c>
      <c r="AL74" s="25"/>
      <c r="AM74" s="25"/>
    </row>
  </sheetData>
  <mergeCells count="97">
    <mergeCell ref="E61:E63"/>
    <mergeCell ref="F61:F63"/>
    <mergeCell ref="A66:A67"/>
    <mergeCell ref="B66:B67"/>
    <mergeCell ref="C66:C67"/>
    <mergeCell ref="D61:D63"/>
    <mergeCell ref="B58:B60"/>
    <mergeCell ref="C58:C60"/>
    <mergeCell ref="A61:A65"/>
    <mergeCell ref="B61:B63"/>
    <mergeCell ref="C61:C63"/>
    <mergeCell ref="A46:A60"/>
    <mergeCell ref="B46:B48"/>
    <mergeCell ref="C46:C48"/>
    <mergeCell ref="B54:B56"/>
    <mergeCell ref="C54:C56"/>
    <mergeCell ref="B50:B52"/>
    <mergeCell ref="C50:C52"/>
    <mergeCell ref="D54:D56"/>
    <mergeCell ref="E54:E56"/>
    <mergeCell ref="F54:F56"/>
    <mergeCell ref="D46:D48"/>
    <mergeCell ref="E46:E48"/>
    <mergeCell ref="F46:F48"/>
    <mergeCell ref="D50:D52"/>
    <mergeCell ref="E50:E52"/>
    <mergeCell ref="F50:F52"/>
    <mergeCell ref="E33:E35"/>
    <mergeCell ref="F33:F35"/>
    <mergeCell ref="B36:B40"/>
    <mergeCell ref="C36:C40"/>
    <mergeCell ref="B41:B45"/>
    <mergeCell ref="C41:C45"/>
    <mergeCell ref="A31:A32"/>
    <mergeCell ref="B31:B32"/>
    <mergeCell ref="C31:C32"/>
    <mergeCell ref="D31:D32"/>
    <mergeCell ref="A33:A45"/>
    <mergeCell ref="B33:B35"/>
    <mergeCell ref="C33:C35"/>
    <mergeCell ref="D33:D35"/>
    <mergeCell ref="C26:C30"/>
    <mergeCell ref="D26:D30"/>
    <mergeCell ref="E26:E28"/>
    <mergeCell ref="F26:F28"/>
    <mergeCell ref="E29:E30"/>
    <mergeCell ref="F29:F30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A11:A20"/>
    <mergeCell ref="B11:B14"/>
    <mergeCell ref="C11:C14"/>
    <mergeCell ref="D11:D14"/>
    <mergeCell ref="E11:E13"/>
    <mergeCell ref="F11:F13"/>
    <mergeCell ref="B16:B20"/>
    <mergeCell ref="C16:C20"/>
    <mergeCell ref="D16:D20"/>
    <mergeCell ref="E16:E18"/>
    <mergeCell ref="A7:A10"/>
    <mergeCell ref="B7:B10"/>
    <mergeCell ref="C7:C10"/>
    <mergeCell ref="D7:D10"/>
    <mergeCell ref="E7:E9"/>
    <mergeCell ref="F7:F9"/>
    <mergeCell ref="AE3:AG3"/>
    <mergeCell ref="AH3:AL3"/>
    <mergeCell ref="AM3:AM4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AM1"/>
    <mergeCell ref="A1:A4"/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</mergeCells>
  <conditionalFormatting sqref="L69">
    <cfRule type="cellIs" dxfId="998" priority="55" operator="notEqual">
      <formula>$L$71</formula>
    </cfRule>
    <cfRule type="cellIs" dxfId="997" priority="56" operator="equal">
      <formula>$L$71</formula>
    </cfRule>
  </conditionalFormatting>
  <conditionalFormatting sqref="M69">
    <cfRule type="cellIs" dxfId="996" priority="53" operator="notEqual">
      <formula>$M$71</formula>
    </cfRule>
    <cfRule type="cellIs" dxfId="995" priority="54" operator="equal">
      <formula>$M$71</formula>
    </cfRule>
  </conditionalFormatting>
  <conditionalFormatting sqref="N69">
    <cfRule type="cellIs" dxfId="994" priority="51" operator="notEqual">
      <formula>$N$71</formula>
    </cfRule>
    <cfRule type="cellIs" dxfId="993" priority="52" operator="equal">
      <formula>$N$71</formula>
    </cfRule>
  </conditionalFormatting>
  <conditionalFormatting sqref="O69">
    <cfRule type="cellIs" dxfId="992" priority="49" operator="notEqual">
      <formula>$O$71</formula>
    </cfRule>
    <cfRule type="cellIs" dxfId="991" priority="50" operator="equal">
      <formula>$O$71</formula>
    </cfRule>
  </conditionalFormatting>
  <conditionalFormatting sqref="P69">
    <cfRule type="cellIs" dxfId="990" priority="47" operator="notEqual">
      <formula>$P$71</formula>
    </cfRule>
    <cfRule type="cellIs" dxfId="989" priority="48" operator="equal">
      <formula>$P$71</formula>
    </cfRule>
  </conditionalFormatting>
  <conditionalFormatting sqref="Q69">
    <cfRule type="cellIs" dxfId="988" priority="45" operator="notEqual">
      <formula>$Q$71</formula>
    </cfRule>
    <cfRule type="cellIs" dxfId="987" priority="46" operator="equal">
      <formula>$Q$71</formula>
    </cfRule>
  </conditionalFormatting>
  <conditionalFormatting sqref="R69">
    <cfRule type="cellIs" dxfId="986" priority="43" operator="notEqual">
      <formula>$R$71</formula>
    </cfRule>
    <cfRule type="cellIs" dxfId="985" priority="44" operator="equal">
      <formula>$R$71</formula>
    </cfRule>
  </conditionalFormatting>
  <conditionalFormatting sqref="S69">
    <cfRule type="cellIs" dxfId="984" priority="41" operator="notEqual">
      <formula>$S$71</formula>
    </cfRule>
    <cfRule type="cellIs" dxfId="983" priority="42" operator="equal">
      <formula>$S$71</formula>
    </cfRule>
  </conditionalFormatting>
  <conditionalFormatting sqref="T69">
    <cfRule type="cellIs" dxfId="982" priority="39" operator="notEqual">
      <formula>$T$71</formula>
    </cfRule>
    <cfRule type="cellIs" dxfId="981" priority="40" operator="equal">
      <formula>$T$71</formula>
    </cfRule>
  </conditionalFormatting>
  <conditionalFormatting sqref="U69">
    <cfRule type="cellIs" dxfId="980" priority="37" operator="notEqual">
      <formula>$U$71</formula>
    </cfRule>
    <cfRule type="cellIs" dxfId="979" priority="38" operator="equal">
      <formula>$U$71</formula>
    </cfRule>
  </conditionalFormatting>
  <conditionalFormatting sqref="V69">
    <cfRule type="cellIs" dxfId="978" priority="35" operator="notEqual">
      <formula>$V$71</formula>
    </cfRule>
    <cfRule type="cellIs" dxfId="977" priority="36" operator="equal">
      <formula>$V$71</formula>
    </cfRule>
  </conditionalFormatting>
  <conditionalFormatting sqref="W69">
    <cfRule type="cellIs" dxfId="976" priority="33" operator="notEqual">
      <formula>$W$71</formula>
    </cfRule>
    <cfRule type="cellIs" dxfId="975" priority="34" operator="equal">
      <formula>$W$71</formula>
    </cfRule>
  </conditionalFormatting>
  <conditionalFormatting sqref="X69">
    <cfRule type="cellIs" dxfId="974" priority="31" operator="notEqual">
      <formula>$X$71</formula>
    </cfRule>
    <cfRule type="cellIs" dxfId="973" priority="32" operator="equal">
      <formula>$X$71</formula>
    </cfRule>
  </conditionalFormatting>
  <conditionalFormatting sqref="Y69">
    <cfRule type="cellIs" dxfId="972" priority="29" operator="notEqual">
      <formula>$Y$71</formula>
    </cfRule>
    <cfRule type="cellIs" dxfId="971" priority="30" operator="equal">
      <formula>$Y$71</formula>
    </cfRule>
  </conditionalFormatting>
  <conditionalFormatting sqref="Z69">
    <cfRule type="cellIs" dxfId="970" priority="27" operator="notEqual">
      <formula>$Z$71</formula>
    </cfRule>
    <cfRule type="cellIs" dxfId="969" priority="28" operator="equal">
      <formula>$Z$71</formula>
    </cfRule>
  </conditionalFormatting>
  <conditionalFormatting sqref="AA69">
    <cfRule type="cellIs" dxfId="968" priority="25" operator="notEqual">
      <formula>$AA$71</formula>
    </cfRule>
    <cfRule type="cellIs" dxfId="967" priority="26" operator="equal">
      <formula>$AA$71</formula>
    </cfRule>
  </conditionalFormatting>
  <conditionalFormatting sqref="AB69">
    <cfRule type="cellIs" dxfId="966" priority="23" operator="notEqual">
      <formula>$AB$71</formula>
    </cfRule>
    <cfRule type="cellIs" dxfId="965" priority="24" operator="equal">
      <formula>$AB$71</formula>
    </cfRule>
  </conditionalFormatting>
  <conditionalFormatting sqref="AC69">
    <cfRule type="cellIs" dxfId="964" priority="21" operator="notEqual">
      <formula>$AC$71</formula>
    </cfRule>
    <cfRule type="cellIs" dxfId="963" priority="22" operator="equal">
      <formula>$AC$71</formula>
    </cfRule>
  </conditionalFormatting>
  <conditionalFormatting sqref="AD69">
    <cfRule type="cellIs" dxfId="962" priority="19" operator="notEqual">
      <formula>$AD$71</formula>
    </cfRule>
    <cfRule type="cellIs" dxfId="961" priority="20" operator="equal">
      <formula>$AD$71</formula>
    </cfRule>
  </conditionalFormatting>
  <conditionalFormatting sqref="AE69">
    <cfRule type="cellIs" dxfId="960" priority="17" operator="notEqual">
      <formula>$AE$71</formula>
    </cfRule>
    <cfRule type="cellIs" dxfId="959" priority="18" operator="equal">
      <formula>$AE$71</formula>
    </cfRule>
  </conditionalFormatting>
  <conditionalFormatting sqref="AF69">
    <cfRule type="cellIs" dxfId="958" priority="16" operator="equal">
      <formula>$AF$71</formula>
    </cfRule>
  </conditionalFormatting>
  <conditionalFormatting sqref="AF69">
    <cfRule type="cellIs" dxfId="957" priority="15" operator="notEqual">
      <formula>$AF$71</formula>
    </cfRule>
  </conditionalFormatting>
  <conditionalFormatting sqref="AG69">
    <cfRule type="cellIs" dxfId="956" priority="14" operator="equal">
      <formula>$AG$71</formula>
    </cfRule>
  </conditionalFormatting>
  <conditionalFormatting sqref="AG69">
    <cfRule type="cellIs" dxfId="955" priority="13" operator="notEqual">
      <formula>$AG$71</formula>
    </cfRule>
  </conditionalFormatting>
  <conditionalFormatting sqref="AH69">
    <cfRule type="cellIs" dxfId="954" priority="12" operator="equal">
      <formula>$AH$71</formula>
    </cfRule>
  </conditionalFormatting>
  <conditionalFormatting sqref="AH69">
    <cfRule type="cellIs" dxfId="953" priority="11" operator="notEqual">
      <formula>$AH$71</formula>
    </cfRule>
  </conditionalFormatting>
  <conditionalFormatting sqref="AI69">
    <cfRule type="cellIs" dxfId="952" priority="10" operator="equal">
      <formula>$AI$71</formula>
    </cfRule>
  </conditionalFormatting>
  <conditionalFormatting sqref="AI69">
    <cfRule type="cellIs" dxfId="951" priority="9" operator="notEqual">
      <formula>$AI$71</formula>
    </cfRule>
  </conditionalFormatting>
  <conditionalFormatting sqref="AJ69">
    <cfRule type="cellIs" dxfId="950" priority="8" operator="equal">
      <formula>$AJ$71</formula>
    </cfRule>
  </conditionalFormatting>
  <conditionalFormatting sqref="AJ69">
    <cfRule type="cellIs" dxfId="949" priority="7" operator="notEqual">
      <formula>$AJ$71</formula>
    </cfRule>
  </conditionalFormatting>
  <conditionalFormatting sqref="AK69">
    <cfRule type="cellIs" dxfId="948" priority="6" operator="equal">
      <formula>$AK$71</formula>
    </cfRule>
  </conditionalFormatting>
  <conditionalFormatting sqref="AK69">
    <cfRule type="cellIs" dxfId="947" priority="5" operator="notEqual">
      <formula>$AK$71</formula>
    </cfRule>
  </conditionalFormatting>
  <conditionalFormatting sqref="AL69">
    <cfRule type="cellIs" dxfId="946" priority="4" operator="equal">
      <formula>$AL$71</formula>
    </cfRule>
  </conditionalFormatting>
  <conditionalFormatting sqref="AL69">
    <cfRule type="cellIs" dxfId="945" priority="3" operator="notEqual">
      <formula>$AL$71</formula>
    </cfRule>
  </conditionalFormatting>
  <conditionalFormatting sqref="AM69">
    <cfRule type="cellIs" dxfId="944" priority="2" operator="equal">
      <formula>$AM$71</formula>
    </cfRule>
  </conditionalFormatting>
  <conditionalFormatting sqref="AM69">
    <cfRule type="cellIs" dxfId="943" priority="1" operator="notEqual">
      <formula>$AM$71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69D0-EDFB-45DE-9838-26E1C57A5CC6}">
  <sheetPr codeName="Planilha11"/>
  <dimension ref="A1:AP73"/>
  <sheetViews>
    <sheetView showGridLines="0" topLeftCell="AA44" workbookViewId="0">
      <selection activeCell="AO69" sqref="AO69:AP7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7.425781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6" width="4.8554687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2" width="8.7109375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764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O1" s="30"/>
      <c r="AP1" s="123" t="s">
        <v>746</v>
      </c>
    </row>
    <row r="2" spans="1:42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H2" s="119"/>
      <c r="AI2" s="119"/>
      <c r="AJ2" s="119"/>
      <c r="AK2" s="119"/>
      <c r="AL2" s="119"/>
      <c r="AM2" s="119"/>
      <c r="AO2" s="30"/>
      <c r="AP2" s="124"/>
    </row>
    <row r="3" spans="1:42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/>
      <c r="U3" s="119" t="s">
        <v>654</v>
      </c>
      <c r="V3" s="119"/>
      <c r="W3" s="119"/>
      <c r="X3" s="119"/>
      <c r="Y3" s="119"/>
      <c r="Z3" s="119"/>
      <c r="AA3" s="119"/>
      <c r="AB3" s="119"/>
      <c r="AC3" s="119" t="s">
        <v>662</v>
      </c>
      <c r="AD3" s="119"/>
      <c r="AE3" s="119" t="s">
        <v>664</v>
      </c>
      <c r="AF3" s="119"/>
      <c r="AG3" s="119"/>
      <c r="AH3" s="119" t="s">
        <v>667</v>
      </c>
      <c r="AI3" s="119"/>
      <c r="AJ3" s="119"/>
      <c r="AK3" s="119"/>
      <c r="AL3" s="119"/>
      <c r="AM3" s="119" t="s">
        <v>653</v>
      </c>
      <c r="AO3" s="30"/>
      <c r="AP3" s="124"/>
    </row>
    <row r="4" spans="1:42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26" t="s">
        <v>730</v>
      </c>
      <c r="M4" s="26" t="s">
        <v>646</v>
      </c>
      <c r="N4" s="26" t="s">
        <v>647</v>
      </c>
      <c r="O4" s="26" t="s">
        <v>648</v>
      </c>
      <c r="P4" s="26" t="s">
        <v>649</v>
      </c>
      <c r="Q4" s="26" t="s">
        <v>650</v>
      </c>
      <c r="R4" s="26" t="s">
        <v>651</v>
      </c>
      <c r="S4" s="26" t="s">
        <v>652</v>
      </c>
      <c r="T4" s="26" t="s">
        <v>653</v>
      </c>
      <c r="U4" s="26" t="s">
        <v>655</v>
      </c>
      <c r="V4" s="26" t="s">
        <v>656</v>
      </c>
      <c r="W4" s="26" t="s">
        <v>657</v>
      </c>
      <c r="X4" s="26" t="s">
        <v>658</v>
      </c>
      <c r="Y4" s="26" t="s">
        <v>659</v>
      </c>
      <c r="Z4" s="26" t="s">
        <v>660</v>
      </c>
      <c r="AA4" s="26" t="s">
        <v>661</v>
      </c>
      <c r="AB4" s="26" t="s">
        <v>653</v>
      </c>
      <c r="AC4" s="26" t="s">
        <v>663</v>
      </c>
      <c r="AD4" s="26" t="s">
        <v>653</v>
      </c>
      <c r="AE4" s="26" t="s">
        <v>665</v>
      </c>
      <c r="AF4" s="26" t="s">
        <v>666</v>
      </c>
      <c r="AG4" s="26" t="s">
        <v>653</v>
      </c>
      <c r="AH4" s="26" t="s">
        <v>668</v>
      </c>
      <c r="AI4" s="26" t="s">
        <v>669</v>
      </c>
      <c r="AJ4" s="26" t="s">
        <v>670</v>
      </c>
      <c r="AK4" s="26" t="s">
        <v>671</v>
      </c>
      <c r="AL4" s="26" t="s">
        <v>653</v>
      </c>
      <c r="AM4" s="120"/>
      <c r="AO4" s="31" t="s">
        <v>763</v>
      </c>
      <c r="AP4" s="125"/>
    </row>
    <row r="5" spans="1:42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28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25">
        <f>'TUSD BE'!$L$5*'TUSD BF'!$L$74</f>
        <v>0</v>
      </c>
      <c r="M5" s="25">
        <f>'TUSD BE'!$M$5*'TUSD BF'!$M$74</f>
        <v>0</v>
      </c>
      <c r="N5" s="25">
        <f>'TUSD BE'!$N$5*'TUSD BF'!$N$74</f>
        <v>0</v>
      </c>
      <c r="O5" s="25">
        <f>'TUSD BE'!$O$5*'TUSD BF'!$O$74</f>
        <v>0</v>
      </c>
      <c r="P5" s="25">
        <f>'TUSD BE'!$P$5*'TUSD BF'!$P$74</f>
        <v>0</v>
      </c>
      <c r="Q5" s="25">
        <f>'TUSD BE'!$Q$5*'TUSD BF'!$Q$74</f>
        <v>0</v>
      </c>
      <c r="R5" s="25">
        <f>'TUSD BE'!$R$5*'TUSD BF'!$R$74</f>
        <v>0</v>
      </c>
      <c r="S5" s="25">
        <f>'TUSD BE'!$R$5*'TUSD BF'!$S$74</f>
        <v>0</v>
      </c>
      <c r="T5" s="25">
        <f>SUM($L$5:$S$5)</f>
        <v>0</v>
      </c>
      <c r="U5" s="25">
        <f>'TUSD BE'!$U$5*'TUSD BF'!$U$74</f>
        <v>0</v>
      </c>
      <c r="V5" s="25">
        <f>'TUSD BE'!$V$5*'TUSD BF'!$V$74</f>
        <v>0</v>
      </c>
      <c r="W5" s="25">
        <f>'TUSD BE'!$W$5*'TUSD BF'!$W$74</f>
        <v>0</v>
      </c>
      <c r="X5" s="25">
        <f>'TUSD BE'!$X$5*'TUSD BF'!$X$74</f>
        <v>0</v>
      </c>
      <c r="Y5" s="25">
        <f>'TUSD BE'!$Y$5*'TUSD BF'!$Y$74</f>
        <v>0</v>
      </c>
      <c r="Z5" s="25">
        <f>'TUSD BE'!$Z$5*'TUSD BF'!$Z$74</f>
        <v>0</v>
      </c>
      <c r="AA5" s="25">
        <f>'TUSD BE'!$AA$5*'TUSD BF'!$AA$74</f>
        <v>7.0008006038710805E-3</v>
      </c>
      <c r="AB5" s="25">
        <f>SUM($U$5:$AA$5)</f>
        <v>7.0008006038710805E-3</v>
      </c>
      <c r="AC5" s="25">
        <f>'TUSD BE'!$AC$5*'TUSD BF'!$AC$74</f>
        <v>0</v>
      </c>
      <c r="AD5" s="25">
        <f>SUM($AC$5:$AC$5)</f>
        <v>0</v>
      </c>
      <c r="AE5" s="25">
        <f ca="1">$AO$5*$AO$71</f>
        <v>0</v>
      </c>
      <c r="AF5" s="25">
        <f ca="1">$AP$5*$AP$71</f>
        <v>0</v>
      </c>
      <c r="AG5" s="25">
        <f ca="1">SUM($AE$5:$AF$5)</f>
        <v>0</v>
      </c>
      <c r="AH5" s="25">
        <f>'TUSD BE'!$AH$5*'TUSD BF'!$AH$74</f>
        <v>0</v>
      </c>
      <c r="AI5" s="25">
        <f>'TUSD BE'!$AI$5*'TUSD BF'!$AI$74</f>
        <v>0</v>
      </c>
      <c r="AJ5" s="25">
        <f>'TUSD BE'!$AJ$5*'TUSD BF'!$AJ$74</f>
        <v>0</v>
      </c>
      <c r="AK5" s="25">
        <f>'TUSD BE'!$AK$5*'TUSD BF'!$AK$74</f>
        <v>0</v>
      </c>
      <c r="AL5" s="25">
        <f>SUM($AH$5:$AK$5)</f>
        <v>0</v>
      </c>
      <c r="AM5" s="25">
        <f ca="1">SUMIF($L$4:$AL$4,"SUBTOTAL",$L$5:$AL$5)</f>
        <v>7.0008006038710805E-3</v>
      </c>
      <c r="AO5" s="30">
        <f>+'TUSD BE'!$T$5+'TUSD BE'!$AB$5+'TUSD BE'!$AD$5+'TUSD BE'!$AL$5</f>
        <v>6.8968999999999996</v>
      </c>
      <c r="AP5" s="30">
        <f>+'TUSD BE'!$T$5+'TUSD BE'!$AB$5+'TUSD BE'!$AD$5+'TUSD BE'!$AL$5</f>
        <v>6.8968999999999996</v>
      </c>
    </row>
    <row r="6" spans="1:42" ht="11.25" customHeight="1" x14ac:dyDescent="0.25">
      <c r="A6" s="118"/>
      <c r="B6" s="118"/>
      <c r="C6" s="118"/>
      <c r="D6" s="118"/>
      <c r="E6" s="118"/>
      <c r="F6" s="28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25">
        <f>'TUSD BE'!$L$6*'TUSD BF'!$L$74</f>
        <v>0</v>
      </c>
      <c r="M6" s="25">
        <f>'TUSD BE'!$M$6*'TUSD BF'!$M$74</f>
        <v>0</v>
      </c>
      <c r="N6" s="25">
        <f>'TUSD BE'!$N$6*'TUSD BF'!$N$74</f>
        <v>0</v>
      </c>
      <c r="O6" s="25">
        <f>'TUSD BE'!$O$6*'TUSD BF'!$O$74</f>
        <v>0</v>
      </c>
      <c r="P6" s="25">
        <f>'TUSD BE'!$P$6*'TUSD BF'!$P$74</f>
        <v>0</v>
      </c>
      <c r="Q6" s="25">
        <f>'TUSD BE'!$Q$6*'TUSD BF'!$Q$74</f>
        <v>0</v>
      </c>
      <c r="R6" s="25">
        <f>'TUSD BE'!$R$6*'TUSD BF'!$R$74</f>
        <v>0</v>
      </c>
      <c r="S6" s="25">
        <f>'TUSD BE'!$R$6*'TUSD BF'!$S$74</f>
        <v>0</v>
      </c>
      <c r="T6" s="25">
        <f>SUM($L$6:$S$6)</f>
        <v>0</v>
      </c>
      <c r="U6" s="25">
        <f>'TUSD BE'!$U$6*'TUSD BF'!$U$74</f>
        <v>0</v>
      </c>
      <c r="V6" s="25">
        <f>'TUSD BE'!$V$6*'TUSD BF'!$V$74</f>
        <v>0</v>
      </c>
      <c r="W6" s="25">
        <f>'TUSD BE'!$W$6*'TUSD BF'!$W$74</f>
        <v>0</v>
      </c>
      <c r="X6" s="25">
        <f>'TUSD BE'!$X$6*'TUSD BF'!$X$74</f>
        <v>0</v>
      </c>
      <c r="Y6" s="25">
        <f>'TUSD BE'!$Y$6*'TUSD BF'!$Y$74</f>
        <v>0</v>
      </c>
      <c r="Z6" s="25">
        <f>'TUSD BE'!$Z$6*'TUSD BF'!$Z$74</f>
        <v>0</v>
      </c>
      <c r="AA6" s="25">
        <f>'TUSD BE'!$AA$6*'TUSD BF'!$AA$74</f>
        <v>0</v>
      </c>
      <c r="AB6" s="25">
        <f>SUM($U$6:$AA$6)</f>
        <v>0</v>
      </c>
      <c r="AC6" s="25">
        <f>'TUSD BE'!$AC$6*'TUSD BF'!$AC$74</f>
        <v>0</v>
      </c>
      <c r="AD6" s="25">
        <f>SUM($AC$6:$AC$6)</f>
        <v>0</v>
      </c>
      <c r="AE6" s="25">
        <f ca="1">$AO$6*$AO$71</f>
        <v>0</v>
      </c>
      <c r="AF6" s="25">
        <f ca="1">$AP$6*$AP$71</f>
        <v>0</v>
      </c>
      <c r="AG6" s="25">
        <f ca="1">SUM($AE$6:$AF$6)</f>
        <v>0</v>
      </c>
      <c r="AH6" s="25">
        <f>'TUSD BE'!$AH$6*'TUSD BF'!$AH$74</f>
        <v>0</v>
      </c>
      <c r="AI6" s="25">
        <f>'TUSD BE'!$AI$6*'TUSD BF'!$AI$74</f>
        <v>0</v>
      </c>
      <c r="AJ6" s="25">
        <f>'TUSD BE'!$AJ$6*'TUSD BF'!$AJ$74</f>
        <v>0</v>
      </c>
      <c r="AK6" s="25">
        <f>'TUSD BE'!$AK$6*'TUSD BF'!$AK$74</f>
        <v>0</v>
      </c>
      <c r="AL6" s="25">
        <f>SUM($AH$6:$AK$6)</f>
        <v>0</v>
      </c>
      <c r="AM6" s="25">
        <f ca="1">SUMIF($L$4:$AL$4,"SUBTOTAL",$L$6:$AL$6)</f>
        <v>0</v>
      </c>
      <c r="AO6" s="30">
        <f>+'TUSD BE'!$T$6+'TUSD BE'!$AB$6+'TUSD BE'!$AD$6+'TUSD BE'!$AL$6</f>
        <v>1.28</v>
      </c>
      <c r="AP6" s="30">
        <f>+'TUSD BE'!$T$6+'TUSD BE'!$AB$6+'TUSD BE'!$AD$6+'TUSD BE'!$AL$6</f>
        <v>1.28</v>
      </c>
    </row>
    <row r="7" spans="1:42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25">
        <f>'TUSD BE'!$L$7*'TUSD BF'!$L$74</f>
        <v>0</v>
      </c>
      <c r="M7" s="25">
        <f>'TUSD BE'!$M$7*'TUSD BF'!$M$74</f>
        <v>0</v>
      </c>
      <c r="N7" s="25">
        <f ca="1">'TUSD BE'!$N$7*'TUSD BF'!$N$74</f>
        <v>0</v>
      </c>
      <c r="O7" s="25">
        <f>'TUSD BE'!$O$7*'TUSD BF'!$O$74</f>
        <v>0</v>
      </c>
      <c r="P7" s="25">
        <f>'TUSD BE'!$P$7*'TUSD BF'!$P$74</f>
        <v>0</v>
      </c>
      <c r="Q7" s="25">
        <f>'TUSD BE'!$Q$7*'TUSD BF'!$Q$74</f>
        <v>0</v>
      </c>
      <c r="R7" s="25">
        <f>'TUSD BE'!$R$7*'TUSD BF'!$R$74</f>
        <v>0</v>
      </c>
      <c r="S7" s="25">
        <f>'TUSD BE'!$R$7*'TUSD BF'!$S$74</f>
        <v>0</v>
      </c>
      <c r="T7" s="25">
        <f ca="1">SUM($L$7:$S$7)</f>
        <v>0</v>
      </c>
      <c r="U7" s="25">
        <f>'TUSD BE'!$U$7*'TUSD BF'!$U$74</f>
        <v>0.47828444080239951</v>
      </c>
      <c r="V7" s="25">
        <f>'TUSD BE'!$V$7*'TUSD BF'!$V$74</f>
        <v>6.1368684602790692E-2</v>
      </c>
      <c r="W7" s="25">
        <f>'TUSD BE'!$W$7*'TUSD BF'!$W$74</f>
        <v>0</v>
      </c>
      <c r="X7" s="25">
        <f>'TUSD BE'!$X$7*'TUSD BF'!$X$74</f>
        <v>0</v>
      </c>
      <c r="Y7" s="25">
        <f>'TUSD BE'!$Y$7*'TUSD BF'!$Y$74</f>
        <v>0</v>
      </c>
      <c r="Z7" s="25">
        <f>'TUSD BE'!$Z$7*'TUSD BF'!$Z$74</f>
        <v>0</v>
      </c>
      <c r="AA7" s="25">
        <f>'TUSD BE'!$AA$7*'TUSD BF'!$AA$74</f>
        <v>0</v>
      </c>
      <c r="AB7" s="25">
        <f>SUM($U$7:$AA$7)</f>
        <v>0.53965312540519017</v>
      </c>
      <c r="AC7" s="25">
        <f>'TUSD BE'!$AC$7*'TUSD BF'!$AC$74</f>
        <v>0</v>
      </c>
      <c r="AD7" s="25">
        <f>SUM($AC$7:$AC$7)</f>
        <v>0</v>
      </c>
      <c r="AE7" s="25">
        <f ca="1">$AO$7*$AO$71</f>
        <v>0</v>
      </c>
      <c r="AF7" s="25">
        <f ca="1">$AP$7*$AP$71</f>
        <v>0</v>
      </c>
      <c r="AG7" s="25">
        <f ca="1">SUM($AE$7:$AF$7)</f>
        <v>0</v>
      </c>
      <c r="AH7" s="25">
        <f>'TUSD BE'!$AH$7*'TUSD BF'!$AH$74</f>
        <v>0</v>
      </c>
      <c r="AI7" s="25">
        <f>'TUSD BE'!$AI$7*'TUSD BF'!$AI$74</f>
        <v>0</v>
      </c>
      <c r="AJ7" s="25">
        <f ca="1">'TUSD BE'!$AJ$7*'TUSD BF'!$AJ$74</f>
        <v>0</v>
      </c>
      <c r="AK7" s="25">
        <f ca="1">'TUSD BE'!$AK$7*'TUSD BF'!$AK$74</f>
        <v>0</v>
      </c>
      <c r="AL7" s="25">
        <f ca="1">SUM($AH$7:$AK$7)</f>
        <v>0</v>
      </c>
      <c r="AM7" s="25">
        <f ca="1">SUMIF($L$4:$AL$4,"SUBTOTAL",$L$7:$AL$7)</f>
        <v>0.53965312540519017</v>
      </c>
      <c r="AO7" s="30">
        <f ca="1">+'TUSD BE'!$T$7+'TUSD BE'!$AB$7+'TUSD BE'!$AD$7+'TUSD BE'!$AL$7</f>
        <v>50.526807797678146</v>
      </c>
      <c r="AP7" s="30">
        <f ca="1">+'TUSD BE'!$T$7+'TUSD BE'!$AB$7+'TUSD BE'!$AD$7+'TUSD BE'!$AL$7</f>
        <v>50.526807797678146</v>
      </c>
    </row>
    <row r="8" spans="1:42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25">
        <f>'TUSD BE'!$L$8*'TUSD BF'!$L$74</f>
        <v>0</v>
      </c>
      <c r="M8" s="25">
        <f>'TUSD BE'!$M$8*'TUSD BF'!$M$74</f>
        <v>0</v>
      </c>
      <c r="N8" s="25">
        <f ca="1">'TUSD BE'!$N$8*'TUSD BF'!$N$74</f>
        <v>0</v>
      </c>
      <c r="O8" s="25">
        <f>'TUSD BE'!$O$8*'TUSD BF'!$O$74</f>
        <v>0</v>
      </c>
      <c r="P8" s="25">
        <f>'TUSD BE'!$P$8*'TUSD BF'!$P$74</f>
        <v>0</v>
      </c>
      <c r="Q8" s="25">
        <f>'TUSD BE'!$Q$8*'TUSD BF'!$Q$74</f>
        <v>0</v>
      </c>
      <c r="R8" s="25">
        <f>'TUSD BE'!$R$8*'TUSD BF'!$R$74</f>
        <v>0</v>
      </c>
      <c r="S8" s="25">
        <f>'TUSD BE'!$R$8*'TUSD BF'!$S$74</f>
        <v>0</v>
      </c>
      <c r="T8" s="25">
        <f ca="1">SUM($L$8:$S$8)</f>
        <v>0</v>
      </c>
      <c r="U8" s="25">
        <f>'TUSD BE'!$U$8*'TUSD BF'!$U$74</f>
        <v>0.54648377419923122</v>
      </c>
      <c r="V8" s="25">
        <f>'TUSD BE'!$V$8*'TUSD BF'!$V$74</f>
        <v>7.2260944335964916E-2</v>
      </c>
      <c r="W8" s="25">
        <f>'TUSD BE'!$W$8*'TUSD BF'!$W$74</f>
        <v>0</v>
      </c>
      <c r="X8" s="25">
        <f>'TUSD BE'!$X$8*'TUSD BF'!$X$74</f>
        <v>0</v>
      </c>
      <c r="Y8" s="25">
        <f>'TUSD BE'!$Y$8*'TUSD BF'!$Y$74</f>
        <v>0</v>
      </c>
      <c r="Z8" s="25">
        <f>'TUSD BE'!$Z$8*'TUSD BF'!$Z$74</f>
        <v>0</v>
      </c>
      <c r="AA8" s="25">
        <f>'TUSD BE'!$AA$8*'TUSD BF'!$AA$74</f>
        <v>0</v>
      </c>
      <c r="AB8" s="25">
        <f>SUM($U$8:$AA$8)</f>
        <v>0.61874471853519619</v>
      </c>
      <c r="AC8" s="25">
        <f>'TUSD BE'!$AC$8*'TUSD BF'!$AC$74</f>
        <v>0</v>
      </c>
      <c r="AD8" s="25">
        <f>SUM($AC$8:$AC$8)</f>
        <v>0</v>
      </c>
      <c r="AE8" s="25">
        <f ca="1">$AO$8*$AO$71</f>
        <v>0</v>
      </c>
      <c r="AF8" s="25">
        <f ca="1">$AP$8*$AP$71</f>
        <v>0</v>
      </c>
      <c r="AG8" s="25">
        <f ca="1">SUM($AE$8:$AF$8)</f>
        <v>0</v>
      </c>
      <c r="AH8" s="25">
        <f>'TUSD BE'!$AH$8*'TUSD BF'!$AH$74</f>
        <v>0</v>
      </c>
      <c r="AI8" s="25">
        <f>'TUSD BE'!$AI$8*'TUSD BF'!$AI$74</f>
        <v>0</v>
      </c>
      <c r="AJ8" s="25">
        <f ca="1">'TUSD BE'!$AJ$8*'TUSD BF'!$AJ$74</f>
        <v>0</v>
      </c>
      <c r="AK8" s="25">
        <f ca="1">'TUSD BE'!$AK$8*'TUSD BF'!$AK$74</f>
        <v>0</v>
      </c>
      <c r="AL8" s="25">
        <f ca="1">SUM($AH$8:$AK$8)</f>
        <v>0</v>
      </c>
      <c r="AM8" s="25">
        <f ca="1">SUMIF($L$4:$AL$4,"SUBTOTAL",$L$8:$AL$8)</f>
        <v>0.61874471853519619</v>
      </c>
      <c r="AO8" s="30">
        <f ca="1">+'TUSD BE'!$T$8+'TUSD BE'!$AB$8+'TUSD BE'!$AD$8+'TUSD BE'!$AL$8</f>
        <v>17.734887856802928</v>
      </c>
      <c r="AP8" s="30">
        <f ca="1">+'TUSD BE'!$T$8+'TUSD BE'!$AB$8+'TUSD BE'!$AD$8+'TUSD BE'!$AL$8</f>
        <v>17.734887856802928</v>
      </c>
    </row>
    <row r="9" spans="1:42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25">
        <f>'TUSD BE'!$L$9*'TUSD BF'!$L$74</f>
        <v>0.6765447807399555</v>
      </c>
      <c r="M9" s="25">
        <f>'TUSD BE'!$M$9*'TUSD BF'!$M$74</f>
        <v>0</v>
      </c>
      <c r="N9" s="25">
        <f ca="1">'TUSD BE'!$N$9*'TUSD BF'!$N$74</f>
        <v>0</v>
      </c>
      <c r="O9" s="25">
        <f>'TUSD BE'!$O$9*'TUSD BF'!$O$74</f>
        <v>0</v>
      </c>
      <c r="P9" s="25">
        <f>'TUSD BE'!$P$9*'TUSD BF'!$P$74</f>
        <v>0</v>
      </c>
      <c r="Q9" s="25">
        <f>'TUSD BE'!$Q$9*'TUSD BF'!$Q$74</f>
        <v>9.400374561246208</v>
      </c>
      <c r="R9" s="25">
        <f>'TUSD BE'!$R$9*'TUSD BF'!$R$74</f>
        <v>5.5823020080452048</v>
      </c>
      <c r="S9" s="25">
        <f>'TUSD BE'!$R$9*'TUSD BF'!$S$74</f>
        <v>0</v>
      </c>
      <c r="T9" s="25">
        <f ca="1">SUM($L$9:$S$9)</f>
        <v>15.65922135003137</v>
      </c>
      <c r="U9" s="25">
        <f>'TUSD BE'!$U$9*'TUSD BF'!$U$74</f>
        <v>0</v>
      </c>
      <c r="V9" s="25">
        <f>'TUSD BE'!$V$9*'TUSD BF'!$V$74</f>
        <v>0</v>
      </c>
      <c r="W9" s="25">
        <f>'TUSD BE'!$W$9*'TUSD BF'!$W$74</f>
        <v>0</v>
      </c>
      <c r="X9" s="25">
        <f>'TUSD BE'!$X$9*'TUSD BF'!$X$74</f>
        <v>0</v>
      </c>
      <c r="Y9" s="25">
        <f>'TUSD BE'!$Y$9*'TUSD BF'!$Y$74</f>
        <v>0</v>
      </c>
      <c r="Z9" s="25">
        <f>'TUSD BE'!$Z$9*'TUSD BF'!$Z$74</f>
        <v>0</v>
      </c>
      <c r="AA9" s="25">
        <f>'TUSD BE'!$AA$9*'TUSD BF'!$AA$74</f>
        <v>0</v>
      </c>
      <c r="AB9" s="25">
        <f>SUM($U$9:$AA$9)</f>
        <v>0</v>
      </c>
      <c r="AC9" s="25">
        <f>'TUSD BE'!$AC$9*'TUSD BF'!$AC$74</f>
        <v>0</v>
      </c>
      <c r="AD9" s="25">
        <f>SUM($AC$9:$AC$9)</f>
        <v>0</v>
      </c>
      <c r="AE9" s="25">
        <f ca="1">$AO$9*$AO$71</f>
        <v>0</v>
      </c>
      <c r="AF9" s="25">
        <f ca="1">$AP$9*$AP$71</f>
        <v>0</v>
      </c>
      <c r="AG9" s="25">
        <f ca="1">SUM($AE$9:$AF$9)</f>
        <v>0</v>
      </c>
      <c r="AH9" s="25">
        <f>'TUSD BE'!$AH$9*'TUSD BF'!$AH$74</f>
        <v>10.309266224049111</v>
      </c>
      <c r="AI9" s="25">
        <f>'TUSD BE'!$AI$9*'TUSD BF'!$AI$74</f>
        <v>0.83355092496745709</v>
      </c>
      <c r="AJ9" s="25">
        <f ca="1">'TUSD BE'!$AJ$9*'TUSD BF'!$AJ$74</f>
        <v>10.380115892412867</v>
      </c>
      <c r="AK9" s="25">
        <f ca="1">'TUSD BE'!$AK$9*'TUSD BF'!$AK$74</f>
        <v>0</v>
      </c>
      <c r="AL9" s="25">
        <f ca="1">SUM($AH$9:$AK$9)</f>
        <v>21.522933041429436</v>
      </c>
      <c r="AM9" s="25">
        <f ca="1">SUMIF($L$4:$AL$4,"SUBTOTAL",$L$9:$AL$9)</f>
        <v>37.182154391460806</v>
      </c>
      <c r="AO9" s="30">
        <f ca="1">+'TUSD BE'!$T$9+'TUSD BE'!$AB$9+'TUSD BE'!$AD$9+'TUSD BE'!$AL$9</f>
        <v>135.31549534483983</v>
      </c>
      <c r="AP9" s="30">
        <f ca="1">+'TUSD BE'!$T$9+'TUSD BE'!$AB$9+'TUSD BE'!$AD$9+'TUSD BE'!$AL$9</f>
        <v>135.31549534483983</v>
      </c>
    </row>
    <row r="10" spans="1:42" ht="11.25" customHeight="1" x14ac:dyDescent="0.25">
      <c r="A10" s="118"/>
      <c r="B10" s="118"/>
      <c r="C10" s="118"/>
      <c r="D10" s="118"/>
      <c r="E10" s="28" t="s">
        <v>85</v>
      </c>
      <c r="F10" s="28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25">
        <f>'TUSD BE'!$L$10*'TUSD BF'!$L$74</f>
        <v>0</v>
      </c>
      <c r="M10" s="25">
        <f>'TUSD BE'!$M$10*'TUSD BF'!$M$74</f>
        <v>0</v>
      </c>
      <c r="N10" s="25">
        <f ca="1">'TUSD BE'!$N$10*'TUSD BF'!$N$74</f>
        <v>0</v>
      </c>
      <c r="O10" s="25">
        <f>'TUSD BE'!$O$10*'TUSD BF'!$O$74</f>
        <v>0</v>
      </c>
      <c r="P10" s="25">
        <f>'TUSD BE'!$P$10*'TUSD BF'!$P$74</f>
        <v>0</v>
      </c>
      <c r="Q10" s="25">
        <f>'TUSD BE'!$Q$10*'TUSD BF'!$Q$74</f>
        <v>0</v>
      </c>
      <c r="R10" s="25">
        <f>'TUSD BE'!$R$10*'TUSD BF'!$R$74</f>
        <v>0</v>
      </c>
      <c r="S10" s="25">
        <f>'TUSD BE'!$R$10*'TUSD BF'!$S$74</f>
        <v>0</v>
      </c>
      <c r="T10" s="25">
        <f ca="1">SUM($L$10:$S$10)</f>
        <v>0</v>
      </c>
      <c r="U10" s="25">
        <f>'TUSD BE'!$U$10*'TUSD BF'!$U$74</f>
        <v>0</v>
      </c>
      <c r="V10" s="25">
        <f>'TUSD BE'!$V$10*'TUSD BF'!$V$74</f>
        <v>0</v>
      </c>
      <c r="W10" s="25">
        <f>'TUSD BE'!$W$10*'TUSD BF'!$W$74</f>
        <v>0</v>
      </c>
      <c r="X10" s="25">
        <f>'TUSD BE'!$X$10*'TUSD BF'!$X$74</f>
        <v>0</v>
      </c>
      <c r="Y10" s="25">
        <f>'TUSD BE'!$Y$10*'TUSD BF'!$Y$74</f>
        <v>0</v>
      </c>
      <c r="Z10" s="25">
        <f>'TUSD BE'!$Z$10*'TUSD BF'!$Z$74</f>
        <v>0</v>
      </c>
      <c r="AA10" s="25">
        <f>'TUSD BE'!$AA$10*'TUSD BF'!$AA$74</f>
        <v>0</v>
      </c>
      <c r="AB10" s="25">
        <f>SUM($U$10:$AA$10)</f>
        <v>0</v>
      </c>
      <c r="AC10" s="25">
        <f>'TUSD BE'!$AC$10*'TUSD BF'!$AC$74</f>
        <v>0</v>
      </c>
      <c r="AD10" s="25">
        <f>SUM($AC$10:$AC$10)</f>
        <v>0</v>
      </c>
      <c r="AE10" s="25">
        <f ca="1">$AO$10*$AO$71</f>
        <v>0</v>
      </c>
      <c r="AF10" s="25">
        <f ca="1">$AP$10*$AP$71</f>
        <v>0</v>
      </c>
      <c r="AG10" s="25">
        <f ca="1">SUM($AE$10:$AF$10)</f>
        <v>0</v>
      </c>
      <c r="AH10" s="25">
        <f>'TUSD BE'!$AH$10*'TUSD BF'!$AH$74</f>
        <v>10.309266224049111</v>
      </c>
      <c r="AI10" s="25">
        <f>'TUSD BE'!$AI$10*'TUSD BF'!$AI$74</f>
        <v>0.83355092496745709</v>
      </c>
      <c r="AJ10" s="25">
        <f ca="1">'TUSD BE'!$AJ$10*'TUSD BF'!$AJ$74</f>
        <v>10.380115892412867</v>
      </c>
      <c r="AK10" s="25">
        <f ca="1">'TUSD BE'!$AK$10*'TUSD BF'!$AK$74</f>
        <v>0</v>
      </c>
      <c r="AL10" s="25">
        <f ca="1">SUM($AH$10:$AK$10)</f>
        <v>21.522933041429436</v>
      </c>
      <c r="AM10" s="25">
        <f ca="1">SUMIF($L$4:$AL$4,"SUBTOTAL",$L$10:$AL$10)</f>
        <v>21.522933041429436</v>
      </c>
      <c r="AO10" s="30">
        <f ca="1">+'TUSD BE'!$T$10+'TUSD BE'!$AB$10+'TUSD BE'!$AD$10+'TUSD BE'!$AL$10</f>
        <v>80.049059621880417</v>
      </c>
      <c r="AP10" s="30">
        <f ca="1">+'TUSD BE'!$T$10+'TUSD BE'!$AB$10+'TUSD BE'!$AD$10+'TUSD BE'!$AL$10</f>
        <v>80.049059621880417</v>
      </c>
    </row>
    <row r="11" spans="1:42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25">
        <f>'TUSD BE'!$L$11*'TUSD BF'!$L$74</f>
        <v>0</v>
      </c>
      <c r="M11" s="25">
        <f>'TUSD BE'!$M$11*'TUSD BF'!$M$74</f>
        <v>0</v>
      </c>
      <c r="N11" s="25">
        <f ca="1">'TUSD BE'!$N$11*'TUSD BF'!$N$74</f>
        <v>0</v>
      </c>
      <c r="O11" s="25">
        <f>'TUSD BE'!$O$11*'TUSD BF'!$O$74</f>
        <v>0</v>
      </c>
      <c r="P11" s="25">
        <f>'TUSD BE'!$P$11*'TUSD BF'!$P$74</f>
        <v>0</v>
      </c>
      <c r="Q11" s="25">
        <f>'TUSD BE'!$Q$11*'TUSD BF'!$Q$74</f>
        <v>0</v>
      </c>
      <c r="R11" s="25">
        <f>'TUSD BE'!$R$11*'TUSD BF'!$R$74</f>
        <v>0</v>
      </c>
      <c r="S11" s="25">
        <f>'TUSD BE'!$R$11*'TUSD BF'!$S$74</f>
        <v>0</v>
      </c>
      <c r="T11" s="25">
        <f ca="1">SUM($L$11:$S$11)</f>
        <v>0</v>
      </c>
      <c r="U11" s="25">
        <f>'TUSD BE'!$U$11*'TUSD BF'!$U$74</f>
        <v>0.47828444080239951</v>
      </c>
      <c r="V11" s="25">
        <f>'TUSD BE'!$V$11*'TUSD BF'!$V$74</f>
        <v>6.1368684602790692E-2</v>
      </c>
      <c r="W11" s="25">
        <f>'TUSD BE'!$W$11*'TUSD BF'!$W$74</f>
        <v>0</v>
      </c>
      <c r="X11" s="25">
        <f>'TUSD BE'!$X$11*'TUSD BF'!$X$74</f>
        <v>0</v>
      </c>
      <c r="Y11" s="25">
        <f>'TUSD BE'!$Y$11*'TUSD BF'!$Y$74</f>
        <v>0</v>
      </c>
      <c r="Z11" s="25">
        <f>'TUSD BE'!$Z$11*'TUSD BF'!$Z$74</f>
        <v>0</v>
      </c>
      <c r="AA11" s="25">
        <f>'TUSD BE'!$AA$11*'TUSD BF'!$AA$74</f>
        <v>0</v>
      </c>
      <c r="AB11" s="25">
        <f>SUM($U$11:$AA$11)</f>
        <v>0.53965312540519017</v>
      </c>
      <c r="AC11" s="25">
        <f>'TUSD BE'!$AC$11*'TUSD BF'!$AC$74</f>
        <v>0</v>
      </c>
      <c r="AD11" s="25">
        <f>SUM($AC$11:$AC$11)</f>
        <v>0</v>
      </c>
      <c r="AE11" s="25">
        <f ca="1">$AO$11*$AO$71</f>
        <v>0</v>
      </c>
      <c r="AF11" s="25">
        <f ca="1">$AP$11*$AP$71</f>
        <v>0</v>
      </c>
      <c r="AG11" s="25">
        <f ca="1">SUM($AE$11:$AF$11)</f>
        <v>0</v>
      </c>
      <c r="AH11" s="25">
        <f>'TUSD BE'!$AH$11*'TUSD BF'!$AH$74</f>
        <v>0</v>
      </c>
      <c r="AI11" s="25">
        <f>'TUSD BE'!$AI$11*'TUSD BF'!$AI$74</f>
        <v>0</v>
      </c>
      <c r="AJ11" s="25">
        <f ca="1">'TUSD BE'!$AJ$11*'TUSD BF'!$AJ$74</f>
        <v>0</v>
      </c>
      <c r="AK11" s="25">
        <f ca="1">'TUSD BE'!$AK$11*'TUSD BF'!$AK$74</f>
        <v>0</v>
      </c>
      <c r="AL11" s="25">
        <f ca="1">SUM($AH$11:$AK$11)</f>
        <v>0</v>
      </c>
      <c r="AM11" s="25">
        <f ca="1">SUMIF($L$4:$AL$4,"SUBTOTAL",$L$11:$AL$11)</f>
        <v>0.53965312540519017</v>
      </c>
      <c r="AO11" s="30">
        <f ca="1">+'TUSD BE'!$T$11+'TUSD BE'!$AB$11+'TUSD BE'!$AD$11+'TUSD BE'!$AL$11</f>
        <v>58.944019371545011</v>
      </c>
      <c r="AP11" s="30">
        <f ca="1">+'TUSD BE'!$T$11+'TUSD BE'!$AB$11+'TUSD BE'!$AD$11+'TUSD BE'!$AL$11</f>
        <v>58.944019371545011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25">
        <f>'TUSD BE'!$L$12*'TUSD BF'!$L$74</f>
        <v>0</v>
      </c>
      <c r="M12" s="25">
        <f>'TUSD BE'!$M$12*'TUSD BF'!$M$74</f>
        <v>0</v>
      </c>
      <c r="N12" s="25">
        <f ca="1">'TUSD BE'!$N$12*'TUSD BF'!$N$74</f>
        <v>0</v>
      </c>
      <c r="O12" s="25">
        <f>'TUSD BE'!$O$12*'TUSD BF'!$O$74</f>
        <v>0</v>
      </c>
      <c r="P12" s="25">
        <f>'TUSD BE'!$P$12*'TUSD BF'!$P$74</f>
        <v>0</v>
      </c>
      <c r="Q12" s="25">
        <f>'TUSD BE'!$Q$12*'TUSD BF'!$Q$74</f>
        <v>0</v>
      </c>
      <c r="R12" s="25">
        <f>'TUSD BE'!$R$12*'TUSD BF'!$R$74</f>
        <v>0</v>
      </c>
      <c r="S12" s="25">
        <f>'TUSD BE'!$R$12*'TUSD BF'!$S$74</f>
        <v>0</v>
      </c>
      <c r="T12" s="25">
        <f ca="1">SUM($L$12:$S$12)</f>
        <v>0</v>
      </c>
      <c r="U12" s="25">
        <f>'TUSD BE'!$U$12*'TUSD BF'!$U$74</f>
        <v>0.26292066408175252</v>
      </c>
      <c r="V12" s="25">
        <f>'TUSD BE'!$V$12*'TUSD BF'!$V$74</f>
        <v>3.4764869350164831E-2</v>
      </c>
      <c r="W12" s="25">
        <f>'TUSD BE'!$W$12*'TUSD BF'!$W$74</f>
        <v>0</v>
      </c>
      <c r="X12" s="25">
        <f>'TUSD BE'!$X$12*'TUSD BF'!$X$74</f>
        <v>0</v>
      </c>
      <c r="Y12" s="25">
        <f>'TUSD BE'!$Y$12*'TUSD BF'!$Y$74</f>
        <v>0</v>
      </c>
      <c r="Z12" s="25">
        <f>'TUSD BE'!$Z$12*'TUSD BF'!$Z$74</f>
        <v>0</v>
      </c>
      <c r="AA12" s="25">
        <f>'TUSD BE'!$AA$12*'TUSD BF'!$AA$74</f>
        <v>0</v>
      </c>
      <c r="AB12" s="25">
        <f>SUM($U$12:$AA$12)</f>
        <v>0.29768553343191734</v>
      </c>
      <c r="AC12" s="25">
        <f>'TUSD BE'!$AC$12*'TUSD BF'!$AC$74</f>
        <v>0</v>
      </c>
      <c r="AD12" s="25">
        <f>SUM($AC$12:$AC$12)</f>
        <v>0</v>
      </c>
      <c r="AE12" s="25">
        <f ca="1">$AO$12*$AO$71</f>
        <v>0</v>
      </c>
      <c r="AF12" s="25">
        <f ca="1">$AP$12*$AP$71</f>
        <v>0</v>
      </c>
      <c r="AG12" s="25">
        <f ca="1">SUM($AE$12:$AF$12)</f>
        <v>0</v>
      </c>
      <c r="AH12" s="25">
        <f>'TUSD BE'!$AH$12*'TUSD BF'!$AH$74</f>
        <v>0</v>
      </c>
      <c r="AI12" s="25">
        <f>'TUSD BE'!$AI$12*'TUSD BF'!$AI$74</f>
        <v>0</v>
      </c>
      <c r="AJ12" s="25">
        <f ca="1">'TUSD BE'!$AJ$12*'TUSD BF'!$AJ$74</f>
        <v>0</v>
      </c>
      <c r="AK12" s="25">
        <f ca="1">'TUSD BE'!$AK$12*'TUSD BF'!$AK$74</f>
        <v>0</v>
      </c>
      <c r="AL12" s="25">
        <f ca="1">SUM($AH$12:$AK$12)</f>
        <v>0</v>
      </c>
      <c r="AM12" s="25">
        <f ca="1">SUMIF($L$4:$AL$4,"SUBTOTAL",$L$12:$AL$12)</f>
        <v>0.29768553343191734</v>
      </c>
      <c r="AO12" s="30">
        <f ca="1">+'TUSD BE'!$T$12+'TUSD BE'!$AB$12+'TUSD BE'!$AD$12+'TUSD BE'!$AL$12</f>
        <v>23.188125174454559</v>
      </c>
      <c r="AP12" s="30">
        <f ca="1">+'TUSD BE'!$T$12+'TUSD BE'!$AB$12+'TUSD BE'!$AD$12+'TUSD BE'!$AL$12</f>
        <v>23.188125174454559</v>
      </c>
    </row>
    <row r="13" spans="1:42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25">
        <f>'TUSD BE'!$L$13*'TUSD BF'!$L$74</f>
        <v>0.91660905777671386</v>
      </c>
      <c r="M13" s="25">
        <f>'TUSD BE'!$M$13*'TUSD BF'!$M$74</f>
        <v>0</v>
      </c>
      <c r="N13" s="25">
        <f ca="1">'TUSD BE'!$N$13*'TUSD BF'!$N$74</f>
        <v>0</v>
      </c>
      <c r="O13" s="25">
        <f>'TUSD BE'!$O$13*'TUSD BF'!$O$74</f>
        <v>0</v>
      </c>
      <c r="P13" s="25">
        <f>'TUSD BE'!$P$13*'TUSD BF'!$P$74</f>
        <v>0</v>
      </c>
      <c r="Q13" s="25">
        <f>'TUSD BE'!$Q$13*'TUSD BF'!$Q$74</f>
        <v>12.735991341043249</v>
      </c>
      <c r="R13" s="25">
        <f>'TUSD BE'!$R$13*'TUSD BF'!$R$74</f>
        <v>5.5823020080452048</v>
      </c>
      <c r="S13" s="25">
        <f>'TUSD BE'!$R$13*'TUSD BF'!$S$74</f>
        <v>0</v>
      </c>
      <c r="T13" s="25">
        <f ca="1">SUM($L$13:$S$13)</f>
        <v>19.234902406865167</v>
      </c>
      <c r="U13" s="25">
        <f>'TUSD BE'!$U$13*'TUSD BF'!$U$74</f>
        <v>0</v>
      </c>
      <c r="V13" s="25">
        <f>'TUSD BE'!$V$13*'TUSD BF'!$V$74</f>
        <v>0</v>
      </c>
      <c r="W13" s="25">
        <f>'TUSD BE'!$W$13*'TUSD BF'!$W$74</f>
        <v>0</v>
      </c>
      <c r="X13" s="25">
        <f>'TUSD BE'!$X$13*'TUSD BF'!$X$74</f>
        <v>0</v>
      </c>
      <c r="Y13" s="25">
        <f>'TUSD BE'!$Y$13*'TUSD BF'!$Y$74</f>
        <v>0</v>
      </c>
      <c r="Z13" s="25">
        <f>'TUSD BE'!$Z$13*'TUSD BF'!$Z$74</f>
        <v>0</v>
      </c>
      <c r="AA13" s="25">
        <f>'TUSD BE'!$AA$13*'TUSD BF'!$AA$74</f>
        <v>0</v>
      </c>
      <c r="AB13" s="25">
        <f>SUM($U$13:$AA$13)</f>
        <v>0</v>
      </c>
      <c r="AC13" s="25">
        <f>'TUSD BE'!$AC$13*'TUSD BF'!$AC$74</f>
        <v>0</v>
      </c>
      <c r="AD13" s="25">
        <f>SUM($AC$13:$AC$13)</f>
        <v>0</v>
      </c>
      <c r="AE13" s="25">
        <f ca="1">$AO$13*$AO$71</f>
        <v>0</v>
      </c>
      <c r="AF13" s="25">
        <f ca="1">$AP$13*$AP$71</f>
        <v>0</v>
      </c>
      <c r="AG13" s="25">
        <f ca="1">SUM($AE$13:$AF$13)</f>
        <v>0</v>
      </c>
      <c r="AH13" s="25">
        <f>'TUSD BE'!$AH$13*'TUSD BF'!$AH$74</f>
        <v>10.309266224049111</v>
      </c>
      <c r="AI13" s="25">
        <f>'TUSD BE'!$AI$13*'TUSD BF'!$AI$74</f>
        <v>0.83355092496745709</v>
      </c>
      <c r="AJ13" s="25">
        <f ca="1">'TUSD BE'!$AJ$13*'TUSD BF'!$AJ$74</f>
        <v>19.436658899520481</v>
      </c>
      <c r="AK13" s="25">
        <f ca="1">'TUSD BE'!$AK$13*'TUSD BF'!$AK$74</f>
        <v>0</v>
      </c>
      <c r="AL13" s="25">
        <f ca="1">SUM($AH$13:$AK$13)</f>
        <v>30.57947604853705</v>
      </c>
      <c r="AM13" s="25">
        <f ca="1">SUMIF($L$4:$AL$4,"SUBTOTAL",$L$13:$AL$13)</f>
        <v>49.81437845540222</v>
      </c>
      <c r="AO13" s="30">
        <f ca="1">+'TUSD BE'!$T$13+'TUSD BE'!$AB$13+'TUSD BE'!$AD$13+'TUSD BE'!$AL$13</f>
        <v>187.07474420809223</v>
      </c>
      <c r="AP13" s="30">
        <f ca="1">+'TUSD BE'!$T$13+'TUSD BE'!$AB$13+'TUSD BE'!$AD$13+'TUSD BE'!$AL$13</f>
        <v>187.07474420809223</v>
      </c>
    </row>
    <row r="14" spans="1:42" ht="11.25" customHeight="1" x14ac:dyDescent="0.25">
      <c r="A14" s="118"/>
      <c r="B14" s="118"/>
      <c r="C14" s="118"/>
      <c r="D14" s="118"/>
      <c r="E14" s="28" t="s">
        <v>85</v>
      </c>
      <c r="F14" s="28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25">
        <f>'TUSD BE'!$L$14*'TUSD BF'!$L$74</f>
        <v>0</v>
      </c>
      <c r="M14" s="25">
        <f>'TUSD BE'!$M$14*'TUSD BF'!$M$74</f>
        <v>0</v>
      </c>
      <c r="N14" s="25">
        <f ca="1">'TUSD BE'!$N$14*'TUSD BF'!$N$74</f>
        <v>0</v>
      </c>
      <c r="O14" s="25">
        <f>'TUSD BE'!$O$14*'TUSD BF'!$O$74</f>
        <v>0</v>
      </c>
      <c r="P14" s="25">
        <f>'TUSD BE'!$P$14*'TUSD BF'!$P$74</f>
        <v>0</v>
      </c>
      <c r="Q14" s="25">
        <f>'TUSD BE'!$Q$14*'TUSD BF'!$Q$74</f>
        <v>0</v>
      </c>
      <c r="R14" s="25">
        <f>'TUSD BE'!$R$14*'TUSD BF'!$R$74</f>
        <v>0</v>
      </c>
      <c r="S14" s="25">
        <f>'TUSD BE'!$R$14*'TUSD BF'!$S$74</f>
        <v>0</v>
      </c>
      <c r="T14" s="25">
        <f ca="1">SUM($L$14:$S$14)</f>
        <v>0</v>
      </c>
      <c r="U14" s="25">
        <f>'TUSD BE'!$U$14*'TUSD BF'!$U$74</f>
        <v>0</v>
      </c>
      <c r="V14" s="25">
        <f>'TUSD BE'!$V$14*'TUSD BF'!$V$74</f>
        <v>0</v>
      </c>
      <c r="W14" s="25">
        <f>'TUSD BE'!$W$14*'TUSD BF'!$W$74</f>
        <v>0</v>
      </c>
      <c r="X14" s="25">
        <f>'TUSD BE'!$X$14*'TUSD BF'!$X$74</f>
        <v>0</v>
      </c>
      <c r="Y14" s="25">
        <f>'TUSD BE'!$Y$14*'TUSD BF'!$Y$74</f>
        <v>0</v>
      </c>
      <c r="Z14" s="25">
        <f>'TUSD BE'!$Z$14*'TUSD BF'!$Z$74</f>
        <v>0</v>
      </c>
      <c r="AA14" s="25">
        <f>'TUSD BE'!$AA$14*'TUSD BF'!$AA$74</f>
        <v>0</v>
      </c>
      <c r="AB14" s="25">
        <f>SUM($U$14:$AA$14)</f>
        <v>0</v>
      </c>
      <c r="AC14" s="25">
        <f>'TUSD BE'!$AC$14*'TUSD BF'!$AC$74</f>
        <v>0</v>
      </c>
      <c r="AD14" s="25">
        <f>SUM($AC$14:$AC$14)</f>
        <v>0</v>
      </c>
      <c r="AE14" s="25">
        <f ca="1">$AO$14*$AO$71</f>
        <v>0</v>
      </c>
      <c r="AF14" s="25">
        <f ca="1">$AP$14*$AP$71</f>
        <v>0</v>
      </c>
      <c r="AG14" s="25">
        <f ca="1">SUM($AE$14:$AF$14)</f>
        <v>0</v>
      </c>
      <c r="AH14" s="25">
        <f>'TUSD BE'!$AH$14*'TUSD BF'!$AH$74</f>
        <v>10.309266224049111</v>
      </c>
      <c r="AI14" s="25">
        <f>'TUSD BE'!$AI$14*'TUSD BF'!$AI$74</f>
        <v>0.83355092496745709</v>
      </c>
      <c r="AJ14" s="25">
        <f ca="1">'TUSD BE'!$AJ$14*'TUSD BF'!$AJ$74</f>
        <v>19.436658899520481</v>
      </c>
      <c r="AK14" s="25">
        <f ca="1">'TUSD BE'!$AK$14*'TUSD BF'!$AK$74</f>
        <v>0</v>
      </c>
      <c r="AL14" s="25">
        <f ca="1">SUM($AH$14:$AK$14)</f>
        <v>30.57947604853705</v>
      </c>
      <c r="AM14" s="25">
        <f ca="1">SUMIF($L$4:$AL$4,"SUBTOTAL",$L$14:$AL$14)</f>
        <v>30.57947604853705</v>
      </c>
      <c r="AO14" s="30">
        <f ca="1">+'TUSD BE'!$T$14+'TUSD BE'!$AB$14+'TUSD BE'!$AD$14+'TUSD BE'!$AL$14</f>
        <v>117.52868464989017</v>
      </c>
      <c r="AP14" s="30">
        <f ca="1">+'TUSD BE'!$T$14+'TUSD BE'!$AB$14+'TUSD BE'!$AD$14+'TUSD BE'!$AL$14</f>
        <v>117.52868464989017</v>
      </c>
    </row>
    <row r="15" spans="1:42" ht="11.25" customHeight="1" x14ac:dyDescent="0.25">
      <c r="A15" s="118"/>
      <c r="B15" s="28" t="s">
        <v>58</v>
      </c>
      <c r="C15" s="28" t="s">
        <v>25</v>
      </c>
      <c r="D15" s="28" t="s">
        <v>25</v>
      </c>
      <c r="E15" s="28" t="s">
        <v>25</v>
      </c>
      <c r="F15" s="28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25">
        <f>'TUSD BE'!$L$15*'TUSD BF'!$L$74</f>
        <v>0</v>
      </c>
      <c r="M15" s="25">
        <f>'TUSD BE'!$M$15*'TUSD BF'!$M$74</f>
        <v>0</v>
      </c>
      <c r="N15" s="25">
        <f ca="1">'TUSD BE'!$N$15*'TUSD BF'!$N$74</f>
        <v>0</v>
      </c>
      <c r="O15" s="25">
        <f>'TUSD BE'!$O$15*'TUSD BF'!$O$74</f>
        <v>0</v>
      </c>
      <c r="P15" s="25">
        <f>'TUSD BE'!$P$15*'TUSD BF'!$P$74</f>
        <v>0</v>
      </c>
      <c r="Q15" s="25">
        <f>'TUSD BE'!$Q$15*'TUSD BF'!$Q$74</f>
        <v>0</v>
      </c>
      <c r="R15" s="25">
        <f>'TUSD BE'!$R$15*'TUSD BF'!$R$74</f>
        <v>0</v>
      </c>
      <c r="S15" s="25">
        <f>'TUSD BE'!$R$15*'TUSD BF'!$S$74</f>
        <v>0</v>
      </c>
      <c r="T15" s="25">
        <f ca="1">SUM($L$15:$S$15)</f>
        <v>0</v>
      </c>
      <c r="U15" s="25">
        <f>'TUSD BE'!$U$15*'TUSD BF'!$U$74</f>
        <v>0</v>
      </c>
      <c r="V15" s="25">
        <f>'TUSD BE'!$V$15*'TUSD BF'!$V$74</f>
        <v>0</v>
      </c>
      <c r="W15" s="25">
        <f>'TUSD BE'!$W$15*'TUSD BF'!$W$74</f>
        <v>0</v>
      </c>
      <c r="X15" s="25">
        <f>'TUSD BE'!$X$15*'TUSD BF'!$X$74</f>
        <v>0</v>
      </c>
      <c r="Y15" s="25">
        <f>'TUSD BE'!$Y$15*'TUSD BF'!$Y$74</f>
        <v>0</v>
      </c>
      <c r="Z15" s="25">
        <f>'TUSD BE'!$Z$15*'TUSD BF'!$Z$74</f>
        <v>0</v>
      </c>
      <c r="AA15" s="25">
        <f>'TUSD BE'!$AA$15*'TUSD BF'!$AA$74</f>
        <v>0</v>
      </c>
      <c r="AB15" s="25">
        <f>SUM($U$15:$AA$15)</f>
        <v>0</v>
      </c>
      <c r="AC15" s="25">
        <f>'TUSD BE'!$AC$15*'TUSD BF'!$AC$74</f>
        <v>0</v>
      </c>
      <c r="AD15" s="25">
        <f>SUM($AC$15:$AC$15)</f>
        <v>0</v>
      </c>
      <c r="AE15" s="25">
        <f ca="1">$AO$15*$AO$71</f>
        <v>0</v>
      </c>
      <c r="AF15" s="25">
        <f ca="1">$AP$15*$AP$71</f>
        <v>0</v>
      </c>
      <c r="AG15" s="25">
        <f ca="1">SUM($AE$15:$AF$15)</f>
        <v>0</v>
      </c>
      <c r="AH15" s="25">
        <f>'TUSD BE'!$AH$15*'TUSD BF'!$AH$74</f>
        <v>0</v>
      </c>
      <c r="AI15" s="25">
        <f>'TUSD BE'!$AI$15*'TUSD BF'!$AI$74</f>
        <v>0</v>
      </c>
      <c r="AJ15" s="25">
        <f ca="1">'TUSD BE'!$AJ$15*'TUSD BF'!$AJ$74</f>
        <v>0</v>
      </c>
      <c r="AK15" s="25">
        <f ca="1">'TUSD BE'!$AK$15*'TUSD BF'!$AK$74</f>
        <v>0</v>
      </c>
      <c r="AL15" s="25">
        <f ca="1">SUM($AH$15:$AK$15)</f>
        <v>0</v>
      </c>
      <c r="AM15" s="25">
        <f ca="1">SUMIF($L$4:$AL$4,"SUBTOTAL",$L$15:$AL$15)</f>
        <v>0</v>
      </c>
      <c r="AO15" s="30">
        <f ca="1">+'TUSD BE'!$T$15+'TUSD BE'!$AB$15+'TUSD BE'!$AD$15+'TUSD BE'!$AL$15</f>
        <v>11.129000766933141</v>
      </c>
      <c r="AP15" s="30">
        <f ca="1">+'TUSD BE'!$T$15+'TUSD BE'!$AB$15+'TUSD BE'!$AD$15+'TUSD BE'!$AL$15</f>
        <v>11.129000766933141</v>
      </c>
    </row>
    <row r="16" spans="1:42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25">
        <f>'TUSD BE'!$L$16*'TUSD BF'!$L$74</f>
        <v>0</v>
      </c>
      <c r="M16" s="25">
        <f>'TUSD BE'!$M$16*'TUSD BF'!$M$74</f>
        <v>0</v>
      </c>
      <c r="N16" s="25">
        <f ca="1">'TUSD BE'!$N$16*'TUSD BF'!$N$74</f>
        <v>0</v>
      </c>
      <c r="O16" s="25">
        <f>'TUSD BE'!$O$16*'TUSD BF'!$O$74</f>
        <v>0</v>
      </c>
      <c r="P16" s="25">
        <f>'TUSD BE'!$P$16*'TUSD BF'!$P$74</f>
        <v>0</v>
      </c>
      <c r="Q16" s="25">
        <f>'TUSD BE'!$Q$16*'TUSD BF'!$Q$74</f>
        <v>0</v>
      </c>
      <c r="R16" s="25">
        <f>'TUSD BE'!$R$16*'TUSD BF'!$R$74</f>
        <v>0</v>
      </c>
      <c r="S16" s="25">
        <f>'TUSD BE'!$R$16*'TUSD BF'!$S$74</f>
        <v>0</v>
      </c>
      <c r="T16" s="25">
        <f ca="1">SUM($L$16:$S$16)</f>
        <v>0</v>
      </c>
      <c r="U16" s="25">
        <f>'TUSD BE'!$U$16*'TUSD BF'!$U$74</f>
        <v>0.26292066408175252</v>
      </c>
      <c r="V16" s="25">
        <f>'TUSD BE'!$V$16*'TUSD BF'!$V$74</f>
        <v>3.4764869350164831E-2</v>
      </c>
      <c r="W16" s="25">
        <f>'TUSD BE'!$W$16*'TUSD BF'!$W$74</f>
        <v>0</v>
      </c>
      <c r="X16" s="25">
        <f>'TUSD BE'!$X$16*'TUSD BF'!$X$74</f>
        <v>0</v>
      </c>
      <c r="Y16" s="25">
        <f>'TUSD BE'!$Y$16*'TUSD BF'!$Y$74</f>
        <v>0</v>
      </c>
      <c r="Z16" s="25">
        <f>'TUSD BE'!$Z$16*'TUSD BF'!$Z$74</f>
        <v>0</v>
      </c>
      <c r="AA16" s="25">
        <f>'TUSD BE'!$AA$16*'TUSD BF'!$AA$74</f>
        <v>0</v>
      </c>
      <c r="AB16" s="25">
        <f>SUM($U$16:$AA$16)</f>
        <v>0.29768553343191734</v>
      </c>
      <c r="AC16" s="25">
        <f>'TUSD BE'!$AC$16*'TUSD BF'!$AC$74</f>
        <v>0</v>
      </c>
      <c r="AD16" s="25">
        <f>SUM($AC$16:$AC$16)</f>
        <v>0</v>
      </c>
      <c r="AE16" s="25">
        <f ca="1">$AO$16*$AO$71</f>
        <v>0</v>
      </c>
      <c r="AF16" s="25">
        <f ca="1">$AP$16*$AP$71</f>
        <v>0</v>
      </c>
      <c r="AG16" s="25">
        <f ca="1">SUM($AE$16:$AF$16)</f>
        <v>0</v>
      </c>
      <c r="AH16" s="25">
        <f>'TUSD BE'!$AH$16*'TUSD BF'!$AH$74</f>
        <v>0</v>
      </c>
      <c r="AI16" s="25">
        <f>'TUSD BE'!$AI$16*'TUSD BF'!$AI$74</f>
        <v>0</v>
      </c>
      <c r="AJ16" s="25">
        <f ca="1">'TUSD BE'!$AJ$16*'TUSD BF'!$AJ$74</f>
        <v>0</v>
      </c>
      <c r="AK16" s="25">
        <f ca="1">'TUSD BE'!$AK$16*'TUSD BF'!$AK$74</f>
        <v>0</v>
      </c>
      <c r="AL16" s="25">
        <f ca="1">SUM($AH$16:$AK$16)</f>
        <v>0</v>
      </c>
      <c r="AM16" s="25">
        <f ca="1">SUMIF($L$4:$AL$4,"SUBTOTAL",$L$16:$AL$16)</f>
        <v>0.29768553343191734</v>
      </c>
      <c r="AO16" s="30">
        <f ca="1">+'TUSD BE'!$T$16+'TUSD BE'!$AB$16+'TUSD BE'!$AD$16+'TUSD BE'!$AL$16</f>
        <v>23.188125174454559</v>
      </c>
      <c r="AP16" s="30">
        <f ca="1">+'TUSD BE'!$T$16+'TUSD BE'!$AB$16+'TUSD BE'!$AD$16+'TUSD BE'!$AL$16</f>
        <v>23.188125174454559</v>
      </c>
    </row>
    <row r="17" spans="1:42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25">
        <f>'TUSD BE'!$L$17*'TUSD BF'!$L$74</f>
        <v>0.91660905777671386</v>
      </c>
      <c r="M17" s="25">
        <f>'TUSD BE'!$M$17*'TUSD BF'!$M$74</f>
        <v>0</v>
      </c>
      <c r="N17" s="25">
        <f ca="1">'TUSD BE'!$N$17*'TUSD BF'!$N$74</f>
        <v>0</v>
      </c>
      <c r="O17" s="25">
        <f>'TUSD BE'!$O$17*'TUSD BF'!$O$74</f>
        <v>0</v>
      </c>
      <c r="P17" s="25">
        <f>'TUSD BE'!$P$17*'TUSD BF'!$P$74</f>
        <v>0</v>
      </c>
      <c r="Q17" s="25">
        <f>'TUSD BE'!$Q$17*'TUSD BF'!$Q$74</f>
        <v>12.735991341043249</v>
      </c>
      <c r="R17" s="25">
        <f>'TUSD BE'!$R$17*'TUSD BF'!$R$74</f>
        <v>5.5823020080452048</v>
      </c>
      <c r="S17" s="25">
        <f>'TUSD BE'!$R$17*'TUSD BF'!$S$74</f>
        <v>0</v>
      </c>
      <c r="T17" s="25">
        <f ca="1">SUM($L$17:$S$17)</f>
        <v>19.234902406865167</v>
      </c>
      <c r="U17" s="25">
        <f>'TUSD BE'!$U$17*'TUSD BF'!$U$74</f>
        <v>11.502749761290978</v>
      </c>
      <c r="V17" s="25">
        <f>'TUSD BE'!$V$17*'TUSD BF'!$V$74</f>
        <v>1.4759541084103291</v>
      </c>
      <c r="W17" s="25">
        <f>'TUSD BE'!$W$17*'TUSD BF'!$W$74</f>
        <v>0</v>
      </c>
      <c r="X17" s="25">
        <f>'TUSD BE'!$X$17*'TUSD BF'!$X$74</f>
        <v>0</v>
      </c>
      <c r="Y17" s="25">
        <f>'TUSD BE'!$Y$17*'TUSD BF'!$Y$74</f>
        <v>0</v>
      </c>
      <c r="Z17" s="25">
        <f>'TUSD BE'!$Z$17*'TUSD BF'!$Z$74</f>
        <v>0</v>
      </c>
      <c r="AA17" s="25">
        <f>'TUSD BE'!$AA$17*'TUSD BF'!$AA$74</f>
        <v>0</v>
      </c>
      <c r="AB17" s="25">
        <f>SUM($U$17:$AA$17)</f>
        <v>12.978703869701308</v>
      </c>
      <c r="AC17" s="25">
        <f>'TUSD BE'!$AC$17*'TUSD BF'!$AC$74</f>
        <v>0</v>
      </c>
      <c r="AD17" s="25">
        <f>SUM($AC$17:$AC$17)</f>
        <v>0</v>
      </c>
      <c r="AE17" s="25">
        <f ca="1">$AO$17*$AO$71</f>
        <v>0</v>
      </c>
      <c r="AF17" s="25">
        <f ca="1">$AP$17*$AP$71</f>
        <v>0</v>
      </c>
      <c r="AG17" s="25">
        <f ca="1">SUM($AE$17:$AF$17)</f>
        <v>0</v>
      </c>
      <c r="AH17" s="25">
        <f>'TUSD BE'!$AH$17*'TUSD BF'!$AH$74</f>
        <v>10.309266224049111</v>
      </c>
      <c r="AI17" s="25">
        <f>'TUSD BE'!$AI$17*'TUSD BF'!$AI$74</f>
        <v>0.83355092496745709</v>
      </c>
      <c r="AJ17" s="25">
        <f ca="1">'TUSD BE'!$AJ$17*'TUSD BF'!$AJ$74</f>
        <v>19.436658899520481</v>
      </c>
      <c r="AK17" s="25">
        <f ca="1">'TUSD BE'!$AK$17*'TUSD BF'!$AK$74</f>
        <v>0</v>
      </c>
      <c r="AL17" s="25">
        <f ca="1">SUM($AH$17:$AK$17)</f>
        <v>30.57947604853705</v>
      </c>
      <c r="AM17" s="25">
        <f ca="1">SUMIF($L$4:$AL$4,"SUBTOTAL",$L$17:$AL$17)</f>
        <v>62.793082325103526</v>
      </c>
      <c r="AO17" s="30">
        <f ca="1">+'TUSD BE'!$T$17+'TUSD BE'!$AB$17+'TUSD BE'!$AD$17+'TUSD BE'!$AL$17</f>
        <v>1617.2538086907</v>
      </c>
      <c r="AP17" s="30">
        <f ca="1">+'TUSD BE'!$T$17+'TUSD BE'!$AB$17+'TUSD BE'!$AD$17+'TUSD BE'!$AL$17</f>
        <v>1617.2538086907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25">
        <f>'TUSD BE'!$L$18*'TUSD BF'!$L$74</f>
        <v>0.91660905777671386</v>
      </c>
      <c r="M18" s="25">
        <f>'TUSD BE'!$M$18*'TUSD BF'!$M$74</f>
        <v>0</v>
      </c>
      <c r="N18" s="25">
        <f ca="1">'TUSD BE'!$N$18*'TUSD BF'!$N$74</f>
        <v>0</v>
      </c>
      <c r="O18" s="25">
        <f>'TUSD BE'!$O$18*'TUSD BF'!$O$74</f>
        <v>0</v>
      </c>
      <c r="P18" s="25">
        <f>'TUSD BE'!$P$18*'TUSD BF'!$P$74</f>
        <v>0</v>
      </c>
      <c r="Q18" s="25">
        <f>'TUSD BE'!$Q$18*'TUSD BF'!$Q$74</f>
        <v>12.735991341043249</v>
      </c>
      <c r="R18" s="25">
        <f>'TUSD BE'!$R$18*'TUSD BF'!$R$74</f>
        <v>5.5823020080452048</v>
      </c>
      <c r="S18" s="25">
        <f>'TUSD BE'!$R$18*'TUSD BF'!$S$74</f>
        <v>0</v>
      </c>
      <c r="T18" s="25">
        <f ca="1">SUM($L$18:$S$18)</f>
        <v>19.234902406865167</v>
      </c>
      <c r="U18" s="25">
        <f>'TUSD BE'!$U$18*'TUSD BF'!$U$74</f>
        <v>0</v>
      </c>
      <c r="V18" s="25">
        <f>'TUSD BE'!$V$18*'TUSD BF'!$V$74</f>
        <v>0</v>
      </c>
      <c r="W18" s="25">
        <f>'TUSD BE'!$W$18*'TUSD BF'!$W$74</f>
        <v>0</v>
      </c>
      <c r="X18" s="25">
        <f>'TUSD BE'!$X$18*'TUSD BF'!$X$74</f>
        <v>0</v>
      </c>
      <c r="Y18" s="25">
        <f>'TUSD BE'!$Y$18*'TUSD BF'!$Y$74</f>
        <v>0</v>
      </c>
      <c r="Z18" s="25">
        <f>'TUSD BE'!$Z$18*'TUSD BF'!$Z$74</f>
        <v>0</v>
      </c>
      <c r="AA18" s="25">
        <f>'TUSD BE'!$AA$18*'TUSD BF'!$AA$74</f>
        <v>0</v>
      </c>
      <c r="AB18" s="25">
        <f>SUM($U$18:$AA$18)</f>
        <v>0</v>
      </c>
      <c r="AC18" s="25">
        <f>'TUSD BE'!$AC$18*'TUSD BF'!$AC$74</f>
        <v>0</v>
      </c>
      <c r="AD18" s="25">
        <f>SUM($AC$18:$AC$18)</f>
        <v>0</v>
      </c>
      <c r="AE18" s="25">
        <f ca="1">$AO$18*$AO$71</f>
        <v>0</v>
      </c>
      <c r="AF18" s="25">
        <f ca="1">$AP$18*$AP$71</f>
        <v>0</v>
      </c>
      <c r="AG18" s="25">
        <f ca="1">SUM($AE$18:$AF$18)</f>
        <v>0</v>
      </c>
      <c r="AH18" s="25">
        <f>'TUSD BE'!$AH$18*'TUSD BF'!$AH$74</f>
        <v>10.309266224049111</v>
      </c>
      <c r="AI18" s="25">
        <f>'TUSD BE'!$AI$18*'TUSD BF'!$AI$74</f>
        <v>0.83355092496745709</v>
      </c>
      <c r="AJ18" s="25">
        <f ca="1">'TUSD BE'!$AJ$18*'TUSD BF'!$AJ$74</f>
        <v>19.436658899520481</v>
      </c>
      <c r="AK18" s="25">
        <f ca="1">'TUSD BE'!$AK$18*'TUSD BF'!$AK$74</f>
        <v>0</v>
      </c>
      <c r="AL18" s="25">
        <f ca="1">SUM($AH$18:$AK$18)</f>
        <v>30.57947604853705</v>
      </c>
      <c r="AM18" s="25">
        <f ca="1">SUMIF($L$4:$AL$4,"SUBTOTAL",$L$18:$AL$18)</f>
        <v>49.81437845540222</v>
      </c>
      <c r="AO18" s="30">
        <f ca="1">+'TUSD BE'!$T$18+'TUSD BE'!$AB$18+'TUSD BE'!$AD$18+'TUSD BE'!$AL$18</f>
        <v>187.07474420809223</v>
      </c>
      <c r="AP18" s="30">
        <f ca="1">+'TUSD BE'!$T$18+'TUSD BE'!$AB$18+'TUSD BE'!$AD$18+'TUSD BE'!$AL$18</f>
        <v>187.07474420809223</v>
      </c>
    </row>
    <row r="19" spans="1:42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25">
        <f>'TUSD BE'!$L$19*'TUSD BF'!$L$74</f>
        <v>0</v>
      </c>
      <c r="M19" s="25">
        <f>'TUSD BE'!$M$19*'TUSD BF'!$M$74</f>
        <v>0</v>
      </c>
      <c r="N19" s="25">
        <f ca="1">'TUSD BE'!$N$19*'TUSD BF'!$N$74</f>
        <v>0</v>
      </c>
      <c r="O19" s="25">
        <f>'TUSD BE'!$O$19*'TUSD BF'!$O$74</f>
        <v>0</v>
      </c>
      <c r="P19" s="25">
        <f>'TUSD BE'!$P$19*'TUSD BF'!$P$74</f>
        <v>0</v>
      </c>
      <c r="Q19" s="25">
        <f>'TUSD BE'!$Q$19*'TUSD BF'!$Q$74</f>
        <v>0</v>
      </c>
      <c r="R19" s="25">
        <f>'TUSD BE'!$R$19*'TUSD BF'!$R$74</f>
        <v>0</v>
      </c>
      <c r="S19" s="25">
        <f>'TUSD BE'!$R$19*'TUSD BF'!$S$74</f>
        <v>0</v>
      </c>
      <c r="T19" s="25">
        <f ca="1">SUM($L$19:$S$19)</f>
        <v>0</v>
      </c>
      <c r="U19" s="25">
        <f>'TUSD BE'!$U$19*'TUSD BF'!$U$74</f>
        <v>11.502749761290978</v>
      </c>
      <c r="V19" s="25">
        <f>'TUSD BE'!$V$19*'TUSD BF'!$V$74</f>
        <v>1.4759541084103291</v>
      </c>
      <c r="W19" s="25">
        <f>'TUSD BE'!$W$19*'TUSD BF'!$W$74</f>
        <v>0</v>
      </c>
      <c r="X19" s="25">
        <f>'TUSD BE'!$X$19*'TUSD BF'!$X$74</f>
        <v>0</v>
      </c>
      <c r="Y19" s="25">
        <f>'TUSD BE'!$Y$19*'TUSD BF'!$Y$74</f>
        <v>0</v>
      </c>
      <c r="Z19" s="25">
        <f>'TUSD BE'!$Z$19*'TUSD BF'!$Z$74</f>
        <v>0</v>
      </c>
      <c r="AA19" s="25">
        <f>'TUSD BE'!$AA$19*'TUSD BF'!$AA$74</f>
        <v>0</v>
      </c>
      <c r="AB19" s="25">
        <f>SUM($U$19:$AA$19)</f>
        <v>12.978703869701308</v>
      </c>
      <c r="AC19" s="25">
        <f>'TUSD BE'!$AC$19*'TUSD BF'!$AC$74</f>
        <v>0</v>
      </c>
      <c r="AD19" s="25">
        <f>SUM($AC$19:$AC$19)</f>
        <v>0</v>
      </c>
      <c r="AE19" s="25">
        <f ca="1">$AO$19*$AO$71</f>
        <v>0</v>
      </c>
      <c r="AF19" s="25">
        <f ca="1">$AP$19*$AP$71</f>
        <v>0</v>
      </c>
      <c r="AG19" s="25">
        <f ca="1">SUM($AE$19:$AF$19)</f>
        <v>0</v>
      </c>
      <c r="AH19" s="25">
        <f>'TUSD BE'!$AH$19*'TUSD BF'!$AH$74</f>
        <v>10.309266224049111</v>
      </c>
      <c r="AI19" s="25">
        <f>'TUSD BE'!$AI$19*'TUSD BF'!$AI$74</f>
        <v>0.83355092496745709</v>
      </c>
      <c r="AJ19" s="25">
        <f ca="1">'TUSD BE'!$AJ$19*'TUSD BF'!$AJ$74</f>
        <v>19.436658899520481</v>
      </c>
      <c r="AK19" s="25">
        <f ca="1">'TUSD BE'!$AK$19*'TUSD BF'!$AK$74</f>
        <v>0</v>
      </c>
      <c r="AL19" s="25">
        <f ca="1">SUM($AH$19:$AK$19)</f>
        <v>30.57947604853705</v>
      </c>
      <c r="AM19" s="25">
        <f ca="1">SUMIF($L$4:$AL$4,"SUBTOTAL",$L$19:$AL$19)</f>
        <v>43.558179918238359</v>
      </c>
      <c r="AO19" s="30">
        <f ca="1">+'TUSD BE'!$T$19+'TUSD BE'!$AB$19+'TUSD BE'!$AD$19+'TUSD BE'!$AL$19</f>
        <v>1547.7077491324978</v>
      </c>
      <c r="AP19" s="30">
        <f ca="1">+'TUSD BE'!$T$19+'TUSD BE'!$AB$19+'TUSD BE'!$AD$19+'TUSD BE'!$AL$19</f>
        <v>1547.7077491324978</v>
      </c>
    </row>
    <row r="20" spans="1:42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25">
        <f>'TUSD BE'!$L$20*'TUSD BF'!$L$74</f>
        <v>0</v>
      </c>
      <c r="M20" s="25">
        <f>'TUSD BE'!$M$20*'TUSD BF'!$M$74</f>
        <v>0</v>
      </c>
      <c r="N20" s="25">
        <f ca="1">'TUSD BE'!$N$20*'TUSD BF'!$N$74</f>
        <v>0</v>
      </c>
      <c r="O20" s="25">
        <f>'TUSD BE'!$O$20*'TUSD BF'!$O$74</f>
        <v>0</v>
      </c>
      <c r="P20" s="25">
        <f>'TUSD BE'!$P$20*'TUSD BF'!$P$74</f>
        <v>0</v>
      </c>
      <c r="Q20" s="25">
        <f>'TUSD BE'!$Q$20*'TUSD BF'!$Q$74</f>
        <v>0</v>
      </c>
      <c r="R20" s="25">
        <f>'TUSD BE'!$R$20*'TUSD BF'!$R$74</f>
        <v>0</v>
      </c>
      <c r="S20" s="25">
        <f>'TUSD BE'!$R$20*'TUSD BF'!$S$74</f>
        <v>0</v>
      </c>
      <c r="T20" s="25">
        <f ca="1">SUM($L$20:$S$20)</f>
        <v>0</v>
      </c>
      <c r="U20" s="25">
        <f>'TUSD BE'!$U$20*'TUSD BF'!$U$74</f>
        <v>0</v>
      </c>
      <c r="V20" s="25">
        <f>'TUSD BE'!$V$20*'TUSD BF'!$V$74</f>
        <v>0</v>
      </c>
      <c r="W20" s="25">
        <f>'TUSD BE'!$W$20*'TUSD BF'!$W$74</f>
        <v>0</v>
      </c>
      <c r="X20" s="25">
        <f>'TUSD BE'!$X$20*'TUSD BF'!$X$74</f>
        <v>0</v>
      </c>
      <c r="Y20" s="25">
        <f>'TUSD BE'!$Y$20*'TUSD BF'!$Y$74</f>
        <v>0</v>
      </c>
      <c r="Z20" s="25">
        <f>'TUSD BE'!$Z$20*'TUSD BF'!$Z$74</f>
        <v>0</v>
      </c>
      <c r="AA20" s="25">
        <f>'TUSD BE'!$AA$20*'TUSD BF'!$AA$74</f>
        <v>0</v>
      </c>
      <c r="AB20" s="25">
        <f>SUM($U$20:$AA$20)</f>
        <v>0</v>
      </c>
      <c r="AC20" s="25">
        <f>'TUSD BE'!$AC$20*'TUSD BF'!$AC$74</f>
        <v>0</v>
      </c>
      <c r="AD20" s="25">
        <f>SUM($AC$20:$AC$20)</f>
        <v>0</v>
      </c>
      <c r="AE20" s="25">
        <f ca="1">$AO$20*$AO$71</f>
        <v>0</v>
      </c>
      <c r="AF20" s="25">
        <f ca="1">$AP$20*$AP$71</f>
        <v>0</v>
      </c>
      <c r="AG20" s="25">
        <f ca="1">SUM($AE$20:$AF$20)</f>
        <v>0</v>
      </c>
      <c r="AH20" s="25">
        <f>'TUSD BE'!$AH$20*'TUSD BF'!$AH$74</f>
        <v>10.309266224049111</v>
      </c>
      <c r="AI20" s="25">
        <f>'TUSD BE'!$AI$20*'TUSD BF'!$AI$74</f>
        <v>0.83355092496745709</v>
      </c>
      <c r="AJ20" s="25">
        <f ca="1">'TUSD BE'!$AJ$20*'TUSD BF'!$AJ$74</f>
        <v>19.436658899520481</v>
      </c>
      <c r="AK20" s="25">
        <f ca="1">'TUSD BE'!$AK$20*'TUSD BF'!$AK$74</f>
        <v>0</v>
      </c>
      <c r="AL20" s="25">
        <f ca="1">SUM($AH$20:$AK$20)</f>
        <v>30.57947604853705</v>
      </c>
      <c r="AM20" s="25">
        <f ca="1">SUMIF($L$4:$AL$4,"SUBTOTAL",$L$20:$AL$20)</f>
        <v>30.57947604853705</v>
      </c>
      <c r="AO20" s="30">
        <f ca="1">+'TUSD BE'!$T$20+'TUSD BE'!$AB$20+'TUSD BE'!$AD$20+'TUSD BE'!$AL$20</f>
        <v>117.52868464989017</v>
      </c>
      <c r="AP20" s="30">
        <f ca="1">+'TUSD BE'!$T$20+'TUSD BE'!$AB$20+'TUSD BE'!$AD$20+'TUSD BE'!$AL$20</f>
        <v>117.52868464989017</v>
      </c>
    </row>
    <row r="21" spans="1:42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25">
        <f>'TUSD BE'!$L$21*'TUSD BF'!$L$74</f>
        <v>0</v>
      </c>
      <c r="M21" s="25">
        <f>'TUSD BE'!$M$21*'TUSD BF'!$M$74</f>
        <v>0</v>
      </c>
      <c r="N21" s="25">
        <f ca="1">'TUSD BE'!$N$21*'TUSD BF'!$N$74</f>
        <v>0</v>
      </c>
      <c r="O21" s="25">
        <f>'TUSD BE'!$O$21*'TUSD BF'!$O$74</f>
        <v>0</v>
      </c>
      <c r="P21" s="25">
        <f>'TUSD BE'!$P$21*'TUSD BF'!$P$74</f>
        <v>0</v>
      </c>
      <c r="Q21" s="25">
        <f>'TUSD BE'!$Q$21*'TUSD BF'!$Q$74</f>
        <v>0</v>
      </c>
      <c r="R21" s="25">
        <f>'TUSD BE'!$R$21*'TUSD BF'!$R$74</f>
        <v>0</v>
      </c>
      <c r="S21" s="25">
        <f>'TUSD BE'!$R$21*'TUSD BF'!$S$74</f>
        <v>0</v>
      </c>
      <c r="T21" s="25">
        <f ca="1">SUM($L$21:$S$21)</f>
        <v>0</v>
      </c>
      <c r="U21" s="25">
        <f>'TUSD BE'!$U$21*'TUSD BF'!$U$74</f>
        <v>0.47828444080239951</v>
      </c>
      <c r="V21" s="25">
        <f>'TUSD BE'!$V$21*'TUSD BF'!$V$74</f>
        <v>6.1368684602790692E-2</v>
      </c>
      <c r="W21" s="25">
        <f>'TUSD BE'!$W$21*'TUSD BF'!$W$74</f>
        <v>0</v>
      </c>
      <c r="X21" s="25">
        <f>'TUSD BE'!$X$21*'TUSD BF'!$X$74</f>
        <v>0</v>
      </c>
      <c r="Y21" s="25">
        <f>'TUSD BE'!$Y$21*'TUSD BF'!$Y$74</f>
        <v>0</v>
      </c>
      <c r="Z21" s="25">
        <f>'TUSD BE'!$Z$21*'TUSD BF'!$Z$74</f>
        <v>0</v>
      </c>
      <c r="AA21" s="25">
        <f>'TUSD BE'!$AA$21*'TUSD BF'!$AA$74</f>
        <v>0</v>
      </c>
      <c r="AB21" s="25">
        <f>SUM($U$21:$AA$21)</f>
        <v>0.53965312540519017</v>
      </c>
      <c r="AC21" s="25">
        <f>'TUSD BE'!$AC$21*'TUSD BF'!$AC$74</f>
        <v>0</v>
      </c>
      <c r="AD21" s="25">
        <f>SUM($AC$21:$AC$21)</f>
        <v>0</v>
      </c>
      <c r="AE21" s="25">
        <f ca="1">$AO$21*$AO$71</f>
        <v>0</v>
      </c>
      <c r="AF21" s="25">
        <f ca="1">$AP$21*$AP$71</f>
        <v>0</v>
      </c>
      <c r="AG21" s="25">
        <f ca="1">SUM($AE$21:$AF$21)</f>
        <v>0</v>
      </c>
      <c r="AH21" s="25">
        <f>'TUSD BE'!$AH$21*'TUSD BF'!$AH$74</f>
        <v>0</v>
      </c>
      <c r="AI21" s="25">
        <f>'TUSD BE'!$AI$21*'TUSD BF'!$AI$74</f>
        <v>0</v>
      </c>
      <c r="AJ21" s="25">
        <f ca="1">'TUSD BE'!$AJ$21*'TUSD BF'!$AJ$74</f>
        <v>0</v>
      </c>
      <c r="AK21" s="25">
        <f ca="1">'TUSD BE'!$AK$21*'TUSD BF'!$AK$74</f>
        <v>0</v>
      </c>
      <c r="AL21" s="25">
        <f ca="1">SUM($AH$21:$AK$21)</f>
        <v>0</v>
      </c>
      <c r="AM21" s="25">
        <f ca="1">SUMIF($L$4:$AL$4,"SUBTOTAL",$L$21:$AL$21)</f>
        <v>0.53965312540519017</v>
      </c>
      <c r="AO21" s="30">
        <f ca="1">+'TUSD BE'!$T$21+'TUSD BE'!$AB$21+'TUSD BE'!$AD$21+'TUSD BE'!$AL$21</f>
        <v>58.944019371545011</v>
      </c>
      <c r="AP21" s="30">
        <f ca="1">+'TUSD BE'!$T$21+'TUSD BE'!$AB$21+'TUSD BE'!$AD$21+'TUSD BE'!$AL$21</f>
        <v>58.944019371545011</v>
      </c>
    </row>
    <row r="22" spans="1:42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25">
        <f>'TUSD BE'!$L$22*'TUSD BF'!$L$74</f>
        <v>0</v>
      </c>
      <c r="M22" s="25">
        <f>'TUSD BE'!$M$22*'TUSD BF'!$M$74</f>
        <v>0</v>
      </c>
      <c r="N22" s="25">
        <f ca="1">'TUSD BE'!$N$22*'TUSD BF'!$N$74</f>
        <v>0</v>
      </c>
      <c r="O22" s="25">
        <f>'TUSD BE'!$O$22*'TUSD BF'!$O$74</f>
        <v>0</v>
      </c>
      <c r="P22" s="25">
        <f>'TUSD BE'!$P$22*'TUSD BF'!$P$74</f>
        <v>0</v>
      </c>
      <c r="Q22" s="25">
        <f>'TUSD BE'!$Q$22*'TUSD BF'!$Q$74</f>
        <v>0</v>
      </c>
      <c r="R22" s="25">
        <f>'TUSD BE'!$R$22*'TUSD BF'!$R$74</f>
        <v>0</v>
      </c>
      <c r="S22" s="25">
        <f>'TUSD BE'!$R$22*'TUSD BF'!$S$74</f>
        <v>0</v>
      </c>
      <c r="T22" s="25">
        <f ca="1">SUM($L$22:$S$22)</f>
        <v>0</v>
      </c>
      <c r="U22" s="25">
        <f>'TUSD BE'!$U$22*'TUSD BF'!$U$74</f>
        <v>0.26292066408175252</v>
      </c>
      <c r="V22" s="25">
        <f>'TUSD BE'!$V$22*'TUSD BF'!$V$74</f>
        <v>3.4764869350164831E-2</v>
      </c>
      <c r="W22" s="25">
        <f>'TUSD BE'!$W$22*'TUSD BF'!$W$74</f>
        <v>0</v>
      </c>
      <c r="X22" s="25">
        <f>'TUSD BE'!$X$22*'TUSD BF'!$X$74</f>
        <v>0</v>
      </c>
      <c r="Y22" s="25">
        <f>'TUSD BE'!$Y$22*'TUSD BF'!$Y$74</f>
        <v>0</v>
      </c>
      <c r="Z22" s="25">
        <f>'TUSD BE'!$Z$22*'TUSD BF'!$Z$74</f>
        <v>0</v>
      </c>
      <c r="AA22" s="25">
        <f>'TUSD BE'!$AA$22*'TUSD BF'!$AA$74</f>
        <v>0</v>
      </c>
      <c r="AB22" s="25">
        <f>SUM($U$22:$AA$22)</f>
        <v>0.29768553343191734</v>
      </c>
      <c r="AC22" s="25">
        <f>'TUSD BE'!$AC$22*'TUSD BF'!$AC$74</f>
        <v>0</v>
      </c>
      <c r="AD22" s="25">
        <f>SUM($AC$22:$AC$22)</f>
        <v>0</v>
      </c>
      <c r="AE22" s="25">
        <f ca="1">$AO$22*$AO$71</f>
        <v>0</v>
      </c>
      <c r="AF22" s="25">
        <f ca="1">$AP$22*$AP$71</f>
        <v>0</v>
      </c>
      <c r="AG22" s="25">
        <f ca="1">SUM($AE$22:$AF$22)</f>
        <v>0</v>
      </c>
      <c r="AH22" s="25">
        <f>'TUSD BE'!$AH$22*'TUSD BF'!$AH$74</f>
        <v>0</v>
      </c>
      <c r="AI22" s="25">
        <f>'TUSD BE'!$AI$22*'TUSD BF'!$AI$74</f>
        <v>0</v>
      </c>
      <c r="AJ22" s="25">
        <f ca="1">'TUSD BE'!$AJ$22*'TUSD BF'!$AJ$74</f>
        <v>0</v>
      </c>
      <c r="AK22" s="25">
        <f ca="1">'TUSD BE'!$AK$22*'TUSD BF'!$AK$74</f>
        <v>0</v>
      </c>
      <c r="AL22" s="25">
        <f ca="1">SUM($AH$22:$AK$22)</f>
        <v>0</v>
      </c>
      <c r="AM22" s="25">
        <f ca="1">SUMIF($L$4:$AL$4,"SUBTOTAL",$L$22:$AL$22)</f>
        <v>0.29768553343191734</v>
      </c>
      <c r="AO22" s="30">
        <f ca="1">+'TUSD BE'!$T$22+'TUSD BE'!$AB$22+'TUSD BE'!$AD$22+'TUSD BE'!$AL$22</f>
        <v>23.188125174454559</v>
      </c>
      <c r="AP22" s="30">
        <f ca="1">+'TUSD BE'!$T$22+'TUSD BE'!$AB$22+'TUSD BE'!$AD$22+'TUSD BE'!$AL$22</f>
        <v>23.188125174454559</v>
      </c>
    </row>
    <row r="23" spans="1:42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25">
        <f>'TUSD BE'!$L$23*'TUSD BF'!$L$74</f>
        <v>0.91660905777671386</v>
      </c>
      <c r="M23" s="25">
        <f>'TUSD BE'!$M$23*'TUSD BF'!$M$74</f>
        <v>0</v>
      </c>
      <c r="N23" s="25">
        <f ca="1">'TUSD BE'!$N$23*'TUSD BF'!$N$74</f>
        <v>0</v>
      </c>
      <c r="O23" s="25">
        <f>'TUSD BE'!$O$23*'TUSD BF'!$O$74</f>
        <v>0</v>
      </c>
      <c r="P23" s="25">
        <f>'TUSD BE'!$P$23*'TUSD BF'!$P$74</f>
        <v>0</v>
      </c>
      <c r="Q23" s="25">
        <f>'TUSD BE'!$Q$23*'TUSD BF'!$Q$74</f>
        <v>12.735991341043249</v>
      </c>
      <c r="R23" s="25">
        <f>'TUSD BE'!$R$23*'TUSD BF'!$R$74</f>
        <v>5.5823020080452048</v>
      </c>
      <c r="S23" s="25">
        <f>'TUSD BE'!$R$23*'TUSD BF'!$S$74</f>
        <v>0</v>
      </c>
      <c r="T23" s="25">
        <f ca="1">SUM($L$23:$S$23)</f>
        <v>19.234902406865167</v>
      </c>
      <c r="U23" s="25">
        <f>'TUSD BE'!$U$23*'TUSD BF'!$U$74</f>
        <v>0</v>
      </c>
      <c r="V23" s="25">
        <f>'TUSD BE'!$V$23*'TUSD BF'!$V$74</f>
        <v>0</v>
      </c>
      <c r="W23" s="25">
        <f>'TUSD BE'!$W$23*'TUSD BF'!$W$74</f>
        <v>0</v>
      </c>
      <c r="X23" s="25">
        <f>'TUSD BE'!$X$23*'TUSD BF'!$X$74</f>
        <v>0</v>
      </c>
      <c r="Y23" s="25">
        <f>'TUSD BE'!$Y$23*'TUSD BF'!$Y$74</f>
        <v>0</v>
      </c>
      <c r="Z23" s="25">
        <f>'TUSD BE'!$Z$23*'TUSD BF'!$Z$74</f>
        <v>0</v>
      </c>
      <c r="AA23" s="25">
        <f>'TUSD BE'!$AA$23*'TUSD BF'!$AA$74</f>
        <v>0</v>
      </c>
      <c r="AB23" s="25">
        <f>SUM($U$23:$AA$23)</f>
        <v>0</v>
      </c>
      <c r="AC23" s="25">
        <f>'TUSD BE'!$AC$23*'TUSD BF'!$AC$74</f>
        <v>0</v>
      </c>
      <c r="AD23" s="25">
        <f>SUM($AC$23:$AC$23)</f>
        <v>0</v>
      </c>
      <c r="AE23" s="25">
        <f ca="1">$AO$23*$AO$71</f>
        <v>0</v>
      </c>
      <c r="AF23" s="25">
        <f ca="1">$AP$23*$AP$71</f>
        <v>0</v>
      </c>
      <c r="AG23" s="25">
        <f ca="1">SUM($AE$23:$AF$23)</f>
        <v>0</v>
      </c>
      <c r="AH23" s="25">
        <f>'TUSD BE'!$AH$23*'TUSD BF'!$AH$74</f>
        <v>10.309266224049111</v>
      </c>
      <c r="AI23" s="25">
        <f>'TUSD BE'!$AI$23*'TUSD BF'!$AI$74</f>
        <v>0.83355092496745709</v>
      </c>
      <c r="AJ23" s="25">
        <f ca="1">'TUSD BE'!$AJ$23*'TUSD BF'!$AJ$74</f>
        <v>19.436658899520481</v>
      </c>
      <c r="AK23" s="25">
        <f ca="1">'TUSD BE'!$AK$23*'TUSD BF'!$AK$74</f>
        <v>0</v>
      </c>
      <c r="AL23" s="25">
        <f ca="1">SUM($AH$23:$AK$23)</f>
        <v>30.57947604853705</v>
      </c>
      <c r="AM23" s="25">
        <f ca="1">SUMIF($L$4:$AL$4,"SUBTOTAL",$L$23:$AL$23)</f>
        <v>49.81437845540222</v>
      </c>
      <c r="AO23" s="30">
        <f ca="1">+'TUSD BE'!$T$23+'TUSD BE'!$AB$23+'TUSD BE'!$AD$23+'TUSD BE'!$AL$23</f>
        <v>187.07474420809223</v>
      </c>
      <c r="AP23" s="30">
        <f ca="1">+'TUSD BE'!$T$23+'TUSD BE'!$AB$23+'TUSD BE'!$AD$23+'TUSD BE'!$AL$23</f>
        <v>187.07474420809223</v>
      </c>
    </row>
    <row r="24" spans="1:42" ht="11.25" customHeight="1" x14ac:dyDescent="0.25">
      <c r="A24" s="118"/>
      <c r="B24" s="118"/>
      <c r="C24" s="118"/>
      <c r="D24" s="118"/>
      <c r="E24" s="28" t="s">
        <v>85</v>
      </c>
      <c r="F24" s="28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25">
        <f>'TUSD BE'!$L$24*'TUSD BF'!$L$74</f>
        <v>0</v>
      </c>
      <c r="M24" s="25">
        <f>'TUSD BE'!$M$24*'TUSD BF'!$M$74</f>
        <v>0</v>
      </c>
      <c r="N24" s="25">
        <f ca="1">'TUSD BE'!$N$24*'TUSD BF'!$N$74</f>
        <v>0</v>
      </c>
      <c r="O24" s="25">
        <f>'TUSD BE'!$O$24*'TUSD BF'!$O$74</f>
        <v>0</v>
      </c>
      <c r="P24" s="25">
        <f>'TUSD BE'!$P$24*'TUSD BF'!$P$74</f>
        <v>0</v>
      </c>
      <c r="Q24" s="25">
        <f>'TUSD BE'!$Q$24*'TUSD BF'!$Q$74</f>
        <v>0</v>
      </c>
      <c r="R24" s="25">
        <f>'TUSD BE'!$R$24*'TUSD BF'!$R$74</f>
        <v>0</v>
      </c>
      <c r="S24" s="25">
        <f>'TUSD BE'!$R$24*'TUSD BF'!$S$74</f>
        <v>0</v>
      </c>
      <c r="T24" s="25">
        <f ca="1">SUM($L$24:$S$24)</f>
        <v>0</v>
      </c>
      <c r="U24" s="25">
        <f>'TUSD BE'!$U$24*'TUSD BF'!$U$74</f>
        <v>0</v>
      </c>
      <c r="V24" s="25">
        <f>'TUSD BE'!$V$24*'TUSD BF'!$V$74</f>
        <v>0</v>
      </c>
      <c r="W24" s="25">
        <f>'TUSD BE'!$W$24*'TUSD BF'!$W$74</f>
        <v>0</v>
      </c>
      <c r="X24" s="25">
        <f>'TUSD BE'!$X$24*'TUSD BF'!$X$74</f>
        <v>0</v>
      </c>
      <c r="Y24" s="25">
        <f>'TUSD BE'!$Y$24*'TUSD BF'!$Y$74</f>
        <v>0</v>
      </c>
      <c r="Z24" s="25">
        <f>'TUSD BE'!$Z$24*'TUSD BF'!$Z$74</f>
        <v>0</v>
      </c>
      <c r="AA24" s="25">
        <f>'TUSD BE'!$AA$24*'TUSD BF'!$AA$74</f>
        <v>0</v>
      </c>
      <c r="AB24" s="25">
        <f>SUM($U$24:$AA$24)</f>
        <v>0</v>
      </c>
      <c r="AC24" s="25">
        <f>'TUSD BE'!$AC$24*'TUSD BF'!$AC$74</f>
        <v>0</v>
      </c>
      <c r="AD24" s="25">
        <f>SUM($AC$24:$AC$24)</f>
        <v>0</v>
      </c>
      <c r="AE24" s="25">
        <f ca="1">$AO$24*$AO$71</f>
        <v>0</v>
      </c>
      <c r="AF24" s="25">
        <f ca="1">$AP$24*$AP$71</f>
        <v>0</v>
      </c>
      <c r="AG24" s="25">
        <f ca="1">SUM($AE$24:$AF$24)</f>
        <v>0</v>
      </c>
      <c r="AH24" s="25">
        <f>'TUSD BE'!$AH$24*'TUSD BF'!$AH$74</f>
        <v>10.309266224049111</v>
      </c>
      <c r="AI24" s="25">
        <f>'TUSD BE'!$AI$24*'TUSD BF'!$AI$74</f>
        <v>0.83355092496745709</v>
      </c>
      <c r="AJ24" s="25">
        <f ca="1">'TUSD BE'!$AJ$24*'TUSD BF'!$AJ$74</f>
        <v>19.436658899520481</v>
      </c>
      <c r="AK24" s="25">
        <f ca="1">'TUSD BE'!$AK$24*'TUSD BF'!$AK$74</f>
        <v>0</v>
      </c>
      <c r="AL24" s="25">
        <f ca="1">SUM($AH$24:$AK$24)</f>
        <v>30.57947604853705</v>
      </c>
      <c r="AM24" s="25">
        <f ca="1">SUMIF($L$4:$AL$4,"SUBTOTAL",$L$24:$AL$24)</f>
        <v>30.57947604853705</v>
      </c>
      <c r="AO24" s="30">
        <f ca="1">+'TUSD BE'!$T$24+'TUSD BE'!$AB$24+'TUSD BE'!$AD$24+'TUSD BE'!$AL$24</f>
        <v>117.52868464989017</v>
      </c>
      <c r="AP24" s="30">
        <f ca="1">+'TUSD BE'!$T$24+'TUSD BE'!$AB$24+'TUSD BE'!$AD$24+'TUSD BE'!$AL$24</f>
        <v>117.52868464989017</v>
      </c>
    </row>
    <row r="25" spans="1:42" ht="11.25" customHeight="1" x14ac:dyDescent="0.25">
      <c r="A25" s="118"/>
      <c r="B25" s="28" t="s">
        <v>58</v>
      </c>
      <c r="C25" s="28" t="s">
        <v>25</v>
      </c>
      <c r="D25" s="28" t="s">
        <v>25</v>
      </c>
      <c r="E25" s="28" t="s">
        <v>25</v>
      </c>
      <c r="F25" s="28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25">
        <f>'TUSD BE'!$L$25*'TUSD BF'!$L$74</f>
        <v>0</v>
      </c>
      <c r="M25" s="25">
        <f>'TUSD BE'!$M$25*'TUSD BF'!$M$74</f>
        <v>0</v>
      </c>
      <c r="N25" s="25">
        <f ca="1">'TUSD BE'!$N$25*'TUSD BF'!$N$74</f>
        <v>0</v>
      </c>
      <c r="O25" s="25">
        <f>'TUSD BE'!$O$25*'TUSD BF'!$O$74</f>
        <v>0</v>
      </c>
      <c r="P25" s="25">
        <f>'TUSD BE'!$P$25*'TUSD BF'!$P$74</f>
        <v>0</v>
      </c>
      <c r="Q25" s="25">
        <f>'TUSD BE'!$Q$25*'TUSD BF'!$Q$74</f>
        <v>0</v>
      </c>
      <c r="R25" s="25">
        <f>'TUSD BE'!$R$25*'TUSD BF'!$R$74</f>
        <v>0</v>
      </c>
      <c r="S25" s="25">
        <f>'TUSD BE'!$R$25*'TUSD BF'!$S$74</f>
        <v>0</v>
      </c>
      <c r="T25" s="25">
        <f ca="1">SUM($L$25:$S$25)</f>
        <v>0</v>
      </c>
      <c r="U25" s="25">
        <f>'TUSD BE'!$U$25*'TUSD BF'!$U$74</f>
        <v>0</v>
      </c>
      <c r="V25" s="25">
        <f>'TUSD BE'!$V$25*'TUSD BF'!$V$74</f>
        <v>0</v>
      </c>
      <c r="W25" s="25">
        <f>'TUSD BE'!$W$25*'TUSD BF'!$W$74</f>
        <v>0</v>
      </c>
      <c r="X25" s="25">
        <f>'TUSD BE'!$X$25*'TUSD BF'!$X$74</f>
        <v>0</v>
      </c>
      <c r="Y25" s="25">
        <f>'TUSD BE'!$Y$25*'TUSD BF'!$Y$74</f>
        <v>0</v>
      </c>
      <c r="Z25" s="25">
        <f>'TUSD BE'!$Z$25*'TUSD BF'!$Z$74</f>
        <v>0</v>
      </c>
      <c r="AA25" s="25">
        <f>'TUSD BE'!$AA$25*'TUSD BF'!$AA$74</f>
        <v>0</v>
      </c>
      <c r="AB25" s="25">
        <f>SUM($U$25:$AA$25)</f>
        <v>0</v>
      </c>
      <c r="AC25" s="25">
        <f>'TUSD BE'!$AC$25*'TUSD BF'!$AC$74</f>
        <v>0</v>
      </c>
      <c r="AD25" s="25">
        <f>SUM($AC$25:$AC$25)</f>
        <v>0</v>
      </c>
      <c r="AE25" s="25">
        <f ca="1">$AO$25*$AO$71</f>
        <v>0</v>
      </c>
      <c r="AF25" s="25">
        <f ca="1">$AP$25*$AP$71</f>
        <v>0</v>
      </c>
      <c r="AG25" s="25">
        <f ca="1">SUM($AE$25:$AF$25)</f>
        <v>0</v>
      </c>
      <c r="AH25" s="25">
        <f>'TUSD BE'!$AH$25*'TUSD BF'!$AH$74</f>
        <v>0</v>
      </c>
      <c r="AI25" s="25">
        <f>'TUSD BE'!$AI$25*'TUSD BF'!$AI$74</f>
        <v>0</v>
      </c>
      <c r="AJ25" s="25">
        <f ca="1">'TUSD BE'!$AJ$25*'TUSD BF'!$AJ$74</f>
        <v>0</v>
      </c>
      <c r="AK25" s="25">
        <f ca="1">'TUSD BE'!$AK$25*'TUSD BF'!$AK$74</f>
        <v>0</v>
      </c>
      <c r="AL25" s="25">
        <f ca="1">SUM($AH$25:$AK$25)</f>
        <v>0</v>
      </c>
      <c r="AM25" s="25">
        <f ca="1">SUMIF($L$4:$AL$4,"SUBTOTAL",$L$25:$AL$25)</f>
        <v>0</v>
      </c>
      <c r="AO25" s="30">
        <f ca="1">+'TUSD BE'!$T$25+'TUSD BE'!$AB$25+'TUSD BE'!$AD$25+'TUSD BE'!$AL$25</f>
        <v>11.129000766933141</v>
      </c>
      <c r="AP25" s="30">
        <f ca="1">+'TUSD BE'!$T$25+'TUSD BE'!$AB$25+'TUSD BE'!$AD$25+'TUSD BE'!$AL$25</f>
        <v>11.129000766933141</v>
      </c>
    </row>
    <row r="26" spans="1:42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25">
        <f>'TUSD BE'!$L$26*'TUSD BF'!$L$74</f>
        <v>0</v>
      </c>
      <c r="M26" s="25">
        <f>'TUSD BE'!$M$26*'TUSD BF'!$M$74</f>
        <v>0</v>
      </c>
      <c r="N26" s="25">
        <f ca="1">'TUSD BE'!$N$26*'TUSD BF'!$N$74</f>
        <v>0</v>
      </c>
      <c r="O26" s="25">
        <f>'TUSD BE'!$O$26*'TUSD BF'!$O$74</f>
        <v>0</v>
      </c>
      <c r="P26" s="25">
        <f>'TUSD BE'!$P$26*'TUSD BF'!$P$74</f>
        <v>0</v>
      </c>
      <c r="Q26" s="25">
        <f>'TUSD BE'!$Q$26*'TUSD BF'!$Q$74</f>
        <v>0</v>
      </c>
      <c r="R26" s="25">
        <f>'TUSD BE'!$R$26*'TUSD BF'!$R$74</f>
        <v>0</v>
      </c>
      <c r="S26" s="25">
        <f>'TUSD BE'!$R$26*'TUSD BF'!$S$74</f>
        <v>0</v>
      </c>
      <c r="T26" s="25">
        <f ca="1">SUM($L$26:$S$26)</f>
        <v>0</v>
      </c>
      <c r="U26" s="25">
        <f>'TUSD BE'!$U$26*'TUSD BF'!$U$74</f>
        <v>0.26292066408175252</v>
      </c>
      <c r="V26" s="25">
        <f>'TUSD BE'!$V$26*'TUSD BF'!$V$74</f>
        <v>3.4764869350164831E-2</v>
      </c>
      <c r="W26" s="25">
        <f>'TUSD BE'!$W$26*'TUSD BF'!$W$74</f>
        <v>0</v>
      </c>
      <c r="X26" s="25">
        <f>'TUSD BE'!$X$26*'TUSD BF'!$X$74</f>
        <v>0</v>
      </c>
      <c r="Y26" s="25">
        <f>'TUSD BE'!$Y$26*'TUSD BF'!$Y$74</f>
        <v>0</v>
      </c>
      <c r="Z26" s="25">
        <f>'TUSD BE'!$Z$26*'TUSD BF'!$Z$74</f>
        <v>0</v>
      </c>
      <c r="AA26" s="25">
        <f>'TUSD BE'!$AA$26*'TUSD BF'!$AA$74</f>
        <v>0</v>
      </c>
      <c r="AB26" s="25">
        <f>SUM($U$26:$AA$26)</f>
        <v>0.29768553343191734</v>
      </c>
      <c r="AC26" s="25">
        <f>'TUSD BE'!$AC$26*'TUSD BF'!$AC$74</f>
        <v>0</v>
      </c>
      <c r="AD26" s="25">
        <f>SUM($AC$26:$AC$26)</f>
        <v>0</v>
      </c>
      <c r="AE26" s="25">
        <f ca="1">$AO$26*$AO$71</f>
        <v>0</v>
      </c>
      <c r="AF26" s="25">
        <f ca="1">$AP$26*$AP$71</f>
        <v>0</v>
      </c>
      <c r="AG26" s="25">
        <f ca="1">SUM($AE$26:$AF$26)</f>
        <v>0</v>
      </c>
      <c r="AH26" s="25">
        <f>'TUSD BE'!$AH$26*'TUSD BF'!$AH$74</f>
        <v>0</v>
      </c>
      <c r="AI26" s="25">
        <f>'TUSD BE'!$AI$26*'TUSD BF'!$AI$74</f>
        <v>0</v>
      </c>
      <c r="AJ26" s="25">
        <f ca="1">'TUSD BE'!$AJ$26*'TUSD BF'!$AJ$74</f>
        <v>0</v>
      </c>
      <c r="AK26" s="25">
        <f ca="1">'TUSD BE'!$AK$26*'TUSD BF'!$AK$74</f>
        <v>0</v>
      </c>
      <c r="AL26" s="25">
        <f ca="1">SUM($AH$26:$AK$26)</f>
        <v>0</v>
      </c>
      <c r="AM26" s="25">
        <f ca="1">SUMIF($L$4:$AL$4,"SUBTOTAL",$L$26:$AL$26)</f>
        <v>0.29768553343191734</v>
      </c>
      <c r="AO26" s="30">
        <f ca="1">+'TUSD BE'!$T$26+'TUSD BE'!$AB$26+'TUSD BE'!$AD$26+'TUSD BE'!$AL$26</f>
        <v>23.188125174454559</v>
      </c>
      <c r="AP26" s="30">
        <f ca="1">+'TUSD BE'!$T$26+'TUSD BE'!$AB$26+'TUSD BE'!$AD$26+'TUSD BE'!$AL$26</f>
        <v>23.188125174454559</v>
      </c>
    </row>
    <row r="27" spans="1:42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25">
        <f>'TUSD BE'!$L$27*'TUSD BF'!$L$74</f>
        <v>0.91660905777671386</v>
      </c>
      <c r="M27" s="25">
        <f>'TUSD BE'!$M$27*'TUSD BF'!$M$74</f>
        <v>0</v>
      </c>
      <c r="N27" s="25">
        <f ca="1">'TUSD BE'!$N$27*'TUSD BF'!$N$74</f>
        <v>0</v>
      </c>
      <c r="O27" s="25">
        <f>'TUSD BE'!$O$27*'TUSD BF'!$O$74</f>
        <v>0</v>
      </c>
      <c r="P27" s="25">
        <f>'TUSD BE'!$P$27*'TUSD BF'!$P$74</f>
        <v>0</v>
      </c>
      <c r="Q27" s="25">
        <f>'TUSD BE'!$Q$27*'TUSD BF'!$Q$74</f>
        <v>12.735991341043249</v>
      </c>
      <c r="R27" s="25">
        <f>'TUSD BE'!$R$27*'TUSD BF'!$R$74</f>
        <v>5.5823020080452048</v>
      </c>
      <c r="S27" s="25">
        <f>'TUSD BE'!$R$27*'TUSD BF'!$S$74</f>
        <v>0</v>
      </c>
      <c r="T27" s="25">
        <f ca="1">SUM($L$27:$S$27)</f>
        <v>19.234902406865167</v>
      </c>
      <c r="U27" s="25">
        <f>'TUSD BE'!$U$27*'TUSD BF'!$U$74</f>
        <v>11.502749761290978</v>
      </c>
      <c r="V27" s="25">
        <f>'TUSD BE'!$V$27*'TUSD BF'!$V$74</f>
        <v>1.4759541084103291</v>
      </c>
      <c r="W27" s="25">
        <f>'TUSD BE'!$W$27*'TUSD BF'!$W$74</f>
        <v>0</v>
      </c>
      <c r="X27" s="25">
        <f>'TUSD BE'!$X$27*'TUSD BF'!$X$74</f>
        <v>0</v>
      </c>
      <c r="Y27" s="25">
        <f>'TUSD BE'!$Y$27*'TUSD BF'!$Y$74</f>
        <v>0</v>
      </c>
      <c r="Z27" s="25">
        <f>'TUSD BE'!$Z$27*'TUSD BF'!$Z$74</f>
        <v>0</v>
      </c>
      <c r="AA27" s="25">
        <f>'TUSD BE'!$AA$27*'TUSD BF'!$AA$74</f>
        <v>0</v>
      </c>
      <c r="AB27" s="25">
        <f>SUM($U$27:$AA$27)</f>
        <v>12.978703869701308</v>
      </c>
      <c r="AC27" s="25">
        <f>'TUSD BE'!$AC$27*'TUSD BF'!$AC$74</f>
        <v>0</v>
      </c>
      <c r="AD27" s="25">
        <f>SUM($AC$27:$AC$27)</f>
        <v>0</v>
      </c>
      <c r="AE27" s="25">
        <f ca="1">$AO$27*$AO$71</f>
        <v>0</v>
      </c>
      <c r="AF27" s="25">
        <f ca="1">$AP$27*$AP$71</f>
        <v>0</v>
      </c>
      <c r="AG27" s="25">
        <f ca="1">SUM($AE$27:$AF$27)</f>
        <v>0</v>
      </c>
      <c r="AH27" s="25">
        <f>'TUSD BE'!$AH$27*'TUSD BF'!$AH$74</f>
        <v>10.309266224049111</v>
      </c>
      <c r="AI27" s="25">
        <f>'TUSD BE'!$AI$27*'TUSD BF'!$AI$74</f>
        <v>0.83355092496745709</v>
      </c>
      <c r="AJ27" s="25">
        <f ca="1">'TUSD BE'!$AJ$27*'TUSD BF'!$AJ$74</f>
        <v>19.436658899520481</v>
      </c>
      <c r="AK27" s="25">
        <f ca="1">'TUSD BE'!$AK$27*'TUSD BF'!$AK$74</f>
        <v>0</v>
      </c>
      <c r="AL27" s="25">
        <f ca="1">SUM($AH$27:$AK$27)</f>
        <v>30.57947604853705</v>
      </c>
      <c r="AM27" s="25">
        <f ca="1">SUMIF($L$4:$AL$4,"SUBTOTAL",$L$27:$AL$27)</f>
        <v>62.793082325103526</v>
      </c>
      <c r="AO27" s="30">
        <f ca="1">+'TUSD BE'!$T$27+'TUSD BE'!$AB$27+'TUSD BE'!$AD$27+'TUSD BE'!$AL$27</f>
        <v>1617.2538086907</v>
      </c>
      <c r="AP27" s="30">
        <f ca="1">+'TUSD BE'!$T$27+'TUSD BE'!$AB$27+'TUSD BE'!$AD$27+'TUSD BE'!$AL$27</f>
        <v>1617.2538086907</v>
      </c>
    </row>
    <row r="28" spans="1:42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25">
        <f>'TUSD BE'!$L$28*'TUSD BF'!$L$74</f>
        <v>0.91660905777671386</v>
      </c>
      <c r="M28" s="25">
        <f>'TUSD BE'!$M$28*'TUSD BF'!$M$74</f>
        <v>0</v>
      </c>
      <c r="N28" s="25">
        <f ca="1">'TUSD BE'!$N$28*'TUSD BF'!$N$74</f>
        <v>0</v>
      </c>
      <c r="O28" s="25">
        <f>'TUSD BE'!$O$28*'TUSD BF'!$O$74</f>
        <v>0</v>
      </c>
      <c r="P28" s="25">
        <f>'TUSD BE'!$P$28*'TUSD BF'!$P$74</f>
        <v>0</v>
      </c>
      <c r="Q28" s="25">
        <f>'TUSD BE'!$Q$28*'TUSD BF'!$Q$74</f>
        <v>12.735991341043249</v>
      </c>
      <c r="R28" s="25">
        <f>'TUSD BE'!$R$28*'TUSD BF'!$R$74</f>
        <v>5.5823020080452048</v>
      </c>
      <c r="S28" s="25">
        <f>'TUSD BE'!$R$28*'TUSD BF'!$S$74</f>
        <v>0</v>
      </c>
      <c r="T28" s="25">
        <f ca="1">SUM($L$28:$S$28)</f>
        <v>19.234902406865167</v>
      </c>
      <c r="U28" s="25">
        <f>'TUSD BE'!$U$28*'TUSD BF'!$U$74</f>
        <v>0</v>
      </c>
      <c r="V28" s="25">
        <f>'TUSD BE'!$V$28*'TUSD BF'!$V$74</f>
        <v>0</v>
      </c>
      <c r="W28" s="25">
        <f>'TUSD BE'!$W$28*'TUSD BF'!$W$74</f>
        <v>0</v>
      </c>
      <c r="X28" s="25">
        <f>'TUSD BE'!$X$28*'TUSD BF'!$X$74</f>
        <v>0</v>
      </c>
      <c r="Y28" s="25">
        <f>'TUSD BE'!$Y$28*'TUSD BF'!$Y$74</f>
        <v>0</v>
      </c>
      <c r="Z28" s="25">
        <f>'TUSD BE'!$Z$28*'TUSD BF'!$Z$74</f>
        <v>0</v>
      </c>
      <c r="AA28" s="25">
        <f>'TUSD BE'!$AA$28*'TUSD BF'!$AA$74</f>
        <v>0</v>
      </c>
      <c r="AB28" s="25">
        <f>SUM($U$28:$AA$28)</f>
        <v>0</v>
      </c>
      <c r="AC28" s="25">
        <f>'TUSD BE'!$AC$28*'TUSD BF'!$AC$74</f>
        <v>0</v>
      </c>
      <c r="AD28" s="25">
        <f>SUM($AC$28:$AC$28)</f>
        <v>0</v>
      </c>
      <c r="AE28" s="25">
        <f ca="1">$AO$28*$AO$71</f>
        <v>0</v>
      </c>
      <c r="AF28" s="25">
        <f ca="1">$AP$28*$AP$71</f>
        <v>0</v>
      </c>
      <c r="AG28" s="25">
        <f ca="1">SUM($AE$28:$AF$28)</f>
        <v>0</v>
      </c>
      <c r="AH28" s="25">
        <f>'TUSD BE'!$AH$28*'TUSD BF'!$AH$74</f>
        <v>10.309266224049111</v>
      </c>
      <c r="AI28" s="25">
        <f>'TUSD BE'!$AI$28*'TUSD BF'!$AI$74</f>
        <v>0.83355092496745709</v>
      </c>
      <c r="AJ28" s="25">
        <f ca="1">'TUSD BE'!$AJ$28*'TUSD BF'!$AJ$74</f>
        <v>19.436658899520481</v>
      </c>
      <c r="AK28" s="25">
        <f ca="1">'TUSD BE'!$AK$28*'TUSD BF'!$AK$74</f>
        <v>0</v>
      </c>
      <c r="AL28" s="25">
        <f ca="1">SUM($AH$28:$AK$28)</f>
        <v>30.57947604853705</v>
      </c>
      <c r="AM28" s="25">
        <f ca="1">SUMIF($L$4:$AL$4,"SUBTOTAL",$L$28:$AL$28)</f>
        <v>49.81437845540222</v>
      </c>
      <c r="AO28" s="30">
        <f ca="1">+'TUSD BE'!$T$28+'TUSD BE'!$AB$28+'TUSD BE'!$AD$28+'TUSD BE'!$AL$28</f>
        <v>187.07474420809223</v>
      </c>
      <c r="AP28" s="30">
        <f ca="1">+'TUSD BE'!$T$28+'TUSD BE'!$AB$28+'TUSD BE'!$AD$28+'TUSD BE'!$AL$28</f>
        <v>187.07474420809223</v>
      </c>
    </row>
    <row r="29" spans="1:42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25">
        <f>'TUSD BE'!$L$29*'TUSD BF'!$L$74</f>
        <v>0</v>
      </c>
      <c r="M29" s="25">
        <f>'TUSD BE'!$M$29*'TUSD BF'!$M$74</f>
        <v>0</v>
      </c>
      <c r="N29" s="25">
        <f ca="1">'TUSD BE'!$N$29*'TUSD BF'!$N$74</f>
        <v>0</v>
      </c>
      <c r="O29" s="25">
        <f>'TUSD BE'!$O$29*'TUSD BF'!$O$74</f>
        <v>0</v>
      </c>
      <c r="P29" s="25">
        <f>'TUSD BE'!$P$29*'TUSD BF'!$P$74</f>
        <v>0</v>
      </c>
      <c r="Q29" s="25">
        <f>'TUSD BE'!$Q$29*'TUSD BF'!$Q$74</f>
        <v>0</v>
      </c>
      <c r="R29" s="25">
        <f>'TUSD BE'!$R$29*'TUSD BF'!$R$74</f>
        <v>0</v>
      </c>
      <c r="S29" s="25">
        <f>'TUSD BE'!$R$29*'TUSD BF'!$S$74</f>
        <v>0</v>
      </c>
      <c r="T29" s="25">
        <f ca="1">SUM($L$29:$S$29)</f>
        <v>0</v>
      </c>
      <c r="U29" s="25">
        <f>'TUSD BE'!$U$29*'TUSD BF'!$U$74</f>
        <v>11.502749761290978</v>
      </c>
      <c r="V29" s="25">
        <f>'TUSD BE'!$V$29*'TUSD BF'!$V$74</f>
        <v>1.4759541084103291</v>
      </c>
      <c r="W29" s="25">
        <f>'TUSD BE'!$W$29*'TUSD BF'!$W$74</f>
        <v>0</v>
      </c>
      <c r="X29" s="25">
        <f>'TUSD BE'!$X$29*'TUSD BF'!$X$74</f>
        <v>0</v>
      </c>
      <c r="Y29" s="25">
        <f>'TUSD BE'!$Y$29*'TUSD BF'!$Y$74</f>
        <v>0</v>
      </c>
      <c r="Z29" s="25">
        <f>'TUSD BE'!$Z$29*'TUSD BF'!$Z$74</f>
        <v>0</v>
      </c>
      <c r="AA29" s="25">
        <f>'TUSD BE'!$AA$29*'TUSD BF'!$AA$74</f>
        <v>0</v>
      </c>
      <c r="AB29" s="25">
        <f>SUM($U$29:$AA$29)</f>
        <v>12.978703869701308</v>
      </c>
      <c r="AC29" s="25">
        <f>'TUSD BE'!$AC$29*'TUSD BF'!$AC$74</f>
        <v>0</v>
      </c>
      <c r="AD29" s="25">
        <f>SUM($AC$29:$AC$29)</f>
        <v>0</v>
      </c>
      <c r="AE29" s="25">
        <f ca="1">$AO$29*$AO$71</f>
        <v>0</v>
      </c>
      <c r="AF29" s="25">
        <f ca="1">$AP$29*$AP$71</f>
        <v>0</v>
      </c>
      <c r="AG29" s="25">
        <f ca="1">SUM($AE$29:$AF$29)</f>
        <v>0</v>
      </c>
      <c r="AH29" s="25">
        <f>'TUSD BE'!$AH$29*'TUSD BF'!$AH$74</f>
        <v>10.309266224049111</v>
      </c>
      <c r="AI29" s="25">
        <f>'TUSD BE'!$AI$29*'TUSD BF'!$AI$74</f>
        <v>0.83355092496745709</v>
      </c>
      <c r="AJ29" s="25">
        <f ca="1">'TUSD BE'!$AJ$29*'TUSD BF'!$AJ$74</f>
        <v>19.436658899520481</v>
      </c>
      <c r="AK29" s="25">
        <f ca="1">'TUSD BE'!$AK$29*'TUSD BF'!$AK$74</f>
        <v>0</v>
      </c>
      <c r="AL29" s="25">
        <f ca="1">SUM($AH$29:$AK$29)</f>
        <v>30.57947604853705</v>
      </c>
      <c r="AM29" s="25">
        <f ca="1">SUMIF($L$4:$AL$4,"SUBTOTAL",$L$29:$AL$29)</f>
        <v>43.558179918238359</v>
      </c>
      <c r="AO29" s="30">
        <f ca="1">+'TUSD BE'!$T$29+'TUSD BE'!$AB$29+'TUSD BE'!$AD$29+'TUSD BE'!$AL$29</f>
        <v>1547.7077491324978</v>
      </c>
      <c r="AP29" s="30">
        <f ca="1">+'TUSD BE'!$T$29+'TUSD BE'!$AB$29+'TUSD BE'!$AD$29+'TUSD BE'!$AL$29</f>
        <v>1547.7077491324978</v>
      </c>
    </row>
    <row r="30" spans="1:42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25">
        <f>'TUSD BE'!$L$30*'TUSD BF'!$L$74</f>
        <v>0</v>
      </c>
      <c r="M30" s="25">
        <f>'TUSD BE'!$M$30*'TUSD BF'!$M$74</f>
        <v>0</v>
      </c>
      <c r="N30" s="25">
        <f ca="1">'TUSD BE'!$N$30*'TUSD BF'!$N$74</f>
        <v>0</v>
      </c>
      <c r="O30" s="25">
        <f>'TUSD BE'!$O$30*'TUSD BF'!$O$74</f>
        <v>0</v>
      </c>
      <c r="P30" s="25">
        <f>'TUSD BE'!$P$30*'TUSD BF'!$P$74</f>
        <v>0</v>
      </c>
      <c r="Q30" s="25">
        <f>'TUSD BE'!$Q$30*'TUSD BF'!$Q$74</f>
        <v>0</v>
      </c>
      <c r="R30" s="25">
        <f>'TUSD BE'!$R$30*'TUSD BF'!$R$74</f>
        <v>0</v>
      </c>
      <c r="S30" s="25">
        <f>'TUSD BE'!$R$30*'TUSD BF'!$S$74</f>
        <v>0</v>
      </c>
      <c r="T30" s="25">
        <f ca="1">SUM($L$30:$S$30)</f>
        <v>0</v>
      </c>
      <c r="U30" s="25">
        <f>'TUSD BE'!$U$30*'TUSD BF'!$U$74</f>
        <v>0</v>
      </c>
      <c r="V30" s="25">
        <f>'TUSD BE'!$V$30*'TUSD BF'!$V$74</f>
        <v>0</v>
      </c>
      <c r="W30" s="25">
        <f>'TUSD BE'!$W$30*'TUSD BF'!$W$74</f>
        <v>0</v>
      </c>
      <c r="X30" s="25">
        <f>'TUSD BE'!$X$30*'TUSD BF'!$X$74</f>
        <v>0</v>
      </c>
      <c r="Y30" s="25">
        <f>'TUSD BE'!$Y$30*'TUSD BF'!$Y$74</f>
        <v>0</v>
      </c>
      <c r="Z30" s="25">
        <f>'TUSD BE'!$Z$30*'TUSD BF'!$Z$74</f>
        <v>0</v>
      </c>
      <c r="AA30" s="25">
        <f>'TUSD BE'!$AA$30*'TUSD BF'!$AA$74</f>
        <v>0</v>
      </c>
      <c r="AB30" s="25">
        <f>SUM($U$30:$AA$30)</f>
        <v>0</v>
      </c>
      <c r="AC30" s="25">
        <f>'TUSD BE'!$AC$30*'TUSD BF'!$AC$74</f>
        <v>0</v>
      </c>
      <c r="AD30" s="25">
        <f>SUM($AC$30:$AC$30)</f>
        <v>0</v>
      </c>
      <c r="AE30" s="25">
        <f ca="1">$AO$30*$AO$71</f>
        <v>0</v>
      </c>
      <c r="AF30" s="25">
        <f ca="1">$AP$30*$AP$71</f>
        <v>0</v>
      </c>
      <c r="AG30" s="25">
        <f ca="1">SUM($AE$30:$AF$30)</f>
        <v>0</v>
      </c>
      <c r="AH30" s="25">
        <f>'TUSD BE'!$AH$30*'TUSD BF'!$AH$74</f>
        <v>10.309266224049111</v>
      </c>
      <c r="AI30" s="25">
        <f>'TUSD BE'!$AI$30*'TUSD BF'!$AI$74</f>
        <v>0.83355092496745709</v>
      </c>
      <c r="AJ30" s="25">
        <f ca="1">'TUSD BE'!$AJ$30*'TUSD BF'!$AJ$74</f>
        <v>19.436658899520481</v>
      </c>
      <c r="AK30" s="25">
        <f ca="1">'TUSD BE'!$AK$30*'TUSD BF'!$AK$74</f>
        <v>0</v>
      </c>
      <c r="AL30" s="25">
        <f ca="1">SUM($AH$30:$AK$30)</f>
        <v>30.57947604853705</v>
      </c>
      <c r="AM30" s="25">
        <f ca="1">SUMIF($L$4:$AL$4,"SUBTOTAL",$L$30:$AL$30)</f>
        <v>30.57947604853705</v>
      </c>
      <c r="AO30" s="30">
        <f ca="1">+'TUSD BE'!$T$30+'TUSD BE'!$AB$30+'TUSD BE'!$AD$30+'TUSD BE'!$AL$30</f>
        <v>117.52868464989017</v>
      </c>
      <c r="AP30" s="30">
        <f ca="1">+'TUSD BE'!$T$30+'TUSD BE'!$AB$30+'TUSD BE'!$AD$30+'TUSD BE'!$AL$30</f>
        <v>117.52868464989017</v>
      </c>
    </row>
    <row r="31" spans="1:42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28" t="s">
        <v>88</v>
      </c>
      <c r="F31" s="28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25">
        <f>'TUSD BE'!$L$31*'TUSD BF'!$L$74</f>
        <v>0</v>
      </c>
      <c r="M31" s="25">
        <f>'TUSD BE'!$M$31*'TUSD BF'!$M$74</f>
        <v>0</v>
      </c>
      <c r="N31" s="25">
        <f ca="1">'TUSD BE'!$N$31*'TUSD BF'!$N$74</f>
        <v>0</v>
      </c>
      <c r="O31" s="25">
        <f>'TUSD BE'!$O$31*'TUSD BF'!$O$74</f>
        <v>0</v>
      </c>
      <c r="P31" s="25">
        <f>'TUSD BE'!$P$31*'TUSD BF'!$P$74</f>
        <v>0</v>
      </c>
      <c r="Q31" s="25">
        <f>'TUSD BE'!$Q$31*'TUSD BF'!$Q$74</f>
        <v>0</v>
      </c>
      <c r="R31" s="25">
        <f>'TUSD BE'!$R$31*'TUSD BF'!$R$74</f>
        <v>0</v>
      </c>
      <c r="S31" s="25">
        <f>'TUSD BE'!$R$31*'TUSD BF'!$S$74</f>
        <v>0</v>
      </c>
      <c r="T31" s="25">
        <f ca="1">SUM($L$31:$S$31)</f>
        <v>0</v>
      </c>
      <c r="U31" s="25">
        <f>'TUSD BE'!$U$31*'TUSD BF'!$U$74</f>
        <v>0</v>
      </c>
      <c r="V31" s="25">
        <f>'TUSD BE'!$V$31*'TUSD BF'!$V$74</f>
        <v>0</v>
      </c>
      <c r="W31" s="25">
        <f>'TUSD BE'!$W$31*'TUSD BF'!$W$74</f>
        <v>0</v>
      </c>
      <c r="X31" s="25">
        <f>'TUSD BE'!$X$31*'TUSD BF'!$X$74</f>
        <v>0</v>
      </c>
      <c r="Y31" s="25">
        <f>'TUSD BE'!$Y$31*'TUSD BF'!$Y$74</f>
        <v>0</v>
      </c>
      <c r="Z31" s="25">
        <f>'TUSD BE'!$Z$31*'TUSD BF'!$Z$74</f>
        <v>0</v>
      </c>
      <c r="AA31" s="25">
        <f>'TUSD BE'!$AA$31*'TUSD BF'!$AA$74</f>
        <v>0</v>
      </c>
      <c r="AB31" s="25">
        <f>SUM($U$31:$AA$31)</f>
        <v>0</v>
      </c>
      <c r="AC31" s="25">
        <f>'TUSD BE'!$AC$31*'TUSD BF'!$AC$74</f>
        <v>0</v>
      </c>
      <c r="AD31" s="25">
        <f>SUM($AC$31:$AC$31)</f>
        <v>0</v>
      </c>
      <c r="AE31" s="25">
        <f ca="1">$AO$31*$AO$71</f>
        <v>0</v>
      </c>
      <c r="AF31" s="25">
        <f ca="1">$AP$31*$AP$71</f>
        <v>0</v>
      </c>
      <c r="AG31" s="25">
        <f ca="1">SUM($AE$31:$AF$31)</f>
        <v>0</v>
      </c>
      <c r="AH31" s="25">
        <f>'TUSD BE'!$AH$31*'TUSD BF'!$AH$74</f>
        <v>0</v>
      </c>
      <c r="AI31" s="25">
        <f>'TUSD BE'!$AI$31*'TUSD BF'!$AI$74</f>
        <v>0</v>
      </c>
      <c r="AJ31" s="25">
        <f ca="1">'TUSD BE'!$AJ$31*'TUSD BF'!$AJ$74</f>
        <v>0</v>
      </c>
      <c r="AK31" s="25">
        <f ca="1">'TUSD BE'!$AK$31*'TUSD BF'!$AK$74</f>
        <v>0</v>
      </c>
      <c r="AL31" s="25">
        <f ca="1">SUM($AH$31:$AK$31)</f>
        <v>0</v>
      </c>
      <c r="AM31" s="25">
        <f ca="1">SUMIF($L$4:$AL$4,"SUBTOTAL",$L$31:$AL$31)</f>
        <v>0</v>
      </c>
      <c r="AO31" s="30">
        <f ca="1">+'TUSD BE'!$T$31+'TUSD BE'!$AB$31+'TUSD BE'!$AD$31+'TUSD BE'!$AL$31</f>
        <v>11.021010887206227</v>
      </c>
      <c r="AP31" s="30">
        <f ca="1">+'TUSD BE'!$T$31+'TUSD BE'!$AB$31+'TUSD BE'!$AD$31+'TUSD BE'!$AL$31</f>
        <v>11.021010887206227</v>
      </c>
    </row>
    <row r="32" spans="1:42" ht="11.25" customHeight="1" x14ac:dyDescent="0.25">
      <c r="A32" s="118"/>
      <c r="B32" s="118"/>
      <c r="C32" s="118"/>
      <c r="D32" s="118"/>
      <c r="E32" s="28" t="s">
        <v>89</v>
      </c>
      <c r="F32" s="28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25">
        <f>'TUSD BE'!$L$32*'TUSD BF'!$L$74</f>
        <v>0</v>
      </c>
      <c r="M32" s="25">
        <f>'TUSD BE'!$M$32*'TUSD BF'!$M$74</f>
        <v>0</v>
      </c>
      <c r="N32" s="25">
        <f ca="1">'TUSD BE'!$N$32*'TUSD BF'!$N$74</f>
        <v>0</v>
      </c>
      <c r="O32" s="25">
        <f>'TUSD BE'!$O$32*'TUSD BF'!$O$74</f>
        <v>0</v>
      </c>
      <c r="P32" s="25">
        <f>'TUSD BE'!$P$32*'TUSD BF'!$P$74</f>
        <v>0</v>
      </c>
      <c r="Q32" s="25">
        <f>'TUSD BE'!$Q$32*'TUSD BF'!$Q$74</f>
        <v>0</v>
      </c>
      <c r="R32" s="25">
        <f>'TUSD BE'!$R$32*'TUSD BF'!$R$74</f>
        <v>0</v>
      </c>
      <c r="S32" s="25">
        <f>'TUSD BE'!$R$32*'TUSD BF'!$S$74</f>
        <v>0</v>
      </c>
      <c r="T32" s="25">
        <f ca="1">SUM($L$32:$S$32)</f>
        <v>0</v>
      </c>
      <c r="U32" s="25">
        <f>'TUSD BE'!$U$32*'TUSD BF'!$U$74</f>
        <v>0</v>
      </c>
      <c r="V32" s="25">
        <f>'TUSD BE'!$V$32*'TUSD BF'!$V$74</f>
        <v>0</v>
      </c>
      <c r="W32" s="25">
        <f>'TUSD BE'!$W$32*'TUSD BF'!$W$74</f>
        <v>0</v>
      </c>
      <c r="X32" s="25">
        <f>'TUSD BE'!$X$32*'TUSD BF'!$X$74</f>
        <v>0</v>
      </c>
      <c r="Y32" s="25">
        <f>'TUSD BE'!$Y$32*'TUSD BF'!$Y$74</f>
        <v>0</v>
      </c>
      <c r="Z32" s="25">
        <f>'TUSD BE'!$Z$32*'TUSD BF'!$Z$74</f>
        <v>0</v>
      </c>
      <c r="AA32" s="25">
        <f>'TUSD BE'!$AA$32*'TUSD BF'!$AA$74</f>
        <v>0</v>
      </c>
      <c r="AB32" s="25">
        <f>SUM($U$32:$AA$32)</f>
        <v>0</v>
      </c>
      <c r="AC32" s="25">
        <f>'TUSD BE'!$AC$32*'TUSD BF'!$AC$74</f>
        <v>0</v>
      </c>
      <c r="AD32" s="25">
        <f>SUM($AC$32:$AC$32)</f>
        <v>0</v>
      </c>
      <c r="AE32" s="25">
        <f ca="1">$AO$32*$AO$71</f>
        <v>0</v>
      </c>
      <c r="AF32" s="25">
        <f ca="1">$AP$32*$AP$71</f>
        <v>0</v>
      </c>
      <c r="AG32" s="25">
        <f ca="1">SUM($AE$32:$AF$32)</f>
        <v>0</v>
      </c>
      <c r="AH32" s="25">
        <f>'TUSD BE'!$AH$32*'TUSD BF'!$AH$74</f>
        <v>0</v>
      </c>
      <c r="AI32" s="25">
        <f>'TUSD BE'!$AI$32*'TUSD BF'!$AI$74</f>
        <v>0</v>
      </c>
      <c r="AJ32" s="25">
        <f ca="1">'TUSD BE'!$AJ$32*'TUSD BF'!$AJ$74</f>
        <v>0</v>
      </c>
      <c r="AK32" s="25">
        <f ca="1">'TUSD BE'!$AK$32*'TUSD BF'!$AK$74</f>
        <v>0</v>
      </c>
      <c r="AL32" s="25">
        <f ca="1">SUM($AH$32:$AK$32)</f>
        <v>0</v>
      </c>
      <c r="AM32" s="25">
        <f ca="1">SUMIF($L$4:$AL$4,"SUBTOTAL",$L$32:$AL$32)</f>
        <v>0</v>
      </c>
      <c r="AO32" s="30">
        <f ca="1">+'TUSD BE'!$T$32+'TUSD BE'!$AB$32+'TUSD BE'!$AD$32+'TUSD BE'!$AL$32</f>
        <v>24.972643581160678</v>
      </c>
      <c r="AP32" s="30">
        <f ca="1">+'TUSD BE'!$T$32+'TUSD BE'!$AB$32+'TUSD BE'!$AD$32+'TUSD BE'!$AL$32</f>
        <v>24.972643581160678</v>
      </c>
    </row>
    <row r="33" spans="1:42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25">
        <f>'TUSD BE'!$L$33*'TUSD BF'!$L$74</f>
        <v>1.0912012592579927</v>
      </c>
      <c r="M33" s="25">
        <f>'TUSD BE'!$M$33*'TUSD BF'!$M$74</f>
        <v>0</v>
      </c>
      <c r="N33" s="25">
        <f ca="1">'TUSD BE'!$N$33*'TUSD BF'!$N$74</f>
        <v>0</v>
      </c>
      <c r="O33" s="25">
        <f>'TUSD BE'!$O$33*'TUSD BF'!$O$74</f>
        <v>0</v>
      </c>
      <c r="P33" s="25">
        <f>'TUSD BE'!$P$33*'TUSD BF'!$P$74</f>
        <v>0</v>
      </c>
      <c r="Q33" s="25">
        <f>'TUSD BE'!$Q$33*'TUSD BF'!$Q$74</f>
        <v>15.161894453622915</v>
      </c>
      <c r="R33" s="25">
        <f>'TUSD BE'!$R$33*'TUSD BF'!$R$74</f>
        <v>5.5823020080452048</v>
      </c>
      <c r="S33" s="25">
        <f>'TUSD BE'!$R$33*'TUSD BF'!$S$74</f>
        <v>0</v>
      </c>
      <c r="T33" s="25">
        <f ca="1">SUM($L$33:$S$33)</f>
        <v>21.83539772092611</v>
      </c>
      <c r="U33" s="25">
        <f>'TUSD BE'!$U$33*'TUSD BF'!$U$74</f>
        <v>5.6267103588854903</v>
      </c>
      <c r="V33" s="25">
        <f>'TUSD BE'!$V$33*'TUSD BF'!$V$74</f>
        <v>0.73312316043393499</v>
      </c>
      <c r="W33" s="25">
        <f>'TUSD BE'!$W$33*'TUSD BF'!$W$74</f>
        <v>0</v>
      </c>
      <c r="X33" s="25">
        <f>'TUSD BE'!$X$33*'TUSD BF'!$X$74</f>
        <v>0</v>
      </c>
      <c r="Y33" s="25">
        <f>'TUSD BE'!$Y$33*'TUSD BF'!$Y$74</f>
        <v>0</v>
      </c>
      <c r="Z33" s="25">
        <f>'TUSD BE'!$Z$33*'TUSD BF'!$Z$74</f>
        <v>0</v>
      </c>
      <c r="AA33" s="25">
        <f>'TUSD BE'!$AA$33*'TUSD BF'!$AA$74</f>
        <v>0</v>
      </c>
      <c r="AB33" s="25">
        <f>SUM($U$33:$AA$33)</f>
        <v>6.3598335193194249</v>
      </c>
      <c r="AC33" s="25">
        <f>'TUSD BE'!$AC$33*'TUSD BF'!$AC$74</f>
        <v>0</v>
      </c>
      <c r="AD33" s="25">
        <f>SUM($AC$33:$AC$33)</f>
        <v>0</v>
      </c>
      <c r="AE33" s="25">
        <f ca="1">$AO$33*$AO$71</f>
        <v>0</v>
      </c>
      <c r="AF33" s="25">
        <f ca="1">$AP$33*$AP$71</f>
        <v>0</v>
      </c>
      <c r="AG33" s="25">
        <f ca="1">SUM($AE$33:$AF$33)</f>
        <v>0</v>
      </c>
      <c r="AH33" s="25">
        <f>'TUSD BE'!$AH$33*'TUSD BF'!$AH$74</f>
        <v>10.309266224049111</v>
      </c>
      <c r="AI33" s="25">
        <f>'TUSD BE'!$AI$33*'TUSD BF'!$AI$74</f>
        <v>0.83355092496745709</v>
      </c>
      <c r="AJ33" s="25">
        <f ca="1">'TUSD BE'!$AJ$33*'TUSD BF'!$AJ$74</f>
        <v>20.661325043312072</v>
      </c>
      <c r="AK33" s="25">
        <f ca="1">'TUSD BE'!$AK$33*'TUSD BF'!$AK$74</f>
        <v>0</v>
      </c>
      <c r="AL33" s="25">
        <f ca="1">SUM($AH$33:$AK$33)</f>
        <v>31.804142192328641</v>
      </c>
      <c r="AM33" s="25">
        <f ca="1">SUMIF($L$4:$AL$4,"SUBTOTAL",$L$33:$AL$33)</f>
        <v>59.999373432574174</v>
      </c>
      <c r="AO33" s="30">
        <f ca="1">+'TUSD BE'!$T$33+'TUSD BE'!$AB$33+'TUSD BE'!$AD$33+'TUSD BE'!$AL$33</f>
        <v>1251.5147133122675</v>
      </c>
      <c r="AP33" s="30">
        <f ca="1">+'TUSD BE'!$T$33+'TUSD BE'!$AB$33+'TUSD BE'!$AD$33+'TUSD BE'!$AL$33</f>
        <v>1251.5147133122675</v>
      </c>
    </row>
    <row r="34" spans="1:42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25">
        <f>'TUSD BE'!$L$34*'TUSD BF'!$L$74</f>
        <v>1.0912012592579927</v>
      </c>
      <c r="M34" s="25">
        <f>'TUSD BE'!$M$34*'TUSD BF'!$M$74</f>
        <v>0</v>
      </c>
      <c r="N34" s="25">
        <f ca="1">'TUSD BE'!$N$34*'TUSD BF'!$N$74</f>
        <v>0</v>
      </c>
      <c r="O34" s="25">
        <f>'TUSD BE'!$O$34*'TUSD BF'!$O$74</f>
        <v>0</v>
      </c>
      <c r="P34" s="25">
        <f>'TUSD BE'!$P$34*'TUSD BF'!$P$74</f>
        <v>0</v>
      </c>
      <c r="Q34" s="25">
        <f>'TUSD BE'!$Q$34*'TUSD BF'!$Q$74</f>
        <v>15.161894453622915</v>
      </c>
      <c r="R34" s="25">
        <f>'TUSD BE'!$R$34*'TUSD BF'!$R$74</f>
        <v>5.5823020080452048</v>
      </c>
      <c r="S34" s="25">
        <f>'TUSD BE'!$R$34*'TUSD BF'!$S$74</f>
        <v>0</v>
      </c>
      <c r="T34" s="25">
        <f ca="1">SUM($L$34:$S$34)</f>
        <v>21.83539772092611</v>
      </c>
      <c r="U34" s="25">
        <f>'TUSD BE'!$U$34*'TUSD BF'!$U$74</f>
        <v>3.3760220799497844</v>
      </c>
      <c r="V34" s="25">
        <f>'TUSD BE'!$V$34*'TUSD BF'!$V$74</f>
        <v>0.43987471033059522</v>
      </c>
      <c r="W34" s="25">
        <f>'TUSD BE'!$W$34*'TUSD BF'!$W$74</f>
        <v>0</v>
      </c>
      <c r="X34" s="25">
        <f>'TUSD BE'!$X$34*'TUSD BF'!$X$74</f>
        <v>0</v>
      </c>
      <c r="Y34" s="25">
        <f>'TUSD BE'!$Y$34*'TUSD BF'!$Y$74</f>
        <v>0</v>
      </c>
      <c r="Z34" s="25">
        <f>'TUSD BE'!$Z$34*'TUSD BF'!$Z$74</f>
        <v>0</v>
      </c>
      <c r="AA34" s="25">
        <f>'TUSD BE'!$AA$34*'TUSD BF'!$AA$74</f>
        <v>0</v>
      </c>
      <c r="AB34" s="25">
        <f>SUM($U$34:$AA$34)</f>
        <v>3.8158967902803798</v>
      </c>
      <c r="AC34" s="25">
        <f>'TUSD BE'!$AC$34*'TUSD BF'!$AC$74</f>
        <v>0</v>
      </c>
      <c r="AD34" s="25">
        <f>SUM($AC$34:$AC$34)</f>
        <v>0</v>
      </c>
      <c r="AE34" s="25">
        <f ca="1">$AO$34*$AO$71</f>
        <v>0</v>
      </c>
      <c r="AF34" s="25">
        <f ca="1">$AP$34*$AP$71</f>
        <v>0</v>
      </c>
      <c r="AG34" s="25">
        <f ca="1">SUM($AE$34:$AF$34)</f>
        <v>0</v>
      </c>
      <c r="AH34" s="25">
        <f>'TUSD BE'!$AH$34*'TUSD BF'!$AH$74</f>
        <v>10.309266224049111</v>
      </c>
      <c r="AI34" s="25">
        <f>'TUSD BE'!$AI$34*'TUSD BF'!$AI$74</f>
        <v>0.83355092496745709</v>
      </c>
      <c r="AJ34" s="25">
        <f ca="1">'TUSD BE'!$AJ$34*'TUSD BF'!$AJ$74</f>
        <v>20.661325043312072</v>
      </c>
      <c r="AK34" s="25">
        <f ca="1">'TUSD BE'!$AK$34*'TUSD BF'!$AK$74</f>
        <v>0</v>
      </c>
      <c r="AL34" s="25">
        <f ca="1">SUM($AH$34:$AK$34)</f>
        <v>31.804142192328641</v>
      </c>
      <c r="AM34" s="25">
        <f ca="1">SUMIF($L$4:$AL$4,"SUBTOTAL",$L$34:$AL$34)</f>
        <v>57.455436703535128</v>
      </c>
      <c r="AO34" s="30">
        <f ca="1">+'TUSD BE'!$T$34+'TUSD BE'!$AB$34+'TUSD BE'!$AD$34+'TUSD BE'!$AL$34</f>
        <v>831.96743815762795</v>
      </c>
      <c r="AP34" s="30">
        <f ca="1">+'TUSD BE'!$T$34+'TUSD BE'!$AB$34+'TUSD BE'!$AD$34+'TUSD BE'!$AL$34</f>
        <v>831.96743815762795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25">
        <f>'TUSD BE'!$L$35*'TUSD BF'!$L$74</f>
        <v>1.0912012592579927</v>
      </c>
      <c r="M35" s="25">
        <f>'TUSD BE'!$M$35*'TUSD BF'!$M$74</f>
        <v>0</v>
      </c>
      <c r="N35" s="25">
        <f ca="1">'TUSD BE'!$N$35*'TUSD BF'!$N$74</f>
        <v>0</v>
      </c>
      <c r="O35" s="25">
        <f>'TUSD BE'!$O$35*'TUSD BF'!$O$74</f>
        <v>0</v>
      </c>
      <c r="P35" s="25">
        <f>'TUSD BE'!$P$35*'TUSD BF'!$P$74</f>
        <v>0</v>
      </c>
      <c r="Q35" s="25">
        <f>'TUSD BE'!$Q$35*'TUSD BF'!$Q$74</f>
        <v>15.161894453622915</v>
      </c>
      <c r="R35" s="25">
        <f>'TUSD BE'!$R$35*'TUSD BF'!$R$74</f>
        <v>5.5823020080452048</v>
      </c>
      <c r="S35" s="25">
        <f>'TUSD BE'!$R$35*'TUSD BF'!$S$74</f>
        <v>0</v>
      </c>
      <c r="T35" s="25">
        <f ca="1">SUM($L$35:$S$35)</f>
        <v>21.83539772092611</v>
      </c>
      <c r="U35" s="25">
        <f>'TUSD BE'!$U$35*'TUSD BF'!$U$74</f>
        <v>1.1253406933165948</v>
      </c>
      <c r="V35" s="25">
        <f>'TUSD BE'!$V$35*'TUSD BF'!$V$74</f>
        <v>0.14662626022725533</v>
      </c>
      <c r="W35" s="25">
        <f>'TUSD BE'!$W$35*'TUSD BF'!$W$74</f>
        <v>0</v>
      </c>
      <c r="X35" s="25">
        <f>'TUSD BE'!$X$35*'TUSD BF'!$X$74</f>
        <v>0</v>
      </c>
      <c r="Y35" s="25">
        <f>'TUSD BE'!$Y$35*'TUSD BF'!$Y$74</f>
        <v>0</v>
      </c>
      <c r="Z35" s="25">
        <f>'TUSD BE'!$Z$35*'TUSD BF'!$Z$74</f>
        <v>0</v>
      </c>
      <c r="AA35" s="25">
        <f>'TUSD BE'!$AA$35*'TUSD BF'!$AA$74</f>
        <v>0</v>
      </c>
      <c r="AB35" s="25">
        <f>SUM($U$35:$AA$35)</f>
        <v>1.27196695354385</v>
      </c>
      <c r="AC35" s="25">
        <f>'TUSD BE'!$AC$35*'TUSD BF'!$AC$74</f>
        <v>0</v>
      </c>
      <c r="AD35" s="25">
        <f>SUM($AC$35:$AC$35)</f>
        <v>0</v>
      </c>
      <c r="AE35" s="25">
        <f ca="1">$AO$35*$AO$71</f>
        <v>0</v>
      </c>
      <c r="AF35" s="25">
        <f ca="1">$AP$35*$AP$71</f>
        <v>0</v>
      </c>
      <c r="AG35" s="25">
        <f ca="1">SUM($AE$35:$AF$35)</f>
        <v>0</v>
      </c>
      <c r="AH35" s="25">
        <f>'TUSD BE'!$AH$35*'TUSD BF'!$AH$74</f>
        <v>10.309266224049111</v>
      </c>
      <c r="AI35" s="25">
        <f>'TUSD BE'!$AI$35*'TUSD BF'!$AI$74</f>
        <v>0.83355092496745709</v>
      </c>
      <c r="AJ35" s="25">
        <f ca="1">'TUSD BE'!$AJ$35*'TUSD BF'!$AJ$74</f>
        <v>20.661325043312072</v>
      </c>
      <c r="AK35" s="25">
        <f ca="1">'TUSD BE'!$AK$35*'TUSD BF'!$AK$74</f>
        <v>0</v>
      </c>
      <c r="AL35" s="25">
        <f ca="1">SUM($AH$35:$AK$35)</f>
        <v>31.804142192328641</v>
      </c>
      <c r="AM35" s="25">
        <f ca="1">SUMIF($L$4:$AL$4,"SUBTOTAL",$L$35:$AL$35)</f>
        <v>54.911506866798604</v>
      </c>
      <c r="AO35" s="30">
        <f ca="1">+'TUSD BE'!$T$35+'TUSD BE'!$AB$35+'TUSD BE'!$AD$35+'TUSD BE'!$AL$35</f>
        <v>412.42017280378394</v>
      </c>
      <c r="AP35" s="30">
        <f ca="1">+'TUSD BE'!$T$35+'TUSD BE'!$AB$35+'TUSD BE'!$AD$35+'TUSD BE'!$AL$35</f>
        <v>412.42017280378394</v>
      </c>
    </row>
    <row r="36" spans="1:42" ht="11.25" customHeight="1" x14ac:dyDescent="0.25">
      <c r="A36" s="118"/>
      <c r="B36" s="118" t="s">
        <v>23</v>
      </c>
      <c r="C36" s="118" t="s">
        <v>24</v>
      </c>
      <c r="D36" s="28" t="s">
        <v>24</v>
      </c>
      <c r="E36" s="28" t="s">
        <v>25</v>
      </c>
      <c r="F36" s="28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25">
        <f>'TUSD BE'!$L$36*'TUSD BF'!$L$74</f>
        <v>1.0912012592579927</v>
      </c>
      <c r="M36" s="25">
        <f>'TUSD BE'!$M$36*'TUSD BF'!$M$74</f>
        <v>0</v>
      </c>
      <c r="N36" s="25">
        <f ca="1">'TUSD BE'!$N$36*'TUSD BF'!$N$74</f>
        <v>0</v>
      </c>
      <c r="O36" s="25">
        <f>'TUSD BE'!$O$36*'TUSD BF'!$O$74</f>
        <v>0</v>
      </c>
      <c r="P36" s="25">
        <f>'TUSD BE'!$P$36*'TUSD BF'!$P$74</f>
        <v>0</v>
      </c>
      <c r="Q36" s="25">
        <f>'TUSD BE'!$Q$36*'TUSD BF'!$Q$74</f>
        <v>15.161894453622915</v>
      </c>
      <c r="R36" s="25">
        <f>'TUSD BE'!$R$36*'TUSD BF'!$R$74</f>
        <v>5.5823020080452048</v>
      </c>
      <c r="S36" s="25">
        <f>'TUSD BE'!$R$36*'TUSD BF'!$S$74</f>
        <v>0</v>
      </c>
      <c r="T36" s="25">
        <f ca="1">SUM($L$36:$S$36)</f>
        <v>21.83539772092611</v>
      </c>
      <c r="U36" s="25">
        <f>'TUSD BE'!$U$36*'TUSD BF'!$U$74</f>
        <v>1.7312912536247562</v>
      </c>
      <c r="V36" s="25">
        <f>'TUSD BE'!$V$36*'TUSD BF'!$V$74</f>
        <v>0.22557479153691432</v>
      </c>
      <c r="W36" s="25">
        <f>'TUSD BE'!$W$36*'TUSD BF'!$W$74</f>
        <v>0</v>
      </c>
      <c r="X36" s="25">
        <f>'TUSD BE'!$X$36*'TUSD BF'!$X$74</f>
        <v>0</v>
      </c>
      <c r="Y36" s="25">
        <f>'TUSD BE'!$Y$36*'TUSD BF'!$Y$74</f>
        <v>0</v>
      </c>
      <c r="Z36" s="25">
        <f>'TUSD BE'!$Z$36*'TUSD BF'!$Z$74</f>
        <v>0</v>
      </c>
      <c r="AA36" s="25">
        <f>'TUSD BE'!$AA$36*'TUSD BF'!$AA$74</f>
        <v>0</v>
      </c>
      <c r="AB36" s="25">
        <f>SUM($U$36:$AA$36)</f>
        <v>1.9568660451616706</v>
      </c>
      <c r="AC36" s="25">
        <f>'TUSD BE'!$AC$36*'TUSD BF'!$AC$74</f>
        <v>0</v>
      </c>
      <c r="AD36" s="25">
        <f>SUM($AC$36:$AC$36)</f>
        <v>0</v>
      </c>
      <c r="AE36" s="25">
        <f ca="1">$AO$36*$AO$71</f>
        <v>0</v>
      </c>
      <c r="AF36" s="25">
        <f ca="1">$AP$36*$AP$71</f>
        <v>0</v>
      </c>
      <c r="AG36" s="25">
        <f ca="1">SUM($AE$36:$AF$36)</f>
        <v>0</v>
      </c>
      <c r="AH36" s="25">
        <f>'TUSD BE'!$AH$36*'TUSD BF'!$AH$74</f>
        <v>10.309266224049111</v>
      </c>
      <c r="AI36" s="25">
        <f>'TUSD BE'!$AI$36*'TUSD BF'!$AI$74</f>
        <v>0.83355092496745709</v>
      </c>
      <c r="AJ36" s="25">
        <f ca="1">'TUSD BE'!$AJ$36*'TUSD BF'!$AJ$74</f>
        <v>20.661325043312072</v>
      </c>
      <c r="AK36" s="25">
        <f ca="1">'TUSD BE'!$AK$36*'TUSD BF'!$AK$74</f>
        <v>0</v>
      </c>
      <c r="AL36" s="25">
        <f ca="1">SUM($AH$36:$AK$36)</f>
        <v>31.804142192328641</v>
      </c>
      <c r="AM36" s="25">
        <f ca="1">SUMIF($L$4:$AL$4,"SUBTOTAL",$L$36:$AL$36)</f>
        <v>55.596405958416426</v>
      </c>
      <c r="AO36" s="30">
        <f ca="1">+'TUSD BE'!$T$36+'TUSD BE'!$AB$36+'TUSD BE'!$AD$36+'TUSD BE'!$AL$36</f>
        <v>525.37514265660684</v>
      </c>
      <c r="AP36" s="30">
        <f ca="1">+'TUSD BE'!$T$36+'TUSD BE'!$AB$36+'TUSD BE'!$AD$36+'TUSD BE'!$AL$36</f>
        <v>525.37514265660684</v>
      </c>
    </row>
    <row r="37" spans="1:42" ht="11.25" customHeight="1" x14ac:dyDescent="0.25">
      <c r="A37" s="118"/>
      <c r="B37" s="118"/>
      <c r="C37" s="118"/>
      <c r="D37" s="28" t="s">
        <v>29</v>
      </c>
      <c r="E37" s="28" t="s">
        <v>25</v>
      </c>
      <c r="F37" s="28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25">
        <f>'TUSD BE'!$L$37*'TUSD BF'!$L$74</f>
        <v>0</v>
      </c>
      <c r="M37" s="25">
        <f>'TUSD BE'!$M$37*'TUSD BF'!$M$74</f>
        <v>0</v>
      </c>
      <c r="N37" s="25">
        <f ca="1">'TUSD BE'!$N$37*'TUSD BF'!$N$74</f>
        <v>0</v>
      </c>
      <c r="O37" s="25">
        <f>'TUSD BE'!$O$37*'TUSD BF'!$O$74</f>
        <v>0</v>
      </c>
      <c r="P37" s="25">
        <f>'TUSD BE'!$P$37*'TUSD BF'!$P$74</f>
        <v>0</v>
      </c>
      <c r="Q37" s="25">
        <f>'TUSD BE'!$Q$37*'TUSD BF'!$Q$74</f>
        <v>0</v>
      </c>
      <c r="R37" s="25">
        <f>'TUSD BE'!$R$37*'TUSD BF'!$R$74</f>
        <v>0</v>
      </c>
      <c r="S37" s="25">
        <f>'TUSD BE'!$R$37*'TUSD BF'!$S$74</f>
        <v>0</v>
      </c>
      <c r="T37" s="25">
        <f ca="1">SUM($L$37:$S$37)</f>
        <v>0</v>
      </c>
      <c r="U37" s="25">
        <f>'TUSD BE'!$U$37*'TUSD BF'!$U$74</f>
        <v>1.7312912536247562</v>
      </c>
      <c r="V37" s="25">
        <f>'TUSD BE'!$V$37*'TUSD BF'!$V$74</f>
        <v>0.22557479153691432</v>
      </c>
      <c r="W37" s="25">
        <f>'TUSD BE'!$W$37*'TUSD BF'!$W$74</f>
        <v>0</v>
      </c>
      <c r="X37" s="25">
        <f>'TUSD BE'!$X$37*'TUSD BF'!$X$74</f>
        <v>0</v>
      </c>
      <c r="Y37" s="25">
        <f>'TUSD BE'!$Y$37*'TUSD BF'!$Y$74</f>
        <v>0</v>
      </c>
      <c r="Z37" s="25">
        <f>'TUSD BE'!$Z$37*'TUSD BF'!$Z$74</f>
        <v>0</v>
      </c>
      <c r="AA37" s="25">
        <f>'TUSD BE'!$AA$37*'TUSD BF'!$AA$74</f>
        <v>0</v>
      </c>
      <c r="AB37" s="25">
        <f>SUM($U$37:$AA$37)</f>
        <v>1.9568660451616706</v>
      </c>
      <c r="AC37" s="25">
        <f>'TUSD BE'!$AC$37*'TUSD BF'!$AC$74</f>
        <v>0</v>
      </c>
      <c r="AD37" s="25">
        <f>SUM($AC$37:$AC$37)</f>
        <v>0</v>
      </c>
      <c r="AE37" s="25">
        <f ca="1">$AO$37*$AO$71</f>
        <v>0</v>
      </c>
      <c r="AF37" s="25">
        <f ca="1">$AP$37*$AP$71</f>
        <v>0</v>
      </c>
      <c r="AG37" s="25">
        <f ca="1">SUM($AE$37:$AF$37)</f>
        <v>0</v>
      </c>
      <c r="AH37" s="25">
        <f>'TUSD BE'!$AH$37*'TUSD BF'!$AH$74</f>
        <v>10.309266224049111</v>
      </c>
      <c r="AI37" s="25">
        <f>'TUSD BE'!$AI$37*'TUSD BF'!$AI$74</f>
        <v>0.83355092496745709</v>
      </c>
      <c r="AJ37" s="25">
        <f ca="1">'TUSD BE'!$AJ$37*'TUSD BF'!$AJ$74</f>
        <v>20.661325043312072</v>
      </c>
      <c r="AK37" s="25">
        <f ca="1">'TUSD BE'!$AK$37*'TUSD BF'!$AK$74</f>
        <v>0</v>
      </c>
      <c r="AL37" s="25">
        <f ca="1">SUM($AH$37:$AK$37)</f>
        <v>31.804142192328641</v>
      </c>
      <c r="AM37" s="25">
        <f ca="1">SUMIF($L$4:$AL$4,"SUBTOTAL",$L$37:$AL$37)</f>
        <v>33.761008237490309</v>
      </c>
      <c r="AO37" s="30">
        <f ca="1">+'TUSD BE'!$T$37+'TUSD BE'!$AB$37+'TUSD BE'!$AD$37+'TUSD BE'!$AL$37</f>
        <v>445.44390212731918</v>
      </c>
      <c r="AP37" s="30">
        <f ca="1">+'TUSD BE'!$T$37+'TUSD BE'!$AB$37+'TUSD BE'!$AD$37+'TUSD BE'!$AL$37</f>
        <v>445.44390212731918</v>
      </c>
    </row>
    <row r="38" spans="1:42" ht="11.25" customHeight="1" x14ac:dyDescent="0.25">
      <c r="A38" s="118"/>
      <c r="B38" s="118"/>
      <c r="C38" s="118"/>
      <c r="D38" s="28" t="s">
        <v>30</v>
      </c>
      <c r="E38" s="28" t="s">
        <v>25</v>
      </c>
      <c r="F38" s="28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25">
        <f>'TUSD BE'!$L$38*'TUSD BF'!$L$74</f>
        <v>0</v>
      </c>
      <c r="M38" s="25">
        <f>'TUSD BE'!$M$38*'TUSD BF'!$M$74</f>
        <v>0</v>
      </c>
      <c r="N38" s="25">
        <f ca="1">'TUSD BE'!$N$38*'TUSD BF'!$N$74</f>
        <v>0</v>
      </c>
      <c r="O38" s="25">
        <f>'TUSD BE'!$O$38*'TUSD BF'!$O$74</f>
        <v>0</v>
      </c>
      <c r="P38" s="25">
        <f>'TUSD BE'!$P$38*'TUSD BF'!$P$74</f>
        <v>0</v>
      </c>
      <c r="Q38" s="25">
        <f>'TUSD BE'!$Q$38*'TUSD BF'!$Q$74</f>
        <v>0</v>
      </c>
      <c r="R38" s="25">
        <f>'TUSD BE'!$R$38*'TUSD BF'!$R$74</f>
        <v>0</v>
      </c>
      <c r="S38" s="25">
        <f>'TUSD BE'!$R$38*'TUSD BF'!$S$74</f>
        <v>0</v>
      </c>
      <c r="T38" s="25">
        <f ca="1">SUM($L$38:$S$38)</f>
        <v>0</v>
      </c>
      <c r="U38" s="25">
        <f>'TUSD BE'!$U$38*'TUSD BF'!$U$74</f>
        <v>1.7312912536247562</v>
      </c>
      <c r="V38" s="25">
        <f>'TUSD BE'!$V$38*'TUSD BF'!$V$74</f>
        <v>0.22557479153691432</v>
      </c>
      <c r="W38" s="25">
        <f>'TUSD BE'!$W$38*'TUSD BF'!$W$74</f>
        <v>0</v>
      </c>
      <c r="X38" s="25">
        <f>'TUSD BE'!$X$38*'TUSD BF'!$X$74</f>
        <v>0</v>
      </c>
      <c r="Y38" s="25">
        <f>'TUSD BE'!$Y$38*'TUSD BF'!$Y$74</f>
        <v>0</v>
      </c>
      <c r="Z38" s="25">
        <f>'TUSD BE'!$Z$38*'TUSD BF'!$Z$74</f>
        <v>0</v>
      </c>
      <c r="AA38" s="25">
        <f>'TUSD BE'!$AA$38*'TUSD BF'!$AA$74</f>
        <v>0</v>
      </c>
      <c r="AB38" s="25">
        <f>SUM($U$38:$AA$38)</f>
        <v>1.9568660451616706</v>
      </c>
      <c r="AC38" s="25">
        <f>'TUSD BE'!$AC$38*'TUSD BF'!$AC$74</f>
        <v>0</v>
      </c>
      <c r="AD38" s="25">
        <f>SUM($AC$38:$AC$38)</f>
        <v>0</v>
      </c>
      <c r="AE38" s="25">
        <f ca="1">$AO$38*$AO$71</f>
        <v>0</v>
      </c>
      <c r="AF38" s="25">
        <f ca="1">$AP$38*$AP$71</f>
        <v>0</v>
      </c>
      <c r="AG38" s="25">
        <f ca="1">SUM($AE$38:$AF$38)</f>
        <v>0</v>
      </c>
      <c r="AH38" s="25">
        <f>'TUSD BE'!$AH$38*'TUSD BF'!$AH$74</f>
        <v>10.309266224049111</v>
      </c>
      <c r="AI38" s="25">
        <f>'TUSD BE'!$AI$38*'TUSD BF'!$AI$74</f>
        <v>0.83355092496745709</v>
      </c>
      <c r="AJ38" s="25">
        <f ca="1">'TUSD BE'!$AJ$38*'TUSD BF'!$AJ$74</f>
        <v>20.661325043312072</v>
      </c>
      <c r="AK38" s="25">
        <f ca="1">'TUSD BE'!$AK$38*'TUSD BF'!$AK$74</f>
        <v>0</v>
      </c>
      <c r="AL38" s="25">
        <f ca="1">SUM($AH$38:$AK$38)</f>
        <v>31.804142192328641</v>
      </c>
      <c r="AM38" s="25">
        <f ca="1">SUMIF($L$4:$AL$4,"SUBTOTAL",$L$38:$AL$38)</f>
        <v>33.761008237490309</v>
      </c>
      <c r="AO38" s="30">
        <f ca="1">+'TUSD BE'!$T$38+'TUSD BE'!$AB$38+'TUSD BE'!$AD$38+'TUSD BE'!$AL$38</f>
        <v>445.44390212731918</v>
      </c>
      <c r="AP38" s="30">
        <f ca="1">+'TUSD BE'!$T$38+'TUSD BE'!$AB$38+'TUSD BE'!$AD$38+'TUSD BE'!$AL$38</f>
        <v>445.44390212731918</v>
      </c>
    </row>
    <row r="39" spans="1:42" ht="11.25" customHeight="1" x14ac:dyDescent="0.25">
      <c r="A39" s="118"/>
      <c r="B39" s="118"/>
      <c r="C39" s="118"/>
      <c r="D39" s="28" t="s">
        <v>31</v>
      </c>
      <c r="E39" s="28" t="s">
        <v>25</v>
      </c>
      <c r="F39" s="28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25">
        <f>'TUSD BE'!$L$39*'TUSD BF'!$L$74</f>
        <v>0</v>
      </c>
      <c r="M39" s="25">
        <f>'TUSD BE'!$M$39*'TUSD BF'!$M$74</f>
        <v>0</v>
      </c>
      <c r="N39" s="25">
        <f ca="1">'TUSD BE'!$N$39*'TUSD BF'!$N$74</f>
        <v>0</v>
      </c>
      <c r="O39" s="25">
        <f>'TUSD BE'!$O$39*'TUSD BF'!$O$74</f>
        <v>0</v>
      </c>
      <c r="P39" s="25">
        <f>'TUSD BE'!$P$39*'TUSD BF'!$P$74</f>
        <v>0</v>
      </c>
      <c r="Q39" s="25">
        <f>'TUSD BE'!$Q$39*'TUSD BF'!$Q$74</f>
        <v>0</v>
      </c>
      <c r="R39" s="25">
        <f>'TUSD BE'!$R$39*'TUSD BF'!$R$74</f>
        <v>0</v>
      </c>
      <c r="S39" s="25">
        <f>'TUSD BE'!$R$39*'TUSD BF'!$S$74</f>
        <v>0</v>
      </c>
      <c r="T39" s="25">
        <f ca="1">SUM($L$39:$S$39)</f>
        <v>0</v>
      </c>
      <c r="U39" s="25">
        <f>'TUSD BE'!$U$39*'TUSD BF'!$U$74</f>
        <v>1.7312912536247562</v>
      </c>
      <c r="V39" s="25">
        <f>'TUSD BE'!$V$39*'TUSD BF'!$V$74</f>
        <v>0.22557479153691432</v>
      </c>
      <c r="W39" s="25">
        <f>'TUSD BE'!$W$39*'TUSD BF'!$W$74</f>
        <v>0</v>
      </c>
      <c r="X39" s="25">
        <f>'TUSD BE'!$X$39*'TUSD BF'!$X$74</f>
        <v>0</v>
      </c>
      <c r="Y39" s="25">
        <f>'TUSD BE'!$Y$39*'TUSD BF'!$Y$74</f>
        <v>0</v>
      </c>
      <c r="Z39" s="25">
        <f>'TUSD BE'!$Z$39*'TUSD BF'!$Z$74</f>
        <v>0</v>
      </c>
      <c r="AA39" s="25">
        <f>'TUSD BE'!$AA$39*'TUSD BF'!$AA$74</f>
        <v>0</v>
      </c>
      <c r="AB39" s="25">
        <f>SUM($U$39:$AA$39)</f>
        <v>1.9568660451616706</v>
      </c>
      <c r="AC39" s="25">
        <f>'TUSD BE'!$AC$39*'TUSD BF'!$AC$74</f>
        <v>0</v>
      </c>
      <c r="AD39" s="25">
        <f>SUM($AC$39:$AC$39)</f>
        <v>0</v>
      </c>
      <c r="AE39" s="25">
        <f ca="1">$AO$39*$AO$71</f>
        <v>0</v>
      </c>
      <c r="AF39" s="25">
        <f ca="1">$AP$39*$AP$71</f>
        <v>0</v>
      </c>
      <c r="AG39" s="25">
        <f ca="1">SUM($AE$39:$AF$39)</f>
        <v>0</v>
      </c>
      <c r="AH39" s="25">
        <f>'TUSD BE'!$AH$39*'TUSD BF'!$AH$74</f>
        <v>10.309266224049111</v>
      </c>
      <c r="AI39" s="25">
        <f>'TUSD BE'!$AI$39*'TUSD BF'!$AI$74</f>
        <v>0.83355092496745709</v>
      </c>
      <c r="AJ39" s="25">
        <f ca="1">'TUSD BE'!$AJ$39*'TUSD BF'!$AJ$74</f>
        <v>20.661325043312072</v>
      </c>
      <c r="AK39" s="25">
        <f ca="1">'TUSD BE'!$AK$39*'TUSD BF'!$AK$74</f>
        <v>0</v>
      </c>
      <c r="AL39" s="25">
        <f ca="1">SUM($AH$39:$AK$39)</f>
        <v>31.804142192328641</v>
      </c>
      <c r="AM39" s="25">
        <f ca="1">SUMIF($L$4:$AL$4,"SUBTOTAL",$L$39:$AL$39)</f>
        <v>33.761008237490309</v>
      </c>
      <c r="AO39" s="30">
        <f ca="1">+'TUSD BE'!$T$39+'TUSD BE'!$AB$39+'TUSD BE'!$AD$39+'TUSD BE'!$AL$39</f>
        <v>445.44390212731918</v>
      </c>
      <c r="AP39" s="30">
        <f ca="1">+'TUSD BE'!$T$39+'TUSD BE'!$AB$39+'TUSD BE'!$AD$39+'TUSD BE'!$AL$39</f>
        <v>445.44390212731918</v>
      </c>
    </row>
    <row r="40" spans="1:42" ht="11.25" customHeight="1" x14ac:dyDescent="0.25">
      <c r="A40" s="118"/>
      <c r="B40" s="118"/>
      <c r="C40" s="118"/>
      <c r="D40" s="28" t="s">
        <v>32</v>
      </c>
      <c r="E40" s="28" t="s">
        <v>25</v>
      </c>
      <c r="F40" s="28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25">
        <f>'TUSD BE'!$L$40*'TUSD BF'!$L$74</f>
        <v>0</v>
      </c>
      <c r="M40" s="25">
        <f>'TUSD BE'!$M$40*'TUSD BF'!$M$74</f>
        <v>0</v>
      </c>
      <c r="N40" s="25">
        <f ca="1">'TUSD BE'!$N$40*'TUSD BF'!$N$74</f>
        <v>0</v>
      </c>
      <c r="O40" s="25">
        <f>'TUSD BE'!$O$40*'TUSD BF'!$O$74</f>
        <v>0</v>
      </c>
      <c r="P40" s="25">
        <f>'TUSD BE'!$P$40*'TUSD BF'!$P$74</f>
        <v>0</v>
      </c>
      <c r="Q40" s="25">
        <f>'TUSD BE'!$Q$40*'TUSD BF'!$Q$74</f>
        <v>0</v>
      </c>
      <c r="R40" s="25">
        <f>'TUSD BE'!$R$40*'TUSD BF'!$R$74</f>
        <v>0</v>
      </c>
      <c r="S40" s="25">
        <f>'TUSD BE'!$R$40*'TUSD BF'!$S$74</f>
        <v>0</v>
      </c>
      <c r="T40" s="25">
        <f ca="1">SUM($L$40:$S$40)</f>
        <v>0</v>
      </c>
      <c r="U40" s="25">
        <f>'TUSD BE'!$U$40*'TUSD BF'!$U$74</f>
        <v>1.7312912536247562</v>
      </c>
      <c r="V40" s="25">
        <f>'TUSD BE'!$V$40*'TUSD BF'!$V$74</f>
        <v>0.22557479153691432</v>
      </c>
      <c r="W40" s="25">
        <f>'TUSD BE'!$W$40*'TUSD BF'!$W$74</f>
        <v>0</v>
      </c>
      <c r="X40" s="25">
        <f>'TUSD BE'!$X$40*'TUSD BF'!$X$74</f>
        <v>0</v>
      </c>
      <c r="Y40" s="25">
        <f>'TUSD BE'!$Y$40*'TUSD BF'!$Y$74</f>
        <v>0</v>
      </c>
      <c r="Z40" s="25">
        <f>'TUSD BE'!$Z$40*'TUSD BF'!$Z$74</f>
        <v>0</v>
      </c>
      <c r="AA40" s="25">
        <f>'TUSD BE'!$AA$40*'TUSD BF'!$AA$74</f>
        <v>0</v>
      </c>
      <c r="AB40" s="25">
        <f>SUM($U$40:$AA$40)</f>
        <v>1.9568660451616706</v>
      </c>
      <c r="AC40" s="25">
        <f>'TUSD BE'!$AC$40*'TUSD BF'!$AC$74</f>
        <v>0</v>
      </c>
      <c r="AD40" s="25">
        <f>SUM($AC$40:$AC$40)</f>
        <v>0</v>
      </c>
      <c r="AE40" s="25">
        <f ca="1">$AO$40*$AO$71</f>
        <v>0</v>
      </c>
      <c r="AF40" s="25">
        <f ca="1">$AP$40*$AP$71</f>
        <v>0</v>
      </c>
      <c r="AG40" s="25">
        <f ca="1">SUM($AE$40:$AF$40)</f>
        <v>0</v>
      </c>
      <c r="AH40" s="25">
        <f>'TUSD BE'!$AH$40*'TUSD BF'!$AH$74</f>
        <v>10.309266224049111</v>
      </c>
      <c r="AI40" s="25">
        <f>'TUSD BE'!$AI$40*'TUSD BF'!$AI$74</f>
        <v>0.83355092496745709</v>
      </c>
      <c r="AJ40" s="25">
        <f ca="1">'TUSD BE'!$AJ$40*'TUSD BF'!$AJ$74</f>
        <v>20.661325043312072</v>
      </c>
      <c r="AK40" s="25">
        <f ca="1">'TUSD BE'!$AK$40*'TUSD BF'!$AK$74</f>
        <v>0</v>
      </c>
      <c r="AL40" s="25">
        <f ca="1">SUM($AH$40:$AK$40)</f>
        <v>31.804142192328641</v>
      </c>
      <c r="AM40" s="25">
        <f ca="1">SUMIF($L$4:$AL$4,"SUBTOTAL",$L$40:$AL$40)</f>
        <v>33.761008237490309</v>
      </c>
      <c r="AO40" s="30">
        <f ca="1">+'TUSD BE'!$T$40+'TUSD BE'!$AB$40+'TUSD BE'!$AD$40+'TUSD BE'!$AL$40</f>
        <v>445.44390212731918</v>
      </c>
      <c r="AP40" s="30">
        <f ca="1">+'TUSD BE'!$T$40+'TUSD BE'!$AB$40+'TUSD BE'!$AD$40+'TUSD BE'!$AL$40</f>
        <v>445.44390212731918</v>
      </c>
    </row>
    <row r="41" spans="1:42" ht="11.25" customHeight="1" x14ac:dyDescent="0.25">
      <c r="A41" s="118"/>
      <c r="B41" s="118" t="s">
        <v>92</v>
      </c>
      <c r="C41" s="118" t="s">
        <v>24</v>
      </c>
      <c r="D41" s="28" t="s">
        <v>24</v>
      </c>
      <c r="E41" s="28" t="s">
        <v>25</v>
      </c>
      <c r="F41" s="28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25">
        <f>'TUSD BE'!$L$41*'TUSD BF'!$L$74</f>
        <v>1.0912012592579927</v>
      </c>
      <c r="M41" s="25">
        <f>'TUSD BE'!$M$41*'TUSD BF'!$M$74</f>
        <v>0</v>
      </c>
      <c r="N41" s="25">
        <f ca="1">'TUSD BE'!$N$41*'TUSD BF'!$N$74</f>
        <v>0</v>
      </c>
      <c r="O41" s="25">
        <f>'TUSD BE'!$O$41*'TUSD BF'!$O$74</f>
        <v>0</v>
      </c>
      <c r="P41" s="25">
        <f>'TUSD BE'!$P$41*'TUSD BF'!$P$74</f>
        <v>0</v>
      </c>
      <c r="Q41" s="25">
        <f>'TUSD BE'!$Q$41*'TUSD BF'!$Q$74</f>
        <v>15.161894453622915</v>
      </c>
      <c r="R41" s="25">
        <f>'TUSD BE'!$R$41*'TUSD BF'!$R$74</f>
        <v>5.5823020080452048</v>
      </c>
      <c r="S41" s="25">
        <f>'TUSD BE'!$R$41*'TUSD BF'!$S$74</f>
        <v>0</v>
      </c>
      <c r="T41" s="25">
        <f ca="1">SUM($L$41:$S$41)</f>
        <v>21.83539772092611</v>
      </c>
      <c r="U41" s="25">
        <f>'TUSD BE'!$U$41*'TUSD BF'!$U$74</f>
        <v>1.7312912536247562</v>
      </c>
      <c r="V41" s="25">
        <f>'TUSD BE'!$V$41*'TUSD BF'!$V$74</f>
        <v>0.22557479153691432</v>
      </c>
      <c r="W41" s="25">
        <f>'TUSD BE'!$W$41*'TUSD BF'!$W$74</f>
        <v>0</v>
      </c>
      <c r="X41" s="25">
        <f>'TUSD BE'!$X$41*'TUSD BF'!$X$74</f>
        <v>0</v>
      </c>
      <c r="Y41" s="25">
        <f>'TUSD BE'!$Y$41*'TUSD BF'!$Y$74</f>
        <v>0</v>
      </c>
      <c r="Z41" s="25">
        <f>'TUSD BE'!$Z$41*'TUSD BF'!$Z$74</f>
        <v>0</v>
      </c>
      <c r="AA41" s="25">
        <f>'TUSD BE'!$AA$41*'TUSD BF'!$AA$74</f>
        <v>0</v>
      </c>
      <c r="AB41" s="25">
        <f>SUM($U$41:$AA$41)</f>
        <v>1.9568660451616706</v>
      </c>
      <c r="AC41" s="25">
        <f>'TUSD BE'!$AC$41*'TUSD BF'!$AC$74</f>
        <v>0</v>
      </c>
      <c r="AD41" s="25">
        <f>SUM($AC$41:$AC$41)</f>
        <v>0</v>
      </c>
      <c r="AE41" s="25">
        <f ca="1">$AO$41*$AO$71</f>
        <v>0</v>
      </c>
      <c r="AF41" s="25">
        <f ca="1">$AP$41*$AP$71</f>
        <v>0</v>
      </c>
      <c r="AG41" s="25">
        <f ca="1">SUM($AE$41:$AF$41)</f>
        <v>0</v>
      </c>
      <c r="AH41" s="25">
        <f>'TUSD BE'!$AH$41*'TUSD BF'!$AH$74</f>
        <v>10.309266224049111</v>
      </c>
      <c r="AI41" s="25">
        <f>'TUSD BE'!$AI$41*'TUSD BF'!$AI$74</f>
        <v>0.83355092496745709</v>
      </c>
      <c r="AJ41" s="25">
        <f ca="1">'TUSD BE'!$AJ$41*'TUSD BF'!$AJ$74</f>
        <v>20.661325043312072</v>
      </c>
      <c r="AK41" s="25">
        <f ca="1">'TUSD BE'!$AK$41*'TUSD BF'!$AK$74</f>
        <v>0</v>
      </c>
      <c r="AL41" s="25">
        <f ca="1">SUM($AH$41:$AK$41)</f>
        <v>31.804142192328641</v>
      </c>
      <c r="AM41" s="25">
        <f ca="1">SUMIF($L$4:$AL$4,"SUBTOTAL",$L$41:$AL$41)</f>
        <v>55.596405958416426</v>
      </c>
      <c r="AO41" s="30">
        <f ca="1">+'TUSD BE'!$T$41+'TUSD BE'!$AB$41+'TUSD BE'!$AD$41+'TUSD BE'!$AL$41</f>
        <v>525.37514265660684</v>
      </c>
      <c r="AP41" s="30">
        <f ca="1">+'TUSD BE'!$T$41+'TUSD BE'!$AB$41+'TUSD BE'!$AD$41+'TUSD BE'!$AL$41</f>
        <v>525.37514265660684</v>
      </c>
    </row>
    <row r="42" spans="1:42" ht="11.25" customHeight="1" x14ac:dyDescent="0.25">
      <c r="A42" s="118"/>
      <c r="B42" s="118"/>
      <c r="C42" s="118"/>
      <c r="D42" s="28" t="s">
        <v>29</v>
      </c>
      <c r="E42" s="28" t="s">
        <v>25</v>
      </c>
      <c r="F42" s="28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25">
        <f>'TUSD BE'!$L$42*'TUSD BF'!$L$74</f>
        <v>0</v>
      </c>
      <c r="M42" s="25">
        <f>'TUSD BE'!$M$42*'TUSD BF'!$M$74</f>
        <v>0</v>
      </c>
      <c r="N42" s="25">
        <f ca="1">'TUSD BE'!$N$42*'TUSD BF'!$N$74</f>
        <v>0</v>
      </c>
      <c r="O42" s="25">
        <f>'TUSD BE'!$O$42*'TUSD BF'!$O$74</f>
        <v>0</v>
      </c>
      <c r="P42" s="25">
        <f>'TUSD BE'!$P$42*'TUSD BF'!$P$74</f>
        <v>0</v>
      </c>
      <c r="Q42" s="25">
        <f>'TUSD BE'!$Q$42*'TUSD BF'!$Q$74</f>
        <v>0</v>
      </c>
      <c r="R42" s="25">
        <f>'TUSD BE'!$R$42*'TUSD BF'!$R$74</f>
        <v>0</v>
      </c>
      <c r="S42" s="25">
        <f>'TUSD BE'!$R$42*'TUSD BF'!$S$74</f>
        <v>0</v>
      </c>
      <c r="T42" s="25">
        <f ca="1">SUM($L$42:$S$42)</f>
        <v>0</v>
      </c>
      <c r="U42" s="25">
        <f>'TUSD BE'!$U$42*'TUSD BF'!$U$74</f>
        <v>1.7312912536247562</v>
      </c>
      <c r="V42" s="25">
        <f>'TUSD BE'!$V$42*'TUSD BF'!$V$74</f>
        <v>0.22557479153691432</v>
      </c>
      <c r="W42" s="25">
        <f>'TUSD BE'!$W$42*'TUSD BF'!$W$74</f>
        <v>0</v>
      </c>
      <c r="X42" s="25">
        <f>'TUSD BE'!$X$42*'TUSD BF'!$X$74</f>
        <v>0</v>
      </c>
      <c r="Y42" s="25">
        <f>'TUSD BE'!$Y$42*'TUSD BF'!$Y$74</f>
        <v>0</v>
      </c>
      <c r="Z42" s="25">
        <f>'TUSD BE'!$Z$42*'TUSD BF'!$Z$74</f>
        <v>0</v>
      </c>
      <c r="AA42" s="25">
        <f>'TUSD BE'!$AA$42*'TUSD BF'!$AA$74</f>
        <v>0</v>
      </c>
      <c r="AB42" s="25">
        <f>SUM($U$42:$AA$42)</f>
        <v>1.9568660451616706</v>
      </c>
      <c r="AC42" s="25">
        <f>'TUSD BE'!$AC$42*'TUSD BF'!$AC$74</f>
        <v>0</v>
      </c>
      <c r="AD42" s="25">
        <f>SUM($AC$42:$AC$42)</f>
        <v>0</v>
      </c>
      <c r="AE42" s="25">
        <f ca="1">$AO$42*$AO$71</f>
        <v>0</v>
      </c>
      <c r="AF42" s="25">
        <f ca="1">$AP$42*$AP$71</f>
        <v>0</v>
      </c>
      <c r="AG42" s="25">
        <f ca="1">SUM($AE$42:$AF$42)</f>
        <v>0</v>
      </c>
      <c r="AH42" s="25">
        <f>'TUSD BE'!$AH$42*'TUSD BF'!$AH$74</f>
        <v>10.309266224049111</v>
      </c>
      <c r="AI42" s="25">
        <f>'TUSD BE'!$AI$42*'TUSD BF'!$AI$74</f>
        <v>0.83355092496745709</v>
      </c>
      <c r="AJ42" s="25">
        <f ca="1">'TUSD BE'!$AJ$42*'TUSD BF'!$AJ$74</f>
        <v>20.661325043312072</v>
      </c>
      <c r="AK42" s="25">
        <f ca="1">'TUSD BE'!$AK$42*'TUSD BF'!$AK$74</f>
        <v>0</v>
      </c>
      <c r="AL42" s="25">
        <f ca="1">SUM($AH$42:$AK$42)</f>
        <v>31.804142192328641</v>
      </c>
      <c r="AM42" s="25">
        <f ca="1">SUMIF($L$4:$AL$4,"SUBTOTAL",$L$42:$AL$42)</f>
        <v>33.761008237490309</v>
      </c>
      <c r="AO42" s="30">
        <f ca="1">+'TUSD BE'!$T$42+'TUSD BE'!$AB$42+'TUSD BE'!$AD$42+'TUSD BE'!$AL$42</f>
        <v>445.44390212731918</v>
      </c>
      <c r="AP42" s="30">
        <f ca="1">+'TUSD BE'!$T$42+'TUSD BE'!$AB$42+'TUSD BE'!$AD$42+'TUSD BE'!$AL$42</f>
        <v>445.44390212731918</v>
      </c>
    </row>
    <row r="43" spans="1:42" ht="11.25" customHeight="1" x14ac:dyDescent="0.25">
      <c r="A43" s="118"/>
      <c r="B43" s="118"/>
      <c r="C43" s="118"/>
      <c r="D43" s="28" t="s">
        <v>30</v>
      </c>
      <c r="E43" s="28" t="s">
        <v>25</v>
      </c>
      <c r="F43" s="28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25">
        <f>'TUSD BE'!$L$43*'TUSD BF'!$L$74</f>
        <v>0</v>
      </c>
      <c r="M43" s="25">
        <f>'TUSD BE'!$M$43*'TUSD BF'!$M$74</f>
        <v>0</v>
      </c>
      <c r="N43" s="25">
        <f ca="1">'TUSD BE'!$N$43*'TUSD BF'!$N$74</f>
        <v>0</v>
      </c>
      <c r="O43" s="25">
        <f>'TUSD BE'!$O$43*'TUSD BF'!$O$74</f>
        <v>0</v>
      </c>
      <c r="P43" s="25">
        <f>'TUSD BE'!$P$43*'TUSD BF'!$P$74</f>
        <v>0</v>
      </c>
      <c r="Q43" s="25">
        <f>'TUSD BE'!$Q$43*'TUSD BF'!$Q$74</f>
        <v>0</v>
      </c>
      <c r="R43" s="25">
        <f>'TUSD BE'!$R$43*'TUSD BF'!$R$74</f>
        <v>0</v>
      </c>
      <c r="S43" s="25">
        <f>'TUSD BE'!$R$43*'TUSD BF'!$S$74</f>
        <v>0</v>
      </c>
      <c r="T43" s="25">
        <f ca="1">SUM($L$43:$S$43)</f>
        <v>0</v>
      </c>
      <c r="U43" s="25">
        <f>'TUSD BE'!$U$43*'TUSD BF'!$U$74</f>
        <v>1.7312912536247562</v>
      </c>
      <c r="V43" s="25">
        <f>'TUSD BE'!$V$43*'TUSD BF'!$V$74</f>
        <v>0.22557479153691432</v>
      </c>
      <c r="W43" s="25">
        <f>'TUSD BE'!$W$43*'TUSD BF'!$W$74</f>
        <v>0</v>
      </c>
      <c r="X43" s="25">
        <f>'TUSD BE'!$X$43*'TUSD BF'!$X$74</f>
        <v>0</v>
      </c>
      <c r="Y43" s="25">
        <f>'TUSD BE'!$Y$43*'TUSD BF'!$Y$74</f>
        <v>0</v>
      </c>
      <c r="Z43" s="25">
        <f>'TUSD BE'!$Z$43*'TUSD BF'!$Z$74</f>
        <v>0</v>
      </c>
      <c r="AA43" s="25">
        <f>'TUSD BE'!$AA$43*'TUSD BF'!$AA$74</f>
        <v>0</v>
      </c>
      <c r="AB43" s="25">
        <f>SUM($U$43:$AA$43)</f>
        <v>1.9568660451616706</v>
      </c>
      <c r="AC43" s="25">
        <f>'TUSD BE'!$AC$43*'TUSD BF'!$AC$74</f>
        <v>0</v>
      </c>
      <c r="AD43" s="25">
        <f>SUM($AC$43:$AC$43)</f>
        <v>0</v>
      </c>
      <c r="AE43" s="25">
        <f ca="1">$AO$43*$AO$71</f>
        <v>0</v>
      </c>
      <c r="AF43" s="25">
        <f ca="1">$AP$43*$AP$71</f>
        <v>0</v>
      </c>
      <c r="AG43" s="25">
        <f ca="1">SUM($AE$43:$AF$43)</f>
        <v>0</v>
      </c>
      <c r="AH43" s="25">
        <f>'TUSD BE'!$AH$43*'TUSD BF'!$AH$74</f>
        <v>10.309266224049111</v>
      </c>
      <c r="AI43" s="25">
        <f>'TUSD BE'!$AI$43*'TUSD BF'!$AI$74</f>
        <v>0.83355092496745709</v>
      </c>
      <c r="AJ43" s="25">
        <f ca="1">'TUSD BE'!$AJ$43*'TUSD BF'!$AJ$74</f>
        <v>20.661325043312072</v>
      </c>
      <c r="AK43" s="25">
        <f ca="1">'TUSD BE'!$AK$43*'TUSD BF'!$AK$74</f>
        <v>0</v>
      </c>
      <c r="AL43" s="25">
        <f ca="1">SUM($AH$43:$AK$43)</f>
        <v>31.804142192328641</v>
      </c>
      <c r="AM43" s="25">
        <f ca="1">SUMIF($L$4:$AL$4,"SUBTOTAL",$L$43:$AL$43)</f>
        <v>33.761008237490309</v>
      </c>
      <c r="AO43" s="30">
        <f ca="1">+'TUSD BE'!$T$43+'TUSD BE'!$AB$43+'TUSD BE'!$AD$43+'TUSD BE'!$AL$43</f>
        <v>445.44390212731918</v>
      </c>
      <c r="AP43" s="30">
        <f ca="1">+'TUSD BE'!$T$43+'TUSD BE'!$AB$43+'TUSD BE'!$AD$43+'TUSD BE'!$AL$43</f>
        <v>445.44390212731918</v>
      </c>
    </row>
    <row r="44" spans="1:42" ht="11.25" customHeight="1" x14ac:dyDescent="0.25">
      <c r="A44" s="118"/>
      <c r="B44" s="118"/>
      <c r="C44" s="118"/>
      <c r="D44" s="28" t="s">
        <v>31</v>
      </c>
      <c r="E44" s="28" t="s">
        <v>25</v>
      </c>
      <c r="F44" s="28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25">
        <f>'TUSD BE'!$L$44*'TUSD BF'!$L$74</f>
        <v>0</v>
      </c>
      <c r="M44" s="25">
        <f>'TUSD BE'!$M$44*'TUSD BF'!$M$74</f>
        <v>0</v>
      </c>
      <c r="N44" s="25">
        <f ca="1">'TUSD BE'!$N$44*'TUSD BF'!$N$74</f>
        <v>0</v>
      </c>
      <c r="O44" s="25">
        <f>'TUSD BE'!$O$44*'TUSD BF'!$O$74</f>
        <v>0</v>
      </c>
      <c r="P44" s="25">
        <f>'TUSD BE'!$P$44*'TUSD BF'!$P$74</f>
        <v>0</v>
      </c>
      <c r="Q44" s="25">
        <f>'TUSD BE'!$Q$44*'TUSD BF'!$Q$74</f>
        <v>0</v>
      </c>
      <c r="R44" s="25">
        <f>'TUSD BE'!$R$44*'TUSD BF'!$R$74</f>
        <v>0</v>
      </c>
      <c r="S44" s="25">
        <f>'TUSD BE'!$R$44*'TUSD BF'!$S$74</f>
        <v>0</v>
      </c>
      <c r="T44" s="25">
        <f ca="1">SUM($L$44:$S$44)</f>
        <v>0</v>
      </c>
      <c r="U44" s="25">
        <f>'TUSD BE'!$U$44*'TUSD BF'!$U$74</f>
        <v>1.7312912536247562</v>
      </c>
      <c r="V44" s="25">
        <f>'TUSD BE'!$V$44*'TUSD BF'!$V$74</f>
        <v>0.22557479153691432</v>
      </c>
      <c r="W44" s="25">
        <f>'TUSD BE'!$W$44*'TUSD BF'!$W$74</f>
        <v>0</v>
      </c>
      <c r="X44" s="25">
        <f>'TUSD BE'!$X$44*'TUSD BF'!$X$74</f>
        <v>0</v>
      </c>
      <c r="Y44" s="25">
        <f>'TUSD BE'!$Y$44*'TUSD BF'!$Y$74</f>
        <v>0</v>
      </c>
      <c r="Z44" s="25">
        <f>'TUSD BE'!$Z$44*'TUSD BF'!$Z$74</f>
        <v>0</v>
      </c>
      <c r="AA44" s="25">
        <f>'TUSD BE'!$AA$44*'TUSD BF'!$AA$74</f>
        <v>0</v>
      </c>
      <c r="AB44" s="25">
        <f>SUM($U$44:$AA$44)</f>
        <v>1.9568660451616706</v>
      </c>
      <c r="AC44" s="25">
        <f>'TUSD BE'!$AC$44*'TUSD BF'!$AC$74</f>
        <v>0</v>
      </c>
      <c r="AD44" s="25">
        <f>SUM($AC$44:$AC$44)</f>
        <v>0</v>
      </c>
      <c r="AE44" s="25">
        <f ca="1">$AO$44*$AO$71</f>
        <v>0</v>
      </c>
      <c r="AF44" s="25">
        <f ca="1">$AP$44*$AP$71</f>
        <v>0</v>
      </c>
      <c r="AG44" s="25">
        <f ca="1">SUM($AE$44:$AF$44)</f>
        <v>0</v>
      </c>
      <c r="AH44" s="25">
        <f>'TUSD BE'!$AH$44*'TUSD BF'!$AH$74</f>
        <v>10.309266224049111</v>
      </c>
      <c r="AI44" s="25">
        <f>'TUSD BE'!$AI$44*'TUSD BF'!$AI$74</f>
        <v>0.83355092496745709</v>
      </c>
      <c r="AJ44" s="25">
        <f ca="1">'TUSD BE'!$AJ$44*'TUSD BF'!$AJ$74</f>
        <v>20.661325043312072</v>
      </c>
      <c r="AK44" s="25">
        <f ca="1">'TUSD BE'!$AK$44*'TUSD BF'!$AK$74</f>
        <v>0</v>
      </c>
      <c r="AL44" s="25">
        <f ca="1">SUM($AH$44:$AK$44)</f>
        <v>31.804142192328641</v>
      </c>
      <c r="AM44" s="25">
        <f ca="1">SUMIF($L$4:$AL$4,"SUBTOTAL",$L$44:$AL$44)</f>
        <v>33.761008237490309</v>
      </c>
      <c r="AO44" s="30">
        <f ca="1">+'TUSD BE'!$T$44+'TUSD BE'!$AB$44+'TUSD BE'!$AD$44+'TUSD BE'!$AL$44</f>
        <v>445.44390212731918</v>
      </c>
      <c r="AP44" s="30">
        <f ca="1">+'TUSD BE'!$T$44+'TUSD BE'!$AB$44+'TUSD BE'!$AD$44+'TUSD BE'!$AL$44</f>
        <v>445.44390212731918</v>
      </c>
    </row>
    <row r="45" spans="1:42" ht="11.25" customHeight="1" x14ac:dyDescent="0.25">
      <c r="A45" s="118"/>
      <c r="B45" s="118"/>
      <c r="C45" s="118"/>
      <c r="D45" s="28" t="s">
        <v>32</v>
      </c>
      <c r="E45" s="28" t="s">
        <v>25</v>
      </c>
      <c r="F45" s="28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25">
        <f>'TUSD BE'!$L$45*'TUSD BF'!$L$74</f>
        <v>0</v>
      </c>
      <c r="M45" s="25">
        <f>'TUSD BE'!$M$45*'TUSD BF'!$M$74</f>
        <v>0</v>
      </c>
      <c r="N45" s="25">
        <f ca="1">'TUSD BE'!$N$45*'TUSD BF'!$N$74</f>
        <v>0</v>
      </c>
      <c r="O45" s="25">
        <f>'TUSD BE'!$O$45*'TUSD BF'!$O$74</f>
        <v>0</v>
      </c>
      <c r="P45" s="25">
        <f>'TUSD BE'!$P$45*'TUSD BF'!$P$74</f>
        <v>0</v>
      </c>
      <c r="Q45" s="25">
        <f>'TUSD BE'!$Q$45*'TUSD BF'!$Q$74</f>
        <v>0</v>
      </c>
      <c r="R45" s="25">
        <f>'TUSD BE'!$R$45*'TUSD BF'!$R$74</f>
        <v>0</v>
      </c>
      <c r="S45" s="25">
        <f>'TUSD BE'!$R$45*'TUSD BF'!$S$74</f>
        <v>0</v>
      </c>
      <c r="T45" s="25">
        <f ca="1">SUM($L$45:$S$45)</f>
        <v>0</v>
      </c>
      <c r="U45" s="25">
        <f>'TUSD BE'!$U$45*'TUSD BF'!$U$74</f>
        <v>1.7312912536247562</v>
      </c>
      <c r="V45" s="25">
        <f>'TUSD BE'!$V$45*'TUSD BF'!$V$74</f>
        <v>0.22557479153691432</v>
      </c>
      <c r="W45" s="25">
        <f>'TUSD BE'!$W$45*'TUSD BF'!$W$74</f>
        <v>0</v>
      </c>
      <c r="X45" s="25">
        <f>'TUSD BE'!$X$45*'TUSD BF'!$X$74</f>
        <v>0</v>
      </c>
      <c r="Y45" s="25">
        <f>'TUSD BE'!$Y$45*'TUSD BF'!$Y$74</f>
        <v>0</v>
      </c>
      <c r="Z45" s="25">
        <f>'TUSD BE'!$Z$45*'TUSD BF'!$Z$74</f>
        <v>0</v>
      </c>
      <c r="AA45" s="25">
        <f>'TUSD BE'!$AA$45*'TUSD BF'!$AA$74</f>
        <v>0</v>
      </c>
      <c r="AB45" s="25">
        <f>SUM($U$45:$AA$45)</f>
        <v>1.9568660451616706</v>
      </c>
      <c r="AC45" s="25">
        <f>'TUSD BE'!$AC$45*'TUSD BF'!$AC$74</f>
        <v>0</v>
      </c>
      <c r="AD45" s="25">
        <f>SUM($AC$45:$AC$45)</f>
        <v>0</v>
      </c>
      <c r="AE45" s="25">
        <f ca="1">$AO$45*$AO$71</f>
        <v>0</v>
      </c>
      <c r="AF45" s="25">
        <f ca="1">$AP$45*$AP$71</f>
        <v>0</v>
      </c>
      <c r="AG45" s="25">
        <f ca="1">SUM($AE$45:$AF$45)</f>
        <v>0</v>
      </c>
      <c r="AH45" s="25">
        <f>'TUSD BE'!$AH$45*'TUSD BF'!$AH$74</f>
        <v>10.309266224049111</v>
      </c>
      <c r="AI45" s="25">
        <f>'TUSD BE'!$AI$45*'TUSD BF'!$AI$74</f>
        <v>0.83355092496745709</v>
      </c>
      <c r="AJ45" s="25">
        <f ca="1">'TUSD BE'!$AJ$45*'TUSD BF'!$AJ$74</f>
        <v>20.661325043312072</v>
      </c>
      <c r="AK45" s="25">
        <f ca="1">'TUSD BE'!$AK$45*'TUSD BF'!$AK$74</f>
        <v>0</v>
      </c>
      <c r="AL45" s="25">
        <f ca="1">SUM($AH$45:$AK$45)</f>
        <v>31.804142192328641</v>
      </c>
      <c r="AM45" s="25">
        <f ca="1">SUMIF($L$4:$AL$4,"SUBTOTAL",$L$45:$AL$45)</f>
        <v>33.761008237490309</v>
      </c>
      <c r="AO45" s="30">
        <f ca="1">+'TUSD BE'!$T$45+'TUSD BE'!$AB$45+'TUSD BE'!$AD$45+'TUSD BE'!$AL$45</f>
        <v>445.44390212731918</v>
      </c>
      <c r="AP45" s="30">
        <f ca="1">+'TUSD BE'!$T$45+'TUSD BE'!$AB$45+'TUSD BE'!$AD$45+'TUSD BE'!$AL$45</f>
        <v>445.44390212731918</v>
      </c>
    </row>
    <row r="46" spans="1:42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25">
        <f>'TUSD BE'!$L$46*'TUSD BF'!$L$74</f>
        <v>1.0912012592579927</v>
      </c>
      <c r="M46" s="25">
        <f>'TUSD BE'!$M$46*'TUSD BF'!$M$74</f>
        <v>0</v>
      </c>
      <c r="N46" s="25">
        <f ca="1">'TUSD BE'!$N$46*'TUSD BF'!$N$74</f>
        <v>0</v>
      </c>
      <c r="O46" s="25">
        <f>'TUSD BE'!$O$46*'TUSD BF'!$O$74</f>
        <v>0</v>
      </c>
      <c r="P46" s="25">
        <f>'TUSD BE'!$P$46*'TUSD BF'!$P$74</f>
        <v>0</v>
      </c>
      <c r="Q46" s="25">
        <f>'TUSD BE'!$Q$46*'TUSD BF'!$Q$74</f>
        <v>15.161894453622915</v>
      </c>
      <c r="R46" s="25">
        <f>'TUSD BE'!$R$46*'TUSD BF'!$R$74</f>
        <v>5.5823020080452048</v>
      </c>
      <c r="S46" s="25">
        <f>'TUSD BE'!$R$46*'TUSD BF'!$S$74</f>
        <v>0</v>
      </c>
      <c r="T46" s="25">
        <f ca="1">SUM($L$46:$S$46)</f>
        <v>21.83539772092611</v>
      </c>
      <c r="U46" s="25">
        <f>'TUSD BE'!$U$46*'TUSD BF'!$U$74</f>
        <v>5.6267103588854903</v>
      </c>
      <c r="V46" s="25">
        <f>'TUSD BE'!$V$46*'TUSD BF'!$V$74</f>
        <v>0.73312316043393499</v>
      </c>
      <c r="W46" s="25">
        <f>'TUSD BE'!$W$46*'TUSD BF'!$W$74</f>
        <v>0</v>
      </c>
      <c r="X46" s="25">
        <f>'TUSD BE'!$X$46*'TUSD BF'!$X$74</f>
        <v>0</v>
      </c>
      <c r="Y46" s="25">
        <f>'TUSD BE'!$Y$46*'TUSD BF'!$Y$74</f>
        <v>0</v>
      </c>
      <c r="Z46" s="25">
        <f>'TUSD BE'!$Z$46*'TUSD BF'!$Z$74</f>
        <v>0</v>
      </c>
      <c r="AA46" s="25">
        <f>'TUSD BE'!$AA$46*'TUSD BF'!$AA$74</f>
        <v>0</v>
      </c>
      <c r="AB46" s="25">
        <f>SUM($U$46:$AA$46)</f>
        <v>6.3598335193194249</v>
      </c>
      <c r="AC46" s="25">
        <f>'TUSD BE'!$AC$46*'TUSD BF'!$AC$74</f>
        <v>0</v>
      </c>
      <c r="AD46" s="25">
        <f>SUM($AC$46:$AC$46)</f>
        <v>0</v>
      </c>
      <c r="AE46" s="25">
        <f ca="1">$AO$46*$AO$71</f>
        <v>0</v>
      </c>
      <c r="AF46" s="25">
        <f ca="1">$AP$46*$AP$71</f>
        <v>0</v>
      </c>
      <c r="AG46" s="25">
        <f ca="1">SUM($AE$46:$AF$46)</f>
        <v>0</v>
      </c>
      <c r="AH46" s="25">
        <f>'TUSD BE'!$AH$46*'TUSD BF'!$AH$74</f>
        <v>10.309266224049111</v>
      </c>
      <c r="AI46" s="25">
        <f>'TUSD BE'!$AI$46*'TUSD BF'!$AI$74</f>
        <v>0.83355092496745709</v>
      </c>
      <c r="AJ46" s="25">
        <f ca="1">'TUSD BE'!$AJ$46*'TUSD BF'!$AJ$74</f>
        <v>20.661325043312072</v>
      </c>
      <c r="AK46" s="25">
        <f ca="1">'TUSD BE'!$AK$46*'TUSD BF'!$AK$74</f>
        <v>0</v>
      </c>
      <c r="AL46" s="25">
        <f ca="1">SUM($AH$46:$AK$46)</f>
        <v>31.804142192328641</v>
      </c>
      <c r="AM46" s="25">
        <f ca="1">SUMIF($L$4:$AL$4,"SUBTOTAL",$L$46:$AL$46)</f>
        <v>59.999373432574174</v>
      </c>
      <c r="AO46" s="30">
        <f ca="1">+'TUSD BE'!$T$46+'TUSD BE'!$AB$46+'TUSD BE'!$AD$46+'TUSD BE'!$AL$46</f>
        <v>1251.5147133122675</v>
      </c>
      <c r="AP46" s="30">
        <f ca="1">+'TUSD BE'!$T$46+'TUSD BE'!$AB$46+'TUSD BE'!$AD$46+'TUSD BE'!$AL$46</f>
        <v>1251.5147133122675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25">
        <f>'TUSD BE'!$L$47*'TUSD BF'!$L$74</f>
        <v>1.0912012592579927</v>
      </c>
      <c r="M47" s="25">
        <f>'TUSD BE'!$M$47*'TUSD BF'!$M$74</f>
        <v>0</v>
      </c>
      <c r="N47" s="25">
        <f ca="1">'TUSD BE'!$N$47*'TUSD BF'!$N$74</f>
        <v>0</v>
      </c>
      <c r="O47" s="25">
        <f>'TUSD BE'!$O$47*'TUSD BF'!$O$74</f>
        <v>0</v>
      </c>
      <c r="P47" s="25">
        <f>'TUSD BE'!$P$47*'TUSD BF'!$P$74</f>
        <v>0</v>
      </c>
      <c r="Q47" s="25">
        <f>'TUSD BE'!$Q$47*'TUSD BF'!$Q$74</f>
        <v>15.161894453622915</v>
      </c>
      <c r="R47" s="25">
        <f>'TUSD BE'!$R$47*'TUSD BF'!$R$74</f>
        <v>5.5823020080452048</v>
      </c>
      <c r="S47" s="25">
        <f>'TUSD BE'!$R$47*'TUSD BF'!$S$74</f>
        <v>0</v>
      </c>
      <c r="T47" s="25">
        <f ca="1">SUM($L$47:$S$47)</f>
        <v>21.83539772092611</v>
      </c>
      <c r="U47" s="25">
        <f>'TUSD BE'!$U$47*'TUSD BF'!$U$74</f>
        <v>3.3760220799497844</v>
      </c>
      <c r="V47" s="25">
        <f>'TUSD BE'!$V$47*'TUSD BF'!$V$74</f>
        <v>0.43987471033059522</v>
      </c>
      <c r="W47" s="25">
        <f>'TUSD BE'!$W$47*'TUSD BF'!$W$74</f>
        <v>0</v>
      </c>
      <c r="X47" s="25">
        <f>'TUSD BE'!$X$47*'TUSD BF'!$X$74</f>
        <v>0</v>
      </c>
      <c r="Y47" s="25">
        <f>'TUSD BE'!$Y$47*'TUSD BF'!$Y$74</f>
        <v>0</v>
      </c>
      <c r="Z47" s="25">
        <f>'TUSD BE'!$Z$47*'TUSD BF'!$Z$74</f>
        <v>0</v>
      </c>
      <c r="AA47" s="25">
        <f>'TUSD BE'!$AA$47*'TUSD BF'!$AA$74</f>
        <v>0</v>
      </c>
      <c r="AB47" s="25">
        <f>SUM($U$47:$AA$47)</f>
        <v>3.8158967902803798</v>
      </c>
      <c r="AC47" s="25">
        <f>'TUSD BE'!$AC$47*'TUSD BF'!$AC$74</f>
        <v>0</v>
      </c>
      <c r="AD47" s="25">
        <f>SUM($AC$47:$AC$47)</f>
        <v>0</v>
      </c>
      <c r="AE47" s="25">
        <f ca="1">$AO$47*$AO$71</f>
        <v>0</v>
      </c>
      <c r="AF47" s="25">
        <f ca="1">$AP$47*$AP$71</f>
        <v>0</v>
      </c>
      <c r="AG47" s="25">
        <f ca="1">SUM($AE$47:$AF$47)</f>
        <v>0</v>
      </c>
      <c r="AH47" s="25">
        <f>'TUSD BE'!$AH$47*'TUSD BF'!$AH$74</f>
        <v>10.309266224049111</v>
      </c>
      <c r="AI47" s="25">
        <f>'TUSD BE'!$AI$47*'TUSD BF'!$AI$74</f>
        <v>0.83355092496745709</v>
      </c>
      <c r="AJ47" s="25">
        <f ca="1">'TUSD BE'!$AJ$47*'TUSD BF'!$AJ$74</f>
        <v>20.661325043312072</v>
      </c>
      <c r="AK47" s="25">
        <f ca="1">'TUSD BE'!$AK$47*'TUSD BF'!$AK$74</f>
        <v>0</v>
      </c>
      <c r="AL47" s="25">
        <f ca="1">SUM($AH$47:$AK$47)</f>
        <v>31.804142192328641</v>
      </c>
      <c r="AM47" s="25">
        <f ca="1">SUMIF($L$4:$AL$4,"SUBTOTAL",$L$47:$AL$47)</f>
        <v>57.455436703535128</v>
      </c>
      <c r="AO47" s="30">
        <f ca="1">+'TUSD BE'!$T$47+'TUSD BE'!$AB$47+'TUSD BE'!$AD$47+'TUSD BE'!$AL$47</f>
        <v>831.96743815762795</v>
      </c>
      <c r="AP47" s="30">
        <f ca="1">+'TUSD BE'!$T$47+'TUSD BE'!$AB$47+'TUSD BE'!$AD$47+'TUSD BE'!$AL$47</f>
        <v>831.96743815762795</v>
      </c>
    </row>
    <row r="48" spans="1:42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25">
        <f>'TUSD BE'!$L$48*'TUSD BF'!$L$74</f>
        <v>1.0912012592579927</v>
      </c>
      <c r="M48" s="25">
        <f>'TUSD BE'!$M$48*'TUSD BF'!$M$74</f>
        <v>0</v>
      </c>
      <c r="N48" s="25">
        <f ca="1">'TUSD BE'!$N$48*'TUSD BF'!$N$74</f>
        <v>0</v>
      </c>
      <c r="O48" s="25">
        <f>'TUSD BE'!$O$48*'TUSD BF'!$O$74</f>
        <v>0</v>
      </c>
      <c r="P48" s="25">
        <f>'TUSD BE'!$P$48*'TUSD BF'!$P$74</f>
        <v>0</v>
      </c>
      <c r="Q48" s="25">
        <f>'TUSD BE'!$Q$48*'TUSD BF'!$Q$74</f>
        <v>15.161894453622915</v>
      </c>
      <c r="R48" s="25">
        <f>'TUSD BE'!$R$48*'TUSD BF'!$R$74</f>
        <v>5.5823020080452048</v>
      </c>
      <c r="S48" s="25">
        <f>'TUSD BE'!$R$48*'TUSD BF'!$S$74</f>
        <v>0</v>
      </c>
      <c r="T48" s="25">
        <f ca="1">SUM($L$48:$S$48)</f>
        <v>21.83539772092611</v>
      </c>
      <c r="U48" s="25">
        <f>'TUSD BE'!$U$48*'TUSD BF'!$U$74</f>
        <v>1.1253406933165948</v>
      </c>
      <c r="V48" s="25">
        <f>'TUSD BE'!$V$48*'TUSD BF'!$V$74</f>
        <v>0.14662626022725533</v>
      </c>
      <c r="W48" s="25">
        <f>'TUSD BE'!$W$48*'TUSD BF'!$W$74</f>
        <v>0</v>
      </c>
      <c r="X48" s="25">
        <f>'TUSD BE'!$X$48*'TUSD BF'!$X$74</f>
        <v>0</v>
      </c>
      <c r="Y48" s="25">
        <f>'TUSD BE'!$Y$48*'TUSD BF'!$Y$74</f>
        <v>0</v>
      </c>
      <c r="Z48" s="25">
        <f>'TUSD BE'!$Z$48*'TUSD BF'!$Z$74</f>
        <v>0</v>
      </c>
      <c r="AA48" s="25">
        <f>'TUSD BE'!$AA$48*'TUSD BF'!$AA$74</f>
        <v>0</v>
      </c>
      <c r="AB48" s="25">
        <f>SUM($U$48:$AA$48)</f>
        <v>1.27196695354385</v>
      </c>
      <c r="AC48" s="25">
        <f>'TUSD BE'!$AC$48*'TUSD BF'!$AC$74</f>
        <v>0</v>
      </c>
      <c r="AD48" s="25">
        <f>SUM($AC$48:$AC$48)</f>
        <v>0</v>
      </c>
      <c r="AE48" s="25">
        <f ca="1">$AO$48*$AO$71</f>
        <v>0</v>
      </c>
      <c r="AF48" s="25">
        <f ca="1">$AP$48*$AP$71</f>
        <v>0</v>
      </c>
      <c r="AG48" s="25">
        <f ca="1">SUM($AE$48:$AF$48)</f>
        <v>0</v>
      </c>
      <c r="AH48" s="25">
        <f>'TUSD BE'!$AH$48*'TUSD BF'!$AH$74</f>
        <v>10.309266224049111</v>
      </c>
      <c r="AI48" s="25">
        <f>'TUSD BE'!$AI$48*'TUSD BF'!$AI$74</f>
        <v>0.83355092496745709</v>
      </c>
      <c r="AJ48" s="25">
        <f ca="1">'TUSD BE'!$AJ$48*'TUSD BF'!$AJ$74</f>
        <v>20.661325043312072</v>
      </c>
      <c r="AK48" s="25">
        <f ca="1">'TUSD BE'!$AK$48*'TUSD BF'!$AK$74</f>
        <v>0</v>
      </c>
      <c r="AL48" s="25">
        <f ca="1">SUM($AH$48:$AK$48)</f>
        <v>31.804142192328641</v>
      </c>
      <c r="AM48" s="25">
        <f ca="1">SUMIF($L$4:$AL$4,"SUBTOTAL",$L$48:$AL$48)</f>
        <v>54.911506866798604</v>
      </c>
      <c r="AO48" s="30">
        <f ca="1">+'TUSD BE'!$T$48+'TUSD BE'!$AB$48+'TUSD BE'!$AD$48+'TUSD BE'!$AL$48</f>
        <v>412.42017280378394</v>
      </c>
      <c r="AP48" s="30">
        <f ca="1">+'TUSD BE'!$T$48+'TUSD BE'!$AB$48+'TUSD BE'!$AD$48+'TUSD BE'!$AL$48</f>
        <v>412.42017280378394</v>
      </c>
    </row>
    <row r="49" spans="1:42" ht="11.25" customHeight="1" x14ac:dyDescent="0.25">
      <c r="A49" s="118"/>
      <c r="B49" s="28" t="s">
        <v>23</v>
      </c>
      <c r="C49" s="28" t="s">
        <v>46</v>
      </c>
      <c r="D49" s="28" t="s">
        <v>25</v>
      </c>
      <c r="E49" s="28" t="s">
        <v>25</v>
      </c>
      <c r="F49" s="28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25">
        <f>'TUSD BE'!$L$49*'TUSD BF'!$L$74</f>
        <v>1.0912012592579927</v>
      </c>
      <c r="M49" s="25">
        <f>'TUSD BE'!$M$49*'TUSD BF'!$M$74</f>
        <v>0</v>
      </c>
      <c r="N49" s="25">
        <f ca="1">'TUSD BE'!$N$49*'TUSD BF'!$N$74</f>
        <v>0</v>
      </c>
      <c r="O49" s="25">
        <f>'TUSD BE'!$O$49*'TUSD BF'!$O$74</f>
        <v>0</v>
      </c>
      <c r="P49" s="25">
        <f>'TUSD BE'!$P$49*'TUSD BF'!$P$74</f>
        <v>0</v>
      </c>
      <c r="Q49" s="25">
        <f>'TUSD BE'!$Q$49*'TUSD BF'!$Q$74</f>
        <v>15.161894453622915</v>
      </c>
      <c r="R49" s="25">
        <f>'TUSD BE'!$R$49*'TUSD BF'!$R$74</f>
        <v>5.5823020080452048</v>
      </c>
      <c r="S49" s="25">
        <f>'TUSD BE'!$R$49*'TUSD BF'!$S$74</f>
        <v>0</v>
      </c>
      <c r="T49" s="25">
        <f ca="1">SUM($L$49:$S$49)</f>
        <v>21.83539772092611</v>
      </c>
      <c r="U49" s="25">
        <f>'TUSD BE'!$U$49*'TUSD BF'!$U$74</f>
        <v>1.7312912536247562</v>
      </c>
      <c r="V49" s="25">
        <f>'TUSD BE'!$V$49*'TUSD BF'!$V$74</f>
        <v>0.22557479153691432</v>
      </c>
      <c r="W49" s="25">
        <f>'TUSD BE'!$W$49*'TUSD BF'!$W$74</f>
        <v>0</v>
      </c>
      <c r="X49" s="25">
        <f>'TUSD BE'!$X$49*'TUSD BF'!$X$74</f>
        <v>0</v>
      </c>
      <c r="Y49" s="25">
        <f>'TUSD BE'!$Y$49*'TUSD BF'!$Y$74</f>
        <v>0</v>
      </c>
      <c r="Z49" s="25">
        <f>'TUSD BE'!$Z$49*'TUSD BF'!$Z$74</f>
        <v>0</v>
      </c>
      <c r="AA49" s="25">
        <f>'TUSD BE'!$AA$49*'TUSD BF'!$AA$74</f>
        <v>0</v>
      </c>
      <c r="AB49" s="25">
        <f>SUM($U$49:$AA$49)</f>
        <v>1.9568660451616706</v>
      </c>
      <c r="AC49" s="25">
        <f>'TUSD BE'!$AC$49*'TUSD BF'!$AC$74</f>
        <v>0</v>
      </c>
      <c r="AD49" s="25">
        <f>SUM($AC$49:$AC$49)</f>
        <v>0</v>
      </c>
      <c r="AE49" s="25">
        <f ca="1">$AO$49*$AO$71</f>
        <v>0</v>
      </c>
      <c r="AF49" s="25">
        <f ca="1">$AP$49*$AP$71</f>
        <v>0</v>
      </c>
      <c r="AG49" s="25">
        <f ca="1">SUM($AE$49:$AF$49)</f>
        <v>0</v>
      </c>
      <c r="AH49" s="25">
        <f>'TUSD BE'!$AH$49*'TUSD BF'!$AH$74</f>
        <v>10.309266224049111</v>
      </c>
      <c r="AI49" s="25">
        <f>'TUSD BE'!$AI$49*'TUSD BF'!$AI$74</f>
        <v>0.83355092496745709</v>
      </c>
      <c r="AJ49" s="25">
        <f ca="1">'TUSD BE'!$AJ$49*'TUSD BF'!$AJ$74</f>
        <v>20.661325043312072</v>
      </c>
      <c r="AK49" s="25">
        <f ca="1">'TUSD BE'!$AK$49*'TUSD BF'!$AK$74</f>
        <v>0</v>
      </c>
      <c r="AL49" s="25">
        <f ca="1">SUM($AH$49:$AK$49)</f>
        <v>31.804142192328641</v>
      </c>
      <c r="AM49" s="25">
        <f ca="1">SUMIF($L$4:$AL$4,"SUBTOTAL",$L$49:$AL$49)</f>
        <v>55.596405958416426</v>
      </c>
      <c r="AO49" s="30">
        <f ca="1">+'TUSD BE'!$T$49+'TUSD BE'!$AB$49+'TUSD BE'!$AD$49+'TUSD BE'!$AL$49</f>
        <v>525.37514265660684</v>
      </c>
      <c r="AP49" s="30">
        <f ca="1">+'TUSD BE'!$T$49+'TUSD BE'!$AB$49+'TUSD BE'!$AD$49+'TUSD BE'!$AL$49</f>
        <v>525.37514265660684</v>
      </c>
    </row>
    <row r="50" spans="1:42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25">
        <f>'TUSD BE'!$L$50*'TUSD BF'!$L$74</f>
        <v>1.0912012592579927</v>
      </c>
      <c r="M50" s="25">
        <f>'TUSD BE'!$M$50*'TUSD BF'!$M$74</f>
        <v>0</v>
      </c>
      <c r="N50" s="25">
        <f ca="1">'TUSD BE'!$N$50*'TUSD BF'!$N$74</f>
        <v>0</v>
      </c>
      <c r="O50" s="25">
        <f>'TUSD BE'!$O$50*'TUSD BF'!$O$74</f>
        <v>0</v>
      </c>
      <c r="P50" s="25">
        <f>'TUSD BE'!$P$50*'TUSD BF'!$P$74</f>
        <v>0</v>
      </c>
      <c r="Q50" s="25">
        <f>'TUSD BE'!$Q$50*'TUSD BF'!$Q$74</f>
        <v>15.161894453622915</v>
      </c>
      <c r="R50" s="25">
        <f>'TUSD BE'!$R$50*'TUSD BF'!$R$74</f>
        <v>5.5823020080452048</v>
      </c>
      <c r="S50" s="25">
        <f>'TUSD BE'!$R$50*'TUSD BF'!$S$74</f>
        <v>0</v>
      </c>
      <c r="T50" s="25">
        <f ca="1">SUM($L$50:$S$50)</f>
        <v>21.83539772092611</v>
      </c>
      <c r="U50" s="25">
        <f>'TUSD BE'!$U$50*'TUSD BF'!$U$74</f>
        <v>5.6267103588854903</v>
      </c>
      <c r="V50" s="25">
        <f>'TUSD BE'!$V$50*'TUSD BF'!$V$74</f>
        <v>0.73312316043393499</v>
      </c>
      <c r="W50" s="25">
        <f>'TUSD BE'!$W$50*'TUSD BF'!$W$74</f>
        <v>0</v>
      </c>
      <c r="X50" s="25">
        <f>'TUSD BE'!$X$50*'TUSD BF'!$X$74</f>
        <v>0</v>
      </c>
      <c r="Y50" s="25">
        <f>'TUSD BE'!$Y$50*'TUSD BF'!$Y$74</f>
        <v>0</v>
      </c>
      <c r="Z50" s="25">
        <f>'TUSD BE'!$Z$50*'TUSD BF'!$Z$74</f>
        <v>0</v>
      </c>
      <c r="AA50" s="25">
        <f>'TUSD BE'!$AA$50*'TUSD BF'!$AA$74</f>
        <v>0</v>
      </c>
      <c r="AB50" s="25">
        <f>SUM($U$50:$AA$50)</f>
        <v>6.3598335193194249</v>
      </c>
      <c r="AC50" s="25">
        <f>'TUSD BE'!$AC$50*'TUSD BF'!$AC$74</f>
        <v>0</v>
      </c>
      <c r="AD50" s="25">
        <f>SUM($AC$50:$AC$50)</f>
        <v>0</v>
      </c>
      <c r="AE50" s="25">
        <f ca="1">$AO$50*$AO$71</f>
        <v>0</v>
      </c>
      <c r="AF50" s="25">
        <f ca="1">$AP$50*$AP$71</f>
        <v>0</v>
      </c>
      <c r="AG50" s="25">
        <f ca="1">SUM($AE$50:$AF$50)</f>
        <v>0</v>
      </c>
      <c r="AH50" s="25">
        <f>'TUSD BE'!$AH$50*'TUSD BF'!$AH$74</f>
        <v>10.309266224049111</v>
      </c>
      <c r="AI50" s="25">
        <f>'TUSD BE'!$AI$50*'TUSD BF'!$AI$74</f>
        <v>0.83355092496745709</v>
      </c>
      <c r="AJ50" s="25">
        <f ca="1">'TUSD BE'!$AJ$50*'TUSD BF'!$AJ$74</f>
        <v>20.661325043312072</v>
      </c>
      <c r="AK50" s="25">
        <f ca="1">'TUSD BE'!$AK$50*'TUSD BF'!$AK$74</f>
        <v>0</v>
      </c>
      <c r="AL50" s="25">
        <f ca="1">SUM($AH$50:$AK$50)</f>
        <v>31.804142192328641</v>
      </c>
      <c r="AM50" s="25">
        <f ca="1">SUMIF($L$4:$AL$4,"SUBTOTAL",$L$50:$AL$50)</f>
        <v>59.999373432574174</v>
      </c>
      <c r="AO50" s="30">
        <f ca="1">+'TUSD BE'!$T$50+'TUSD BE'!$AB$50+'TUSD BE'!$AD$50+'TUSD BE'!$AL$50</f>
        <v>1251.5147133122675</v>
      </c>
      <c r="AP50" s="30">
        <f ca="1">+'TUSD BE'!$T$50+'TUSD BE'!$AB$50+'TUSD BE'!$AD$50+'TUSD BE'!$AL$50</f>
        <v>1251.5147133122675</v>
      </c>
    </row>
    <row r="51" spans="1:42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25">
        <f>'TUSD BE'!$L$51*'TUSD BF'!$L$74</f>
        <v>1.0912012592579927</v>
      </c>
      <c r="M51" s="25">
        <f>'TUSD BE'!$M$51*'TUSD BF'!$M$74</f>
        <v>0</v>
      </c>
      <c r="N51" s="25">
        <f ca="1">'TUSD BE'!$N$51*'TUSD BF'!$N$74</f>
        <v>0</v>
      </c>
      <c r="O51" s="25">
        <f>'TUSD BE'!$O$51*'TUSD BF'!$O$74</f>
        <v>0</v>
      </c>
      <c r="P51" s="25">
        <f>'TUSD BE'!$P$51*'TUSD BF'!$P$74</f>
        <v>0</v>
      </c>
      <c r="Q51" s="25">
        <f>'TUSD BE'!$Q$51*'TUSD BF'!$Q$74</f>
        <v>15.161894453622915</v>
      </c>
      <c r="R51" s="25">
        <f>'TUSD BE'!$R$51*'TUSD BF'!$R$74</f>
        <v>5.5823020080452048</v>
      </c>
      <c r="S51" s="25">
        <f>'TUSD BE'!$R$51*'TUSD BF'!$S$74</f>
        <v>0</v>
      </c>
      <c r="T51" s="25">
        <f ca="1">SUM($L$51:$S$51)</f>
        <v>21.83539772092611</v>
      </c>
      <c r="U51" s="25">
        <f>'TUSD BE'!$U$51*'TUSD BF'!$U$74</f>
        <v>3.3760220799497844</v>
      </c>
      <c r="V51" s="25">
        <f>'TUSD BE'!$V$51*'TUSD BF'!$V$74</f>
        <v>0.43987471033059522</v>
      </c>
      <c r="W51" s="25">
        <f>'TUSD BE'!$W$51*'TUSD BF'!$W$74</f>
        <v>0</v>
      </c>
      <c r="X51" s="25">
        <f>'TUSD BE'!$X$51*'TUSD BF'!$X$74</f>
        <v>0</v>
      </c>
      <c r="Y51" s="25">
        <f>'TUSD BE'!$Y$51*'TUSD BF'!$Y$74</f>
        <v>0</v>
      </c>
      <c r="Z51" s="25">
        <f>'TUSD BE'!$Z$51*'TUSD BF'!$Z$74</f>
        <v>0</v>
      </c>
      <c r="AA51" s="25">
        <f>'TUSD BE'!$AA$51*'TUSD BF'!$AA$74</f>
        <v>0</v>
      </c>
      <c r="AB51" s="25">
        <f>SUM($U$51:$AA$51)</f>
        <v>3.8158967902803798</v>
      </c>
      <c r="AC51" s="25">
        <f>'TUSD BE'!$AC$51*'TUSD BF'!$AC$74</f>
        <v>0</v>
      </c>
      <c r="AD51" s="25">
        <f>SUM($AC$51:$AC$51)</f>
        <v>0</v>
      </c>
      <c r="AE51" s="25">
        <f ca="1">$AO$51*$AO$71</f>
        <v>0</v>
      </c>
      <c r="AF51" s="25">
        <f ca="1">$AP$51*$AP$71</f>
        <v>0</v>
      </c>
      <c r="AG51" s="25">
        <f ca="1">SUM($AE$51:$AF$51)</f>
        <v>0</v>
      </c>
      <c r="AH51" s="25">
        <f>'TUSD BE'!$AH$51*'TUSD BF'!$AH$74</f>
        <v>10.309266224049111</v>
      </c>
      <c r="AI51" s="25">
        <f>'TUSD BE'!$AI$51*'TUSD BF'!$AI$74</f>
        <v>0.83355092496745709</v>
      </c>
      <c r="AJ51" s="25">
        <f ca="1">'TUSD BE'!$AJ$51*'TUSD BF'!$AJ$74</f>
        <v>20.661325043312072</v>
      </c>
      <c r="AK51" s="25">
        <f ca="1">'TUSD BE'!$AK$51*'TUSD BF'!$AK$74</f>
        <v>0</v>
      </c>
      <c r="AL51" s="25">
        <f ca="1">SUM($AH$51:$AK$51)</f>
        <v>31.804142192328641</v>
      </c>
      <c r="AM51" s="25">
        <f ca="1">SUMIF($L$4:$AL$4,"SUBTOTAL",$L$51:$AL$51)</f>
        <v>57.455436703535128</v>
      </c>
      <c r="AO51" s="30">
        <f ca="1">+'TUSD BE'!$T$51+'TUSD BE'!$AB$51+'TUSD BE'!$AD$51+'TUSD BE'!$AL$51</f>
        <v>831.96743815762795</v>
      </c>
      <c r="AP51" s="30">
        <f ca="1">+'TUSD BE'!$T$51+'TUSD BE'!$AB$51+'TUSD BE'!$AD$51+'TUSD BE'!$AL$51</f>
        <v>831.96743815762795</v>
      </c>
    </row>
    <row r="52" spans="1:42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25">
        <f>'TUSD BE'!$L$52*'TUSD BF'!$L$74</f>
        <v>1.0912012592579927</v>
      </c>
      <c r="M52" s="25">
        <f>'TUSD BE'!$M$52*'TUSD BF'!$M$74</f>
        <v>0</v>
      </c>
      <c r="N52" s="25">
        <f ca="1">'TUSD BE'!$N$52*'TUSD BF'!$N$74</f>
        <v>0</v>
      </c>
      <c r="O52" s="25">
        <f>'TUSD BE'!$O$52*'TUSD BF'!$O$74</f>
        <v>0</v>
      </c>
      <c r="P52" s="25">
        <f>'TUSD BE'!$P$52*'TUSD BF'!$P$74</f>
        <v>0</v>
      </c>
      <c r="Q52" s="25">
        <f>'TUSD BE'!$Q$52*'TUSD BF'!$Q$74</f>
        <v>15.161894453622915</v>
      </c>
      <c r="R52" s="25">
        <f>'TUSD BE'!$R$52*'TUSD BF'!$R$74</f>
        <v>5.5823020080452048</v>
      </c>
      <c r="S52" s="25">
        <f>'TUSD BE'!$R$52*'TUSD BF'!$S$74</f>
        <v>0</v>
      </c>
      <c r="T52" s="25">
        <f ca="1">SUM($L$52:$S$52)</f>
        <v>21.83539772092611</v>
      </c>
      <c r="U52" s="25">
        <f>'TUSD BE'!$U$52*'TUSD BF'!$U$74</f>
        <v>1.1253406933165948</v>
      </c>
      <c r="V52" s="25">
        <f>'TUSD BE'!$V$52*'TUSD BF'!$V$74</f>
        <v>0.14662626022725533</v>
      </c>
      <c r="W52" s="25">
        <f>'TUSD BE'!$W$52*'TUSD BF'!$W$74</f>
        <v>0</v>
      </c>
      <c r="X52" s="25">
        <f>'TUSD BE'!$X$52*'TUSD BF'!$X$74</f>
        <v>0</v>
      </c>
      <c r="Y52" s="25">
        <f>'TUSD BE'!$Y$52*'TUSD BF'!$Y$74</f>
        <v>0</v>
      </c>
      <c r="Z52" s="25">
        <f>'TUSD BE'!$Z$52*'TUSD BF'!$Z$74</f>
        <v>0</v>
      </c>
      <c r="AA52" s="25">
        <f>'TUSD BE'!$AA$52*'TUSD BF'!$AA$74</f>
        <v>0</v>
      </c>
      <c r="AB52" s="25">
        <f>SUM($U$52:$AA$52)</f>
        <v>1.27196695354385</v>
      </c>
      <c r="AC52" s="25">
        <f>'TUSD BE'!$AC$52*'TUSD BF'!$AC$74</f>
        <v>0</v>
      </c>
      <c r="AD52" s="25">
        <f>SUM($AC$52:$AC$52)</f>
        <v>0</v>
      </c>
      <c r="AE52" s="25">
        <f ca="1">$AO$52*$AO$71</f>
        <v>0</v>
      </c>
      <c r="AF52" s="25">
        <f ca="1">$AP$52*$AP$71</f>
        <v>0</v>
      </c>
      <c r="AG52" s="25">
        <f ca="1">SUM($AE$52:$AF$52)</f>
        <v>0</v>
      </c>
      <c r="AH52" s="25">
        <f>'TUSD BE'!$AH$52*'TUSD BF'!$AH$74</f>
        <v>10.309266224049111</v>
      </c>
      <c r="AI52" s="25">
        <f>'TUSD BE'!$AI$52*'TUSD BF'!$AI$74</f>
        <v>0.83355092496745709</v>
      </c>
      <c r="AJ52" s="25">
        <f ca="1">'TUSD BE'!$AJ$52*'TUSD BF'!$AJ$74</f>
        <v>20.661325043312072</v>
      </c>
      <c r="AK52" s="25">
        <f ca="1">'TUSD BE'!$AK$52*'TUSD BF'!$AK$74</f>
        <v>0</v>
      </c>
      <c r="AL52" s="25">
        <f ca="1">SUM($AH$52:$AK$52)</f>
        <v>31.804142192328641</v>
      </c>
      <c r="AM52" s="25">
        <f ca="1">SUMIF($L$4:$AL$4,"SUBTOTAL",$L$52:$AL$52)</f>
        <v>54.911506866798604</v>
      </c>
      <c r="AO52" s="30">
        <f ca="1">+'TUSD BE'!$T$52+'TUSD BE'!$AB$52+'TUSD BE'!$AD$52+'TUSD BE'!$AL$52</f>
        <v>412.42017280378394</v>
      </c>
      <c r="AP52" s="30">
        <f ca="1">+'TUSD BE'!$T$52+'TUSD BE'!$AB$52+'TUSD BE'!$AD$52+'TUSD BE'!$AL$52</f>
        <v>412.42017280378394</v>
      </c>
    </row>
    <row r="53" spans="1:42" ht="11.25" customHeight="1" x14ac:dyDescent="0.25">
      <c r="A53" s="118"/>
      <c r="B53" s="28" t="s">
        <v>23</v>
      </c>
      <c r="C53" s="28" t="s">
        <v>46</v>
      </c>
      <c r="D53" s="28" t="s">
        <v>93</v>
      </c>
      <c r="E53" s="28" t="s">
        <v>25</v>
      </c>
      <c r="F53" s="28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25">
        <f>'TUSD BE'!$L$53*'TUSD BF'!$L$74</f>
        <v>1.0912012592579927</v>
      </c>
      <c r="M53" s="25">
        <f>'TUSD BE'!$M$53*'TUSD BF'!$M$74</f>
        <v>0</v>
      </c>
      <c r="N53" s="25">
        <f ca="1">'TUSD BE'!$N$53*'TUSD BF'!$N$74</f>
        <v>0</v>
      </c>
      <c r="O53" s="25">
        <f>'TUSD BE'!$O$53*'TUSD BF'!$O$74</f>
        <v>0</v>
      </c>
      <c r="P53" s="25">
        <f>'TUSD BE'!$P$53*'TUSD BF'!$P$74</f>
        <v>0</v>
      </c>
      <c r="Q53" s="25">
        <f>'TUSD BE'!$Q$53*'TUSD BF'!$Q$74</f>
        <v>15.161894453622915</v>
      </c>
      <c r="R53" s="25">
        <f>'TUSD BE'!$R$53*'TUSD BF'!$R$74</f>
        <v>5.5823020080452048</v>
      </c>
      <c r="S53" s="25">
        <f>'TUSD BE'!$R$53*'TUSD BF'!$S$74</f>
        <v>0</v>
      </c>
      <c r="T53" s="25">
        <f ca="1">SUM($L$53:$S$53)</f>
        <v>21.83539772092611</v>
      </c>
      <c r="U53" s="25">
        <f>'TUSD BE'!$U$53*'TUSD BF'!$U$74</f>
        <v>1.7312912536247562</v>
      </c>
      <c r="V53" s="25">
        <f>'TUSD BE'!$V$53*'TUSD BF'!$V$74</f>
        <v>0.22557479153691432</v>
      </c>
      <c r="W53" s="25">
        <f>'TUSD BE'!$W$53*'TUSD BF'!$W$74</f>
        <v>0</v>
      </c>
      <c r="X53" s="25">
        <f>'TUSD BE'!$X$53*'TUSD BF'!$X$74</f>
        <v>0</v>
      </c>
      <c r="Y53" s="25">
        <f>'TUSD BE'!$Y$53*'TUSD BF'!$Y$74</f>
        <v>0</v>
      </c>
      <c r="Z53" s="25">
        <f>'TUSD BE'!$Z$53*'TUSD BF'!$Z$74</f>
        <v>0</v>
      </c>
      <c r="AA53" s="25">
        <f>'TUSD BE'!$AA$53*'TUSD BF'!$AA$74</f>
        <v>0</v>
      </c>
      <c r="AB53" s="25">
        <f>SUM($U$53:$AA$53)</f>
        <v>1.9568660451616706</v>
      </c>
      <c r="AC53" s="25">
        <f>'TUSD BE'!$AC$53*'TUSD BF'!$AC$74</f>
        <v>0</v>
      </c>
      <c r="AD53" s="25">
        <f>SUM($AC$53:$AC$53)</f>
        <v>0</v>
      </c>
      <c r="AE53" s="25">
        <f ca="1">$AO$53*$AO$71</f>
        <v>0</v>
      </c>
      <c r="AF53" s="25">
        <f ca="1">$AP$53*$AP$71</f>
        <v>0</v>
      </c>
      <c r="AG53" s="25">
        <f ca="1">SUM($AE$53:$AF$53)</f>
        <v>0</v>
      </c>
      <c r="AH53" s="25">
        <f>'TUSD BE'!$AH$53*'TUSD BF'!$AH$74</f>
        <v>10.309266224049111</v>
      </c>
      <c r="AI53" s="25">
        <f>'TUSD BE'!$AI$53*'TUSD BF'!$AI$74</f>
        <v>0.83355092496745709</v>
      </c>
      <c r="AJ53" s="25">
        <f ca="1">'TUSD BE'!$AJ$53*'TUSD BF'!$AJ$74</f>
        <v>20.661325043312072</v>
      </c>
      <c r="AK53" s="25">
        <f ca="1">'TUSD BE'!$AK$53*'TUSD BF'!$AK$74</f>
        <v>0</v>
      </c>
      <c r="AL53" s="25">
        <f ca="1">SUM($AH$53:$AK$53)</f>
        <v>31.804142192328641</v>
      </c>
      <c r="AM53" s="25">
        <f ca="1">SUMIF($L$4:$AL$4,"SUBTOTAL",$L$53:$AL$53)</f>
        <v>55.596405958416426</v>
      </c>
      <c r="AO53" s="30">
        <f ca="1">+'TUSD BE'!$T$53+'TUSD BE'!$AB$53+'TUSD BE'!$AD$53+'TUSD BE'!$AL$53</f>
        <v>525.37514265660684</v>
      </c>
      <c r="AP53" s="30">
        <f ca="1">+'TUSD BE'!$T$53+'TUSD BE'!$AB$53+'TUSD BE'!$AD$53+'TUSD BE'!$AL$53</f>
        <v>525.37514265660684</v>
      </c>
    </row>
    <row r="54" spans="1:42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25">
        <f>'TUSD BE'!$L$54*'TUSD BF'!$L$74</f>
        <v>1.0912012592579927</v>
      </c>
      <c r="M54" s="25">
        <f>'TUSD BE'!$M$54*'TUSD BF'!$M$74</f>
        <v>0</v>
      </c>
      <c r="N54" s="25">
        <f ca="1">'TUSD BE'!$N$54*'TUSD BF'!$N$74</f>
        <v>0</v>
      </c>
      <c r="O54" s="25">
        <f>'TUSD BE'!$O$54*'TUSD BF'!$O$74</f>
        <v>0</v>
      </c>
      <c r="P54" s="25">
        <f>'TUSD BE'!$P$54*'TUSD BF'!$P$74</f>
        <v>0</v>
      </c>
      <c r="Q54" s="25">
        <f>'TUSD BE'!$Q$54*'TUSD BF'!$Q$74</f>
        <v>15.161894453622915</v>
      </c>
      <c r="R54" s="25">
        <f>'TUSD BE'!$R$54*'TUSD BF'!$R$74</f>
        <v>5.5823020080452048</v>
      </c>
      <c r="S54" s="25">
        <f>'TUSD BE'!$R$54*'TUSD BF'!$S$74</f>
        <v>0</v>
      </c>
      <c r="T54" s="25">
        <f ca="1">SUM($L$54:$S$54)</f>
        <v>21.83539772092611</v>
      </c>
      <c r="U54" s="25">
        <f>'TUSD BE'!$U$54*'TUSD BF'!$U$74</f>
        <v>5.6267103588854903</v>
      </c>
      <c r="V54" s="25">
        <f>'TUSD BE'!$V$54*'TUSD BF'!$V$74</f>
        <v>0.73312316043393499</v>
      </c>
      <c r="W54" s="25">
        <f>'TUSD BE'!$W$54*'TUSD BF'!$W$74</f>
        <v>0</v>
      </c>
      <c r="X54" s="25">
        <f>'TUSD BE'!$X$54*'TUSD BF'!$X$74</f>
        <v>0</v>
      </c>
      <c r="Y54" s="25">
        <f>'TUSD BE'!$Y$54*'TUSD BF'!$Y$74</f>
        <v>0</v>
      </c>
      <c r="Z54" s="25">
        <f>'TUSD BE'!$Z$54*'TUSD BF'!$Z$74</f>
        <v>0</v>
      </c>
      <c r="AA54" s="25">
        <f>'TUSD BE'!$AA$54*'TUSD BF'!$AA$74</f>
        <v>0</v>
      </c>
      <c r="AB54" s="25">
        <f>SUM($U$54:$AA$54)</f>
        <v>6.3598335193194249</v>
      </c>
      <c r="AC54" s="25">
        <f>'TUSD BE'!$AC$54*'TUSD BF'!$AC$74</f>
        <v>0</v>
      </c>
      <c r="AD54" s="25">
        <f>SUM($AC$54:$AC$54)</f>
        <v>0</v>
      </c>
      <c r="AE54" s="25">
        <f ca="1">$AO$54*$AO$71</f>
        <v>0</v>
      </c>
      <c r="AF54" s="25">
        <f ca="1">$AP$54*$AP$71</f>
        <v>0</v>
      </c>
      <c r="AG54" s="25">
        <f ca="1">SUM($AE$54:$AF$54)</f>
        <v>0</v>
      </c>
      <c r="AH54" s="25">
        <f>'TUSD BE'!$AH$54*'TUSD BF'!$AH$74</f>
        <v>10.309266224049111</v>
      </c>
      <c r="AI54" s="25">
        <f>'TUSD BE'!$AI$54*'TUSD BF'!$AI$74</f>
        <v>0.83355092496745709</v>
      </c>
      <c r="AJ54" s="25">
        <f ca="1">'TUSD BE'!$AJ$54*'TUSD BF'!$AJ$74</f>
        <v>20.661325043312072</v>
      </c>
      <c r="AK54" s="25">
        <f ca="1">'TUSD BE'!$AK$54*'TUSD BF'!$AK$74</f>
        <v>0</v>
      </c>
      <c r="AL54" s="25">
        <f ca="1">SUM($AH$54:$AK$54)</f>
        <v>31.804142192328641</v>
      </c>
      <c r="AM54" s="25">
        <f ca="1">SUMIF($L$4:$AL$4,"SUBTOTAL",$L$54:$AL$54)</f>
        <v>59.999373432574174</v>
      </c>
      <c r="AO54" s="30">
        <f ca="1">+'TUSD BE'!$T$54+'TUSD BE'!$AB$54+'TUSD BE'!$AD$54+'TUSD BE'!$AL$54</f>
        <v>1251.5147133122675</v>
      </c>
      <c r="AP54" s="30">
        <f ca="1">+'TUSD BE'!$T$54+'TUSD BE'!$AB$54+'TUSD BE'!$AD$54+'TUSD BE'!$AL$54</f>
        <v>1251.5147133122675</v>
      </c>
    </row>
    <row r="55" spans="1:42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25">
        <f>'TUSD BE'!$L$55*'TUSD BF'!$L$74</f>
        <v>1.0912012592579927</v>
      </c>
      <c r="M55" s="25">
        <f>'TUSD BE'!$M$55*'TUSD BF'!$M$74</f>
        <v>0</v>
      </c>
      <c r="N55" s="25">
        <f ca="1">'TUSD BE'!$N$55*'TUSD BF'!$N$74</f>
        <v>0</v>
      </c>
      <c r="O55" s="25">
        <f>'TUSD BE'!$O$55*'TUSD BF'!$O$74</f>
        <v>0</v>
      </c>
      <c r="P55" s="25">
        <f>'TUSD BE'!$P$55*'TUSD BF'!$P$74</f>
        <v>0</v>
      </c>
      <c r="Q55" s="25">
        <f>'TUSD BE'!$Q$55*'TUSD BF'!$Q$74</f>
        <v>15.161894453622915</v>
      </c>
      <c r="R55" s="25">
        <f>'TUSD BE'!$R$55*'TUSD BF'!$R$74</f>
        <v>5.5823020080452048</v>
      </c>
      <c r="S55" s="25">
        <f>'TUSD BE'!$R$55*'TUSD BF'!$S$74</f>
        <v>0</v>
      </c>
      <c r="T55" s="25">
        <f ca="1">SUM($L$55:$S$55)</f>
        <v>21.83539772092611</v>
      </c>
      <c r="U55" s="25">
        <f>'TUSD BE'!$U$55*'TUSD BF'!$U$74</f>
        <v>3.3760220799497844</v>
      </c>
      <c r="V55" s="25">
        <f>'TUSD BE'!$V$55*'TUSD BF'!$V$74</f>
        <v>0.43987471033059522</v>
      </c>
      <c r="W55" s="25">
        <f>'TUSD BE'!$W$55*'TUSD BF'!$W$74</f>
        <v>0</v>
      </c>
      <c r="X55" s="25">
        <f>'TUSD BE'!$X$55*'TUSD BF'!$X$74</f>
        <v>0</v>
      </c>
      <c r="Y55" s="25">
        <f>'TUSD BE'!$Y$55*'TUSD BF'!$Y$74</f>
        <v>0</v>
      </c>
      <c r="Z55" s="25">
        <f>'TUSD BE'!$Z$55*'TUSD BF'!$Z$74</f>
        <v>0</v>
      </c>
      <c r="AA55" s="25">
        <f>'TUSD BE'!$AA$55*'TUSD BF'!$AA$74</f>
        <v>0</v>
      </c>
      <c r="AB55" s="25">
        <f>SUM($U$55:$AA$55)</f>
        <v>3.8158967902803798</v>
      </c>
      <c r="AC55" s="25">
        <f>'TUSD BE'!$AC$55*'TUSD BF'!$AC$74</f>
        <v>0</v>
      </c>
      <c r="AD55" s="25">
        <f>SUM($AC$55:$AC$55)</f>
        <v>0</v>
      </c>
      <c r="AE55" s="25">
        <f ca="1">$AO$55*$AO$71</f>
        <v>0</v>
      </c>
      <c r="AF55" s="25">
        <f ca="1">$AP$55*$AP$71</f>
        <v>0</v>
      </c>
      <c r="AG55" s="25">
        <f ca="1">SUM($AE$55:$AF$55)</f>
        <v>0</v>
      </c>
      <c r="AH55" s="25">
        <f>'TUSD BE'!$AH$55*'TUSD BF'!$AH$74</f>
        <v>10.309266224049111</v>
      </c>
      <c r="AI55" s="25">
        <f>'TUSD BE'!$AI$55*'TUSD BF'!$AI$74</f>
        <v>0.83355092496745709</v>
      </c>
      <c r="AJ55" s="25">
        <f ca="1">'TUSD BE'!$AJ$55*'TUSD BF'!$AJ$74</f>
        <v>20.661325043312072</v>
      </c>
      <c r="AK55" s="25">
        <f ca="1">'TUSD BE'!$AK$55*'TUSD BF'!$AK$74</f>
        <v>0</v>
      </c>
      <c r="AL55" s="25">
        <f ca="1">SUM($AH$55:$AK$55)</f>
        <v>31.804142192328641</v>
      </c>
      <c r="AM55" s="25">
        <f ca="1">SUMIF($L$4:$AL$4,"SUBTOTAL",$L$55:$AL$55)</f>
        <v>57.455436703535128</v>
      </c>
      <c r="AO55" s="30">
        <f ca="1">+'TUSD BE'!$T$55+'TUSD BE'!$AB$55+'TUSD BE'!$AD$55+'TUSD BE'!$AL$55</f>
        <v>831.96743815762795</v>
      </c>
      <c r="AP55" s="30">
        <f ca="1">+'TUSD BE'!$T$55+'TUSD BE'!$AB$55+'TUSD BE'!$AD$55+'TUSD BE'!$AL$55</f>
        <v>831.96743815762795</v>
      </c>
    </row>
    <row r="56" spans="1:42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25">
        <f>'TUSD BE'!$L$56*'TUSD BF'!$L$74</f>
        <v>1.0912012592579927</v>
      </c>
      <c r="M56" s="25">
        <f>'TUSD BE'!$M$56*'TUSD BF'!$M$74</f>
        <v>0</v>
      </c>
      <c r="N56" s="25">
        <f ca="1">'TUSD BE'!$N$56*'TUSD BF'!$N$74</f>
        <v>0</v>
      </c>
      <c r="O56" s="25">
        <f>'TUSD BE'!$O$56*'TUSD BF'!$O$74</f>
        <v>0</v>
      </c>
      <c r="P56" s="25">
        <f>'TUSD BE'!$P$56*'TUSD BF'!$P$74</f>
        <v>0</v>
      </c>
      <c r="Q56" s="25">
        <f>'TUSD BE'!$Q$56*'TUSD BF'!$Q$74</f>
        <v>15.161894453622915</v>
      </c>
      <c r="R56" s="25">
        <f>'TUSD BE'!$R$56*'TUSD BF'!$R$74</f>
        <v>5.5823020080452048</v>
      </c>
      <c r="S56" s="25">
        <f>'TUSD BE'!$R$56*'TUSD BF'!$S$74</f>
        <v>0</v>
      </c>
      <c r="T56" s="25">
        <f ca="1">SUM($L$56:$S$56)</f>
        <v>21.83539772092611</v>
      </c>
      <c r="U56" s="25">
        <f>'TUSD BE'!$U$56*'TUSD BF'!$U$74</f>
        <v>1.1253406933165948</v>
      </c>
      <c r="V56" s="25">
        <f>'TUSD BE'!$V$56*'TUSD BF'!$V$74</f>
        <v>0.14662626022725533</v>
      </c>
      <c r="W56" s="25">
        <f>'TUSD BE'!$W$56*'TUSD BF'!$W$74</f>
        <v>0</v>
      </c>
      <c r="X56" s="25">
        <f>'TUSD BE'!$X$56*'TUSD BF'!$X$74</f>
        <v>0</v>
      </c>
      <c r="Y56" s="25">
        <f>'TUSD BE'!$Y$56*'TUSD BF'!$Y$74</f>
        <v>0</v>
      </c>
      <c r="Z56" s="25">
        <f>'TUSD BE'!$Z$56*'TUSD BF'!$Z$74</f>
        <v>0</v>
      </c>
      <c r="AA56" s="25">
        <f>'TUSD BE'!$AA$56*'TUSD BF'!$AA$74</f>
        <v>0</v>
      </c>
      <c r="AB56" s="25">
        <f>SUM($U$56:$AA$56)</f>
        <v>1.27196695354385</v>
      </c>
      <c r="AC56" s="25">
        <f>'TUSD BE'!$AC$56*'TUSD BF'!$AC$74</f>
        <v>0</v>
      </c>
      <c r="AD56" s="25">
        <f>SUM($AC$56:$AC$56)</f>
        <v>0</v>
      </c>
      <c r="AE56" s="25">
        <f ca="1">$AO$56*$AO$71</f>
        <v>0</v>
      </c>
      <c r="AF56" s="25">
        <f ca="1">$AP$56*$AP$71</f>
        <v>0</v>
      </c>
      <c r="AG56" s="25">
        <f ca="1">SUM($AE$56:$AF$56)</f>
        <v>0</v>
      </c>
      <c r="AH56" s="25">
        <f>'TUSD BE'!$AH$56*'TUSD BF'!$AH$74</f>
        <v>10.309266224049111</v>
      </c>
      <c r="AI56" s="25">
        <f>'TUSD BE'!$AI$56*'TUSD BF'!$AI$74</f>
        <v>0.83355092496745709</v>
      </c>
      <c r="AJ56" s="25">
        <f ca="1">'TUSD BE'!$AJ$56*'TUSD BF'!$AJ$74</f>
        <v>20.661325043312072</v>
      </c>
      <c r="AK56" s="25">
        <f ca="1">'TUSD BE'!$AK$56*'TUSD BF'!$AK$74</f>
        <v>0</v>
      </c>
      <c r="AL56" s="25">
        <f ca="1">SUM($AH$56:$AK$56)</f>
        <v>31.804142192328641</v>
      </c>
      <c r="AM56" s="25">
        <f ca="1">SUMIF($L$4:$AL$4,"SUBTOTAL",$L$56:$AL$56)</f>
        <v>54.911506866798604</v>
      </c>
      <c r="AO56" s="30">
        <f ca="1">+'TUSD BE'!$T$56+'TUSD BE'!$AB$56+'TUSD BE'!$AD$56+'TUSD BE'!$AL$56</f>
        <v>412.42017280378394</v>
      </c>
      <c r="AP56" s="30">
        <f ca="1">+'TUSD BE'!$T$56+'TUSD BE'!$AB$56+'TUSD BE'!$AD$56+'TUSD BE'!$AL$56</f>
        <v>412.42017280378394</v>
      </c>
    </row>
    <row r="57" spans="1:42" ht="11.25" customHeight="1" x14ac:dyDescent="0.25">
      <c r="A57" s="118"/>
      <c r="B57" s="28" t="s">
        <v>23</v>
      </c>
      <c r="C57" s="28" t="s">
        <v>46</v>
      </c>
      <c r="D57" s="28" t="s">
        <v>94</v>
      </c>
      <c r="E57" s="28" t="s">
        <v>25</v>
      </c>
      <c r="F57" s="28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25">
        <f>'TUSD BE'!$L$57*'TUSD BF'!$L$74</f>
        <v>1.0912012592579927</v>
      </c>
      <c r="M57" s="25">
        <f>'TUSD BE'!$M$57*'TUSD BF'!$M$74</f>
        <v>0</v>
      </c>
      <c r="N57" s="25">
        <f ca="1">'TUSD BE'!$N$57*'TUSD BF'!$N$74</f>
        <v>0</v>
      </c>
      <c r="O57" s="25">
        <f>'TUSD BE'!$O$57*'TUSD BF'!$O$74</f>
        <v>0</v>
      </c>
      <c r="P57" s="25">
        <f>'TUSD BE'!$P$57*'TUSD BF'!$P$74</f>
        <v>0</v>
      </c>
      <c r="Q57" s="25">
        <f>'TUSD BE'!$Q$57*'TUSD BF'!$Q$74</f>
        <v>15.161894453622915</v>
      </c>
      <c r="R57" s="25">
        <f>'TUSD BE'!$R$57*'TUSD BF'!$R$74</f>
        <v>5.5823020080452048</v>
      </c>
      <c r="S57" s="25">
        <f>'TUSD BE'!$R$57*'TUSD BF'!$S$74</f>
        <v>0</v>
      </c>
      <c r="T57" s="25">
        <f ca="1">SUM($L$57:$S$57)</f>
        <v>21.83539772092611</v>
      </c>
      <c r="U57" s="25">
        <f>'TUSD BE'!$U$57*'TUSD BF'!$U$74</f>
        <v>1.7312912536247562</v>
      </c>
      <c r="V57" s="25">
        <f>'TUSD BE'!$V$57*'TUSD BF'!$V$74</f>
        <v>0.22557479153691432</v>
      </c>
      <c r="W57" s="25">
        <f>'TUSD BE'!$W$57*'TUSD BF'!$W$74</f>
        <v>0</v>
      </c>
      <c r="X57" s="25">
        <f>'TUSD BE'!$X$57*'TUSD BF'!$X$74</f>
        <v>0</v>
      </c>
      <c r="Y57" s="25">
        <f>'TUSD BE'!$Y$57*'TUSD BF'!$Y$74</f>
        <v>0</v>
      </c>
      <c r="Z57" s="25">
        <f>'TUSD BE'!$Z$57*'TUSD BF'!$Z$74</f>
        <v>0</v>
      </c>
      <c r="AA57" s="25">
        <f>'TUSD BE'!$AA$57*'TUSD BF'!$AA$74</f>
        <v>0</v>
      </c>
      <c r="AB57" s="25">
        <f>SUM($U$57:$AA$57)</f>
        <v>1.9568660451616706</v>
      </c>
      <c r="AC57" s="25">
        <f>'TUSD BE'!$AC$57*'TUSD BF'!$AC$74</f>
        <v>0</v>
      </c>
      <c r="AD57" s="25">
        <f>SUM($AC$57:$AC$57)</f>
        <v>0</v>
      </c>
      <c r="AE57" s="25">
        <f ca="1">$AO$57*$AO$71</f>
        <v>0</v>
      </c>
      <c r="AF57" s="25">
        <f ca="1">$AP$57*$AP$71</f>
        <v>0</v>
      </c>
      <c r="AG57" s="25">
        <f ca="1">SUM($AE$57:$AF$57)</f>
        <v>0</v>
      </c>
      <c r="AH57" s="25">
        <f>'TUSD BE'!$AH$57*'TUSD BF'!$AH$74</f>
        <v>10.309266224049111</v>
      </c>
      <c r="AI57" s="25">
        <f>'TUSD BE'!$AI$57*'TUSD BF'!$AI$74</f>
        <v>0.83355092496745709</v>
      </c>
      <c r="AJ57" s="25">
        <f ca="1">'TUSD BE'!$AJ$57*'TUSD BF'!$AJ$74</f>
        <v>20.661325043312072</v>
      </c>
      <c r="AK57" s="25">
        <f ca="1">'TUSD BE'!$AK$57*'TUSD BF'!$AK$74</f>
        <v>0</v>
      </c>
      <c r="AL57" s="25">
        <f ca="1">SUM($AH$57:$AK$57)</f>
        <v>31.804142192328641</v>
      </c>
      <c r="AM57" s="25">
        <f ca="1">SUMIF($L$4:$AL$4,"SUBTOTAL",$L$57:$AL$57)</f>
        <v>55.596405958416426</v>
      </c>
      <c r="AO57" s="30">
        <f ca="1">+'TUSD BE'!$T$57+'TUSD BE'!$AB$57+'TUSD BE'!$AD$57+'TUSD BE'!$AL$57</f>
        <v>525.37514265660684</v>
      </c>
      <c r="AP57" s="30">
        <f ca="1">+'TUSD BE'!$T$57+'TUSD BE'!$AB$57+'TUSD BE'!$AD$57+'TUSD BE'!$AL$57</f>
        <v>525.37514265660684</v>
      </c>
    </row>
    <row r="58" spans="1:42" ht="11.25" customHeight="1" x14ac:dyDescent="0.25">
      <c r="A58" s="118"/>
      <c r="B58" s="118" t="s">
        <v>92</v>
      </c>
      <c r="C58" s="118" t="s">
        <v>46</v>
      </c>
      <c r="D58" s="28" t="s">
        <v>25</v>
      </c>
      <c r="E58" s="28" t="s">
        <v>25</v>
      </c>
      <c r="F58" s="28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25">
        <f>'TUSD BE'!$L$58*'TUSD BF'!$L$74</f>
        <v>1.0912012592579927</v>
      </c>
      <c r="M58" s="25">
        <f>'TUSD BE'!$M$58*'TUSD BF'!$M$74</f>
        <v>0</v>
      </c>
      <c r="N58" s="25">
        <f ca="1">'TUSD BE'!$N$58*'TUSD BF'!$N$74</f>
        <v>0</v>
      </c>
      <c r="O58" s="25">
        <f>'TUSD BE'!$O$58*'TUSD BF'!$O$74</f>
        <v>0</v>
      </c>
      <c r="P58" s="25">
        <f>'TUSD BE'!$P$58*'TUSD BF'!$P$74</f>
        <v>0</v>
      </c>
      <c r="Q58" s="25">
        <f>'TUSD BE'!$Q$58*'TUSD BF'!$Q$74</f>
        <v>15.161894453622915</v>
      </c>
      <c r="R58" s="25">
        <f>'TUSD BE'!$R$58*'TUSD BF'!$R$74</f>
        <v>5.5823020080452048</v>
      </c>
      <c r="S58" s="25">
        <f>'TUSD BE'!$R$58*'TUSD BF'!$S$74</f>
        <v>0</v>
      </c>
      <c r="T58" s="25">
        <f ca="1">SUM($L$58:$S$58)</f>
        <v>21.83539772092611</v>
      </c>
      <c r="U58" s="25">
        <f>'TUSD BE'!$U$58*'TUSD BF'!$U$74</f>
        <v>1.7312912536247562</v>
      </c>
      <c r="V58" s="25">
        <f>'TUSD BE'!$V$58*'TUSD BF'!$V$74</f>
        <v>0.22557479153691432</v>
      </c>
      <c r="W58" s="25">
        <f>'TUSD BE'!$W$58*'TUSD BF'!$W$74</f>
        <v>0</v>
      </c>
      <c r="X58" s="25">
        <f>'TUSD BE'!$X$58*'TUSD BF'!$X$74</f>
        <v>0</v>
      </c>
      <c r="Y58" s="25">
        <f>'TUSD BE'!$Y$58*'TUSD BF'!$Y$74</f>
        <v>0</v>
      </c>
      <c r="Z58" s="25">
        <f>'TUSD BE'!$Z$58*'TUSD BF'!$Z$74</f>
        <v>0</v>
      </c>
      <c r="AA58" s="25">
        <f>'TUSD BE'!$AA$58*'TUSD BF'!$AA$74</f>
        <v>0</v>
      </c>
      <c r="AB58" s="25">
        <f>SUM($U$58:$AA$58)</f>
        <v>1.9568660451616706</v>
      </c>
      <c r="AC58" s="25">
        <f>'TUSD BE'!$AC$58*'TUSD BF'!$AC$74</f>
        <v>0</v>
      </c>
      <c r="AD58" s="25">
        <f>SUM($AC$58:$AC$58)</f>
        <v>0</v>
      </c>
      <c r="AE58" s="25">
        <f ca="1">$AO$58*$AO$71</f>
        <v>0</v>
      </c>
      <c r="AF58" s="25">
        <f ca="1">$AP$58*$AP$71</f>
        <v>0</v>
      </c>
      <c r="AG58" s="25">
        <f ca="1">SUM($AE$58:$AF$58)</f>
        <v>0</v>
      </c>
      <c r="AH58" s="25">
        <f>'TUSD BE'!$AH$58*'TUSD BF'!$AH$74</f>
        <v>10.309266224049111</v>
      </c>
      <c r="AI58" s="25">
        <f>'TUSD BE'!$AI$58*'TUSD BF'!$AI$74</f>
        <v>0.83355092496745709</v>
      </c>
      <c r="AJ58" s="25">
        <f ca="1">'TUSD BE'!$AJ$58*'TUSD BF'!$AJ$74</f>
        <v>20.661325043312072</v>
      </c>
      <c r="AK58" s="25">
        <f ca="1">'TUSD BE'!$AK$58*'TUSD BF'!$AK$74</f>
        <v>0</v>
      </c>
      <c r="AL58" s="25">
        <f ca="1">SUM($AH$58:$AK$58)</f>
        <v>31.804142192328641</v>
      </c>
      <c r="AM58" s="25">
        <f ca="1">SUMIF($L$4:$AL$4,"SUBTOTAL",$L$58:$AL$58)</f>
        <v>55.596405958416426</v>
      </c>
      <c r="AO58" s="30">
        <f ca="1">+'TUSD BE'!$T$58+'TUSD BE'!$AB$58+'TUSD BE'!$AD$58+'TUSD BE'!$AL$58</f>
        <v>525.37514265660684</v>
      </c>
      <c r="AP58" s="30">
        <f ca="1">+'TUSD BE'!$T$58+'TUSD BE'!$AB$58+'TUSD BE'!$AD$58+'TUSD BE'!$AL$58</f>
        <v>525.37514265660684</v>
      </c>
    </row>
    <row r="59" spans="1:42" ht="11.25" customHeight="1" x14ac:dyDescent="0.25">
      <c r="A59" s="118"/>
      <c r="B59" s="118"/>
      <c r="C59" s="118"/>
      <c r="D59" s="28" t="s">
        <v>93</v>
      </c>
      <c r="E59" s="28" t="s">
        <v>25</v>
      </c>
      <c r="F59" s="28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25">
        <f>'TUSD BE'!$L$59*'TUSD BF'!$L$74</f>
        <v>1.0912012592579927</v>
      </c>
      <c r="M59" s="25">
        <f>'TUSD BE'!$M$59*'TUSD BF'!$M$74</f>
        <v>0</v>
      </c>
      <c r="N59" s="25">
        <f ca="1">'TUSD BE'!$N$59*'TUSD BF'!$N$74</f>
        <v>0</v>
      </c>
      <c r="O59" s="25">
        <f>'TUSD BE'!$O$59*'TUSD BF'!$O$74</f>
        <v>0</v>
      </c>
      <c r="P59" s="25">
        <f>'TUSD BE'!$P$59*'TUSD BF'!$P$74</f>
        <v>0</v>
      </c>
      <c r="Q59" s="25">
        <f>'TUSD BE'!$Q$59*'TUSD BF'!$Q$74</f>
        <v>15.161894453622915</v>
      </c>
      <c r="R59" s="25">
        <f>'TUSD BE'!$R$59*'TUSD BF'!$R$74</f>
        <v>5.5823020080452048</v>
      </c>
      <c r="S59" s="25">
        <f>'TUSD BE'!$R$59*'TUSD BF'!$S$74</f>
        <v>0</v>
      </c>
      <c r="T59" s="25">
        <f ca="1">SUM($L$59:$S$59)</f>
        <v>21.83539772092611</v>
      </c>
      <c r="U59" s="25">
        <f>'TUSD BE'!$U$59*'TUSD BF'!$U$74</f>
        <v>1.7312912536247562</v>
      </c>
      <c r="V59" s="25">
        <f>'TUSD BE'!$V$59*'TUSD BF'!$V$74</f>
        <v>0.22557479153691432</v>
      </c>
      <c r="W59" s="25">
        <f>'TUSD BE'!$W$59*'TUSD BF'!$W$74</f>
        <v>0</v>
      </c>
      <c r="X59" s="25">
        <f>'TUSD BE'!$X$59*'TUSD BF'!$X$74</f>
        <v>0</v>
      </c>
      <c r="Y59" s="25">
        <f>'TUSD BE'!$Y$59*'TUSD BF'!$Y$74</f>
        <v>0</v>
      </c>
      <c r="Z59" s="25">
        <f>'TUSD BE'!$Z$59*'TUSD BF'!$Z$74</f>
        <v>0</v>
      </c>
      <c r="AA59" s="25">
        <f>'TUSD BE'!$AA$59*'TUSD BF'!$AA$74</f>
        <v>0</v>
      </c>
      <c r="AB59" s="25">
        <f>SUM($U$59:$AA$59)</f>
        <v>1.9568660451616706</v>
      </c>
      <c r="AC59" s="25">
        <f>'TUSD BE'!$AC$59*'TUSD BF'!$AC$74</f>
        <v>0</v>
      </c>
      <c r="AD59" s="25">
        <f>SUM($AC$59:$AC$59)</f>
        <v>0</v>
      </c>
      <c r="AE59" s="25">
        <f ca="1">$AO$59*$AO$71</f>
        <v>0</v>
      </c>
      <c r="AF59" s="25">
        <f ca="1">$AP$59*$AP$71</f>
        <v>0</v>
      </c>
      <c r="AG59" s="25">
        <f ca="1">SUM($AE$59:$AF$59)</f>
        <v>0</v>
      </c>
      <c r="AH59" s="25">
        <f>'TUSD BE'!$AH$59*'TUSD BF'!$AH$74</f>
        <v>10.309266224049111</v>
      </c>
      <c r="AI59" s="25">
        <f>'TUSD BE'!$AI$59*'TUSD BF'!$AI$74</f>
        <v>0.83355092496745709</v>
      </c>
      <c r="AJ59" s="25">
        <f ca="1">'TUSD BE'!$AJ$59*'TUSD BF'!$AJ$74</f>
        <v>20.661325043312072</v>
      </c>
      <c r="AK59" s="25">
        <f ca="1">'TUSD BE'!$AK$59*'TUSD BF'!$AK$74</f>
        <v>0</v>
      </c>
      <c r="AL59" s="25">
        <f ca="1">SUM($AH$59:$AK$59)</f>
        <v>31.804142192328641</v>
      </c>
      <c r="AM59" s="25">
        <f ca="1">SUMIF($L$4:$AL$4,"SUBTOTAL",$L$59:$AL$59)</f>
        <v>55.596405958416426</v>
      </c>
      <c r="AO59" s="30">
        <f ca="1">+'TUSD BE'!$T$59+'TUSD BE'!$AB$59+'TUSD BE'!$AD$59+'TUSD BE'!$AL$59</f>
        <v>525.37514265660684</v>
      </c>
      <c r="AP59" s="30">
        <f ca="1">+'TUSD BE'!$T$59+'TUSD BE'!$AB$59+'TUSD BE'!$AD$59+'TUSD BE'!$AL$59</f>
        <v>525.37514265660684</v>
      </c>
    </row>
    <row r="60" spans="1:42" ht="11.25" customHeight="1" x14ac:dyDescent="0.25">
      <c r="A60" s="118"/>
      <c r="B60" s="118"/>
      <c r="C60" s="118"/>
      <c r="D60" s="28" t="s">
        <v>94</v>
      </c>
      <c r="E60" s="28" t="s">
        <v>25</v>
      </c>
      <c r="F60" s="28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25">
        <f>'TUSD BE'!$L$60*'TUSD BF'!$L$74</f>
        <v>1.0912012592579927</v>
      </c>
      <c r="M60" s="25">
        <f>'TUSD BE'!$M$60*'TUSD BF'!$M$74</f>
        <v>0</v>
      </c>
      <c r="N60" s="25">
        <f ca="1">'TUSD BE'!$N$60*'TUSD BF'!$N$74</f>
        <v>0</v>
      </c>
      <c r="O60" s="25">
        <f>'TUSD BE'!$O$60*'TUSD BF'!$O$74</f>
        <v>0</v>
      </c>
      <c r="P60" s="25">
        <f>'TUSD BE'!$P$60*'TUSD BF'!$P$74</f>
        <v>0</v>
      </c>
      <c r="Q60" s="25">
        <f>'TUSD BE'!$Q$60*'TUSD BF'!$Q$74</f>
        <v>15.161894453622915</v>
      </c>
      <c r="R60" s="25">
        <f>'TUSD BE'!$R$60*'TUSD BF'!$R$74</f>
        <v>5.5823020080452048</v>
      </c>
      <c r="S60" s="25">
        <f>'TUSD BE'!$R$60*'TUSD BF'!$S$74</f>
        <v>0</v>
      </c>
      <c r="T60" s="25">
        <f ca="1">SUM($L$60:$S$60)</f>
        <v>21.83539772092611</v>
      </c>
      <c r="U60" s="25">
        <f>'TUSD BE'!$U$60*'TUSD BF'!$U$74</f>
        <v>1.7312912536247562</v>
      </c>
      <c r="V60" s="25">
        <f>'TUSD BE'!$V$60*'TUSD BF'!$V$74</f>
        <v>0.22557479153691432</v>
      </c>
      <c r="W60" s="25">
        <f>'TUSD BE'!$W$60*'TUSD BF'!$W$74</f>
        <v>0</v>
      </c>
      <c r="X60" s="25">
        <f>'TUSD BE'!$X$60*'TUSD BF'!$X$74</f>
        <v>0</v>
      </c>
      <c r="Y60" s="25">
        <f>'TUSD BE'!$Y$60*'TUSD BF'!$Y$74</f>
        <v>0</v>
      </c>
      <c r="Z60" s="25">
        <f>'TUSD BE'!$Z$60*'TUSD BF'!$Z$74</f>
        <v>0</v>
      </c>
      <c r="AA60" s="25">
        <f>'TUSD BE'!$AA$60*'TUSD BF'!$AA$74</f>
        <v>0</v>
      </c>
      <c r="AB60" s="25">
        <f>SUM($U$60:$AA$60)</f>
        <v>1.9568660451616706</v>
      </c>
      <c r="AC60" s="25">
        <f>'TUSD BE'!$AC$60*'TUSD BF'!$AC$74</f>
        <v>0</v>
      </c>
      <c r="AD60" s="25">
        <f>SUM($AC$60:$AC$60)</f>
        <v>0</v>
      </c>
      <c r="AE60" s="25">
        <f ca="1">$AO$60*$AO$71</f>
        <v>0</v>
      </c>
      <c r="AF60" s="25">
        <f ca="1">$AP$60*$AP$71</f>
        <v>0</v>
      </c>
      <c r="AG60" s="25">
        <f ca="1">SUM($AE$60:$AF$60)</f>
        <v>0</v>
      </c>
      <c r="AH60" s="25">
        <f>'TUSD BE'!$AH$60*'TUSD BF'!$AH$74</f>
        <v>10.309266224049111</v>
      </c>
      <c r="AI60" s="25">
        <f>'TUSD BE'!$AI$60*'TUSD BF'!$AI$74</f>
        <v>0.83355092496745709</v>
      </c>
      <c r="AJ60" s="25">
        <f ca="1">'TUSD BE'!$AJ$60*'TUSD BF'!$AJ$74</f>
        <v>20.661325043312072</v>
      </c>
      <c r="AK60" s="25">
        <f ca="1">'TUSD BE'!$AK$60*'TUSD BF'!$AK$74</f>
        <v>0</v>
      </c>
      <c r="AL60" s="25">
        <f ca="1">SUM($AH$60:$AK$60)</f>
        <v>31.804142192328641</v>
      </c>
      <c r="AM60" s="25">
        <f ca="1">SUMIF($L$4:$AL$4,"SUBTOTAL",$L$60:$AL$60)</f>
        <v>55.596405958416426</v>
      </c>
      <c r="AO60" s="30">
        <f ca="1">+'TUSD BE'!$T$60+'TUSD BE'!$AB$60+'TUSD BE'!$AD$60+'TUSD BE'!$AL$60</f>
        <v>525.37514265660684</v>
      </c>
      <c r="AP60" s="30">
        <f ca="1">+'TUSD BE'!$T$60+'TUSD BE'!$AB$60+'TUSD BE'!$AD$60+'TUSD BE'!$AL$60</f>
        <v>525.37514265660684</v>
      </c>
    </row>
    <row r="61" spans="1:42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25">
        <f>'TUSD BE'!$L$61*'TUSD BF'!$L$74</f>
        <v>1.0912012592579927</v>
      </c>
      <c r="M61" s="25">
        <f>'TUSD BE'!$M$61*'TUSD BF'!$M$74</f>
        <v>0</v>
      </c>
      <c r="N61" s="25">
        <f ca="1">'TUSD BE'!$N$61*'TUSD BF'!$N$74</f>
        <v>0</v>
      </c>
      <c r="O61" s="25">
        <f>'TUSD BE'!$O$61*'TUSD BF'!$O$74</f>
        <v>0</v>
      </c>
      <c r="P61" s="25">
        <f>'TUSD BE'!$P$61*'TUSD BF'!$P$74</f>
        <v>0</v>
      </c>
      <c r="Q61" s="25">
        <f>'TUSD BE'!$Q$61*'TUSD BF'!$Q$74</f>
        <v>15.161894453622915</v>
      </c>
      <c r="R61" s="25">
        <f>'TUSD BE'!$R$61*'TUSD BF'!$R$74</f>
        <v>5.5823020080452048</v>
      </c>
      <c r="S61" s="25">
        <f>'TUSD BE'!$R$61*'TUSD BF'!$S$74</f>
        <v>0</v>
      </c>
      <c r="T61" s="25">
        <f ca="1">SUM($L$61:$S$61)</f>
        <v>21.83539772092611</v>
      </c>
      <c r="U61" s="25">
        <f>'TUSD BE'!$U$61*'TUSD BF'!$U$74</f>
        <v>5.6267103588854903</v>
      </c>
      <c r="V61" s="25">
        <f>'TUSD BE'!$V$61*'TUSD BF'!$V$74</f>
        <v>0.73312316043393499</v>
      </c>
      <c r="W61" s="25">
        <f>'TUSD BE'!$W$61*'TUSD BF'!$W$74</f>
        <v>0</v>
      </c>
      <c r="X61" s="25">
        <f>'TUSD BE'!$X$61*'TUSD BF'!$X$74</f>
        <v>0</v>
      </c>
      <c r="Y61" s="25">
        <f>'TUSD BE'!$Y$61*'TUSD BF'!$Y$74</f>
        <v>0</v>
      </c>
      <c r="Z61" s="25">
        <f>'TUSD BE'!$Z$61*'TUSD BF'!$Z$74</f>
        <v>0</v>
      </c>
      <c r="AA61" s="25">
        <f>'TUSD BE'!$AA$61*'TUSD BF'!$AA$74</f>
        <v>0</v>
      </c>
      <c r="AB61" s="25">
        <f>SUM($U$61:$AA$61)</f>
        <v>6.3598335193194249</v>
      </c>
      <c r="AC61" s="25">
        <f>'TUSD BE'!$AC$61*'TUSD BF'!$AC$74</f>
        <v>0</v>
      </c>
      <c r="AD61" s="25">
        <f>SUM($AC$61:$AC$61)</f>
        <v>0</v>
      </c>
      <c r="AE61" s="25">
        <f ca="1">$AO$61*$AO$71</f>
        <v>0</v>
      </c>
      <c r="AF61" s="25">
        <f ca="1">$AP$61*$AP$71</f>
        <v>0</v>
      </c>
      <c r="AG61" s="25">
        <f ca="1">SUM($AE$61:$AF$61)</f>
        <v>0</v>
      </c>
      <c r="AH61" s="25">
        <f>'TUSD BE'!$AH$61*'TUSD BF'!$AH$74</f>
        <v>10.309266224049111</v>
      </c>
      <c r="AI61" s="25">
        <f>'TUSD BE'!$AI$61*'TUSD BF'!$AI$74</f>
        <v>0.83355092496745709</v>
      </c>
      <c r="AJ61" s="25">
        <f ca="1">'TUSD BE'!$AJ$61*'TUSD BF'!$AJ$74</f>
        <v>20.661325043312072</v>
      </c>
      <c r="AK61" s="25">
        <f ca="1">'TUSD BE'!$AK$61*'TUSD BF'!$AK$74</f>
        <v>0</v>
      </c>
      <c r="AL61" s="25">
        <f ca="1">SUM($AH$61:$AK$61)</f>
        <v>31.804142192328641</v>
      </c>
      <c r="AM61" s="25">
        <f ca="1">SUMIF($L$4:$AL$4,"SUBTOTAL",$L$61:$AL$61)</f>
        <v>59.999373432574174</v>
      </c>
      <c r="AO61" s="30">
        <f ca="1">+'TUSD BE'!$T$61+'TUSD BE'!$AB$61+'TUSD BE'!$AD$61+'TUSD BE'!$AL$61</f>
        <v>1251.5147133122675</v>
      </c>
      <c r="AP61" s="30">
        <f ca="1">+'TUSD BE'!$T$61+'TUSD BE'!$AB$61+'TUSD BE'!$AD$61+'TUSD BE'!$AL$61</f>
        <v>1251.5147133122675</v>
      </c>
    </row>
    <row r="62" spans="1:42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25">
        <f>'TUSD BE'!$L$62*'TUSD BF'!$L$74</f>
        <v>1.0912012592579927</v>
      </c>
      <c r="M62" s="25">
        <f>'TUSD BE'!$M$62*'TUSD BF'!$M$74</f>
        <v>0</v>
      </c>
      <c r="N62" s="25">
        <f ca="1">'TUSD BE'!$N$62*'TUSD BF'!$N$74</f>
        <v>0</v>
      </c>
      <c r="O62" s="25">
        <f>'TUSD BE'!$O$62*'TUSD BF'!$O$74</f>
        <v>0</v>
      </c>
      <c r="P62" s="25">
        <f>'TUSD BE'!$P$62*'TUSD BF'!$P$74</f>
        <v>0</v>
      </c>
      <c r="Q62" s="25">
        <f>'TUSD BE'!$Q$62*'TUSD BF'!$Q$74</f>
        <v>15.161894453622915</v>
      </c>
      <c r="R62" s="25">
        <f>'TUSD BE'!$R$62*'TUSD BF'!$R$74</f>
        <v>5.5823020080452048</v>
      </c>
      <c r="S62" s="25">
        <f>'TUSD BE'!$R$62*'TUSD BF'!$S$74</f>
        <v>0</v>
      </c>
      <c r="T62" s="25">
        <f ca="1">SUM($L$62:$S$62)</f>
        <v>21.83539772092611</v>
      </c>
      <c r="U62" s="25">
        <f>'TUSD BE'!$U$62*'TUSD BF'!$U$74</f>
        <v>3.3760220799497844</v>
      </c>
      <c r="V62" s="25">
        <f>'TUSD BE'!$V$62*'TUSD BF'!$V$74</f>
        <v>0.43987471033059522</v>
      </c>
      <c r="W62" s="25">
        <f>'TUSD BE'!$W$62*'TUSD BF'!$W$74</f>
        <v>0</v>
      </c>
      <c r="X62" s="25">
        <f>'TUSD BE'!$X$62*'TUSD BF'!$X$74</f>
        <v>0</v>
      </c>
      <c r="Y62" s="25">
        <f>'TUSD BE'!$Y$62*'TUSD BF'!$Y$74</f>
        <v>0</v>
      </c>
      <c r="Z62" s="25">
        <f>'TUSD BE'!$Z$62*'TUSD BF'!$Z$74</f>
        <v>0</v>
      </c>
      <c r="AA62" s="25">
        <f>'TUSD BE'!$AA$62*'TUSD BF'!$AA$74</f>
        <v>0</v>
      </c>
      <c r="AB62" s="25">
        <f>SUM($U$62:$AA$62)</f>
        <v>3.8158967902803798</v>
      </c>
      <c r="AC62" s="25">
        <f>'TUSD BE'!$AC$62*'TUSD BF'!$AC$74</f>
        <v>0</v>
      </c>
      <c r="AD62" s="25">
        <f>SUM($AC$62:$AC$62)</f>
        <v>0</v>
      </c>
      <c r="AE62" s="25">
        <f ca="1">$AO$62*$AO$71</f>
        <v>0</v>
      </c>
      <c r="AF62" s="25">
        <f ca="1">$AP$62*$AP$71</f>
        <v>0</v>
      </c>
      <c r="AG62" s="25">
        <f ca="1">SUM($AE$62:$AF$62)</f>
        <v>0</v>
      </c>
      <c r="AH62" s="25">
        <f>'TUSD BE'!$AH$62*'TUSD BF'!$AH$74</f>
        <v>10.309266224049111</v>
      </c>
      <c r="AI62" s="25">
        <f>'TUSD BE'!$AI$62*'TUSD BF'!$AI$74</f>
        <v>0.83355092496745709</v>
      </c>
      <c r="AJ62" s="25">
        <f ca="1">'TUSD BE'!$AJ$62*'TUSD BF'!$AJ$74</f>
        <v>20.661325043312072</v>
      </c>
      <c r="AK62" s="25">
        <f ca="1">'TUSD BE'!$AK$62*'TUSD BF'!$AK$74</f>
        <v>0</v>
      </c>
      <c r="AL62" s="25">
        <f ca="1">SUM($AH$62:$AK$62)</f>
        <v>31.804142192328641</v>
      </c>
      <c r="AM62" s="25">
        <f ca="1">SUMIF($L$4:$AL$4,"SUBTOTAL",$L$62:$AL$62)</f>
        <v>57.455436703535128</v>
      </c>
      <c r="AO62" s="30">
        <f ca="1">+'TUSD BE'!$T$62+'TUSD BE'!$AB$62+'TUSD BE'!$AD$62+'TUSD BE'!$AL$62</f>
        <v>831.96743815762795</v>
      </c>
      <c r="AP62" s="30">
        <f ca="1">+'TUSD BE'!$T$62+'TUSD BE'!$AB$62+'TUSD BE'!$AD$62+'TUSD BE'!$AL$62</f>
        <v>831.96743815762795</v>
      </c>
    </row>
    <row r="63" spans="1:42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25">
        <f>'TUSD BE'!$L$63*'TUSD BF'!$L$74</f>
        <v>1.0912012592579927</v>
      </c>
      <c r="M63" s="25">
        <f>'TUSD BE'!$M$63*'TUSD BF'!$M$74</f>
        <v>0</v>
      </c>
      <c r="N63" s="25">
        <f ca="1">'TUSD BE'!$N$63*'TUSD BF'!$N$74</f>
        <v>0</v>
      </c>
      <c r="O63" s="25">
        <f>'TUSD BE'!$O$63*'TUSD BF'!$O$74</f>
        <v>0</v>
      </c>
      <c r="P63" s="25">
        <f>'TUSD BE'!$P$63*'TUSD BF'!$P$74</f>
        <v>0</v>
      </c>
      <c r="Q63" s="25">
        <f>'TUSD BE'!$Q$63*'TUSD BF'!$Q$74</f>
        <v>15.161894453622915</v>
      </c>
      <c r="R63" s="25">
        <f>'TUSD BE'!$R$63*'TUSD BF'!$R$74</f>
        <v>5.5823020080452048</v>
      </c>
      <c r="S63" s="25">
        <f>'TUSD BE'!$R$63*'TUSD BF'!$S$74</f>
        <v>0</v>
      </c>
      <c r="T63" s="25">
        <f ca="1">SUM($L$63:$S$63)</f>
        <v>21.83539772092611</v>
      </c>
      <c r="U63" s="25">
        <f>'TUSD BE'!$U$63*'TUSD BF'!$U$74</f>
        <v>1.1253406933165948</v>
      </c>
      <c r="V63" s="25">
        <f>'TUSD BE'!$V$63*'TUSD BF'!$V$74</f>
        <v>0.14662626022725533</v>
      </c>
      <c r="W63" s="25">
        <f>'TUSD BE'!$W$63*'TUSD BF'!$W$74</f>
        <v>0</v>
      </c>
      <c r="X63" s="25">
        <f>'TUSD BE'!$X$63*'TUSD BF'!$X$74</f>
        <v>0</v>
      </c>
      <c r="Y63" s="25">
        <f>'TUSD BE'!$Y$63*'TUSD BF'!$Y$74</f>
        <v>0</v>
      </c>
      <c r="Z63" s="25">
        <f>'TUSD BE'!$Z$63*'TUSD BF'!$Z$74</f>
        <v>0</v>
      </c>
      <c r="AA63" s="25">
        <f>'TUSD BE'!$AA$63*'TUSD BF'!$AA$74</f>
        <v>0</v>
      </c>
      <c r="AB63" s="25">
        <f>SUM($U$63:$AA$63)</f>
        <v>1.27196695354385</v>
      </c>
      <c r="AC63" s="25">
        <f>'TUSD BE'!$AC$63*'TUSD BF'!$AC$74</f>
        <v>0</v>
      </c>
      <c r="AD63" s="25">
        <f>SUM($AC$63:$AC$63)</f>
        <v>0</v>
      </c>
      <c r="AE63" s="25">
        <f ca="1">$AO$63*$AO$71</f>
        <v>0</v>
      </c>
      <c r="AF63" s="25">
        <f ca="1">$AP$63*$AP$71</f>
        <v>0</v>
      </c>
      <c r="AG63" s="25">
        <f ca="1">SUM($AE$63:$AF$63)</f>
        <v>0</v>
      </c>
      <c r="AH63" s="25">
        <f>'TUSD BE'!$AH$63*'TUSD BF'!$AH$74</f>
        <v>10.309266224049111</v>
      </c>
      <c r="AI63" s="25">
        <f>'TUSD BE'!$AI$63*'TUSD BF'!$AI$74</f>
        <v>0.83355092496745709</v>
      </c>
      <c r="AJ63" s="25">
        <f ca="1">'TUSD BE'!$AJ$63*'TUSD BF'!$AJ$74</f>
        <v>20.661325043312072</v>
      </c>
      <c r="AK63" s="25">
        <f ca="1">'TUSD BE'!$AK$63*'TUSD BF'!$AK$74</f>
        <v>0</v>
      </c>
      <c r="AL63" s="25">
        <f ca="1">SUM($AH$63:$AK$63)</f>
        <v>31.804142192328641</v>
      </c>
      <c r="AM63" s="25">
        <f ca="1">SUMIF($L$4:$AL$4,"SUBTOTAL",$L$63:$AL$63)</f>
        <v>54.911506866798604</v>
      </c>
      <c r="AO63" s="30">
        <f ca="1">+'TUSD BE'!$T$63+'TUSD BE'!$AB$63+'TUSD BE'!$AD$63+'TUSD BE'!$AL$63</f>
        <v>412.42017280378394</v>
      </c>
      <c r="AP63" s="30">
        <f ca="1">+'TUSD BE'!$T$63+'TUSD BE'!$AB$63+'TUSD BE'!$AD$63+'TUSD BE'!$AL$63</f>
        <v>412.42017280378394</v>
      </c>
    </row>
    <row r="64" spans="1:42" ht="11.25" customHeight="1" x14ac:dyDescent="0.25">
      <c r="A64" s="118"/>
      <c r="B64" s="28" t="s">
        <v>23</v>
      </c>
      <c r="C64" s="28" t="s">
        <v>25</v>
      </c>
      <c r="D64" s="28" t="s">
        <v>25</v>
      </c>
      <c r="E64" s="28" t="s">
        <v>25</v>
      </c>
      <c r="F64" s="28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25">
        <f>'TUSD BE'!$L$64*'TUSD BF'!$L$74</f>
        <v>1.0912012592579927</v>
      </c>
      <c r="M64" s="25">
        <f>'TUSD BE'!$M$64*'TUSD BF'!$M$74</f>
        <v>0</v>
      </c>
      <c r="N64" s="25">
        <f ca="1">'TUSD BE'!$N$64*'TUSD BF'!$N$74</f>
        <v>0</v>
      </c>
      <c r="O64" s="25">
        <f>'TUSD BE'!$O$64*'TUSD BF'!$O$74</f>
        <v>0</v>
      </c>
      <c r="P64" s="25">
        <f>'TUSD BE'!$P$64*'TUSD BF'!$P$74</f>
        <v>0</v>
      </c>
      <c r="Q64" s="25">
        <f>'TUSD BE'!$Q$64*'TUSD BF'!$Q$74</f>
        <v>15.161894453622915</v>
      </c>
      <c r="R64" s="25">
        <f>'TUSD BE'!$R$64*'TUSD BF'!$R$74</f>
        <v>5.5823020080452048</v>
      </c>
      <c r="S64" s="25">
        <f>'TUSD BE'!$R$64*'TUSD BF'!$S$74</f>
        <v>0</v>
      </c>
      <c r="T64" s="25">
        <f ca="1">SUM($L$64:$S$64)</f>
        <v>21.83539772092611</v>
      </c>
      <c r="U64" s="25">
        <f>'TUSD BE'!$U$64*'TUSD BF'!$U$74</f>
        <v>1.7312912536247562</v>
      </c>
      <c r="V64" s="25">
        <f>'TUSD BE'!$V$64*'TUSD BF'!$V$74</f>
        <v>0.22557479153691432</v>
      </c>
      <c r="W64" s="25">
        <f>'TUSD BE'!$W$64*'TUSD BF'!$W$74</f>
        <v>0</v>
      </c>
      <c r="X64" s="25">
        <f>'TUSD BE'!$X$64*'TUSD BF'!$X$74</f>
        <v>0</v>
      </c>
      <c r="Y64" s="25">
        <f>'TUSD BE'!$Y$64*'TUSD BF'!$Y$74</f>
        <v>0</v>
      </c>
      <c r="Z64" s="25">
        <f>'TUSD BE'!$Z$64*'TUSD BF'!$Z$74</f>
        <v>0</v>
      </c>
      <c r="AA64" s="25">
        <f>'TUSD BE'!$AA$64*'TUSD BF'!$AA$74</f>
        <v>0</v>
      </c>
      <c r="AB64" s="25">
        <f>SUM($U$64:$AA$64)</f>
        <v>1.9568660451616706</v>
      </c>
      <c r="AC64" s="25">
        <f>'TUSD BE'!$AC$64*'TUSD BF'!$AC$74</f>
        <v>0</v>
      </c>
      <c r="AD64" s="25">
        <f>SUM($AC$64:$AC$64)</f>
        <v>0</v>
      </c>
      <c r="AE64" s="25">
        <f ca="1">$AO$64*$AO$71</f>
        <v>0</v>
      </c>
      <c r="AF64" s="25">
        <f ca="1">$AP$64*$AP$71</f>
        <v>0</v>
      </c>
      <c r="AG64" s="25">
        <f ca="1">SUM($AE$64:$AF$64)</f>
        <v>0</v>
      </c>
      <c r="AH64" s="25">
        <f>'TUSD BE'!$AH$64*'TUSD BF'!$AH$74</f>
        <v>10.309266224049111</v>
      </c>
      <c r="AI64" s="25">
        <f>'TUSD BE'!$AI$64*'TUSD BF'!$AI$74</f>
        <v>0.83355092496745709</v>
      </c>
      <c r="AJ64" s="25">
        <f ca="1">'TUSD BE'!$AJ$64*'TUSD BF'!$AJ$74</f>
        <v>20.661325043312072</v>
      </c>
      <c r="AK64" s="25">
        <f ca="1">'TUSD BE'!$AK$64*'TUSD BF'!$AK$74</f>
        <v>0</v>
      </c>
      <c r="AL64" s="25">
        <f ca="1">SUM($AH$64:$AK$64)</f>
        <v>31.804142192328641</v>
      </c>
      <c r="AM64" s="25">
        <f ca="1">SUMIF($L$4:$AL$4,"SUBTOTAL",$L$64:$AL$64)</f>
        <v>55.596405958416426</v>
      </c>
      <c r="AO64" s="30">
        <f ca="1">+'TUSD BE'!$T$64+'TUSD BE'!$AB$64+'TUSD BE'!$AD$64+'TUSD BE'!$AL$64</f>
        <v>525.37514265660684</v>
      </c>
      <c r="AP64" s="30">
        <f ca="1">+'TUSD BE'!$T$64+'TUSD BE'!$AB$64+'TUSD BE'!$AD$64+'TUSD BE'!$AL$64</f>
        <v>525.37514265660684</v>
      </c>
    </row>
    <row r="65" spans="1:42" ht="11.25" customHeight="1" x14ac:dyDescent="0.25">
      <c r="A65" s="118"/>
      <c r="B65" s="28" t="s">
        <v>92</v>
      </c>
      <c r="C65" s="28" t="s">
        <v>25</v>
      </c>
      <c r="D65" s="28" t="s">
        <v>25</v>
      </c>
      <c r="E65" s="28" t="s">
        <v>25</v>
      </c>
      <c r="F65" s="28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25">
        <f>'TUSD BE'!$L$65*'TUSD BF'!$L$74</f>
        <v>1.0912012592579927</v>
      </c>
      <c r="M65" s="25">
        <f>'TUSD BE'!$M$65*'TUSD BF'!$M$74</f>
        <v>0</v>
      </c>
      <c r="N65" s="25">
        <f ca="1">'TUSD BE'!$N$65*'TUSD BF'!$N$74</f>
        <v>0</v>
      </c>
      <c r="O65" s="25">
        <f>'TUSD BE'!$O$65*'TUSD BF'!$O$74</f>
        <v>0</v>
      </c>
      <c r="P65" s="25">
        <f>'TUSD BE'!$P$65*'TUSD BF'!$P$74</f>
        <v>0</v>
      </c>
      <c r="Q65" s="25">
        <f>'TUSD BE'!$Q$65*'TUSD BF'!$Q$74</f>
        <v>15.161894453622915</v>
      </c>
      <c r="R65" s="25">
        <f>'TUSD BE'!$R$65*'TUSD BF'!$R$74</f>
        <v>5.5823020080452048</v>
      </c>
      <c r="S65" s="25">
        <f>'TUSD BE'!$R$65*'TUSD BF'!$S$74</f>
        <v>0</v>
      </c>
      <c r="T65" s="25">
        <f ca="1">SUM($L$65:$S$65)</f>
        <v>21.83539772092611</v>
      </c>
      <c r="U65" s="25">
        <f>'TUSD BE'!$U$65*'TUSD BF'!$U$74</f>
        <v>1.7312912536247562</v>
      </c>
      <c r="V65" s="25">
        <f>'TUSD BE'!$V$65*'TUSD BF'!$V$74</f>
        <v>0.22557479153691432</v>
      </c>
      <c r="W65" s="25">
        <f>'TUSD BE'!$W$65*'TUSD BF'!$W$74</f>
        <v>0</v>
      </c>
      <c r="X65" s="25">
        <f>'TUSD BE'!$X$65*'TUSD BF'!$X$74</f>
        <v>0</v>
      </c>
      <c r="Y65" s="25">
        <f>'TUSD BE'!$Y$65*'TUSD BF'!$Y$74</f>
        <v>0</v>
      </c>
      <c r="Z65" s="25">
        <f>'TUSD BE'!$Z$65*'TUSD BF'!$Z$74</f>
        <v>0</v>
      </c>
      <c r="AA65" s="25">
        <f>'TUSD BE'!$AA$65*'TUSD BF'!$AA$74</f>
        <v>0</v>
      </c>
      <c r="AB65" s="25">
        <f>SUM($U$65:$AA$65)</f>
        <v>1.9568660451616706</v>
      </c>
      <c r="AC65" s="25">
        <f>'TUSD BE'!$AC$65*'TUSD BF'!$AC$74</f>
        <v>0</v>
      </c>
      <c r="AD65" s="25">
        <f>SUM($AC$65:$AC$65)</f>
        <v>0</v>
      </c>
      <c r="AE65" s="25">
        <f ca="1">$AO$65*$AO$71</f>
        <v>0</v>
      </c>
      <c r="AF65" s="25">
        <f ca="1">$AP$65*$AP$71</f>
        <v>0</v>
      </c>
      <c r="AG65" s="25">
        <f ca="1">SUM($AE$65:$AF$65)</f>
        <v>0</v>
      </c>
      <c r="AH65" s="25">
        <f>'TUSD BE'!$AH$65*'TUSD BF'!$AH$74</f>
        <v>10.309266224049111</v>
      </c>
      <c r="AI65" s="25">
        <f>'TUSD BE'!$AI$65*'TUSD BF'!$AI$74</f>
        <v>0.83355092496745709</v>
      </c>
      <c r="AJ65" s="25">
        <f ca="1">'TUSD BE'!$AJ$65*'TUSD BF'!$AJ$74</f>
        <v>20.661325043312072</v>
      </c>
      <c r="AK65" s="25">
        <f ca="1">'TUSD BE'!$AK$65*'TUSD BF'!$AK$74</f>
        <v>0</v>
      </c>
      <c r="AL65" s="25">
        <f ca="1">SUM($AH$65:$AK$65)</f>
        <v>31.804142192328641</v>
      </c>
      <c r="AM65" s="25">
        <f ca="1">SUMIF($L$4:$AL$4,"SUBTOTAL",$L$65:$AL$65)</f>
        <v>55.596405958416426</v>
      </c>
      <c r="AO65" s="30">
        <f ca="1">+'TUSD BE'!$T$65+'TUSD BE'!$AB$65+'TUSD BE'!$AD$65+'TUSD BE'!$AL$65</f>
        <v>525.37514265660684</v>
      </c>
      <c r="AP65" s="30">
        <f ca="1">+'TUSD BE'!$T$65+'TUSD BE'!$AB$65+'TUSD BE'!$AD$65+'TUSD BE'!$AL$65</f>
        <v>525.37514265660684</v>
      </c>
    </row>
    <row r="66" spans="1:42" ht="11.25" customHeight="1" x14ac:dyDescent="0.25">
      <c r="A66" s="118" t="s">
        <v>48</v>
      </c>
      <c r="B66" s="118" t="s">
        <v>23</v>
      </c>
      <c r="C66" s="118" t="s">
        <v>49</v>
      </c>
      <c r="D66" s="28" t="s">
        <v>50</v>
      </c>
      <c r="E66" s="28" t="s">
        <v>25</v>
      </c>
      <c r="F66" s="28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25">
        <f>'TUSD BE'!$L$66*'TUSD BF'!$L$74</f>
        <v>0.60016069259189608</v>
      </c>
      <c r="M66" s="25">
        <f>'TUSD BE'!$M$66*'TUSD BF'!$M$74</f>
        <v>0</v>
      </c>
      <c r="N66" s="25">
        <f ca="1">'TUSD BE'!$N$66*'TUSD BF'!$N$74</f>
        <v>0</v>
      </c>
      <c r="O66" s="25">
        <f>'TUSD BE'!$O$66*'TUSD BF'!$O$74</f>
        <v>0</v>
      </c>
      <c r="P66" s="25">
        <f>'TUSD BE'!$P$66*'TUSD BF'!$P$74</f>
        <v>0</v>
      </c>
      <c r="Q66" s="25">
        <f>'TUSD BE'!$Q$66*'TUSD BF'!$Q$74</f>
        <v>8.3390419494926054</v>
      </c>
      <c r="R66" s="25">
        <f>'TUSD BE'!$R$66*'TUSD BF'!$R$74</f>
        <v>3.0702661044248627</v>
      </c>
      <c r="S66" s="25">
        <f>'TUSD BE'!$R$66*'TUSD BF'!$S$74</f>
        <v>0</v>
      </c>
      <c r="T66" s="25">
        <f ca="1">SUM($L$66:$S$66)</f>
        <v>12.009468746509363</v>
      </c>
      <c r="U66" s="25">
        <f>'TUSD BE'!$U$66*'TUSD BF'!$U$74</f>
        <v>0.95221018949361602</v>
      </c>
      <c r="V66" s="25">
        <f>'TUSD BE'!$V$66*'TUSD BF'!$V$74</f>
        <v>0.12406613534530288</v>
      </c>
      <c r="W66" s="25">
        <f>'TUSD BE'!$W$66*'TUSD BF'!$W$74</f>
        <v>0</v>
      </c>
      <c r="X66" s="25">
        <f>'TUSD BE'!$X$66*'TUSD BF'!$X$74</f>
        <v>0</v>
      </c>
      <c r="Y66" s="25">
        <f>'TUSD BE'!$Y$66*'TUSD BF'!$Y$74</f>
        <v>0</v>
      </c>
      <c r="Z66" s="25">
        <f>'TUSD BE'!$Z$66*'TUSD BF'!$Z$74</f>
        <v>0</v>
      </c>
      <c r="AA66" s="25">
        <f>'TUSD BE'!$AA$66*'TUSD BF'!$AA$74</f>
        <v>0</v>
      </c>
      <c r="AB66" s="25">
        <f>SUM($U$66:$AA$66)</f>
        <v>1.0762763248389189</v>
      </c>
      <c r="AC66" s="25">
        <f>'TUSD BE'!$AC$66*'TUSD BF'!$AC$74</f>
        <v>0</v>
      </c>
      <c r="AD66" s="25">
        <f>SUM($AC$66:$AC$66)</f>
        <v>0</v>
      </c>
      <c r="AE66" s="25">
        <f ca="1">$AO$66*$AO$71</f>
        <v>0</v>
      </c>
      <c r="AF66" s="25">
        <f ca="1">$AP$66*$AP$71</f>
        <v>0</v>
      </c>
      <c r="AG66" s="25">
        <f ca="1">SUM($AE$66:$AF$66)</f>
        <v>0</v>
      </c>
      <c r="AH66" s="25">
        <f>'TUSD BE'!$AH$66*'TUSD BF'!$AH$74</f>
        <v>5.6700964232270117</v>
      </c>
      <c r="AI66" s="25">
        <f>'TUSD BE'!$AI$66*'TUSD BF'!$AI$74</f>
        <v>0.45845300873210149</v>
      </c>
      <c r="AJ66" s="25">
        <f ca="1">'TUSD BE'!$AJ$66*'TUSD BF'!$AJ$74</f>
        <v>11.36372877382164</v>
      </c>
      <c r="AK66" s="25">
        <f ca="1">'TUSD BE'!$AK$66*'TUSD BF'!$AK$74</f>
        <v>0</v>
      </c>
      <c r="AL66" s="25">
        <f ca="1">SUM($AH$66:$AK$66)</f>
        <v>17.492278205780753</v>
      </c>
      <c r="AM66" s="25">
        <f ca="1">SUMIF($L$4:$AL$4,"SUBTOTAL",$L$66:$AL$66)</f>
        <v>30.578023277129034</v>
      </c>
      <c r="AO66" s="30">
        <f ca="1">+'TUSD BE'!$T$66+'TUSD BE'!$AB$66+'TUSD BE'!$AD$66+'TUSD BE'!$AL$66</f>
        <v>288.95632846113381</v>
      </c>
      <c r="AP66" s="30">
        <f ca="1">+'TUSD BE'!$T$66+'TUSD BE'!$AB$66+'TUSD BE'!$AD$66+'TUSD BE'!$AL$66</f>
        <v>288.95632846113381</v>
      </c>
    </row>
    <row r="67" spans="1:42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25">
        <f>'TUSD BE'!$L$67*'TUSD BF'!$L$74</f>
        <v>0.65472075555479559</v>
      </c>
      <c r="M67" s="25">
        <f>'TUSD BE'!$M$67*'TUSD BF'!$M$74</f>
        <v>0</v>
      </c>
      <c r="N67" s="25">
        <f ca="1">'TUSD BE'!$N$67*'TUSD BF'!$N$74</f>
        <v>0</v>
      </c>
      <c r="O67" s="25">
        <f>'TUSD BE'!$O$67*'TUSD BF'!$O$74</f>
        <v>0</v>
      </c>
      <c r="P67" s="25">
        <f>'TUSD BE'!$P$67*'TUSD BF'!$P$74</f>
        <v>0</v>
      </c>
      <c r="Q67" s="25">
        <f>'TUSD BE'!$Q$67*'TUSD BF'!$Q$74</f>
        <v>9.0971366721737486</v>
      </c>
      <c r="R67" s="25">
        <f>'TUSD BE'!$R$67*'TUSD BF'!$R$74</f>
        <v>3.349381204827123</v>
      </c>
      <c r="S67" s="25">
        <f>'TUSD BE'!$R$67*'TUSD BF'!$S$74</f>
        <v>0</v>
      </c>
      <c r="T67" s="25">
        <f ca="1">SUM($L$67:$S$67)</f>
        <v>13.101238632555667</v>
      </c>
      <c r="U67" s="25">
        <f>'TUSD BE'!$U$67*'TUSD BF'!$U$74</f>
        <v>1.0387747521748536</v>
      </c>
      <c r="V67" s="25">
        <f>'TUSD BE'!$V$67*'TUSD BF'!$V$74</f>
        <v>0.13534487492214856</v>
      </c>
      <c r="W67" s="25">
        <f>'TUSD BE'!$W$67*'TUSD BF'!$W$74</f>
        <v>0</v>
      </c>
      <c r="X67" s="25">
        <f>'TUSD BE'!$X$67*'TUSD BF'!$X$74</f>
        <v>0</v>
      </c>
      <c r="Y67" s="25">
        <f>'TUSD BE'!$Y$67*'TUSD BF'!$Y$74</f>
        <v>0</v>
      </c>
      <c r="Z67" s="25">
        <f>'TUSD BE'!$Z$67*'TUSD BF'!$Z$74</f>
        <v>0</v>
      </c>
      <c r="AA67" s="25">
        <f>'TUSD BE'!$AA$67*'TUSD BF'!$AA$74</f>
        <v>0</v>
      </c>
      <c r="AB67" s="25">
        <f>SUM($U$67:$AA$67)</f>
        <v>1.1741196270970022</v>
      </c>
      <c r="AC67" s="25">
        <f>'TUSD BE'!$AC$67*'TUSD BF'!$AC$74</f>
        <v>0</v>
      </c>
      <c r="AD67" s="25">
        <f>SUM($AC$67:$AC$67)</f>
        <v>0</v>
      </c>
      <c r="AE67" s="25">
        <f ca="1">$AO$67*$AO$71</f>
        <v>0</v>
      </c>
      <c r="AF67" s="25">
        <f ca="1">$AP$67*$AP$71</f>
        <v>0</v>
      </c>
      <c r="AG67" s="25">
        <f ca="1">SUM($AE$67:$AF$67)</f>
        <v>0</v>
      </c>
      <c r="AH67" s="25">
        <f>'TUSD BE'!$AH$67*'TUSD BF'!$AH$74</f>
        <v>6.1855597344294662</v>
      </c>
      <c r="AI67" s="25">
        <f>'TUSD BE'!$AI$67*'TUSD BF'!$AI$74</f>
        <v>0.50013055498047421</v>
      </c>
      <c r="AJ67" s="25">
        <f ca="1">'TUSD BE'!$AJ$67*'TUSD BF'!$AJ$74</f>
        <v>12.396795025987242</v>
      </c>
      <c r="AK67" s="25">
        <f ca="1">'TUSD BE'!$AK$67*'TUSD BF'!$AK$74</f>
        <v>0</v>
      </c>
      <c r="AL67" s="25">
        <f ca="1">SUM($AH$67:$AK$67)</f>
        <v>19.082485315397182</v>
      </c>
      <c r="AM67" s="25">
        <f ca="1">SUMIF($L$4:$AL$4,"SUBTOTAL",$L$67:$AL$67)</f>
        <v>33.357843575049856</v>
      </c>
      <c r="AO67" s="30">
        <f ca="1">+'TUSD BE'!$T$67+'TUSD BE'!$AB$67+'TUSD BE'!$AD$67+'TUSD BE'!$AL$67</f>
        <v>315.22508559396408</v>
      </c>
      <c r="AP67" s="30">
        <f ca="1">+'TUSD BE'!$T$67+'TUSD BE'!$AB$67+'TUSD BE'!$AD$67+'TUSD BE'!$AL$67</f>
        <v>315.22508559396408</v>
      </c>
    </row>
    <row r="69" spans="1:42" ht="11.25" customHeight="1" x14ac:dyDescent="0.25">
      <c r="K69" s="27" t="s">
        <v>753</v>
      </c>
      <c r="L69" s="25">
        <f>SUMPRODUCT($I$5:$I67,$L$5:$L67)</f>
        <v>989033.5690054592</v>
      </c>
      <c r="M69" s="25">
        <f>SUMPRODUCT($I$5:$I67,$M$5:$M67)</f>
        <v>0</v>
      </c>
      <c r="N69" s="25">
        <f ca="1">SUMPRODUCT($I$5:$I67,$N$5:$N67)</f>
        <v>0</v>
      </c>
      <c r="O69" s="25">
        <f>SUMPRODUCT($I$5:$I67,$O$5:$O67)</f>
        <v>0</v>
      </c>
      <c r="P69" s="25">
        <f>SUMPRODUCT($I$5:$I67,$P$5:$P67)</f>
        <v>0</v>
      </c>
      <c r="Q69" s="25">
        <f>SUMPRODUCT($I$5:$I67,$Q$5:$Q67)</f>
        <v>13742306.890799997</v>
      </c>
      <c r="R69" s="25">
        <f>SUMPRODUCT($I$5:$I67,$R$5:$R67)</f>
        <v>5428655.5211000005</v>
      </c>
      <c r="S69" s="25">
        <f>SUMPRODUCT($I$5:$I67,$S$5:$S67)</f>
        <v>0</v>
      </c>
      <c r="T69" s="25">
        <f ca="1">SUMPRODUCT($I$5:$I67,$T$5:$T67)</f>
        <v>20159995.980905455</v>
      </c>
      <c r="U69" s="25">
        <f>SUMPRODUCT($I$5:$I67,$U$5:$U67)</f>
        <v>2073902.0646832106</v>
      </c>
      <c r="V69" s="25">
        <f>SUMPRODUCT($I$5:$I67,$V$5:$V67)</f>
        <v>270113.23884159571</v>
      </c>
      <c r="W69" s="25">
        <f>SUMPRODUCT($I$5:$I67,$W$5:$W67)</f>
        <v>0</v>
      </c>
      <c r="X69" s="25">
        <f>SUMPRODUCT($I$5:$I67,$X$5:$X67)</f>
        <v>0</v>
      </c>
      <c r="Y69" s="25">
        <f>SUMPRODUCT($I$5:$I67,$Y$5:$Y67)</f>
        <v>0</v>
      </c>
      <c r="Z69" s="25">
        <f>SUMPRODUCT($I$5:$I67,$Z$5:$Z67)</f>
        <v>0</v>
      </c>
      <c r="AA69" s="25">
        <f>SUMPRODUCT($I$5:$I67,$AA$5:$AA67)</f>
        <v>6529.2266751943243</v>
      </c>
      <c r="AB69" s="25">
        <f>SUMPRODUCT($I$5:$I67,$AB$5:$AB67)</f>
        <v>2350544.5302000004</v>
      </c>
      <c r="AC69" s="25">
        <f>SUMPRODUCT($I$5:$I67,$AC$5:$AC67)</f>
        <v>0</v>
      </c>
      <c r="AD69" s="25">
        <f>SUMPRODUCT($I$5:$I67,$AD$5:$AD67)</f>
        <v>0</v>
      </c>
      <c r="AE69" s="25">
        <f ca="1">SUMPRODUCT($I$5:$I67,$AE$5:$AE67)</f>
        <v>0</v>
      </c>
      <c r="AF69" s="25">
        <f ca="1">SUMPRODUCT($I$5:$I67,$AF$5:$AF67)</f>
        <v>0</v>
      </c>
      <c r="AG69" s="25">
        <f ca="1">SUMPRODUCT($I$5:$I67,$AG$5:$AG67)</f>
        <v>0</v>
      </c>
      <c r="AH69" s="25">
        <f>SUMPRODUCT($I$5:$I67,$AH$5:$AH67)</f>
        <v>10970876.08653984</v>
      </c>
      <c r="AI69" s="25">
        <f>SUMPRODUCT($I$5:$I67,$AI$5:$AI67)</f>
        <v>887045.08263701596</v>
      </c>
      <c r="AJ69" s="25">
        <f ca="1">SUMPRODUCT($I$5:$I67,$AJ$5:$AJ67)</f>
        <v>20942119.220847331</v>
      </c>
      <c r="AK69" s="25">
        <f ca="1">SUMPRODUCT($I$5:$I67,$AK$5:$AK67)</f>
        <v>0</v>
      </c>
      <c r="AL69" s="25">
        <f ca="1">SUMPRODUCT($I$5:$I67,$AL$5:$AL67)</f>
        <v>32800040.390024193</v>
      </c>
      <c r="AM69" s="25">
        <f ca="1">SUMPRODUCT($I$5:$I67,$AM$5:$AM67)</f>
        <v>55310580.901129633</v>
      </c>
      <c r="AO69" s="22">
        <f ca="1">SUMPRODUCT($I$5:$I67,$AO$5:$AO67)</f>
        <v>526380095.32302409</v>
      </c>
      <c r="AP69" s="22">
        <f ca="1">SUMPRODUCT($I$5:$I67,$AP$5:$AP67)</f>
        <v>526380095.32302409</v>
      </c>
    </row>
    <row r="70" spans="1:42" ht="11.25" customHeight="1" x14ac:dyDescent="0.25">
      <c r="K70" s="27" t="s">
        <v>686</v>
      </c>
      <c r="L70" s="25">
        <f>'TR TUSD'!$L$72</f>
        <v>22372988.094348121</v>
      </c>
      <c r="M70" s="25">
        <f>'TR TUSD'!$M$72</f>
        <v>916742.14863132499</v>
      </c>
      <c r="N70" s="25">
        <f>'TR TUSD'!$N$72</f>
        <v>4108047.7492148024</v>
      </c>
      <c r="O70" s="25">
        <f>'TR TUSD'!$O$72</f>
        <v>0</v>
      </c>
      <c r="P70" s="25">
        <f>'TR TUSD'!$P$72</f>
        <v>0</v>
      </c>
      <c r="Q70" s="25">
        <f>'TR TUSD'!$Q$72</f>
        <v>36457203.136740267</v>
      </c>
      <c r="R70" s="25">
        <f>'TR TUSD'!$R$72</f>
        <v>14599119.686686665</v>
      </c>
      <c r="S70" s="25">
        <f>'TR TUSD'!$S$72</f>
        <v>0</v>
      </c>
      <c r="T70" s="25">
        <f>'TR TUSD'!$T$72</f>
        <v>78454100.815621182</v>
      </c>
      <c r="U70" s="25">
        <f>'TR TUSD'!$U$72</f>
        <v>42135694.28899999</v>
      </c>
      <c r="V70" s="25">
        <f>'TR TUSD'!$V$72</f>
        <v>5491404.4839999983</v>
      </c>
      <c r="W70" s="25">
        <f>'TR TUSD'!$W$72</f>
        <v>206080.596971719</v>
      </c>
      <c r="X70" s="25">
        <f>'TR TUSD'!$X$72</f>
        <v>0</v>
      </c>
      <c r="Y70" s="25">
        <f>'TR TUSD'!$Y$72</f>
        <v>0</v>
      </c>
      <c r="Z70" s="25">
        <f>'TR TUSD'!$Z$72</f>
        <v>0</v>
      </c>
      <c r="AA70" s="25">
        <f>'TR TUSD'!$AA$72</f>
        <v>129170.64000000001</v>
      </c>
      <c r="AB70" s="25">
        <f>'TR TUSD'!$AB$72</f>
        <v>47962350.009971708</v>
      </c>
      <c r="AC70" s="25">
        <f>'TR TUSD'!$AC$72</f>
        <v>276302163.34839129</v>
      </c>
      <c r="AD70" s="25">
        <f>'TR TUSD'!$AD$72</f>
        <v>276302163.34839129</v>
      </c>
      <c r="AE70" s="25">
        <f>'TR TUSD'!$AE$72</f>
        <v>0</v>
      </c>
      <c r="AF70" s="25">
        <f>'TR TUSD'!$AF$72</f>
        <v>0</v>
      </c>
      <c r="AG70" s="25">
        <f>'TR TUSD'!$AG$72</f>
        <v>0</v>
      </c>
      <c r="AH70" s="25">
        <f>'TR TUSD'!$AH$72</f>
        <v>36789079.232639797</v>
      </c>
      <c r="AI70" s="25">
        <f>'TR TUSD'!$AI$72</f>
        <v>2974563.8881196366</v>
      </c>
      <c r="AJ70" s="25">
        <f>'TR TUSD'!$AJ$72</f>
        <v>70226049.153940842</v>
      </c>
      <c r="AK70" s="25">
        <f>'TR TUSD'!$AK$72</f>
        <v>13671788.874339724</v>
      </c>
      <c r="AL70" s="25">
        <f>'TR TUSD'!$AL$72</f>
        <v>123661481.14904001</v>
      </c>
      <c r="AM70" s="25">
        <f>CUSTOS!$D$29</f>
        <v>526380095.32302415</v>
      </c>
      <c r="AO70" s="22">
        <f>$AE$72</f>
        <v>0</v>
      </c>
      <c r="AP70" s="22">
        <f>$AF$72</f>
        <v>0</v>
      </c>
    </row>
    <row r="71" spans="1:42" ht="11.25" customHeight="1" x14ac:dyDescent="0.25">
      <c r="K71" s="27" t="s">
        <v>687</v>
      </c>
      <c r="L71" s="25">
        <f>CUSTOS!$E$2</f>
        <v>-511218.24048191495</v>
      </c>
      <c r="M71" s="25">
        <f>CUSTOS!$E$3</f>
        <v>49080.99651351686</v>
      </c>
      <c r="N71" s="25">
        <f>CUSTOS!$E$4</f>
        <v>0</v>
      </c>
      <c r="O71" s="25">
        <f>CUSTOS!$E$5</f>
        <v>0</v>
      </c>
      <c r="P71" s="25">
        <f>CUSTOS!$E$6</f>
        <v>0</v>
      </c>
      <c r="Q71" s="25">
        <f>CUSTOS!$E$7</f>
        <v>2546557.2603031173</v>
      </c>
      <c r="R71" s="25">
        <f>CUSTOS!$E$8</f>
        <v>1040911.9664008766</v>
      </c>
      <c r="S71" s="25">
        <f>CUSTOS!$E$9</f>
        <v>0</v>
      </c>
      <c r="T71" s="25">
        <f>CUSTOS!$E$10</f>
        <v>3125331.9827355957</v>
      </c>
      <c r="U71" s="25">
        <f>CUSTOS!$E$11</f>
        <v>-6455532.2363079749</v>
      </c>
      <c r="V71" s="25">
        <f>CUSTOS!$E$12</f>
        <v>47045.350917512202</v>
      </c>
      <c r="W71" s="25">
        <f>CUSTOS!$E$13</f>
        <v>-3105.523480323669</v>
      </c>
      <c r="X71" s="25">
        <f>CUSTOS!$E$14</f>
        <v>0</v>
      </c>
      <c r="Y71" s="25">
        <f>CUSTOS!$E$15</f>
        <v>0</v>
      </c>
      <c r="Z71" s="25">
        <f>CUSTOS!$E$16</f>
        <v>0</v>
      </c>
      <c r="AA71" s="25">
        <f>CUSTOS!$E$17</f>
        <v>3001.4104081403348</v>
      </c>
      <c r="AB71" s="25">
        <f>CUSTOS!$E$18</f>
        <v>-6408590.9984626463</v>
      </c>
      <c r="AC71" s="25">
        <f>CUSTOS!$E$19</f>
        <v>942776.39571014885</v>
      </c>
      <c r="AD71" s="25">
        <f>CUSTOS!$E$20</f>
        <v>942776.39571014885</v>
      </c>
      <c r="AE71" s="25">
        <f>CUSTOS!$E$21</f>
        <v>-35005959.495061576</v>
      </c>
      <c r="AF71" s="25">
        <f>CUSTOS!$E$22</f>
        <v>0</v>
      </c>
      <c r="AG71" s="25">
        <f>CUSTOS!$E$23</f>
        <v>-35005959.495061576</v>
      </c>
      <c r="AH71" s="25">
        <f>CUSTOS!$E$24</f>
        <v>-16495155.646376276</v>
      </c>
      <c r="AI71" s="25">
        <f>CUSTOS!$E$25</f>
        <v>-1333708.1367095383</v>
      </c>
      <c r="AJ71" s="25">
        <f>CUSTOS!$E$26</f>
        <v>-31487322.743228253</v>
      </c>
      <c r="AK71" s="25">
        <f>CUSTOS!$E$27</f>
        <v>8831.0443689418025</v>
      </c>
      <c r="AL71" s="25">
        <f>CUSTOS!$E$28</f>
        <v>-49307355.48194512</v>
      </c>
      <c r="AM71" s="25">
        <f>CUSTOS!$E$29</f>
        <v>-86653797.597023606</v>
      </c>
      <c r="AO71" s="22">
        <f ca="1">IF(AO69&lt;&gt;0,AO70/AO69,0)</f>
        <v>0</v>
      </c>
      <c r="AP71" s="22">
        <f ca="1">IF(AP69&lt;&gt;0,AP70/AP69,0)</f>
        <v>0</v>
      </c>
    </row>
    <row r="72" spans="1:42" ht="11.25" customHeight="1" x14ac:dyDescent="0.25">
      <c r="K72" s="27" t="s">
        <v>688</v>
      </c>
      <c r="L72" s="25">
        <f>CUSTOS!$F$2</f>
        <v>989033.5690054592</v>
      </c>
      <c r="M72" s="25">
        <f>CUSTOS!$F$3</f>
        <v>0</v>
      </c>
      <c r="N72" s="25">
        <f>CUSTOS!$F$4</f>
        <v>0</v>
      </c>
      <c r="O72" s="25">
        <f>CUSTOS!$F$5</f>
        <v>0</v>
      </c>
      <c r="P72" s="25">
        <f>CUSTOS!$F$6</f>
        <v>0</v>
      </c>
      <c r="Q72" s="25">
        <f>CUSTOS!$F$7</f>
        <v>13742306.890799999</v>
      </c>
      <c r="R72" s="25">
        <f>CUSTOS!$F$8</f>
        <v>5428655.5210999995</v>
      </c>
      <c r="S72" s="25">
        <f>CUSTOS!$F$9</f>
        <v>0</v>
      </c>
      <c r="T72" s="25">
        <f>CUSTOS!$F$10</f>
        <v>20159995.980905458</v>
      </c>
      <c r="U72" s="25">
        <f>CUSTOS!$F$11</f>
        <v>2073902.0646832099</v>
      </c>
      <c r="V72" s="25">
        <f>CUSTOS!$F$12</f>
        <v>270113.23884159565</v>
      </c>
      <c r="W72" s="25">
        <f>CUSTOS!$F$13</f>
        <v>0</v>
      </c>
      <c r="X72" s="25">
        <f>CUSTOS!$F$14</f>
        <v>0</v>
      </c>
      <c r="Y72" s="25">
        <f>CUSTOS!$F$15</f>
        <v>0</v>
      </c>
      <c r="Z72" s="25">
        <f>CUSTOS!$F$16</f>
        <v>0</v>
      </c>
      <c r="AA72" s="25">
        <f>CUSTOS!$F$17</f>
        <v>6529.2266751943253</v>
      </c>
      <c r="AB72" s="25">
        <f>CUSTOS!$F$18</f>
        <v>2350544.5301999999</v>
      </c>
      <c r="AC72" s="25">
        <f>CUSTOS!$F$19</f>
        <v>0</v>
      </c>
      <c r="AD72" s="25">
        <f>CUSTOS!$F$20</f>
        <v>0</v>
      </c>
      <c r="AE72" s="25">
        <f>CUSTOS!$F$21</f>
        <v>0</v>
      </c>
      <c r="AF72" s="25">
        <f>CUSTOS!$F$22</f>
        <v>0</v>
      </c>
      <c r="AG72" s="25">
        <f>CUSTOS!$F$23</f>
        <v>0</v>
      </c>
      <c r="AH72" s="25">
        <f>CUSTOS!$F$24</f>
        <v>10970876.086539844</v>
      </c>
      <c r="AI72" s="25">
        <f>CUSTOS!$F$25</f>
        <v>887045.08263701608</v>
      </c>
      <c r="AJ72" s="25">
        <f>CUSTOS!$F$26</f>
        <v>20942119.220847331</v>
      </c>
      <c r="AK72" s="25">
        <f>CUSTOS!$F$27</f>
        <v>0</v>
      </c>
      <c r="AL72" s="25">
        <f>CUSTOS!$F$28</f>
        <v>32800040.390024193</v>
      </c>
      <c r="AM72" s="25">
        <f>CUSTOS!$F$29</f>
        <v>55310580.901129648</v>
      </c>
    </row>
    <row r="73" spans="1:42" ht="11.25" customHeight="1" x14ac:dyDescent="0.25">
      <c r="K73" s="27" t="s">
        <v>750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/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/>
      <c r="AC73" s="25">
        <v>0</v>
      </c>
      <c r="AD73" s="25"/>
      <c r="AE73" s="25">
        <v>0</v>
      </c>
      <c r="AF73" s="25">
        <v>0</v>
      </c>
      <c r="AG73" s="25"/>
      <c r="AH73" s="25">
        <v>0</v>
      </c>
      <c r="AI73" s="25">
        <v>0</v>
      </c>
      <c r="AJ73" s="25">
        <v>0</v>
      </c>
      <c r="AK73" s="25">
        <v>0</v>
      </c>
      <c r="AL73" s="25"/>
      <c r="AM73" s="25"/>
    </row>
  </sheetData>
  <mergeCells count="97">
    <mergeCell ref="E61:E63"/>
    <mergeCell ref="F61:F63"/>
    <mergeCell ref="A66:A67"/>
    <mergeCell ref="B66:B67"/>
    <mergeCell ref="C66:C67"/>
    <mergeCell ref="D61:D63"/>
    <mergeCell ref="B58:B60"/>
    <mergeCell ref="C58:C60"/>
    <mergeCell ref="A61:A65"/>
    <mergeCell ref="B61:B63"/>
    <mergeCell ref="C61:C63"/>
    <mergeCell ref="A46:A60"/>
    <mergeCell ref="B46:B48"/>
    <mergeCell ref="C46:C48"/>
    <mergeCell ref="B54:B56"/>
    <mergeCell ref="C54:C56"/>
    <mergeCell ref="B50:B52"/>
    <mergeCell ref="C50:C52"/>
    <mergeCell ref="D54:D56"/>
    <mergeCell ref="E54:E56"/>
    <mergeCell ref="F54:F56"/>
    <mergeCell ref="D46:D48"/>
    <mergeCell ref="E46:E48"/>
    <mergeCell ref="F46:F48"/>
    <mergeCell ref="D50:D52"/>
    <mergeCell ref="E50:E52"/>
    <mergeCell ref="F50:F52"/>
    <mergeCell ref="E33:E35"/>
    <mergeCell ref="F33:F35"/>
    <mergeCell ref="B36:B40"/>
    <mergeCell ref="C36:C40"/>
    <mergeCell ref="B41:B45"/>
    <mergeCell ref="C41:C45"/>
    <mergeCell ref="A31:A32"/>
    <mergeCell ref="B31:B32"/>
    <mergeCell ref="C31:C32"/>
    <mergeCell ref="D31:D32"/>
    <mergeCell ref="A33:A45"/>
    <mergeCell ref="B33:B35"/>
    <mergeCell ref="C33:C35"/>
    <mergeCell ref="D33:D35"/>
    <mergeCell ref="C26:C30"/>
    <mergeCell ref="D26:D30"/>
    <mergeCell ref="E26:E28"/>
    <mergeCell ref="F26:F28"/>
    <mergeCell ref="E29:E30"/>
    <mergeCell ref="F29:F30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A11:A20"/>
    <mergeCell ref="B11:B14"/>
    <mergeCell ref="C11:C14"/>
    <mergeCell ref="D11:D14"/>
    <mergeCell ref="E11:E13"/>
    <mergeCell ref="F11:F13"/>
    <mergeCell ref="B16:B20"/>
    <mergeCell ref="C16:C20"/>
    <mergeCell ref="D16:D20"/>
    <mergeCell ref="E16:E18"/>
    <mergeCell ref="A7:A10"/>
    <mergeCell ref="B7:B10"/>
    <mergeCell ref="C7:C10"/>
    <mergeCell ref="D7:D10"/>
    <mergeCell ref="E7:E9"/>
    <mergeCell ref="F7:F9"/>
    <mergeCell ref="AE3:AG3"/>
    <mergeCell ref="AH3:AL3"/>
    <mergeCell ref="AM3:AM4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AM1"/>
    <mergeCell ref="A1:A4"/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</mergeCells>
  <conditionalFormatting sqref="L69">
    <cfRule type="cellIs" dxfId="942" priority="55" operator="notEqual">
      <formula>$L$72</formula>
    </cfRule>
    <cfRule type="cellIs" dxfId="941" priority="56" operator="equal">
      <formula>$L$72</formula>
    </cfRule>
  </conditionalFormatting>
  <conditionalFormatting sqref="M69">
    <cfRule type="cellIs" dxfId="940" priority="53" operator="notEqual">
      <formula>$M$72</formula>
    </cfRule>
    <cfRule type="cellIs" dxfId="939" priority="54" operator="equal">
      <formula>$M$72</formula>
    </cfRule>
  </conditionalFormatting>
  <conditionalFormatting sqref="N69">
    <cfRule type="cellIs" dxfId="938" priority="51" operator="notEqual">
      <formula>$N$72</formula>
    </cfRule>
    <cfRule type="cellIs" dxfId="937" priority="52" operator="equal">
      <formula>$N$72</formula>
    </cfRule>
  </conditionalFormatting>
  <conditionalFormatting sqref="O69">
    <cfRule type="cellIs" dxfId="936" priority="49" operator="notEqual">
      <formula>$O$72</formula>
    </cfRule>
    <cfRule type="cellIs" dxfId="935" priority="50" operator="equal">
      <formula>$O$72</formula>
    </cfRule>
  </conditionalFormatting>
  <conditionalFormatting sqref="P69">
    <cfRule type="cellIs" dxfId="934" priority="47" operator="notEqual">
      <formula>$P$72</formula>
    </cfRule>
    <cfRule type="cellIs" dxfId="933" priority="48" operator="equal">
      <formula>$P$72</formula>
    </cfRule>
  </conditionalFormatting>
  <conditionalFormatting sqref="Q69">
    <cfRule type="cellIs" dxfId="932" priority="45" operator="notEqual">
      <formula>$Q$72</formula>
    </cfRule>
    <cfRule type="cellIs" dxfId="931" priority="46" operator="equal">
      <formula>$Q$72</formula>
    </cfRule>
  </conditionalFormatting>
  <conditionalFormatting sqref="R69">
    <cfRule type="cellIs" dxfId="930" priority="43" operator="notEqual">
      <formula>$R$72</formula>
    </cfRule>
    <cfRule type="cellIs" dxfId="929" priority="44" operator="equal">
      <formula>$R$72</formula>
    </cfRule>
  </conditionalFormatting>
  <conditionalFormatting sqref="S69">
    <cfRule type="cellIs" dxfId="928" priority="41" operator="notEqual">
      <formula>$S$72</formula>
    </cfRule>
    <cfRule type="cellIs" dxfId="927" priority="42" operator="equal">
      <formula>$S$72</formula>
    </cfRule>
  </conditionalFormatting>
  <conditionalFormatting sqref="T69">
    <cfRule type="cellIs" dxfId="926" priority="39" operator="notEqual">
      <formula>$T$72</formula>
    </cfRule>
    <cfRule type="cellIs" dxfId="925" priority="40" operator="equal">
      <formula>$T$72</formula>
    </cfRule>
  </conditionalFormatting>
  <conditionalFormatting sqref="U69">
    <cfRule type="cellIs" dxfId="924" priority="37" operator="notEqual">
      <formula>$U$72</formula>
    </cfRule>
    <cfRule type="cellIs" dxfId="923" priority="38" operator="equal">
      <formula>$U$72</formula>
    </cfRule>
  </conditionalFormatting>
  <conditionalFormatting sqref="V69">
    <cfRule type="cellIs" dxfId="922" priority="35" operator="notEqual">
      <formula>$V$72</formula>
    </cfRule>
    <cfRule type="cellIs" dxfId="921" priority="36" operator="equal">
      <formula>$V$72</formula>
    </cfRule>
  </conditionalFormatting>
  <conditionalFormatting sqref="W69">
    <cfRule type="cellIs" dxfId="920" priority="33" operator="notEqual">
      <formula>$W$72</formula>
    </cfRule>
    <cfRule type="cellIs" dxfId="919" priority="34" operator="equal">
      <formula>$W$72</formula>
    </cfRule>
  </conditionalFormatting>
  <conditionalFormatting sqref="X69">
    <cfRule type="cellIs" dxfId="918" priority="31" operator="notEqual">
      <formula>$X$72</formula>
    </cfRule>
    <cfRule type="cellIs" dxfId="917" priority="32" operator="equal">
      <formula>$X$72</formula>
    </cfRule>
  </conditionalFormatting>
  <conditionalFormatting sqref="Y69">
    <cfRule type="cellIs" dxfId="916" priority="29" operator="notEqual">
      <formula>$Y$72</formula>
    </cfRule>
    <cfRule type="cellIs" dxfId="915" priority="30" operator="equal">
      <formula>$Y$72</formula>
    </cfRule>
  </conditionalFormatting>
  <conditionalFormatting sqref="Z69">
    <cfRule type="cellIs" dxfId="914" priority="27" operator="notEqual">
      <formula>$Z$72</formula>
    </cfRule>
    <cfRule type="cellIs" dxfId="913" priority="28" operator="equal">
      <formula>$Z$72</formula>
    </cfRule>
  </conditionalFormatting>
  <conditionalFormatting sqref="AA69">
    <cfRule type="cellIs" dxfId="912" priority="25" operator="notEqual">
      <formula>$AA$72</formula>
    </cfRule>
    <cfRule type="cellIs" dxfId="911" priority="26" operator="equal">
      <formula>$AA$72</formula>
    </cfRule>
  </conditionalFormatting>
  <conditionalFormatting sqref="AB69">
    <cfRule type="cellIs" dxfId="910" priority="23" operator="notEqual">
      <formula>$AB$72</formula>
    </cfRule>
    <cfRule type="cellIs" dxfId="909" priority="24" operator="equal">
      <formula>$AB$72</formula>
    </cfRule>
  </conditionalFormatting>
  <conditionalFormatting sqref="AC69">
    <cfRule type="cellIs" dxfId="908" priority="21" operator="notEqual">
      <formula>$AC$72</formula>
    </cfRule>
    <cfRule type="cellIs" dxfId="907" priority="22" operator="equal">
      <formula>$AC$72</formula>
    </cfRule>
  </conditionalFormatting>
  <conditionalFormatting sqref="AD69">
    <cfRule type="cellIs" dxfId="906" priority="19" operator="notEqual">
      <formula>$AD$72</formula>
    </cfRule>
    <cfRule type="cellIs" dxfId="905" priority="20" operator="equal">
      <formula>$AD$72</formula>
    </cfRule>
  </conditionalFormatting>
  <conditionalFormatting sqref="AE69">
    <cfRule type="cellIs" dxfId="904" priority="17" operator="notEqual">
      <formula>$AE$72</formula>
    </cfRule>
    <cfRule type="cellIs" dxfId="903" priority="18" operator="equal">
      <formula>$AE$72</formula>
    </cfRule>
  </conditionalFormatting>
  <conditionalFormatting sqref="AF69">
    <cfRule type="cellIs" dxfId="902" priority="16" operator="equal">
      <formula>$AF$72</formula>
    </cfRule>
  </conditionalFormatting>
  <conditionalFormatting sqref="AF69">
    <cfRule type="cellIs" dxfId="901" priority="15" operator="notEqual">
      <formula>$AF$72</formula>
    </cfRule>
  </conditionalFormatting>
  <conditionalFormatting sqref="AG69">
    <cfRule type="cellIs" dxfId="900" priority="14" operator="equal">
      <formula>$AG$72</formula>
    </cfRule>
  </conditionalFormatting>
  <conditionalFormatting sqref="AG69">
    <cfRule type="cellIs" dxfId="899" priority="13" operator="notEqual">
      <formula>$AG$72</formula>
    </cfRule>
  </conditionalFormatting>
  <conditionalFormatting sqref="AH69">
    <cfRule type="cellIs" dxfId="898" priority="12" operator="equal">
      <formula>$AH$72</formula>
    </cfRule>
  </conditionalFormatting>
  <conditionalFormatting sqref="AH69">
    <cfRule type="cellIs" dxfId="897" priority="11" operator="notEqual">
      <formula>$AH$72</formula>
    </cfRule>
  </conditionalFormatting>
  <conditionalFormatting sqref="AI69">
    <cfRule type="cellIs" dxfId="896" priority="10" operator="equal">
      <formula>$AI$72</formula>
    </cfRule>
  </conditionalFormatting>
  <conditionalFormatting sqref="AI69">
    <cfRule type="cellIs" dxfId="895" priority="9" operator="notEqual">
      <formula>$AI$72</formula>
    </cfRule>
  </conditionalFormatting>
  <conditionalFormatting sqref="AJ69">
    <cfRule type="cellIs" dxfId="894" priority="8" operator="equal">
      <formula>$AJ$72</formula>
    </cfRule>
  </conditionalFormatting>
  <conditionalFormatting sqref="AJ69">
    <cfRule type="cellIs" dxfId="893" priority="7" operator="notEqual">
      <formula>$AJ$72</formula>
    </cfRule>
  </conditionalFormatting>
  <conditionalFormatting sqref="AK69">
    <cfRule type="cellIs" dxfId="892" priority="6" operator="equal">
      <formula>$AK$72</formula>
    </cfRule>
  </conditionalFormatting>
  <conditionalFormatting sqref="AK69">
    <cfRule type="cellIs" dxfId="891" priority="5" operator="notEqual">
      <formula>$AK$72</formula>
    </cfRule>
  </conditionalFormatting>
  <conditionalFormatting sqref="AL69">
    <cfRule type="cellIs" dxfId="890" priority="4" operator="equal">
      <formula>$AL$72</formula>
    </cfRule>
  </conditionalFormatting>
  <conditionalFormatting sqref="AL69">
    <cfRule type="cellIs" dxfId="889" priority="3" operator="notEqual">
      <formula>$AL$72</formula>
    </cfRule>
  </conditionalFormatting>
  <conditionalFormatting sqref="AM69">
    <cfRule type="cellIs" dxfId="888" priority="2" operator="equal">
      <formula>$AM$72</formula>
    </cfRule>
  </conditionalFormatting>
  <conditionalFormatting sqref="AM69">
    <cfRule type="cellIs" dxfId="887" priority="1" operator="notEqual">
      <formula>$AM$72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BC81-3526-48DB-8096-BB8D37D3DA23}">
  <sheetPr codeName="Planilha12"/>
  <dimension ref="A1:AB55"/>
  <sheetViews>
    <sheetView showGridLines="0" workbookViewId="0">
      <selection activeCell="K49" sqref="K49:AB5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57031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8" t="s">
        <v>67</v>
      </c>
      <c r="B1" s="128" t="s">
        <v>68</v>
      </c>
      <c r="C1" s="128" t="s">
        <v>69</v>
      </c>
      <c r="D1" s="128" t="s">
        <v>70</v>
      </c>
      <c r="E1" s="128" t="s">
        <v>71</v>
      </c>
      <c r="F1" s="128" t="s">
        <v>15</v>
      </c>
      <c r="G1" s="128" t="s">
        <v>73</v>
      </c>
      <c r="H1" s="128" t="s">
        <v>74</v>
      </c>
      <c r="I1" s="128" t="s">
        <v>744</v>
      </c>
      <c r="J1" s="107"/>
      <c r="L1" s="126" t="s">
        <v>765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</row>
    <row r="2" spans="1:28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672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</row>
    <row r="3" spans="1:28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645</v>
      </c>
      <c r="M3" s="126"/>
      <c r="N3" s="126"/>
      <c r="O3" s="126"/>
      <c r="P3" s="126"/>
      <c r="Q3" s="126"/>
      <c r="R3" s="126" t="s">
        <v>676</v>
      </c>
      <c r="S3" s="126"/>
      <c r="T3" s="126" t="s">
        <v>654</v>
      </c>
      <c r="U3" s="126"/>
      <c r="V3" s="126"/>
      <c r="W3" s="126"/>
      <c r="X3" s="126" t="s">
        <v>664</v>
      </c>
      <c r="Y3" s="126"/>
      <c r="Z3" s="126" t="s">
        <v>667</v>
      </c>
      <c r="AA3" s="126"/>
      <c r="AB3" s="126" t="s">
        <v>653</v>
      </c>
    </row>
    <row r="4" spans="1:28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4" t="s">
        <v>647</v>
      </c>
      <c r="M4" s="34" t="s">
        <v>673</v>
      </c>
      <c r="N4" s="34" t="s">
        <v>674</v>
      </c>
      <c r="O4" s="34" t="s">
        <v>733</v>
      </c>
      <c r="P4" s="34" t="s">
        <v>675</v>
      </c>
      <c r="Q4" s="34" t="s">
        <v>653</v>
      </c>
      <c r="R4" s="34" t="s">
        <v>677</v>
      </c>
      <c r="S4" s="34" t="s">
        <v>653</v>
      </c>
      <c r="T4" s="34" t="s">
        <v>678</v>
      </c>
      <c r="U4" s="34" t="s">
        <v>679</v>
      </c>
      <c r="V4" s="34" t="s">
        <v>680</v>
      </c>
      <c r="W4" s="34" t="s">
        <v>653</v>
      </c>
      <c r="X4" s="34" t="s">
        <v>665</v>
      </c>
      <c r="Y4" s="34" t="s">
        <v>653</v>
      </c>
      <c r="Z4" s="34" t="s">
        <v>681</v>
      </c>
      <c r="AA4" s="34" t="s">
        <v>653</v>
      </c>
      <c r="AB4" s="127"/>
    </row>
    <row r="5" spans="1:28" ht="11.25" customHeight="1" x14ac:dyDescent="0.25">
      <c r="A5" s="129" t="s">
        <v>39</v>
      </c>
      <c r="B5" s="129" t="s">
        <v>78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80</v>
      </c>
      <c r="H5" s="32" t="s">
        <v>79</v>
      </c>
      <c r="I5" s="32">
        <f>'MERCADO TE'!$U$2</f>
        <v>6416.6180000000004</v>
      </c>
      <c r="J5" s="17"/>
      <c r="L5" s="30">
        <v>1</v>
      </c>
      <c r="M5" s="30">
        <v>1</v>
      </c>
      <c r="N5" s="30">
        <v>1</v>
      </c>
      <c r="O5" s="30">
        <v>1</v>
      </c>
      <c r="P5" s="30">
        <v>1</v>
      </c>
      <c r="Q5" s="30"/>
      <c r="R5" s="30">
        <v>1.72</v>
      </c>
      <c r="S5" s="30"/>
      <c r="T5" s="30">
        <v>1</v>
      </c>
      <c r="U5" s="30">
        <v>1</v>
      </c>
      <c r="V5" s="30">
        <v>1</v>
      </c>
      <c r="W5" s="30"/>
      <c r="X5" s="30"/>
      <c r="Y5" s="30"/>
      <c r="Z5" s="30">
        <v>1</v>
      </c>
      <c r="AA5" s="30"/>
      <c r="AB5" s="30"/>
    </row>
    <row r="6" spans="1:28" ht="11.25" customHeight="1" x14ac:dyDescent="0.25">
      <c r="A6" s="129"/>
      <c r="B6" s="129"/>
      <c r="C6" s="129"/>
      <c r="D6" s="129"/>
      <c r="E6" s="129"/>
      <c r="F6" s="129"/>
      <c r="G6" s="32" t="s">
        <v>81</v>
      </c>
      <c r="H6" s="32" t="s">
        <v>79</v>
      </c>
      <c r="I6" s="32">
        <f>'MERCADO TE'!$U$3</f>
        <v>66718.100999999995</v>
      </c>
      <c r="J6" s="17"/>
      <c r="L6" s="30">
        <v>1</v>
      </c>
      <c r="M6" s="30">
        <v>1</v>
      </c>
      <c r="N6" s="30">
        <v>1</v>
      </c>
      <c r="O6" s="30">
        <v>1</v>
      </c>
      <c r="P6" s="30">
        <v>1</v>
      </c>
      <c r="Q6" s="30"/>
      <c r="R6" s="30">
        <v>1</v>
      </c>
      <c r="S6" s="30"/>
      <c r="T6" s="30">
        <v>1</v>
      </c>
      <c r="U6" s="30">
        <v>1</v>
      </c>
      <c r="V6" s="30">
        <v>1</v>
      </c>
      <c r="W6" s="30"/>
      <c r="X6" s="30"/>
      <c r="Y6" s="30"/>
      <c r="Z6" s="30">
        <v>1</v>
      </c>
      <c r="AA6" s="30"/>
      <c r="AB6" s="30"/>
    </row>
    <row r="7" spans="1:28" ht="11.25" customHeight="1" x14ac:dyDescent="0.25">
      <c r="A7" s="129" t="s">
        <v>42</v>
      </c>
      <c r="B7" s="129" t="s">
        <v>78</v>
      </c>
      <c r="C7" s="129" t="s">
        <v>25</v>
      </c>
      <c r="D7" s="129" t="s">
        <v>25</v>
      </c>
      <c r="E7" s="129" t="s">
        <v>25</v>
      </c>
      <c r="F7" s="129" t="s">
        <v>25</v>
      </c>
      <c r="G7" s="32" t="s">
        <v>80</v>
      </c>
      <c r="H7" s="32" t="s">
        <v>79</v>
      </c>
      <c r="I7" s="32">
        <f>'MERCADO TE'!$U$4</f>
        <v>30.865000000000002</v>
      </c>
      <c r="J7" s="17"/>
      <c r="L7" s="30">
        <v>1</v>
      </c>
      <c r="M7" s="30">
        <v>1</v>
      </c>
      <c r="N7" s="30">
        <v>1</v>
      </c>
      <c r="O7" s="30">
        <v>1</v>
      </c>
      <c r="P7" s="30">
        <v>1</v>
      </c>
      <c r="Q7" s="30"/>
      <c r="R7" s="30">
        <v>1.72</v>
      </c>
      <c r="S7" s="30"/>
      <c r="T7" s="30">
        <v>1</v>
      </c>
      <c r="U7" s="30">
        <v>1</v>
      </c>
      <c r="V7" s="30">
        <v>1</v>
      </c>
      <c r="W7" s="30"/>
      <c r="X7" s="30"/>
      <c r="Y7" s="30"/>
      <c r="Z7" s="30">
        <v>1</v>
      </c>
      <c r="AA7" s="30"/>
      <c r="AB7" s="30"/>
    </row>
    <row r="8" spans="1:28" ht="11.25" customHeight="1" x14ac:dyDescent="0.25">
      <c r="A8" s="129"/>
      <c r="B8" s="129"/>
      <c r="C8" s="129"/>
      <c r="D8" s="129"/>
      <c r="E8" s="129"/>
      <c r="F8" s="129"/>
      <c r="G8" s="32" t="s">
        <v>81</v>
      </c>
      <c r="H8" s="32" t="s">
        <v>79</v>
      </c>
      <c r="I8" s="32">
        <f>'MERCADO TE'!$U$5</f>
        <v>189.88</v>
      </c>
      <c r="J8" s="17"/>
      <c r="L8" s="30">
        <v>1</v>
      </c>
      <c r="M8" s="30">
        <v>1</v>
      </c>
      <c r="N8" s="30">
        <v>1</v>
      </c>
      <c r="O8" s="30">
        <v>1</v>
      </c>
      <c r="P8" s="30">
        <v>1</v>
      </c>
      <c r="Q8" s="30"/>
      <c r="R8" s="30">
        <v>1</v>
      </c>
      <c r="S8" s="30"/>
      <c r="T8" s="30">
        <v>1</v>
      </c>
      <c r="U8" s="30">
        <v>1</v>
      </c>
      <c r="V8" s="30">
        <v>1</v>
      </c>
      <c r="W8" s="30"/>
      <c r="X8" s="30"/>
      <c r="Y8" s="30"/>
      <c r="Z8" s="30">
        <v>1</v>
      </c>
      <c r="AA8" s="30"/>
      <c r="AB8" s="30"/>
    </row>
    <row r="9" spans="1:28" ht="11.25" customHeight="1" x14ac:dyDescent="0.25">
      <c r="A9" s="129"/>
      <c r="B9" s="33" t="s">
        <v>86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84</v>
      </c>
      <c r="H9" s="32" t="s">
        <v>79</v>
      </c>
      <c r="I9" s="32">
        <f>'MERCADO TE'!$U$6</f>
        <v>0</v>
      </c>
      <c r="J9" s="17"/>
      <c r="L9" s="30">
        <v>1</v>
      </c>
      <c r="M9" s="30">
        <v>1</v>
      </c>
      <c r="N9" s="30">
        <v>1</v>
      </c>
      <c r="O9" s="30">
        <v>1</v>
      </c>
      <c r="P9" s="30">
        <v>1</v>
      </c>
      <c r="Q9" s="30"/>
      <c r="R9" s="30">
        <v>1.06</v>
      </c>
      <c r="S9" s="30"/>
      <c r="T9" s="30">
        <v>1</v>
      </c>
      <c r="U9" s="30">
        <v>1</v>
      </c>
      <c r="V9" s="30">
        <v>1</v>
      </c>
      <c r="W9" s="30"/>
      <c r="X9" s="30"/>
      <c r="Y9" s="30"/>
      <c r="Z9" s="30">
        <v>1</v>
      </c>
      <c r="AA9" s="30"/>
      <c r="AB9" s="30"/>
    </row>
    <row r="10" spans="1:28" ht="11.25" customHeight="1" x14ac:dyDescent="0.25">
      <c r="A10" s="129" t="s">
        <v>41</v>
      </c>
      <c r="B10" s="129" t="s">
        <v>78</v>
      </c>
      <c r="C10" s="129" t="s">
        <v>25</v>
      </c>
      <c r="D10" s="129" t="s">
        <v>25</v>
      </c>
      <c r="E10" s="129" t="s">
        <v>25</v>
      </c>
      <c r="F10" s="129" t="s">
        <v>25</v>
      </c>
      <c r="G10" s="32" t="s">
        <v>80</v>
      </c>
      <c r="H10" s="32" t="s">
        <v>79</v>
      </c>
      <c r="I10" s="32">
        <f>'MERCADO TE'!$U$7</f>
        <v>17653.802</v>
      </c>
      <c r="J10" s="17"/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/>
      <c r="R10" s="30">
        <v>1.72</v>
      </c>
      <c r="S10" s="30"/>
      <c r="T10" s="30">
        <v>1</v>
      </c>
      <c r="U10" s="30">
        <v>1</v>
      </c>
      <c r="V10" s="30">
        <v>1</v>
      </c>
      <c r="W10" s="30"/>
      <c r="X10" s="30"/>
      <c r="Y10" s="30"/>
      <c r="Z10" s="30">
        <v>1</v>
      </c>
      <c r="AA10" s="30"/>
      <c r="AB10" s="30"/>
    </row>
    <row r="11" spans="1:28" ht="11.25" customHeight="1" x14ac:dyDescent="0.25">
      <c r="A11" s="129"/>
      <c r="B11" s="129"/>
      <c r="C11" s="129"/>
      <c r="D11" s="129"/>
      <c r="E11" s="129"/>
      <c r="F11" s="129"/>
      <c r="G11" s="32" t="s">
        <v>81</v>
      </c>
      <c r="H11" s="32" t="s">
        <v>79</v>
      </c>
      <c r="I11" s="32">
        <f>'MERCADO TE'!$U$8</f>
        <v>207546.47200000001</v>
      </c>
      <c r="J11" s="17"/>
      <c r="L11" s="30">
        <v>1</v>
      </c>
      <c r="M11" s="30">
        <v>1</v>
      </c>
      <c r="N11" s="30">
        <v>1</v>
      </c>
      <c r="O11" s="30">
        <v>1</v>
      </c>
      <c r="P11" s="30">
        <v>1</v>
      </c>
      <c r="Q11" s="30"/>
      <c r="R11" s="30">
        <v>1</v>
      </c>
      <c r="S11" s="30"/>
      <c r="T11" s="30">
        <v>1</v>
      </c>
      <c r="U11" s="30">
        <v>1</v>
      </c>
      <c r="V11" s="30">
        <v>1</v>
      </c>
      <c r="W11" s="30"/>
      <c r="X11" s="30"/>
      <c r="Y11" s="30"/>
      <c r="Z11" s="30">
        <v>1</v>
      </c>
      <c r="AA11" s="30"/>
      <c r="AB11" s="30"/>
    </row>
    <row r="12" spans="1:28" ht="11.25" customHeight="1" x14ac:dyDescent="0.25">
      <c r="A12" s="129"/>
      <c r="B12" s="33" t="s">
        <v>86</v>
      </c>
      <c r="C12" s="33" t="s">
        <v>25</v>
      </c>
      <c r="D12" s="33" t="s">
        <v>25</v>
      </c>
      <c r="E12" s="33" t="s">
        <v>25</v>
      </c>
      <c r="F12" s="33" t="s">
        <v>25</v>
      </c>
      <c r="G12" s="32" t="s">
        <v>84</v>
      </c>
      <c r="H12" s="32" t="s">
        <v>79</v>
      </c>
      <c r="I12" s="32">
        <f>'MERCADO TE'!$U$9</f>
        <v>0</v>
      </c>
      <c r="J12" s="17"/>
      <c r="L12" s="30">
        <v>1</v>
      </c>
      <c r="M12" s="30">
        <v>1</v>
      </c>
      <c r="N12" s="30">
        <v>1</v>
      </c>
      <c r="O12" s="30">
        <v>1</v>
      </c>
      <c r="P12" s="30">
        <v>1</v>
      </c>
      <c r="Q12" s="30"/>
      <c r="R12" s="30">
        <v>1.06</v>
      </c>
      <c r="S12" s="30"/>
      <c r="T12" s="30">
        <v>1</v>
      </c>
      <c r="U12" s="30">
        <v>1</v>
      </c>
      <c r="V12" s="30">
        <v>1</v>
      </c>
      <c r="W12" s="30"/>
      <c r="X12" s="30"/>
      <c r="Y12" s="30"/>
      <c r="Z12" s="30">
        <v>1</v>
      </c>
      <c r="AA12" s="30"/>
      <c r="AB12" s="30"/>
    </row>
    <row r="13" spans="1:28" ht="11.25" customHeight="1" x14ac:dyDescent="0.25">
      <c r="A13" s="129" t="s">
        <v>22</v>
      </c>
      <c r="B13" s="129" t="s">
        <v>78</v>
      </c>
      <c r="C13" s="129" t="s">
        <v>24</v>
      </c>
      <c r="D13" s="129" t="s">
        <v>24</v>
      </c>
      <c r="E13" s="129" t="s">
        <v>25</v>
      </c>
      <c r="F13" s="129" t="s">
        <v>25</v>
      </c>
      <c r="G13" s="32" t="s">
        <v>80</v>
      </c>
      <c r="H13" s="32" t="s">
        <v>79</v>
      </c>
      <c r="I13" s="32">
        <f>'MERCADO TE'!$U$10</f>
        <v>14.996999999999998</v>
      </c>
      <c r="J13" s="17"/>
      <c r="L13" s="30">
        <v>1</v>
      </c>
      <c r="M13" s="30">
        <v>1</v>
      </c>
      <c r="N13" s="30">
        <v>1</v>
      </c>
      <c r="O13" s="30">
        <v>1</v>
      </c>
      <c r="P13" s="30">
        <v>1</v>
      </c>
      <c r="Q13" s="30"/>
      <c r="R13" s="30">
        <v>1.72</v>
      </c>
      <c r="S13" s="30"/>
      <c r="T13" s="30">
        <v>1</v>
      </c>
      <c r="U13" s="30">
        <v>1</v>
      </c>
      <c r="V13" s="30">
        <v>1</v>
      </c>
      <c r="W13" s="30"/>
      <c r="X13" s="30"/>
      <c r="Y13" s="30"/>
      <c r="Z13" s="30">
        <v>1</v>
      </c>
      <c r="AA13" s="30"/>
      <c r="AB13" s="30"/>
    </row>
    <row r="14" spans="1:28" ht="11.25" customHeight="1" x14ac:dyDescent="0.25">
      <c r="A14" s="129"/>
      <c r="B14" s="129"/>
      <c r="C14" s="129"/>
      <c r="D14" s="129"/>
      <c r="E14" s="129"/>
      <c r="F14" s="129"/>
      <c r="G14" s="32" t="s">
        <v>90</v>
      </c>
      <c r="H14" s="32" t="s">
        <v>79</v>
      </c>
      <c r="I14" s="32">
        <f>'MERCADO TE'!$U$11</f>
        <v>13.277000000000001</v>
      </c>
      <c r="J14" s="17"/>
      <c r="L14" s="30">
        <v>1</v>
      </c>
      <c r="M14" s="30">
        <v>1</v>
      </c>
      <c r="N14" s="30">
        <v>1</v>
      </c>
      <c r="O14" s="30">
        <v>1</v>
      </c>
      <c r="P14" s="30">
        <v>1</v>
      </c>
      <c r="Q14" s="30"/>
      <c r="R14" s="30">
        <v>1</v>
      </c>
      <c r="S14" s="30"/>
      <c r="T14" s="30">
        <v>1</v>
      </c>
      <c r="U14" s="30">
        <v>1</v>
      </c>
      <c r="V14" s="30">
        <v>1</v>
      </c>
      <c r="W14" s="30"/>
      <c r="X14" s="30"/>
      <c r="Y14" s="30"/>
      <c r="Z14" s="30">
        <v>1</v>
      </c>
      <c r="AA14" s="30"/>
      <c r="AB14" s="30"/>
    </row>
    <row r="15" spans="1:28" ht="11.25" customHeight="1" x14ac:dyDescent="0.25">
      <c r="A15" s="129"/>
      <c r="B15" s="129"/>
      <c r="C15" s="129"/>
      <c r="D15" s="129"/>
      <c r="E15" s="129"/>
      <c r="F15" s="129"/>
      <c r="G15" s="32" t="s">
        <v>81</v>
      </c>
      <c r="H15" s="32" t="s">
        <v>79</v>
      </c>
      <c r="I15" s="32">
        <f>'MERCADO TE'!$U$12</f>
        <v>196.47399999999999</v>
      </c>
      <c r="J15" s="17"/>
      <c r="L15" s="30">
        <v>1</v>
      </c>
      <c r="M15" s="30">
        <v>1</v>
      </c>
      <c r="N15" s="30">
        <v>1</v>
      </c>
      <c r="O15" s="30">
        <v>1</v>
      </c>
      <c r="P15" s="30">
        <v>1</v>
      </c>
      <c r="Q15" s="30"/>
      <c r="R15" s="30">
        <v>1</v>
      </c>
      <c r="S15" s="30"/>
      <c r="T15" s="30">
        <v>1</v>
      </c>
      <c r="U15" s="30">
        <v>1</v>
      </c>
      <c r="V15" s="30">
        <v>1</v>
      </c>
      <c r="W15" s="30"/>
      <c r="X15" s="30"/>
      <c r="Y15" s="30"/>
      <c r="Z15" s="30">
        <v>1</v>
      </c>
      <c r="AA15" s="30"/>
      <c r="AB15" s="30"/>
    </row>
    <row r="16" spans="1:28" ht="11.25" customHeight="1" x14ac:dyDescent="0.25">
      <c r="A16" s="129"/>
      <c r="B16" s="129" t="s">
        <v>86</v>
      </c>
      <c r="C16" s="129" t="s">
        <v>24</v>
      </c>
      <c r="D16" s="33" t="s">
        <v>24</v>
      </c>
      <c r="E16" s="33" t="s">
        <v>25</v>
      </c>
      <c r="F16" s="33" t="s">
        <v>25</v>
      </c>
      <c r="G16" s="32" t="s">
        <v>84</v>
      </c>
      <c r="H16" s="32" t="s">
        <v>79</v>
      </c>
      <c r="I16" s="32">
        <f>'MERCADO TE'!$U$13</f>
        <v>451723.65600000008</v>
      </c>
      <c r="J16" s="17"/>
      <c r="L16" s="30">
        <v>1</v>
      </c>
      <c r="M16" s="30">
        <v>1</v>
      </c>
      <c r="N16" s="30">
        <v>1</v>
      </c>
      <c r="O16" s="30">
        <v>1</v>
      </c>
      <c r="P16" s="30">
        <v>1</v>
      </c>
      <c r="Q16" s="30"/>
      <c r="R16" s="30">
        <v>1.06</v>
      </c>
      <c r="S16" s="30"/>
      <c r="T16" s="30">
        <v>1</v>
      </c>
      <c r="U16" s="30">
        <v>1</v>
      </c>
      <c r="V16" s="30">
        <v>1</v>
      </c>
      <c r="W16" s="30"/>
      <c r="X16" s="30"/>
      <c r="Y16" s="30"/>
      <c r="Z16" s="30">
        <v>1</v>
      </c>
      <c r="AA16" s="30"/>
      <c r="AB16" s="30"/>
    </row>
    <row r="17" spans="1:28" ht="11.25" customHeight="1" x14ac:dyDescent="0.25">
      <c r="A17" s="129"/>
      <c r="B17" s="129"/>
      <c r="C17" s="129"/>
      <c r="D17" s="33" t="s">
        <v>29</v>
      </c>
      <c r="E17" s="33" t="s">
        <v>25</v>
      </c>
      <c r="F17" s="33" t="s">
        <v>25</v>
      </c>
      <c r="G17" s="32" t="s">
        <v>84</v>
      </c>
      <c r="H17" s="32" t="s">
        <v>79</v>
      </c>
      <c r="I17" s="32">
        <f>'MERCADO TE'!$U$14</f>
        <v>15278.746999999999</v>
      </c>
      <c r="J17" s="17"/>
      <c r="L17" s="30">
        <f>1 - CUSTOS!$M$24</f>
        <v>1</v>
      </c>
      <c r="M17" s="30">
        <f>1 - CUSTOS!$M$24</f>
        <v>1</v>
      </c>
      <c r="N17" s="30">
        <f>1 - CUSTOS!$M$24</f>
        <v>1</v>
      </c>
      <c r="O17" s="30">
        <f>1 - CUSTOS!$M$24</f>
        <v>1</v>
      </c>
      <c r="P17" s="30">
        <f>1 - CUSTOS!$M$24</f>
        <v>1</v>
      </c>
      <c r="Q17" s="30"/>
      <c r="R17" s="30">
        <f>(1 - CUSTOS!$M$24)*1.06</f>
        <v>1.06</v>
      </c>
      <c r="S17" s="30"/>
      <c r="T17" s="30">
        <f>1 - CUSTOS!$M$24</f>
        <v>1</v>
      </c>
      <c r="U17" s="30">
        <f>1 - CUSTOS!$M$24</f>
        <v>1</v>
      </c>
      <c r="V17" s="30">
        <f>1 - CUSTOS!$M$24</f>
        <v>1</v>
      </c>
      <c r="W17" s="30"/>
      <c r="X17" s="30"/>
      <c r="Y17" s="30"/>
      <c r="Z17" s="30">
        <f>1 - CUSTOS!$M$24</f>
        <v>1</v>
      </c>
      <c r="AA17" s="30"/>
      <c r="AB17" s="30"/>
    </row>
    <row r="18" spans="1:28" ht="11.25" customHeight="1" x14ac:dyDescent="0.25">
      <c r="A18" s="129"/>
      <c r="B18" s="129"/>
      <c r="C18" s="129"/>
      <c r="D18" s="33" t="s">
        <v>30</v>
      </c>
      <c r="E18" s="33" t="s">
        <v>25</v>
      </c>
      <c r="F18" s="33" t="s">
        <v>25</v>
      </c>
      <c r="G18" s="32" t="s">
        <v>84</v>
      </c>
      <c r="H18" s="32" t="s">
        <v>79</v>
      </c>
      <c r="I18" s="32">
        <f>'MERCADO TE'!$U$15</f>
        <v>21966.755000000005</v>
      </c>
      <c r="J18" s="17"/>
      <c r="L18" s="30">
        <f>1 - CUSTOS!$M$25</f>
        <v>1</v>
      </c>
      <c r="M18" s="30">
        <f>1 - CUSTOS!$M$25</f>
        <v>1</v>
      </c>
      <c r="N18" s="30">
        <f>1 - CUSTOS!$M$25</f>
        <v>1</v>
      </c>
      <c r="O18" s="30">
        <f>1 - CUSTOS!$M$25</f>
        <v>1</v>
      </c>
      <c r="P18" s="30">
        <f>1 - CUSTOS!$M$25</f>
        <v>1</v>
      </c>
      <c r="Q18" s="30"/>
      <c r="R18" s="30">
        <f>(1 - CUSTOS!$M$25)*1.06</f>
        <v>1.06</v>
      </c>
      <c r="S18" s="30"/>
      <c r="T18" s="30">
        <f>1 - CUSTOS!$M$25</f>
        <v>1</v>
      </c>
      <c r="U18" s="30">
        <f>1 - CUSTOS!$M$25</f>
        <v>1</v>
      </c>
      <c r="V18" s="30">
        <f>1 - CUSTOS!$M$25</f>
        <v>1</v>
      </c>
      <c r="W18" s="30"/>
      <c r="X18" s="30"/>
      <c r="Y18" s="30"/>
      <c r="Z18" s="30">
        <f>1 - CUSTOS!$M$25</f>
        <v>1</v>
      </c>
      <c r="AA18" s="30"/>
      <c r="AB18" s="30"/>
    </row>
    <row r="19" spans="1:28" ht="11.25" customHeight="1" x14ac:dyDescent="0.25">
      <c r="A19" s="129"/>
      <c r="B19" s="129"/>
      <c r="C19" s="129"/>
      <c r="D19" s="33" t="s">
        <v>31</v>
      </c>
      <c r="E19" s="33" t="s">
        <v>25</v>
      </c>
      <c r="F19" s="33" t="s">
        <v>25</v>
      </c>
      <c r="G19" s="32" t="s">
        <v>84</v>
      </c>
      <c r="H19" s="32" t="s">
        <v>79</v>
      </c>
      <c r="I19" s="32">
        <f>'MERCADO TE'!$U$16</f>
        <v>24083.450999999997</v>
      </c>
      <c r="J19" s="17"/>
      <c r="L19" s="30">
        <f>1 - CUSTOS!$M$26</f>
        <v>1</v>
      </c>
      <c r="M19" s="30">
        <f>1 - CUSTOS!$M$26</f>
        <v>1</v>
      </c>
      <c r="N19" s="30">
        <f>1 - CUSTOS!$M$26</f>
        <v>1</v>
      </c>
      <c r="O19" s="30">
        <f>1 - CUSTOS!$M$26</f>
        <v>1</v>
      </c>
      <c r="P19" s="30">
        <f>1 - CUSTOS!$M$26</f>
        <v>1</v>
      </c>
      <c r="Q19" s="30"/>
      <c r="R19" s="30">
        <f>(1 - CUSTOS!$M$26)*1.06</f>
        <v>1.06</v>
      </c>
      <c r="S19" s="30"/>
      <c r="T19" s="30">
        <f>1 - CUSTOS!$M$26</f>
        <v>1</v>
      </c>
      <c r="U19" s="30">
        <f>1 - CUSTOS!$M$26</f>
        <v>1</v>
      </c>
      <c r="V19" s="30">
        <f>1 - CUSTOS!$M$26</f>
        <v>1</v>
      </c>
      <c r="W19" s="30"/>
      <c r="X19" s="30"/>
      <c r="Y19" s="30"/>
      <c r="Z19" s="30">
        <f>1 - CUSTOS!$M$26</f>
        <v>1</v>
      </c>
      <c r="AA19" s="30"/>
      <c r="AB19" s="30"/>
    </row>
    <row r="20" spans="1:28" ht="11.25" customHeight="1" x14ac:dyDescent="0.25">
      <c r="A20" s="129"/>
      <c r="B20" s="129"/>
      <c r="C20" s="129"/>
      <c r="D20" s="33" t="s">
        <v>32</v>
      </c>
      <c r="E20" s="33" t="s">
        <v>25</v>
      </c>
      <c r="F20" s="33" t="s">
        <v>25</v>
      </c>
      <c r="G20" s="32" t="s">
        <v>84</v>
      </c>
      <c r="H20" s="32" t="s">
        <v>79</v>
      </c>
      <c r="I20" s="32">
        <f>'MERCADO TE'!$U$17</f>
        <v>30371.136999999999</v>
      </c>
      <c r="J20" s="17"/>
      <c r="L20" s="30">
        <f>1 - CUSTOS!$M$27</f>
        <v>1</v>
      </c>
      <c r="M20" s="30">
        <f>1 - CUSTOS!$M$27</f>
        <v>1</v>
      </c>
      <c r="N20" s="30">
        <f>1 - CUSTOS!$M$27</f>
        <v>1</v>
      </c>
      <c r="O20" s="30">
        <f>1 - CUSTOS!$M$27</f>
        <v>1</v>
      </c>
      <c r="P20" s="30">
        <f>1 - CUSTOS!$M$27</f>
        <v>1</v>
      </c>
      <c r="Q20" s="30"/>
      <c r="R20" s="30">
        <f>(1 - CUSTOS!$M$27)*1.06</f>
        <v>1.06</v>
      </c>
      <c r="S20" s="30"/>
      <c r="T20" s="30">
        <f>1 - CUSTOS!$M$27</f>
        <v>1</v>
      </c>
      <c r="U20" s="30">
        <f>1 - CUSTOS!$M$27</f>
        <v>1</v>
      </c>
      <c r="V20" s="30">
        <f>1 - CUSTOS!$M$27</f>
        <v>1</v>
      </c>
      <c r="W20" s="30"/>
      <c r="X20" s="30"/>
      <c r="Y20" s="30"/>
      <c r="Z20" s="30">
        <f>1 - CUSTOS!$M$27</f>
        <v>1</v>
      </c>
      <c r="AA20" s="30"/>
      <c r="AB20" s="30"/>
    </row>
    <row r="21" spans="1:28" ht="11.25" customHeight="1" x14ac:dyDescent="0.25">
      <c r="A21" s="129"/>
      <c r="B21" s="129" t="s">
        <v>91</v>
      </c>
      <c r="C21" s="129" t="s">
        <v>24</v>
      </c>
      <c r="D21" s="33" t="s">
        <v>24</v>
      </c>
      <c r="E21" s="33" t="s">
        <v>25</v>
      </c>
      <c r="F21" s="33" t="s">
        <v>25</v>
      </c>
      <c r="G21" s="32" t="s">
        <v>84</v>
      </c>
      <c r="H21" s="32" t="s">
        <v>79</v>
      </c>
      <c r="I21" s="32">
        <f>'MERCADO TE'!$U$18</f>
        <v>0</v>
      </c>
      <c r="J21" s="17"/>
      <c r="L21" s="30">
        <v>1</v>
      </c>
      <c r="M21" s="30">
        <v>1</v>
      </c>
      <c r="N21" s="30">
        <v>1</v>
      </c>
      <c r="O21" s="30">
        <v>1</v>
      </c>
      <c r="P21" s="30">
        <v>1</v>
      </c>
      <c r="Q21" s="30"/>
      <c r="R21" s="30">
        <v>1.06</v>
      </c>
      <c r="S21" s="30"/>
      <c r="T21" s="30">
        <v>1</v>
      </c>
      <c r="U21" s="30">
        <v>1</v>
      </c>
      <c r="V21" s="30">
        <v>1</v>
      </c>
      <c r="W21" s="30"/>
      <c r="X21" s="30"/>
      <c r="Y21" s="30"/>
      <c r="Z21" s="30">
        <v>1</v>
      </c>
      <c r="AA21" s="30"/>
      <c r="AB21" s="30"/>
    </row>
    <row r="22" spans="1:28" ht="11.25" customHeight="1" x14ac:dyDescent="0.25">
      <c r="A22" s="129"/>
      <c r="B22" s="129"/>
      <c r="C22" s="129"/>
      <c r="D22" s="33" t="s">
        <v>29</v>
      </c>
      <c r="E22" s="33" t="s">
        <v>25</v>
      </c>
      <c r="F22" s="33" t="s">
        <v>25</v>
      </c>
      <c r="G22" s="32" t="s">
        <v>84</v>
      </c>
      <c r="H22" s="32" t="s">
        <v>79</v>
      </c>
      <c r="I22" s="32">
        <f>'MERCADO TE'!$U$19</f>
        <v>0</v>
      </c>
      <c r="J22" s="17"/>
      <c r="L22" s="30">
        <f>1 - CUSTOS!$M$24</f>
        <v>1</v>
      </c>
      <c r="M22" s="30">
        <f>1 - CUSTOS!$M$24</f>
        <v>1</v>
      </c>
      <c r="N22" s="30">
        <f>1 - CUSTOS!$M$24</f>
        <v>1</v>
      </c>
      <c r="O22" s="30">
        <f>1 - CUSTOS!$M$24</f>
        <v>1</v>
      </c>
      <c r="P22" s="30">
        <f>1 - CUSTOS!$M$24</f>
        <v>1</v>
      </c>
      <c r="Q22" s="30"/>
      <c r="R22" s="30">
        <f>(1 - CUSTOS!$M$24)*1.06</f>
        <v>1.06</v>
      </c>
      <c r="S22" s="30"/>
      <c r="T22" s="30">
        <f>1 - CUSTOS!$M$24</f>
        <v>1</v>
      </c>
      <c r="U22" s="30">
        <f>1 - CUSTOS!$M$24</f>
        <v>1</v>
      </c>
      <c r="V22" s="30">
        <f>1 - CUSTOS!$M$24</f>
        <v>1</v>
      </c>
      <c r="W22" s="30"/>
      <c r="X22" s="30"/>
      <c r="Y22" s="30"/>
      <c r="Z22" s="30">
        <f>1 - CUSTOS!$M$24</f>
        <v>1</v>
      </c>
      <c r="AA22" s="30"/>
      <c r="AB22" s="30"/>
    </row>
    <row r="23" spans="1:28" ht="11.25" customHeight="1" x14ac:dyDescent="0.25">
      <c r="A23" s="129"/>
      <c r="B23" s="129"/>
      <c r="C23" s="129"/>
      <c r="D23" s="33" t="s">
        <v>30</v>
      </c>
      <c r="E23" s="33" t="s">
        <v>25</v>
      </c>
      <c r="F23" s="33" t="s">
        <v>25</v>
      </c>
      <c r="G23" s="32" t="s">
        <v>84</v>
      </c>
      <c r="H23" s="32" t="s">
        <v>79</v>
      </c>
      <c r="I23" s="32">
        <f>'MERCADO TE'!$U$20</f>
        <v>0</v>
      </c>
      <c r="J23" s="17"/>
      <c r="L23" s="30">
        <f>1 - CUSTOS!$M$25</f>
        <v>1</v>
      </c>
      <c r="M23" s="30">
        <f>1 - CUSTOS!$M$25</f>
        <v>1</v>
      </c>
      <c r="N23" s="30">
        <f>1 - CUSTOS!$M$25</f>
        <v>1</v>
      </c>
      <c r="O23" s="30">
        <f>1 - CUSTOS!$M$25</f>
        <v>1</v>
      </c>
      <c r="P23" s="30">
        <f>1 - CUSTOS!$M$25</f>
        <v>1</v>
      </c>
      <c r="Q23" s="30"/>
      <c r="R23" s="30">
        <f>(1 - CUSTOS!$M$25)*1.06</f>
        <v>1.06</v>
      </c>
      <c r="S23" s="30"/>
      <c r="T23" s="30">
        <f>1 - CUSTOS!$M$25</f>
        <v>1</v>
      </c>
      <c r="U23" s="30">
        <f>1 - CUSTOS!$M$25</f>
        <v>1</v>
      </c>
      <c r="V23" s="30">
        <f>1 - CUSTOS!$M$25</f>
        <v>1</v>
      </c>
      <c r="W23" s="30"/>
      <c r="X23" s="30"/>
      <c r="Y23" s="30"/>
      <c r="Z23" s="30">
        <f>1 - CUSTOS!$M$25</f>
        <v>1</v>
      </c>
      <c r="AA23" s="30"/>
      <c r="AB23" s="30"/>
    </row>
    <row r="24" spans="1:28" ht="11.25" customHeight="1" x14ac:dyDescent="0.25">
      <c r="A24" s="129"/>
      <c r="B24" s="129"/>
      <c r="C24" s="129"/>
      <c r="D24" s="33" t="s">
        <v>31</v>
      </c>
      <c r="E24" s="33" t="s">
        <v>25</v>
      </c>
      <c r="F24" s="33" t="s">
        <v>25</v>
      </c>
      <c r="G24" s="32" t="s">
        <v>84</v>
      </c>
      <c r="H24" s="32" t="s">
        <v>79</v>
      </c>
      <c r="I24" s="32">
        <f>'MERCADO TE'!$U$21</f>
        <v>0</v>
      </c>
      <c r="J24" s="17"/>
      <c r="L24" s="30">
        <f>1 - CUSTOS!$M$26</f>
        <v>1</v>
      </c>
      <c r="M24" s="30">
        <f>1 - CUSTOS!$M$26</f>
        <v>1</v>
      </c>
      <c r="N24" s="30">
        <f>1 - CUSTOS!$M$26</f>
        <v>1</v>
      </c>
      <c r="O24" s="30">
        <f>1 - CUSTOS!$M$26</f>
        <v>1</v>
      </c>
      <c r="P24" s="30">
        <f>1 - CUSTOS!$M$26</f>
        <v>1</v>
      </c>
      <c r="Q24" s="30"/>
      <c r="R24" s="30">
        <f>(1 - CUSTOS!$M$26)*1.06</f>
        <v>1.06</v>
      </c>
      <c r="S24" s="30"/>
      <c r="T24" s="30">
        <f>1 - CUSTOS!$M$26</f>
        <v>1</v>
      </c>
      <c r="U24" s="30">
        <f>1 - CUSTOS!$M$26</f>
        <v>1</v>
      </c>
      <c r="V24" s="30">
        <f>1 - CUSTOS!$M$26</f>
        <v>1</v>
      </c>
      <c r="W24" s="30"/>
      <c r="X24" s="30"/>
      <c r="Y24" s="30"/>
      <c r="Z24" s="30">
        <f>1 - CUSTOS!$M$26</f>
        <v>1</v>
      </c>
      <c r="AA24" s="30"/>
      <c r="AB24" s="30"/>
    </row>
    <row r="25" spans="1:28" ht="11.25" customHeight="1" x14ac:dyDescent="0.25">
      <c r="A25" s="129"/>
      <c r="B25" s="129"/>
      <c r="C25" s="129"/>
      <c r="D25" s="33" t="s">
        <v>32</v>
      </c>
      <c r="E25" s="33" t="s">
        <v>25</v>
      </c>
      <c r="F25" s="33" t="s">
        <v>25</v>
      </c>
      <c r="G25" s="32" t="s">
        <v>84</v>
      </c>
      <c r="H25" s="32" t="s">
        <v>79</v>
      </c>
      <c r="I25" s="32">
        <f>'MERCADO TE'!$U$22</f>
        <v>0</v>
      </c>
      <c r="J25" s="17"/>
      <c r="L25" s="30">
        <f>1 - CUSTOS!$M$27</f>
        <v>1</v>
      </c>
      <c r="M25" s="30">
        <f>1 - CUSTOS!$M$27</f>
        <v>1</v>
      </c>
      <c r="N25" s="30">
        <f>1 - CUSTOS!$M$27</f>
        <v>1</v>
      </c>
      <c r="O25" s="30">
        <f>1 - CUSTOS!$M$27</f>
        <v>1</v>
      </c>
      <c r="P25" s="30">
        <f>1 - CUSTOS!$M$27</f>
        <v>1</v>
      </c>
      <c r="Q25" s="30"/>
      <c r="R25" s="30">
        <f>(1 - CUSTOS!$M$27)*1.06</f>
        <v>1.06</v>
      </c>
      <c r="S25" s="30"/>
      <c r="T25" s="30">
        <f>1 - CUSTOS!$M$27</f>
        <v>1</v>
      </c>
      <c r="U25" s="30">
        <f>1 - CUSTOS!$M$27</f>
        <v>1</v>
      </c>
      <c r="V25" s="30">
        <f>1 - CUSTOS!$M$27</f>
        <v>1</v>
      </c>
      <c r="W25" s="30"/>
      <c r="X25" s="30"/>
      <c r="Y25" s="30"/>
      <c r="Z25" s="30">
        <f>1 - CUSTOS!$M$27</f>
        <v>1</v>
      </c>
      <c r="AA25" s="30"/>
      <c r="AB25" s="30"/>
    </row>
    <row r="26" spans="1:28" ht="11.25" customHeight="1" x14ac:dyDescent="0.25">
      <c r="A26" s="129" t="s">
        <v>45</v>
      </c>
      <c r="B26" s="129" t="s">
        <v>78</v>
      </c>
      <c r="C26" s="129" t="s">
        <v>46</v>
      </c>
      <c r="D26" s="129" t="s">
        <v>25</v>
      </c>
      <c r="E26" s="129" t="s">
        <v>25</v>
      </c>
      <c r="F26" s="129" t="s">
        <v>25</v>
      </c>
      <c r="G26" s="32" t="s">
        <v>80</v>
      </c>
      <c r="H26" s="32" t="s">
        <v>79</v>
      </c>
      <c r="I26" s="32">
        <f>'MERCADO TE'!$U$23</f>
        <v>0</v>
      </c>
      <c r="J26" s="17"/>
      <c r="L26" s="30">
        <f>1 - CUSTOS!$M$28</f>
        <v>1</v>
      </c>
      <c r="M26" s="30">
        <f>1 - CUSTOS!$M$28</f>
        <v>1</v>
      </c>
      <c r="N26" s="30">
        <f>1 - CUSTOS!$M$28</f>
        <v>1</v>
      </c>
      <c r="O26" s="30">
        <f>1 - CUSTOS!$M$28</f>
        <v>1</v>
      </c>
      <c r="P26" s="30">
        <f>1 - CUSTOS!$M$28</f>
        <v>1</v>
      </c>
      <c r="Q26" s="30"/>
      <c r="R26" s="30">
        <f>(1 - CUSTOS!$M$28)*1.72</f>
        <v>1.72</v>
      </c>
      <c r="S26" s="30"/>
      <c r="T26" s="30">
        <f>1 - CUSTOS!$M$28</f>
        <v>1</v>
      </c>
      <c r="U26" s="30">
        <f>1 - CUSTOS!$M$28</f>
        <v>1</v>
      </c>
      <c r="V26" s="30">
        <f>1 - CUSTOS!$M$28</f>
        <v>1</v>
      </c>
      <c r="W26" s="30"/>
      <c r="X26" s="30"/>
      <c r="Y26" s="30"/>
      <c r="Z26" s="30">
        <f>1 - CUSTOS!$M$28</f>
        <v>1</v>
      </c>
      <c r="AA26" s="30"/>
      <c r="AB26" s="30"/>
    </row>
    <row r="27" spans="1:28" ht="11.25" customHeight="1" x14ac:dyDescent="0.25">
      <c r="A27" s="129"/>
      <c r="B27" s="129"/>
      <c r="C27" s="129"/>
      <c r="D27" s="129"/>
      <c r="E27" s="129"/>
      <c r="F27" s="129"/>
      <c r="G27" s="32" t="s">
        <v>90</v>
      </c>
      <c r="H27" s="32" t="s">
        <v>79</v>
      </c>
      <c r="I27" s="32">
        <f>'MERCADO TE'!$U$24</f>
        <v>0</v>
      </c>
      <c r="J27" s="17"/>
      <c r="L27" s="30">
        <f>1 - CUSTOS!$M$28</f>
        <v>1</v>
      </c>
      <c r="M27" s="30">
        <f>1 - CUSTOS!$M$28</f>
        <v>1</v>
      </c>
      <c r="N27" s="30">
        <f>1 - CUSTOS!$M$28</f>
        <v>1</v>
      </c>
      <c r="O27" s="30">
        <f>1 - CUSTOS!$M$28</f>
        <v>1</v>
      </c>
      <c r="P27" s="30">
        <f>1 - CUSTOS!$M$28</f>
        <v>1</v>
      </c>
      <c r="Q27" s="30"/>
      <c r="R27" s="30">
        <f>(1 - CUSTOS!$M$28)*1</f>
        <v>1</v>
      </c>
      <c r="S27" s="30"/>
      <c r="T27" s="30">
        <f>1 - CUSTOS!$M$28</f>
        <v>1</v>
      </c>
      <c r="U27" s="30">
        <f>1 - CUSTOS!$M$28</f>
        <v>1</v>
      </c>
      <c r="V27" s="30">
        <f>1 - CUSTOS!$M$28</f>
        <v>1</v>
      </c>
      <c r="W27" s="30"/>
      <c r="X27" s="30"/>
      <c r="Y27" s="30"/>
      <c r="Z27" s="30">
        <f>1 - CUSTOS!$M$28</f>
        <v>1</v>
      </c>
      <c r="AA27" s="30"/>
      <c r="AB27" s="30"/>
    </row>
    <row r="28" spans="1:28" ht="11.25" customHeight="1" x14ac:dyDescent="0.25">
      <c r="A28" s="129"/>
      <c r="B28" s="129"/>
      <c r="C28" s="129"/>
      <c r="D28" s="129"/>
      <c r="E28" s="129"/>
      <c r="F28" s="129"/>
      <c r="G28" s="32" t="s">
        <v>81</v>
      </c>
      <c r="H28" s="32" t="s">
        <v>79</v>
      </c>
      <c r="I28" s="32">
        <f>'MERCADO TE'!$U$25</f>
        <v>0</v>
      </c>
      <c r="J28" s="17"/>
      <c r="L28" s="30">
        <f>1 - CUSTOS!$M$28</f>
        <v>1</v>
      </c>
      <c r="M28" s="30">
        <f>1 - CUSTOS!$M$28</f>
        <v>1</v>
      </c>
      <c r="N28" s="30">
        <f>1 - CUSTOS!$M$28</f>
        <v>1</v>
      </c>
      <c r="O28" s="30">
        <f>1 - CUSTOS!$M$28</f>
        <v>1</v>
      </c>
      <c r="P28" s="30">
        <f>1 - CUSTOS!$M$28</f>
        <v>1</v>
      </c>
      <c r="Q28" s="30"/>
      <c r="R28" s="30">
        <f>(1 - CUSTOS!$M$28)*1</f>
        <v>1</v>
      </c>
      <c r="S28" s="30"/>
      <c r="T28" s="30">
        <f>1 - CUSTOS!$M$28</f>
        <v>1</v>
      </c>
      <c r="U28" s="30">
        <f>1 - CUSTOS!$M$28</f>
        <v>1</v>
      </c>
      <c r="V28" s="30">
        <f>1 - CUSTOS!$M$28</f>
        <v>1</v>
      </c>
      <c r="W28" s="30"/>
      <c r="X28" s="30"/>
      <c r="Y28" s="30"/>
      <c r="Z28" s="30">
        <f>1 - CUSTOS!$M$28</f>
        <v>1</v>
      </c>
      <c r="AA28" s="30"/>
      <c r="AB28" s="30"/>
    </row>
    <row r="29" spans="1:28" ht="11.25" customHeight="1" x14ac:dyDescent="0.25">
      <c r="A29" s="129"/>
      <c r="B29" s="33" t="s">
        <v>86</v>
      </c>
      <c r="C29" s="33" t="s">
        <v>46</v>
      </c>
      <c r="D29" s="33" t="s">
        <v>25</v>
      </c>
      <c r="E29" s="33" t="s">
        <v>25</v>
      </c>
      <c r="F29" s="33" t="s">
        <v>25</v>
      </c>
      <c r="G29" s="32" t="s">
        <v>84</v>
      </c>
      <c r="H29" s="32" t="s">
        <v>79</v>
      </c>
      <c r="I29" s="32">
        <f>'MERCADO TE'!$U$26</f>
        <v>4146.1049999999996</v>
      </c>
      <c r="J29" s="17"/>
      <c r="L29" s="30">
        <f>1 - CUSTOS!$M$28</f>
        <v>1</v>
      </c>
      <c r="M29" s="30">
        <f>1 - CUSTOS!$M$28</f>
        <v>1</v>
      </c>
      <c r="N29" s="30">
        <f>1 - CUSTOS!$M$28</f>
        <v>1</v>
      </c>
      <c r="O29" s="30">
        <f>1 - CUSTOS!$M$28</f>
        <v>1</v>
      </c>
      <c r="P29" s="30">
        <f>1 - CUSTOS!$M$28</f>
        <v>1</v>
      </c>
      <c r="Q29" s="30"/>
      <c r="R29" s="30">
        <f>(1 - CUSTOS!$M$28)*1.06</f>
        <v>1.06</v>
      </c>
      <c r="S29" s="30"/>
      <c r="T29" s="30">
        <f>1 - CUSTOS!$M$28</f>
        <v>1</v>
      </c>
      <c r="U29" s="30">
        <f>1 - CUSTOS!$M$28</f>
        <v>1</v>
      </c>
      <c r="V29" s="30">
        <f>1 - CUSTOS!$M$28</f>
        <v>1</v>
      </c>
      <c r="W29" s="30"/>
      <c r="X29" s="30"/>
      <c r="Y29" s="30"/>
      <c r="Z29" s="30">
        <f>1 - CUSTOS!$M$28</f>
        <v>1</v>
      </c>
      <c r="AA29" s="30"/>
      <c r="AB29" s="30"/>
    </row>
    <row r="30" spans="1:28" ht="11.25" customHeight="1" x14ac:dyDescent="0.25">
      <c r="A30" s="129"/>
      <c r="B30" s="129" t="s">
        <v>78</v>
      </c>
      <c r="C30" s="129" t="s">
        <v>46</v>
      </c>
      <c r="D30" s="129" t="s">
        <v>93</v>
      </c>
      <c r="E30" s="129" t="s">
        <v>25</v>
      </c>
      <c r="F30" s="129" t="s">
        <v>25</v>
      </c>
      <c r="G30" s="32" t="s">
        <v>80</v>
      </c>
      <c r="H30" s="32" t="s">
        <v>79</v>
      </c>
      <c r="I30" s="32">
        <f>'MERCADO TE'!$U$27</f>
        <v>0</v>
      </c>
      <c r="J30" s="17"/>
      <c r="L30" s="30">
        <f>1 - CUSTOS!$M$29</f>
        <v>1</v>
      </c>
      <c r="M30" s="30">
        <f>1 - CUSTOS!$M$29</f>
        <v>1</v>
      </c>
      <c r="N30" s="30">
        <f>1 - CUSTOS!$M$29</f>
        <v>1</v>
      </c>
      <c r="O30" s="30">
        <f>1 - CUSTOS!$M$29</f>
        <v>1</v>
      </c>
      <c r="P30" s="30">
        <f>1 - CUSTOS!$M$29</f>
        <v>1</v>
      </c>
      <c r="Q30" s="30"/>
      <c r="R30" s="30">
        <f>(1 - CUSTOS!$M$29)*1.72</f>
        <v>1.72</v>
      </c>
      <c r="S30" s="30"/>
      <c r="T30" s="30">
        <f>1 - CUSTOS!$M$29</f>
        <v>1</v>
      </c>
      <c r="U30" s="30">
        <f>1 - CUSTOS!$M$29</f>
        <v>1</v>
      </c>
      <c r="V30" s="30">
        <f>1 - CUSTOS!$M$29</f>
        <v>1</v>
      </c>
      <c r="W30" s="30"/>
      <c r="X30" s="30"/>
      <c r="Y30" s="30"/>
      <c r="Z30" s="30">
        <f>1 - CUSTOS!$M$29</f>
        <v>1</v>
      </c>
      <c r="AA30" s="30"/>
      <c r="AB30" s="30"/>
    </row>
    <row r="31" spans="1:28" ht="11.25" customHeight="1" x14ac:dyDescent="0.25">
      <c r="A31" s="129"/>
      <c r="B31" s="129"/>
      <c r="C31" s="129"/>
      <c r="D31" s="129"/>
      <c r="E31" s="129"/>
      <c r="F31" s="129"/>
      <c r="G31" s="32" t="s">
        <v>90</v>
      </c>
      <c r="H31" s="32" t="s">
        <v>79</v>
      </c>
      <c r="I31" s="32">
        <f>'MERCADO TE'!$U$28</f>
        <v>0</v>
      </c>
      <c r="J31" s="17"/>
      <c r="L31" s="30">
        <f>1 - CUSTOS!$M$29</f>
        <v>1</v>
      </c>
      <c r="M31" s="30">
        <f>1 - CUSTOS!$M$29</f>
        <v>1</v>
      </c>
      <c r="N31" s="30">
        <f>1 - CUSTOS!$M$29</f>
        <v>1</v>
      </c>
      <c r="O31" s="30">
        <f>1 - CUSTOS!$M$29</f>
        <v>1</v>
      </c>
      <c r="P31" s="30">
        <f>1 - CUSTOS!$M$29</f>
        <v>1</v>
      </c>
      <c r="Q31" s="30"/>
      <c r="R31" s="30">
        <f>(1 - CUSTOS!$M$29)*1</f>
        <v>1</v>
      </c>
      <c r="S31" s="30"/>
      <c r="T31" s="30">
        <f>1 - CUSTOS!$M$29</f>
        <v>1</v>
      </c>
      <c r="U31" s="30">
        <f>1 - CUSTOS!$M$29</f>
        <v>1</v>
      </c>
      <c r="V31" s="30">
        <f>1 - CUSTOS!$M$29</f>
        <v>1</v>
      </c>
      <c r="W31" s="30"/>
      <c r="X31" s="30"/>
      <c r="Y31" s="30"/>
      <c r="Z31" s="30">
        <f>1 - CUSTOS!$M$29</f>
        <v>1</v>
      </c>
      <c r="AA31" s="30"/>
      <c r="AB31" s="30"/>
    </row>
    <row r="32" spans="1:28" ht="11.25" customHeight="1" x14ac:dyDescent="0.25">
      <c r="A32" s="129"/>
      <c r="B32" s="129"/>
      <c r="C32" s="129"/>
      <c r="D32" s="129"/>
      <c r="E32" s="129"/>
      <c r="F32" s="129"/>
      <c r="G32" s="32" t="s">
        <v>81</v>
      </c>
      <c r="H32" s="32" t="s">
        <v>79</v>
      </c>
      <c r="I32" s="32">
        <f>'MERCADO TE'!$U$29</f>
        <v>0</v>
      </c>
      <c r="J32" s="17"/>
      <c r="L32" s="30">
        <f>1 - CUSTOS!$M$29</f>
        <v>1</v>
      </c>
      <c r="M32" s="30">
        <f>1 - CUSTOS!$M$29</f>
        <v>1</v>
      </c>
      <c r="N32" s="30">
        <f>1 - CUSTOS!$M$29</f>
        <v>1</v>
      </c>
      <c r="O32" s="30">
        <f>1 - CUSTOS!$M$29</f>
        <v>1</v>
      </c>
      <c r="P32" s="30">
        <f>1 - CUSTOS!$M$29</f>
        <v>1</v>
      </c>
      <c r="Q32" s="30"/>
      <c r="R32" s="30">
        <f>(1 - CUSTOS!$M$29)*1</f>
        <v>1</v>
      </c>
      <c r="S32" s="30"/>
      <c r="T32" s="30">
        <f>1 - CUSTOS!$M$29</f>
        <v>1</v>
      </c>
      <c r="U32" s="30">
        <f>1 - CUSTOS!$M$29</f>
        <v>1</v>
      </c>
      <c r="V32" s="30">
        <f>1 - CUSTOS!$M$29</f>
        <v>1</v>
      </c>
      <c r="W32" s="30"/>
      <c r="X32" s="30"/>
      <c r="Y32" s="30"/>
      <c r="Z32" s="30">
        <f>1 - CUSTOS!$M$29</f>
        <v>1</v>
      </c>
      <c r="AA32" s="30"/>
      <c r="AB32" s="30"/>
    </row>
    <row r="33" spans="1:28" ht="11.25" customHeight="1" x14ac:dyDescent="0.25">
      <c r="A33" s="129"/>
      <c r="B33" s="33" t="s">
        <v>86</v>
      </c>
      <c r="C33" s="33" t="s">
        <v>46</v>
      </c>
      <c r="D33" s="33" t="s">
        <v>93</v>
      </c>
      <c r="E33" s="33" t="s">
        <v>25</v>
      </c>
      <c r="F33" s="33" t="s">
        <v>25</v>
      </c>
      <c r="G33" s="32" t="s">
        <v>84</v>
      </c>
      <c r="H33" s="32" t="s">
        <v>79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>
        <f>1 - CUSTOS!$M$29</f>
        <v>1</v>
      </c>
      <c r="Q33" s="30"/>
      <c r="R33" s="30">
        <f>(1 - CUSTOS!$M$29)*1.06</f>
        <v>1.06</v>
      </c>
      <c r="S33" s="30"/>
      <c r="T33" s="30">
        <f>1 - CUSTOS!$M$29</f>
        <v>1</v>
      </c>
      <c r="U33" s="30">
        <f>1 - CUSTOS!$M$29</f>
        <v>1</v>
      </c>
      <c r="V33" s="30">
        <f>1 - CUSTOS!$M$29</f>
        <v>1</v>
      </c>
      <c r="W33" s="30"/>
      <c r="X33" s="30"/>
      <c r="Y33" s="30"/>
      <c r="Z33" s="30">
        <f>1 - CUSTOS!$M$29</f>
        <v>1</v>
      </c>
      <c r="AA33" s="30"/>
      <c r="AB33" s="30"/>
    </row>
    <row r="34" spans="1:28" ht="11.25" customHeight="1" x14ac:dyDescent="0.25">
      <c r="A34" s="129"/>
      <c r="B34" s="129" t="s">
        <v>78</v>
      </c>
      <c r="C34" s="129" t="s">
        <v>46</v>
      </c>
      <c r="D34" s="129" t="s">
        <v>94</v>
      </c>
      <c r="E34" s="129" t="s">
        <v>25</v>
      </c>
      <c r="F34" s="129" t="s">
        <v>25</v>
      </c>
      <c r="G34" s="32" t="s">
        <v>80</v>
      </c>
      <c r="H34" s="32" t="s">
        <v>79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>
        <f>1 - CUSTOS!$M$30</f>
        <v>1</v>
      </c>
      <c r="Q34" s="30"/>
      <c r="R34" s="30">
        <f>(1 - CUSTOS!$M$30)*1.72</f>
        <v>1.72</v>
      </c>
      <c r="S34" s="30"/>
      <c r="T34" s="30">
        <f>1 - CUSTOS!$M$30</f>
        <v>1</v>
      </c>
      <c r="U34" s="30">
        <f>1 - CUSTOS!$M$30</f>
        <v>1</v>
      </c>
      <c r="V34" s="30">
        <f>1 - CUSTOS!$M$30</f>
        <v>1</v>
      </c>
      <c r="W34" s="30"/>
      <c r="X34" s="30"/>
      <c r="Y34" s="30"/>
      <c r="Z34" s="30">
        <f>1 - CUSTOS!$M$30</f>
        <v>1</v>
      </c>
      <c r="AA34" s="30"/>
      <c r="AB34" s="30"/>
    </row>
    <row r="35" spans="1:28" ht="11.25" customHeight="1" x14ac:dyDescent="0.25">
      <c r="A35" s="129"/>
      <c r="B35" s="129"/>
      <c r="C35" s="129"/>
      <c r="D35" s="129"/>
      <c r="E35" s="129"/>
      <c r="F35" s="129"/>
      <c r="G35" s="32" t="s">
        <v>90</v>
      </c>
      <c r="H35" s="32" t="s">
        <v>79</v>
      </c>
      <c r="I35" s="32">
        <f>'MERCADO TE'!$U$32</f>
        <v>0</v>
      </c>
      <c r="J35" s="17"/>
      <c r="L35" s="30">
        <f>1 - CUSTOS!$M$30</f>
        <v>1</v>
      </c>
      <c r="M35" s="30">
        <f>1 - CUSTOS!$M$30</f>
        <v>1</v>
      </c>
      <c r="N35" s="30">
        <f>1 - CUSTOS!$M$30</f>
        <v>1</v>
      </c>
      <c r="O35" s="30">
        <f>1 - CUSTOS!$M$30</f>
        <v>1</v>
      </c>
      <c r="P35" s="30">
        <f>1 - CUSTOS!$M$30</f>
        <v>1</v>
      </c>
      <c r="Q35" s="30"/>
      <c r="R35" s="30">
        <f>(1 - CUSTOS!$M$30)*1</f>
        <v>1</v>
      </c>
      <c r="S35" s="30"/>
      <c r="T35" s="30">
        <f>1 - CUSTOS!$M$30</f>
        <v>1</v>
      </c>
      <c r="U35" s="30">
        <f>1 - CUSTOS!$M$30</f>
        <v>1</v>
      </c>
      <c r="V35" s="30">
        <f>1 - CUSTOS!$M$30</f>
        <v>1</v>
      </c>
      <c r="W35" s="30"/>
      <c r="X35" s="30"/>
      <c r="Y35" s="30"/>
      <c r="Z35" s="30">
        <f>1 - CUSTOS!$M$30</f>
        <v>1</v>
      </c>
      <c r="AA35" s="30"/>
      <c r="AB35" s="30"/>
    </row>
    <row r="36" spans="1:28" ht="11.25" customHeight="1" x14ac:dyDescent="0.25">
      <c r="A36" s="129"/>
      <c r="B36" s="129"/>
      <c r="C36" s="129"/>
      <c r="D36" s="129"/>
      <c r="E36" s="129"/>
      <c r="F36" s="129"/>
      <c r="G36" s="32" t="s">
        <v>81</v>
      </c>
      <c r="H36" s="32" t="s">
        <v>79</v>
      </c>
      <c r="I36" s="32">
        <f>'MERCADO TE'!$U$33</f>
        <v>0</v>
      </c>
      <c r="J36" s="17"/>
      <c r="L36" s="30">
        <f>1 - CUSTOS!$M$30</f>
        <v>1</v>
      </c>
      <c r="M36" s="30">
        <f>1 - CUSTOS!$M$30</f>
        <v>1</v>
      </c>
      <c r="N36" s="30">
        <f>1 - CUSTOS!$M$30</f>
        <v>1</v>
      </c>
      <c r="O36" s="30">
        <f>1 - CUSTOS!$M$30</f>
        <v>1</v>
      </c>
      <c r="P36" s="30">
        <f>1 - CUSTOS!$M$30</f>
        <v>1</v>
      </c>
      <c r="Q36" s="30"/>
      <c r="R36" s="30">
        <f>(1 - CUSTOS!$M$30)*1</f>
        <v>1</v>
      </c>
      <c r="S36" s="30"/>
      <c r="T36" s="30">
        <f>1 - CUSTOS!$M$30</f>
        <v>1</v>
      </c>
      <c r="U36" s="30">
        <f>1 - CUSTOS!$M$30</f>
        <v>1</v>
      </c>
      <c r="V36" s="30">
        <f>1 - CUSTOS!$M$30</f>
        <v>1</v>
      </c>
      <c r="W36" s="30"/>
      <c r="X36" s="30"/>
      <c r="Y36" s="30"/>
      <c r="Z36" s="30">
        <f>1 - CUSTOS!$M$30</f>
        <v>1</v>
      </c>
      <c r="AA36" s="30"/>
      <c r="AB36" s="30"/>
    </row>
    <row r="37" spans="1:28" ht="11.25" customHeight="1" x14ac:dyDescent="0.25">
      <c r="A37" s="129"/>
      <c r="B37" s="33" t="s">
        <v>86</v>
      </c>
      <c r="C37" s="33" t="s">
        <v>46</v>
      </c>
      <c r="D37" s="33" t="s">
        <v>94</v>
      </c>
      <c r="E37" s="33" t="s">
        <v>25</v>
      </c>
      <c r="F37" s="33" t="s">
        <v>25</v>
      </c>
      <c r="G37" s="32" t="s">
        <v>84</v>
      </c>
      <c r="H37" s="32" t="s">
        <v>79</v>
      </c>
      <c r="I37" s="32">
        <f>'MERCADO TE'!$U$34</f>
        <v>0</v>
      </c>
      <c r="J37" s="17"/>
      <c r="L37" s="30">
        <f>1 - CUSTOS!$M$30</f>
        <v>1</v>
      </c>
      <c r="M37" s="30">
        <f>1 - CUSTOS!$M$30</f>
        <v>1</v>
      </c>
      <c r="N37" s="30">
        <f>1 - CUSTOS!$M$30</f>
        <v>1</v>
      </c>
      <c r="O37" s="30">
        <f>1 - CUSTOS!$M$30</f>
        <v>1</v>
      </c>
      <c r="P37" s="30">
        <f>1 - CUSTOS!$M$30</f>
        <v>1</v>
      </c>
      <c r="Q37" s="30"/>
      <c r="R37" s="30">
        <f>(1 - CUSTOS!$M$30)*1.06</f>
        <v>1.06</v>
      </c>
      <c r="S37" s="30"/>
      <c r="T37" s="30">
        <f>1 - CUSTOS!$M$30</f>
        <v>1</v>
      </c>
      <c r="U37" s="30">
        <f>1 - CUSTOS!$M$30</f>
        <v>1</v>
      </c>
      <c r="V37" s="30">
        <f>1 - CUSTOS!$M$30</f>
        <v>1</v>
      </c>
      <c r="W37" s="30"/>
      <c r="X37" s="30"/>
      <c r="Y37" s="30"/>
      <c r="Z37" s="30">
        <f>1 - CUSTOS!$M$30</f>
        <v>1</v>
      </c>
      <c r="AA37" s="30"/>
      <c r="AB37" s="30"/>
    </row>
    <row r="38" spans="1:28" ht="11.25" customHeight="1" x14ac:dyDescent="0.25">
      <c r="A38" s="129"/>
      <c r="B38" s="129" t="s">
        <v>91</v>
      </c>
      <c r="C38" s="129" t="s">
        <v>46</v>
      </c>
      <c r="D38" s="33" t="s">
        <v>25</v>
      </c>
      <c r="E38" s="33" t="s">
        <v>25</v>
      </c>
      <c r="F38" s="33" t="s">
        <v>25</v>
      </c>
      <c r="G38" s="32" t="s">
        <v>84</v>
      </c>
      <c r="H38" s="32" t="s">
        <v>79</v>
      </c>
      <c r="I38" s="32">
        <f>'MERCADO TE'!$U$35</f>
        <v>0</v>
      </c>
      <c r="J38" s="17"/>
      <c r="L38" s="30">
        <f>1 - CUSTOS!$M$28</f>
        <v>1</v>
      </c>
      <c r="M38" s="30">
        <f>1 - CUSTOS!$M$28</f>
        <v>1</v>
      </c>
      <c r="N38" s="30">
        <f>1 - CUSTOS!$M$28</f>
        <v>1</v>
      </c>
      <c r="O38" s="30">
        <f>1 - CUSTOS!$M$28</f>
        <v>1</v>
      </c>
      <c r="P38" s="30">
        <f>1 - CUSTOS!$M$28</f>
        <v>1</v>
      </c>
      <c r="Q38" s="30"/>
      <c r="R38" s="30">
        <f>(1 - CUSTOS!$M$28)*1.06</f>
        <v>1.06</v>
      </c>
      <c r="S38" s="30"/>
      <c r="T38" s="30">
        <f>1 - CUSTOS!$M$28</f>
        <v>1</v>
      </c>
      <c r="U38" s="30">
        <f>1 - CUSTOS!$M$28</f>
        <v>1</v>
      </c>
      <c r="V38" s="30">
        <f>1 - CUSTOS!$M$28</f>
        <v>1</v>
      </c>
      <c r="W38" s="30"/>
      <c r="X38" s="30"/>
      <c r="Y38" s="30"/>
      <c r="Z38" s="30">
        <f>1 - CUSTOS!$M$28</f>
        <v>1</v>
      </c>
      <c r="AA38" s="30"/>
      <c r="AB38" s="30"/>
    </row>
    <row r="39" spans="1:28" ht="11.25" customHeight="1" x14ac:dyDescent="0.25">
      <c r="A39" s="129"/>
      <c r="B39" s="129"/>
      <c r="C39" s="129"/>
      <c r="D39" s="33" t="s">
        <v>93</v>
      </c>
      <c r="E39" s="33" t="s">
        <v>25</v>
      </c>
      <c r="F39" s="33" t="s">
        <v>25</v>
      </c>
      <c r="G39" s="32" t="s">
        <v>84</v>
      </c>
      <c r="H39" s="32" t="s">
        <v>79</v>
      </c>
      <c r="I39" s="32">
        <f>'MERCADO TE'!$U$36</f>
        <v>0</v>
      </c>
      <c r="J39" s="17"/>
      <c r="L39" s="30">
        <f>1 - CUSTOS!$M$29</f>
        <v>1</v>
      </c>
      <c r="M39" s="30">
        <f>1 - CUSTOS!$M$29</f>
        <v>1</v>
      </c>
      <c r="N39" s="30">
        <f>1 - CUSTOS!$M$29</f>
        <v>1</v>
      </c>
      <c r="O39" s="30">
        <f>1 - CUSTOS!$M$29</f>
        <v>1</v>
      </c>
      <c r="P39" s="30">
        <f>1 - CUSTOS!$M$29</f>
        <v>1</v>
      </c>
      <c r="Q39" s="30"/>
      <c r="R39" s="30">
        <f>(1 - CUSTOS!$M$29)*1.06</f>
        <v>1.06</v>
      </c>
      <c r="S39" s="30"/>
      <c r="T39" s="30">
        <f>1 - CUSTOS!$M$29</f>
        <v>1</v>
      </c>
      <c r="U39" s="30">
        <f>1 - CUSTOS!$M$29</f>
        <v>1</v>
      </c>
      <c r="V39" s="30">
        <f>1 - CUSTOS!$M$29</f>
        <v>1</v>
      </c>
      <c r="W39" s="30"/>
      <c r="X39" s="30"/>
      <c r="Y39" s="30"/>
      <c r="Z39" s="30">
        <f>1 - CUSTOS!$M$29</f>
        <v>1</v>
      </c>
      <c r="AA39" s="30"/>
      <c r="AB39" s="30"/>
    </row>
    <row r="40" spans="1:28" ht="11.25" customHeight="1" x14ac:dyDescent="0.25">
      <c r="A40" s="129"/>
      <c r="B40" s="129"/>
      <c r="C40" s="129"/>
      <c r="D40" s="33" t="s">
        <v>94</v>
      </c>
      <c r="E40" s="33" t="s">
        <v>25</v>
      </c>
      <c r="F40" s="33" t="s">
        <v>25</v>
      </c>
      <c r="G40" s="32" t="s">
        <v>84</v>
      </c>
      <c r="H40" s="32" t="s">
        <v>79</v>
      </c>
      <c r="I40" s="32">
        <f>'MERCADO TE'!$U$37</f>
        <v>0</v>
      </c>
      <c r="J40" s="17"/>
      <c r="L40" s="30">
        <f>1 - CUSTOS!$M$30</f>
        <v>1</v>
      </c>
      <c r="M40" s="30">
        <f>1 - CUSTOS!$M$30</f>
        <v>1</v>
      </c>
      <c r="N40" s="30">
        <f>1 - CUSTOS!$M$30</f>
        <v>1</v>
      </c>
      <c r="O40" s="30">
        <f>1 - CUSTOS!$M$30</f>
        <v>1</v>
      </c>
      <c r="P40" s="30">
        <f>1 - CUSTOS!$M$30</f>
        <v>1</v>
      </c>
      <c r="Q40" s="30"/>
      <c r="R40" s="30">
        <f>(1 - CUSTOS!$M$30)*1.06</f>
        <v>1.06</v>
      </c>
      <c r="S40" s="30"/>
      <c r="T40" s="30">
        <f>1 - CUSTOS!$M$30</f>
        <v>1</v>
      </c>
      <c r="U40" s="30">
        <f>1 - CUSTOS!$M$30</f>
        <v>1</v>
      </c>
      <c r="V40" s="30">
        <f>1 - CUSTOS!$M$30</f>
        <v>1</v>
      </c>
      <c r="W40" s="30"/>
      <c r="X40" s="30"/>
      <c r="Y40" s="30"/>
      <c r="Z40" s="30">
        <f>1 - CUSTOS!$M$30</f>
        <v>1</v>
      </c>
      <c r="AA40" s="30"/>
      <c r="AB40" s="30"/>
    </row>
    <row r="41" spans="1:28" ht="11.25" customHeight="1" x14ac:dyDescent="0.25">
      <c r="A41" s="129" t="s">
        <v>37</v>
      </c>
      <c r="B41" s="129" t="s">
        <v>78</v>
      </c>
      <c r="C41" s="129" t="s">
        <v>25</v>
      </c>
      <c r="D41" s="129" t="s">
        <v>25</v>
      </c>
      <c r="E41" s="129" t="s">
        <v>25</v>
      </c>
      <c r="F41" s="129" t="s">
        <v>25</v>
      </c>
      <c r="G41" s="32" t="s">
        <v>80</v>
      </c>
      <c r="H41" s="32" t="s">
        <v>79</v>
      </c>
      <c r="I41" s="32">
        <f>'MERCADO TE'!$U$38</f>
        <v>25.125999999999998</v>
      </c>
      <c r="J41" s="17"/>
      <c r="L41" s="30">
        <f>1 - CUSTOS!$M$31</f>
        <v>1</v>
      </c>
      <c r="M41" s="30">
        <f>1 - CUSTOS!$M$31</f>
        <v>1</v>
      </c>
      <c r="N41" s="30">
        <f>1 - CUSTOS!$M$31</f>
        <v>1</v>
      </c>
      <c r="O41" s="30">
        <f>1 - CUSTOS!$M$31</f>
        <v>1</v>
      </c>
      <c r="P41" s="30">
        <f>1 - CUSTOS!$M$31</f>
        <v>1</v>
      </c>
      <c r="Q41" s="30"/>
      <c r="R41" s="30">
        <f>(1 - CUSTOS!$M$31)*1.72</f>
        <v>1.72</v>
      </c>
      <c r="S41" s="30"/>
      <c r="T41" s="30">
        <f>1 - CUSTOS!$M$31</f>
        <v>1</v>
      </c>
      <c r="U41" s="30">
        <f>1 - CUSTOS!$M$31</f>
        <v>1</v>
      </c>
      <c r="V41" s="30">
        <f>1 - CUSTOS!$M$31</f>
        <v>1</v>
      </c>
      <c r="W41" s="30"/>
      <c r="X41" s="30"/>
      <c r="Y41" s="30"/>
      <c r="Z41" s="30">
        <f>1 - CUSTOS!$M$31</f>
        <v>1</v>
      </c>
      <c r="AA41" s="30"/>
      <c r="AB41" s="30"/>
    </row>
    <row r="42" spans="1:28" ht="11.25" customHeight="1" x14ac:dyDescent="0.25">
      <c r="A42" s="129"/>
      <c r="B42" s="129"/>
      <c r="C42" s="129"/>
      <c r="D42" s="129"/>
      <c r="E42" s="129"/>
      <c r="F42" s="129"/>
      <c r="G42" s="32" t="s">
        <v>90</v>
      </c>
      <c r="H42" s="32" t="s">
        <v>79</v>
      </c>
      <c r="I42" s="32">
        <f>'MERCADO TE'!$U$39</f>
        <v>27.405000000000001</v>
      </c>
      <c r="J42" s="17"/>
      <c r="L42" s="30">
        <f>1 - CUSTOS!$M$31</f>
        <v>1</v>
      </c>
      <c r="M42" s="30">
        <f>1 - CUSTOS!$M$31</f>
        <v>1</v>
      </c>
      <c r="N42" s="30">
        <f>1 - CUSTOS!$M$31</f>
        <v>1</v>
      </c>
      <c r="O42" s="30">
        <f>1 - CUSTOS!$M$31</f>
        <v>1</v>
      </c>
      <c r="P42" s="30">
        <f>1 - CUSTOS!$M$31</f>
        <v>1</v>
      </c>
      <c r="Q42" s="30"/>
      <c r="R42" s="30">
        <f>(1 - CUSTOS!$M$31)*1</f>
        <v>1</v>
      </c>
      <c r="S42" s="30"/>
      <c r="T42" s="30">
        <f>1 - CUSTOS!$M$31</f>
        <v>1</v>
      </c>
      <c r="U42" s="30">
        <f>1 - CUSTOS!$M$31</f>
        <v>1</v>
      </c>
      <c r="V42" s="30">
        <f>1 - CUSTOS!$M$31</f>
        <v>1</v>
      </c>
      <c r="W42" s="30"/>
      <c r="X42" s="30"/>
      <c r="Y42" s="30"/>
      <c r="Z42" s="30">
        <f>1 - CUSTOS!$M$31</f>
        <v>1</v>
      </c>
      <c r="AA42" s="30"/>
      <c r="AB42" s="30"/>
    </row>
    <row r="43" spans="1:28" ht="11.25" customHeight="1" x14ac:dyDescent="0.25">
      <c r="A43" s="129"/>
      <c r="B43" s="129"/>
      <c r="C43" s="129"/>
      <c r="D43" s="129"/>
      <c r="E43" s="129"/>
      <c r="F43" s="129"/>
      <c r="G43" s="32" t="s">
        <v>81</v>
      </c>
      <c r="H43" s="32" t="s">
        <v>79</v>
      </c>
      <c r="I43" s="32">
        <f>'MERCADO TE'!$U$40</f>
        <v>590.17399999999998</v>
      </c>
      <c r="J43" s="17"/>
      <c r="L43" s="30">
        <f>1 - CUSTOS!$M$31</f>
        <v>1</v>
      </c>
      <c r="M43" s="30">
        <f>1 - CUSTOS!$M$31</f>
        <v>1</v>
      </c>
      <c r="N43" s="30">
        <f>1 - CUSTOS!$M$31</f>
        <v>1</v>
      </c>
      <c r="O43" s="30">
        <f>1 - CUSTOS!$M$31</f>
        <v>1</v>
      </c>
      <c r="P43" s="30">
        <f>1 - CUSTOS!$M$31</f>
        <v>1</v>
      </c>
      <c r="Q43" s="30"/>
      <c r="R43" s="30">
        <f>(1 - CUSTOS!$M$31)*1</f>
        <v>1</v>
      </c>
      <c r="S43" s="30"/>
      <c r="T43" s="30">
        <f>1 - CUSTOS!$M$31</f>
        <v>1</v>
      </c>
      <c r="U43" s="30">
        <f>1 - CUSTOS!$M$31</f>
        <v>1</v>
      </c>
      <c r="V43" s="30">
        <f>1 - CUSTOS!$M$31</f>
        <v>1</v>
      </c>
      <c r="W43" s="30"/>
      <c r="X43" s="30"/>
      <c r="Y43" s="30"/>
      <c r="Z43" s="30">
        <f>1 - CUSTOS!$M$31</f>
        <v>1</v>
      </c>
      <c r="AA43" s="30"/>
      <c r="AB43" s="30"/>
    </row>
    <row r="44" spans="1:28" ht="11.25" customHeight="1" x14ac:dyDescent="0.25">
      <c r="A44" s="129"/>
      <c r="B44" s="33" t="s">
        <v>86</v>
      </c>
      <c r="C44" s="33" t="s">
        <v>25</v>
      </c>
      <c r="D44" s="33" t="s">
        <v>25</v>
      </c>
      <c r="E44" s="33" t="s">
        <v>25</v>
      </c>
      <c r="F44" s="33" t="s">
        <v>25</v>
      </c>
      <c r="G44" s="32" t="s">
        <v>84</v>
      </c>
      <c r="H44" s="32" t="s">
        <v>79</v>
      </c>
      <c r="I44" s="32">
        <f>'MERCADO TE'!$U$41</f>
        <v>181428.25600000002</v>
      </c>
      <c r="J44" s="17"/>
      <c r="L44" s="30">
        <f>1 - CUSTOS!$M$31</f>
        <v>1</v>
      </c>
      <c r="M44" s="30">
        <f>1 - CUSTOS!$M$31</f>
        <v>1</v>
      </c>
      <c r="N44" s="30">
        <f>1 - CUSTOS!$M$31</f>
        <v>1</v>
      </c>
      <c r="O44" s="30">
        <f>1 - CUSTOS!$M$31</f>
        <v>1</v>
      </c>
      <c r="P44" s="30">
        <f>1 - CUSTOS!$M$31</f>
        <v>1</v>
      </c>
      <c r="Q44" s="30"/>
      <c r="R44" s="30">
        <f>(1 - CUSTOS!$M$31)*1.06</f>
        <v>1.06</v>
      </c>
      <c r="S44" s="30"/>
      <c r="T44" s="30">
        <f>1 - CUSTOS!$M$31</f>
        <v>1</v>
      </c>
      <c r="U44" s="30">
        <f>1 - CUSTOS!$M$31</f>
        <v>1</v>
      </c>
      <c r="V44" s="30">
        <f>1 - CUSTOS!$M$31</f>
        <v>1</v>
      </c>
      <c r="W44" s="30"/>
      <c r="X44" s="30"/>
      <c r="Y44" s="30"/>
      <c r="Z44" s="30">
        <f>1 - CUSTOS!$M$31</f>
        <v>1</v>
      </c>
      <c r="AA44" s="30"/>
      <c r="AB44" s="30"/>
    </row>
    <row r="45" spans="1:28" ht="11.25" customHeight="1" x14ac:dyDescent="0.25">
      <c r="A45" s="129"/>
      <c r="B45" s="33" t="s">
        <v>91</v>
      </c>
      <c r="C45" s="33" t="s">
        <v>25</v>
      </c>
      <c r="D45" s="33" t="s">
        <v>25</v>
      </c>
      <c r="E45" s="33" t="s">
        <v>25</v>
      </c>
      <c r="F45" s="33" t="s">
        <v>25</v>
      </c>
      <c r="G45" s="32" t="s">
        <v>84</v>
      </c>
      <c r="H45" s="32" t="s">
        <v>79</v>
      </c>
      <c r="I45" s="32">
        <f>'MERCADO TE'!$U$42</f>
        <v>0</v>
      </c>
      <c r="J45" s="17"/>
      <c r="L45" s="30">
        <f>1 - CUSTOS!$M$31</f>
        <v>1</v>
      </c>
      <c r="M45" s="30">
        <f>1 - CUSTOS!$M$31</f>
        <v>1</v>
      </c>
      <c r="N45" s="30">
        <f>1 - CUSTOS!$M$31</f>
        <v>1</v>
      </c>
      <c r="O45" s="30">
        <f>1 - CUSTOS!$M$31</f>
        <v>1</v>
      </c>
      <c r="P45" s="30">
        <f>1 - CUSTOS!$M$31</f>
        <v>1</v>
      </c>
      <c r="Q45" s="30"/>
      <c r="R45" s="30">
        <f>(1 - CUSTOS!$M$31)*1.06</f>
        <v>1.06</v>
      </c>
      <c r="S45" s="30"/>
      <c r="T45" s="30">
        <f>1 - CUSTOS!$M$31</f>
        <v>1</v>
      </c>
      <c r="U45" s="30">
        <f>1 - CUSTOS!$M$31</f>
        <v>1</v>
      </c>
      <c r="V45" s="30">
        <f>1 - CUSTOS!$M$31</f>
        <v>1</v>
      </c>
      <c r="W45" s="30"/>
      <c r="X45" s="30"/>
      <c r="Y45" s="30"/>
      <c r="Z45" s="30">
        <f>1 - CUSTOS!$M$31</f>
        <v>1</v>
      </c>
      <c r="AA45" s="30"/>
      <c r="AB45" s="30"/>
    </row>
    <row r="46" spans="1:28" ht="11.25" customHeight="1" x14ac:dyDescent="0.25">
      <c r="A46" s="129" t="s">
        <v>48</v>
      </c>
      <c r="B46" s="129" t="s">
        <v>86</v>
      </c>
      <c r="C46" s="129" t="s">
        <v>49</v>
      </c>
      <c r="D46" s="33" t="s">
        <v>50</v>
      </c>
      <c r="E46" s="33" t="s">
        <v>25</v>
      </c>
      <c r="F46" s="33" t="s">
        <v>25</v>
      </c>
      <c r="G46" s="32" t="s">
        <v>84</v>
      </c>
      <c r="H46" s="32" t="s">
        <v>79</v>
      </c>
      <c r="I46" s="32">
        <f>'MERCADO TE'!$U$43</f>
        <v>39483.672999999995</v>
      </c>
      <c r="J46" s="17"/>
      <c r="L46" s="30">
        <f>1 - CUSTOS!$M$32</f>
        <v>0.55000000000000004</v>
      </c>
      <c r="M46" s="30">
        <f>1 - CUSTOS!$M$32</f>
        <v>0.55000000000000004</v>
      </c>
      <c r="N46" s="30">
        <f>1 - CUSTOS!$M$32</f>
        <v>0.55000000000000004</v>
      </c>
      <c r="O46" s="30">
        <f>1 - CUSTOS!$M$32</f>
        <v>0.55000000000000004</v>
      </c>
      <c r="P46" s="30">
        <f>1 - CUSTOS!$M$32</f>
        <v>0.55000000000000004</v>
      </c>
      <c r="Q46" s="30"/>
      <c r="R46" s="30">
        <f>(1 - CUSTOS!$M$32)*1.06</f>
        <v>0.58300000000000007</v>
      </c>
      <c r="S46" s="30"/>
      <c r="T46" s="30">
        <f>1 - CUSTOS!$M$32</f>
        <v>0.55000000000000004</v>
      </c>
      <c r="U46" s="30">
        <f>1 - CUSTOS!$M$32</f>
        <v>0.55000000000000004</v>
      </c>
      <c r="V46" s="30">
        <f>1 - CUSTOS!$M$32</f>
        <v>0.55000000000000004</v>
      </c>
      <c r="W46" s="30"/>
      <c r="X46" s="30"/>
      <c r="Y46" s="30"/>
      <c r="Z46" s="30">
        <f>1 - CUSTOS!$M$32</f>
        <v>0.55000000000000004</v>
      </c>
      <c r="AA46" s="30"/>
      <c r="AB46" s="30"/>
    </row>
    <row r="47" spans="1:28" ht="11.25" customHeight="1" x14ac:dyDescent="0.25">
      <c r="A47" s="129"/>
      <c r="B47" s="129"/>
      <c r="C47" s="129"/>
      <c r="D47" s="32" t="s">
        <v>95</v>
      </c>
      <c r="E47" s="32" t="s">
        <v>25</v>
      </c>
      <c r="F47" s="32" t="s">
        <v>25</v>
      </c>
      <c r="G47" s="32" t="s">
        <v>84</v>
      </c>
      <c r="H47" s="32" t="s">
        <v>79</v>
      </c>
      <c r="I47" s="32">
        <f>'MERCADO TE'!$U$44</f>
        <v>0</v>
      </c>
      <c r="J47" s="17"/>
      <c r="L47" s="30">
        <f>1 - CUSTOS!$M$33</f>
        <v>0.6</v>
      </c>
      <c r="M47" s="30">
        <f>1 - CUSTOS!$M$33</f>
        <v>0.6</v>
      </c>
      <c r="N47" s="30">
        <f>1 - CUSTOS!$M$33</f>
        <v>0.6</v>
      </c>
      <c r="O47" s="30">
        <f>1 - CUSTOS!$M$33</f>
        <v>0.6</v>
      </c>
      <c r="P47" s="30">
        <f>1 - CUSTOS!$M$33</f>
        <v>0.6</v>
      </c>
      <c r="Q47" s="30"/>
      <c r="R47" s="30">
        <f>(1 - CUSTOS!$M$33)*1.06</f>
        <v>0.63600000000000001</v>
      </c>
      <c r="S47" s="30"/>
      <c r="T47" s="30">
        <f>1 - CUSTOS!$M$33</f>
        <v>0.6</v>
      </c>
      <c r="U47" s="30">
        <f>1 - CUSTOS!$M$33</f>
        <v>0.6</v>
      </c>
      <c r="V47" s="30">
        <f>1 - CUSTOS!$M$33</f>
        <v>0.6</v>
      </c>
      <c r="W47" s="30"/>
      <c r="X47" s="30"/>
      <c r="Y47" s="30"/>
      <c r="Z47" s="30">
        <f>1 - CUSTOS!$M$33</f>
        <v>0.6</v>
      </c>
      <c r="AA47" s="30"/>
      <c r="AB47" s="30"/>
    </row>
    <row r="49" spans="11:28" ht="11.25" customHeight="1" x14ac:dyDescent="0.25">
      <c r="K49" s="35" t="s">
        <v>766</v>
      </c>
      <c r="L49" s="30">
        <f t="shared" ref="L49:AB49" si="0">SUMPRODUCT($I$5:$I$47,L$5:L$47)</f>
        <v>1050137.3181500002</v>
      </c>
      <c r="M49" s="30">
        <f t="shared" si="0"/>
        <v>1050137.3181500002</v>
      </c>
      <c r="N49" s="30">
        <f t="shared" si="0"/>
        <v>1050137.3181500002</v>
      </c>
      <c r="O49" s="30">
        <f t="shared" si="0"/>
        <v>1050137.3181500002</v>
      </c>
      <c r="P49" s="30">
        <f t="shared" si="0"/>
        <v>1050137.3181500002</v>
      </c>
      <c r="Q49" s="30">
        <f t="shared" si="0"/>
        <v>0</v>
      </c>
      <c r="R49" s="30">
        <f t="shared" si="0"/>
        <v>1112561.979539</v>
      </c>
      <c r="S49" s="30">
        <f t="shared" si="0"/>
        <v>0</v>
      </c>
      <c r="T49" s="30">
        <f t="shared" si="0"/>
        <v>1050137.3181500002</v>
      </c>
      <c r="U49" s="30">
        <f t="shared" si="0"/>
        <v>1050137.3181500002</v>
      </c>
      <c r="V49" s="30">
        <f t="shared" si="0"/>
        <v>1050137.3181500002</v>
      </c>
      <c r="W49" s="30">
        <f t="shared" si="0"/>
        <v>0</v>
      </c>
      <c r="X49" s="30">
        <f t="shared" si="0"/>
        <v>0</v>
      </c>
      <c r="Y49" s="30">
        <f t="shared" si="0"/>
        <v>0</v>
      </c>
      <c r="Z49" s="30">
        <f t="shared" si="0"/>
        <v>1050137.3181500002</v>
      </c>
      <c r="AA49" s="30">
        <f t="shared" si="0"/>
        <v>0</v>
      </c>
      <c r="AB49" s="30">
        <f t="shared" si="0"/>
        <v>0</v>
      </c>
    </row>
    <row r="50" spans="11:28" ht="11.25" customHeight="1" x14ac:dyDescent="0.25">
      <c r="K50" s="35" t="s">
        <v>686</v>
      </c>
      <c r="L50" s="30">
        <f>CUSTOS!$D$30</f>
        <v>2434049.1762334048</v>
      </c>
      <c r="M50" s="30">
        <f>CUSTOS!$D$31</f>
        <v>36602503.159999996</v>
      </c>
      <c r="N50" s="30">
        <f>CUSTOS!$D$32</f>
        <v>0</v>
      </c>
      <c r="O50" s="30">
        <f>CUSTOS!$D$33</f>
        <v>12668948.439127613</v>
      </c>
      <c r="P50" s="30">
        <f>CUSTOS!$D$34</f>
        <v>-18059343.579999998</v>
      </c>
      <c r="Q50" s="30">
        <f>CUSTOS!$D$35</f>
        <v>33646157.195361018</v>
      </c>
      <c r="R50" s="30">
        <f>CUSTOS!$D$36</f>
        <v>210127525.67695919</v>
      </c>
      <c r="S50" s="30">
        <f>CUSTOS!$D$37</f>
        <v>210127525.67695919</v>
      </c>
      <c r="T50" s="30">
        <f>CUSTOS!$D$38</f>
        <v>0</v>
      </c>
      <c r="U50" s="30">
        <f>CUSTOS!$D$39</f>
        <v>0</v>
      </c>
      <c r="V50" s="30">
        <f>CUSTOS!$D$40</f>
        <v>0</v>
      </c>
      <c r="W50" s="30">
        <f>CUSTOS!$D$41</f>
        <v>0</v>
      </c>
      <c r="X50" s="30">
        <f>CUSTOS!$D$42</f>
        <v>0</v>
      </c>
      <c r="Y50" s="30">
        <f>CUSTOS!$D$43</f>
        <v>0</v>
      </c>
      <c r="Z50" s="30">
        <f>CUSTOS!$D$44</f>
        <v>5840648.5064497869</v>
      </c>
      <c r="AA50" s="30">
        <f>CUSTOS!$D$45</f>
        <v>5840648.5064497869</v>
      </c>
      <c r="AB50" s="30">
        <f>CUSTOS!$D$46</f>
        <v>249614331.37876999</v>
      </c>
    </row>
    <row r="51" spans="11:28" ht="11.25" customHeight="1" x14ac:dyDescent="0.25">
      <c r="K51" s="35" t="s">
        <v>687</v>
      </c>
      <c r="L51" s="30">
        <f>CUSTOS!$E$30</f>
        <v>0</v>
      </c>
      <c r="M51" s="30">
        <f>CUSTOS!$E$31</f>
        <v>14515474.191817597</v>
      </c>
      <c r="N51" s="30">
        <f>CUSTOS!$E$32</f>
        <v>0</v>
      </c>
      <c r="O51" s="30">
        <f>CUSTOS!$E$33</f>
        <v>-833357.30925666564</v>
      </c>
      <c r="P51" s="30">
        <f>CUSTOS!$E$34</f>
        <v>0</v>
      </c>
      <c r="Q51" s="30">
        <f>CUSTOS!$E$35</f>
        <v>13682116.882560931</v>
      </c>
      <c r="R51" s="30">
        <f>CUSTOS!$E$36</f>
        <v>-94215085.398337662</v>
      </c>
      <c r="S51" s="30">
        <f>CUSTOS!$E$37</f>
        <v>-94215085.398337662</v>
      </c>
      <c r="T51" s="30">
        <f>CUSTOS!$E$38</f>
        <v>0</v>
      </c>
      <c r="U51" s="30">
        <f>CUSTOS!$E$39</f>
        <v>0</v>
      </c>
      <c r="V51" s="30">
        <f>CUSTOS!$E$40</f>
        <v>0</v>
      </c>
      <c r="W51" s="30">
        <f>CUSTOS!$E$41</f>
        <v>0</v>
      </c>
      <c r="X51" s="30">
        <f>CUSTOS!$E$42</f>
        <v>-16600151.204938425</v>
      </c>
      <c r="Y51" s="30">
        <f>CUSTOS!$E$43</f>
        <v>-16600151.204938425</v>
      </c>
      <c r="Z51" s="30">
        <f>CUSTOS!$E$44</f>
        <v>-2618777.3165083188</v>
      </c>
      <c r="AA51" s="30">
        <f>CUSTOS!$E$45</f>
        <v>-2618777.3165083188</v>
      </c>
      <c r="AB51" s="30">
        <f>CUSTOS!$E$46</f>
        <v>-99751897.037223473</v>
      </c>
    </row>
    <row r="52" spans="11:28" ht="11.25" customHeight="1" x14ac:dyDescent="0.25">
      <c r="K52" s="35" t="s">
        <v>688</v>
      </c>
      <c r="L52" s="30">
        <f>CUSTOS!$F$30</f>
        <v>0</v>
      </c>
      <c r="M52" s="30">
        <f>CUSTOS!$F$31</f>
        <v>20821697.545299999</v>
      </c>
      <c r="N52" s="30">
        <f>CUSTOS!$F$32</f>
        <v>0</v>
      </c>
      <c r="O52" s="30">
        <f>CUSTOS!$F$33</f>
        <v>560051.04179454083</v>
      </c>
      <c r="P52" s="30">
        <f>CUSTOS!$F$34</f>
        <v>0</v>
      </c>
      <c r="Q52" s="30">
        <f>CUSTOS!$F$35</f>
        <v>21381748.587094542</v>
      </c>
      <c r="R52" s="30">
        <f>CUSTOS!$F$36</f>
        <v>62662156.668706685</v>
      </c>
      <c r="S52" s="30">
        <f>CUSTOS!$F$37</f>
        <v>62662156.668706685</v>
      </c>
      <c r="T52" s="30">
        <f>CUSTOS!$F$38</f>
        <v>0</v>
      </c>
      <c r="U52" s="30">
        <f>CUSTOS!$F$39</f>
        <v>0</v>
      </c>
      <c r="V52" s="30">
        <f>CUSTOS!$F$40</f>
        <v>0</v>
      </c>
      <c r="W52" s="30">
        <f>CUSTOS!$F$41</f>
        <v>0</v>
      </c>
      <c r="X52" s="30">
        <f>CUSTOS!$F$42</f>
        <v>0</v>
      </c>
      <c r="Y52" s="30">
        <f>CUSTOS!$F$43</f>
        <v>0</v>
      </c>
      <c r="Z52" s="30">
        <f>CUSTOS!$F$44</f>
        <v>1741740.5481691037</v>
      </c>
      <c r="AA52" s="30">
        <f>CUSTOS!$F$45</f>
        <v>1741740.5481691037</v>
      </c>
      <c r="AB52" s="30">
        <f>CUSTOS!$F$46</f>
        <v>85785645.803970337</v>
      </c>
    </row>
    <row r="53" spans="11:28" ht="11.25" customHeight="1" x14ac:dyDescent="0.25">
      <c r="K53" s="35" t="s">
        <v>767</v>
      </c>
      <c r="L53" s="30">
        <f>IF(SUMPRODUCT($I$5:$I$47,$L$5:$L$47)&lt;&gt;0,L50/SUMPRODUCT($I$5:$I$47,$L$5:$L$47),0)</f>
        <v>2.3178389475020338</v>
      </c>
      <c r="M53" s="30">
        <f>IF(SUMPRODUCT($I$5:$I$47,$M$5:$M$47)&lt;&gt;0,M50/SUMPRODUCT($I$5:$I$47,$M$5:$M$47),0)</f>
        <v>34.854968514481214</v>
      </c>
      <c r="N53" s="30">
        <f>IF(SUMPRODUCT($I$5:$I$47,$N$5:$N$47)&lt;&gt;0,N50/SUMPRODUCT($I$5:$I$47,$N$5:$N$47),0)</f>
        <v>0</v>
      </c>
      <c r="O53" s="30">
        <f>IF(SUMPRODUCT($I$5:$I$47,$O$5:$O$47)&lt;&gt;0,O50/SUMPRODUCT($I$5:$I$47,$O$5:$O$47),0)</f>
        <v>12.064087448531181</v>
      </c>
      <c r="P53" s="30">
        <f>IF(SUMPRODUCT($I$5:$I$47,$P$5:$P$47)&lt;&gt;0,P50/SUMPRODUCT($I$5:$I$47,$P$5:$P$47),0)</f>
        <v>-17.197125811903035</v>
      </c>
      <c r="Q53" s="30"/>
      <c r="R53" s="30">
        <f>IF((CUSTOS!$M$12-CUSTOS!$M$13)&lt;&gt;0,(CUSTOS!$M$12*CUSTOS!$M$14)/(CUSTOS!$M$12-CUSTOS!$M$13),0)</f>
        <v>199.84485060645483</v>
      </c>
      <c r="S53" s="30"/>
      <c r="T53" s="30">
        <f>IF(SUMPRODUCT($I$5:$I$47,$T$5:$T$47)&lt;&gt;0,T50/SUMPRODUCT($I$5:$I$47,$T$5:$T$47),0)</f>
        <v>0</v>
      </c>
      <c r="U53" s="30">
        <f>IF(SUMPRODUCT($I$5:$I$47,$U$5:$U$47)&lt;&gt;0,U50/SUMPRODUCT($I$5:$I$47,$U$5:$U$47),0)</f>
        <v>0</v>
      </c>
      <c r="V53" s="30">
        <f>IF(SUMPRODUCT($I$5:$I$47,$V$5:$V$47)&lt;&gt;0,V50/SUMPRODUCT($I$5:$I$47,$V$5:$V$47),0)</f>
        <v>0</v>
      </c>
      <c r="W53" s="30"/>
      <c r="X53" s="30">
        <f>IF(SUMPRODUCT($I$5:$I$47,$X$5:$X$47)&lt;&gt;0,X50/SUMPRODUCT($I$5:$I$47,$X$5:$X$47),0)</f>
        <v>0</v>
      </c>
      <c r="Y53" s="30"/>
      <c r="Z53" s="30">
        <f>IF(SUMPRODUCT($I$5:$I$47,$Z$5:$Z$47)&lt;&gt;0,Z50/SUMPRODUCT($I$5:$I$47,$Z$5:$Z$47),0)</f>
        <v>5.5617950200447179</v>
      </c>
      <c r="AA53" s="30"/>
      <c r="AB53" s="30"/>
    </row>
    <row r="54" spans="11:28" ht="11.25" customHeight="1" x14ac:dyDescent="0.25">
      <c r="K54" s="35" t="s">
        <v>768</v>
      </c>
      <c r="L54" s="30">
        <f>IF(L49&lt;&gt;0,(L50-L53*0)/(L49-0),0)</f>
        <v>2.3178389475020338</v>
      </c>
      <c r="M54" s="30">
        <f>IF(M49&lt;&gt;0,(M50-M53*0)/(M49-0),0)</f>
        <v>34.854968514481214</v>
      </c>
      <c r="N54" s="30">
        <f>IF(N49&lt;&gt;0,(N50-N53*0)/(N49-0),0)</f>
        <v>0</v>
      </c>
      <c r="O54" s="30">
        <f>IF(O49&lt;&gt;0,(O50-O53*0)/(O49-0),0)</f>
        <v>12.064087448531181</v>
      </c>
      <c r="P54" s="30">
        <f>IF(P49&lt;&gt;0,(P50-P53*0)/(P49-0),0)</f>
        <v>-17.197125811903035</v>
      </c>
      <c r="Q54" s="30"/>
      <c r="R54" s="30">
        <f>IF(R49&lt;&gt;0,(R50-R53*0)/(R49-0),0)</f>
        <v>188.86815255364687</v>
      </c>
      <c r="S54" s="30"/>
      <c r="T54" s="30">
        <f>IF(T49&lt;&gt;0,(T50-T53*0)/(T49-0),0)</f>
        <v>0</v>
      </c>
      <c r="U54" s="30">
        <f>IF(U49&lt;&gt;0,(U50-U53*0)/(U49-0),0)</f>
        <v>0</v>
      </c>
      <c r="V54" s="30">
        <f>IF(V49&lt;&gt;0,(V50-V53*0)/(V49-0),0)</f>
        <v>0</v>
      </c>
      <c r="W54" s="30"/>
      <c r="X54" s="30">
        <f>IF(X49&lt;&gt;0,(X50-X53*0)/(X49-0),0)</f>
        <v>0</v>
      </c>
      <c r="Y54" s="30"/>
      <c r="Z54" s="30">
        <f>IF(Z49&lt;&gt;0,(Z50-Z53*0)/(Z49-0),0)</f>
        <v>5.5617950200447179</v>
      </c>
      <c r="AA54" s="30"/>
      <c r="AB54" s="30"/>
    </row>
    <row r="55" spans="11:28" ht="11.25" customHeight="1" x14ac:dyDescent="0.25">
      <c r="K55" s="35" t="s">
        <v>769</v>
      </c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</row>
  </sheetData>
  <mergeCells count="73">
    <mergeCell ref="F5:F6"/>
    <mergeCell ref="A5:A6"/>
    <mergeCell ref="B5:B6"/>
    <mergeCell ref="C5:C6"/>
    <mergeCell ref="D5:D6"/>
    <mergeCell ref="E5:E6"/>
    <mergeCell ref="F10:F11"/>
    <mergeCell ref="A7:A9"/>
    <mergeCell ref="B7:B8"/>
    <mergeCell ref="C7:C8"/>
    <mergeCell ref="D7:D8"/>
    <mergeCell ref="E7:E8"/>
    <mergeCell ref="F7:F8"/>
    <mergeCell ref="A10:A12"/>
    <mergeCell ref="B10:B11"/>
    <mergeCell ref="C10:C11"/>
    <mergeCell ref="D10:D11"/>
    <mergeCell ref="E10:E11"/>
    <mergeCell ref="F13:F15"/>
    <mergeCell ref="B16:B20"/>
    <mergeCell ref="C16:C20"/>
    <mergeCell ref="B21:B25"/>
    <mergeCell ref="C21:C25"/>
    <mergeCell ref="A13:A25"/>
    <mergeCell ref="B13:B15"/>
    <mergeCell ref="C13:C15"/>
    <mergeCell ref="D13:D15"/>
    <mergeCell ref="E13:E15"/>
    <mergeCell ref="E34:E36"/>
    <mergeCell ref="F34:F36"/>
    <mergeCell ref="A26:A40"/>
    <mergeCell ref="B26:B28"/>
    <mergeCell ref="C26:C28"/>
    <mergeCell ref="D26:D28"/>
    <mergeCell ref="E26:E28"/>
    <mergeCell ref="F26:F28"/>
    <mergeCell ref="B30:B32"/>
    <mergeCell ref="C30:C32"/>
    <mergeCell ref="D30:D32"/>
    <mergeCell ref="E30:E32"/>
    <mergeCell ref="F1:F4"/>
    <mergeCell ref="E41:E43"/>
    <mergeCell ref="F41:F43"/>
    <mergeCell ref="A46:A47"/>
    <mergeCell ref="B46:B47"/>
    <mergeCell ref="C46:C47"/>
    <mergeCell ref="B38:B40"/>
    <mergeCell ref="C38:C40"/>
    <mergeCell ref="A41:A45"/>
    <mergeCell ref="B41:B43"/>
    <mergeCell ref="C41:C43"/>
    <mergeCell ref="D41:D43"/>
    <mergeCell ref="F30:F32"/>
    <mergeCell ref="B34:B36"/>
    <mergeCell ref="C34:C36"/>
    <mergeCell ref="D34:D36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6CAE-4D1F-4DDF-8EA3-192CB3C7FAC6}">
  <sheetPr codeName="Planilha13"/>
  <dimension ref="A1:AB55"/>
  <sheetViews>
    <sheetView showGridLines="0" topLeftCell="K1" workbookViewId="0">
      <selection activeCell="AB49" sqref="AB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57031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8" t="s">
        <v>67</v>
      </c>
      <c r="B1" s="128" t="s">
        <v>68</v>
      </c>
      <c r="C1" s="128" t="s">
        <v>69</v>
      </c>
      <c r="D1" s="128" t="s">
        <v>70</v>
      </c>
      <c r="E1" s="128" t="s">
        <v>71</v>
      </c>
      <c r="F1" s="128" t="s">
        <v>15</v>
      </c>
      <c r="G1" s="128" t="s">
        <v>73</v>
      </c>
      <c r="H1" s="128" t="s">
        <v>74</v>
      </c>
      <c r="I1" s="128" t="s">
        <v>744</v>
      </c>
      <c r="J1" s="107"/>
      <c r="L1" s="126" t="s">
        <v>770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</row>
    <row r="2" spans="1:28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672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</row>
    <row r="3" spans="1:28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645</v>
      </c>
      <c r="M3" s="126"/>
      <c r="N3" s="126"/>
      <c r="O3" s="126"/>
      <c r="P3" s="126"/>
      <c r="Q3" s="126"/>
      <c r="R3" s="126" t="s">
        <v>676</v>
      </c>
      <c r="S3" s="126"/>
      <c r="T3" s="126" t="s">
        <v>654</v>
      </c>
      <c r="U3" s="126"/>
      <c r="V3" s="126"/>
      <c r="W3" s="126"/>
      <c r="X3" s="126" t="s">
        <v>664</v>
      </c>
      <c r="Y3" s="126"/>
      <c r="Z3" s="126" t="s">
        <v>667</v>
      </c>
      <c r="AA3" s="126"/>
      <c r="AB3" s="126" t="s">
        <v>653</v>
      </c>
    </row>
    <row r="4" spans="1:28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4" t="s">
        <v>647</v>
      </c>
      <c r="M4" s="34" t="s">
        <v>673</v>
      </c>
      <c r="N4" s="34" t="s">
        <v>674</v>
      </c>
      <c r="O4" s="34" t="s">
        <v>733</v>
      </c>
      <c r="P4" s="34" t="s">
        <v>675</v>
      </c>
      <c r="Q4" s="34" t="s">
        <v>653</v>
      </c>
      <c r="R4" s="34" t="s">
        <v>677</v>
      </c>
      <c r="S4" s="34" t="s">
        <v>653</v>
      </c>
      <c r="T4" s="34" t="s">
        <v>678</v>
      </c>
      <c r="U4" s="34" t="s">
        <v>679</v>
      </c>
      <c r="V4" s="34" t="s">
        <v>680</v>
      </c>
      <c r="W4" s="34" t="s">
        <v>653</v>
      </c>
      <c r="X4" s="34" t="s">
        <v>665</v>
      </c>
      <c r="Y4" s="34" t="s">
        <v>653</v>
      </c>
      <c r="Z4" s="34" t="s">
        <v>681</v>
      </c>
      <c r="AA4" s="34" t="s">
        <v>653</v>
      </c>
      <c r="AB4" s="127"/>
    </row>
    <row r="5" spans="1:28" ht="11.25" customHeight="1" x14ac:dyDescent="0.25">
      <c r="A5" s="129" t="s">
        <v>39</v>
      </c>
      <c r="B5" s="129" t="s">
        <v>78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80</v>
      </c>
      <c r="H5" s="32" t="s">
        <v>79</v>
      </c>
      <c r="I5" s="32">
        <f>'MERCADO TE'!$U$2</f>
        <v>6416.6180000000004</v>
      </c>
      <c r="J5" s="17"/>
      <c r="L5" s="30">
        <f>'TR TE'!$L$5*'TR TE'!$L$54</f>
        <v>2.3178389475020338</v>
      </c>
      <c r="M5" s="30">
        <f>'TR TE'!$M$5*'TR TE'!$M$54</f>
        <v>34.854968514481214</v>
      </c>
      <c r="N5" s="30">
        <f>'TR TE'!$N$5*'TR TE'!$N$54</f>
        <v>0</v>
      </c>
      <c r="O5" s="30">
        <f>'TR TE'!$O$5*'TR TE'!$O$54</f>
        <v>12.064087448531181</v>
      </c>
      <c r="P5" s="30">
        <f>'TR TE'!$P$5*'TR TE'!$P$54</f>
        <v>-17.197125811903035</v>
      </c>
      <c r="Q5" s="30">
        <f>SUM($L$5:$P$5)</f>
        <v>32.039769098611394</v>
      </c>
      <c r="R5" s="30">
        <f>'TR TE'!$R$5*'TR TE'!$R$54</f>
        <v>324.85322239227258</v>
      </c>
      <c r="S5" s="30">
        <f>SUM($R$5:$R$5)</f>
        <v>324.85322239227258</v>
      </c>
      <c r="T5" s="30">
        <f>'TR TE'!$T$5*'TR TE'!$T$54</f>
        <v>0</v>
      </c>
      <c r="U5" s="30">
        <f>'TR TE'!$U$5*'TR TE'!$U$54</f>
        <v>0</v>
      </c>
      <c r="V5" s="30">
        <f>'TR TE'!$V$5*'TR TE'!$V$54</f>
        <v>0</v>
      </c>
      <c r="W5" s="30">
        <f>SUM($T$5:$V$5)</f>
        <v>0</v>
      </c>
      <c r="X5" s="30"/>
      <c r="Y5" s="30">
        <f>SUM($X$5:$X$5)</f>
        <v>0</v>
      </c>
      <c r="Z5" s="30">
        <f>'TR TE'!$Z$5*'TR TE'!$Z$54</f>
        <v>5.5617950200447179</v>
      </c>
      <c r="AA5" s="30">
        <f>SUM($Z$5:$Z$5)</f>
        <v>5.5617950200447179</v>
      </c>
      <c r="AB5" s="30">
        <f>SUMIF($L$4:$AA$4,"SUBTOTAL",$L$5:$AA$5)</f>
        <v>362.45478651092867</v>
      </c>
    </row>
    <row r="6" spans="1:28" ht="11.25" customHeight="1" x14ac:dyDescent="0.25">
      <c r="A6" s="129"/>
      <c r="B6" s="129"/>
      <c r="C6" s="129"/>
      <c r="D6" s="129"/>
      <c r="E6" s="129"/>
      <c r="F6" s="129"/>
      <c r="G6" s="32" t="s">
        <v>81</v>
      </c>
      <c r="H6" s="32" t="s">
        <v>79</v>
      </c>
      <c r="I6" s="32">
        <f>'MERCADO TE'!$U$3</f>
        <v>66718.100999999995</v>
      </c>
      <c r="J6" s="17"/>
      <c r="L6" s="30">
        <f>'TR TE'!$L$6*'TR TE'!$L$54</f>
        <v>2.3178389475020338</v>
      </c>
      <c r="M6" s="30">
        <f>'TR TE'!$M$6*'TR TE'!$M$54</f>
        <v>34.854968514481214</v>
      </c>
      <c r="N6" s="30">
        <f>'TR TE'!$N$6*'TR TE'!$N$54</f>
        <v>0</v>
      </c>
      <c r="O6" s="30">
        <f>'TR TE'!$O$6*'TR TE'!$O$54</f>
        <v>12.064087448531181</v>
      </c>
      <c r="P6" s="30">
        <f>'TR TE'!$P$6*'TR TE'!$P$54</f>
        <v>-17.197125811903035</v>
      </c>
      <c r="Q6" s="30">
        <f>SUM($L$6:$P$6)</f>
        <v>32.039769098611394</v>
      </c>
      <c r="R6" s="30">
        <f>'TR TE'!$R$6*'TR TE'!$R$54</f>
        <v>188.86815255364687</v>
      </c>
      <c r="S6" s="30">
        <f>SUM($R$6:$R$6)</f>
        <v>188.86815255364687</v>
      </c>
      <c r="T6" s="30">
        <f>'TR TE'!$T$6*'TR TE'!$T$54</f>
        <v>0</v>
      </c>
      <c r="U6" s="30">
        <f>'TR TE'!$U$6*'TR TE'!$U$54</f>
        <v>0</v>
      </c>
      <c r="V6" s="30">
        <f>'TR TE'!$V$6*'TR TE'!$V$54</f>
        <v>0</v>
      </c>
      <c r="W6" s="30">
        <f>SUM($T$6:$V$6)</f>
        <v>0</v>
      </c>
      <c r="X6" s="30"/>
      <c r="Y6" s="30">
        <f>SUM($X$6:$X$6)</f>
        <v>0</v>
      </c>
      <c r="Z6" s="30">
        <f>'TR TE'!$Z$6*'TR TE'!$Z$54</f>
        <v>5.5617950200447179</v>
      </c>
      <c r="AA6" s="30">
        <f>SUM($Z$6:$Z$6)</f>
        <v>5.5617950200447179</v>
      </c>
      <c r="AB6" s="30">
        <f>SUMIF($L$4:$AA$4,"SUBTOTAL",$L$6:$AA$6)</f>
        <v>226.46971667230298</v>
      </c>
    </row>
    <row r="7" spans="1:28" ht="11.25" customHeight="1" x14ac:dyDescent="0.25">
      <c r="A7" s="129" t="s">
        <v>42</v>
      </c>
      <c r="B7" s="129" t="s">
        <v>78</v>
      </c>
      <c r="C7" s="129" t="s">
        <v>25</v>
      </c>
      <c r="D7" s="129" t="s">
        <v>25</v>
      </c>
      <c r="E7" s="129" t="s">
        <v>25</v>
      </c>
      <c r="F7" s="129" t="s">
        <v>25</v>
      </c>
      <c r="G7" s="32" t="s">
        <v>80</v>
      </c>
      <c r="H7" s="32" t="s">
        <v>79</v>
      </c>
      <c r="I7" s="32">
        <f>'MERCADO TE'!$U$4</f>
        <v>30.865000000000002</v>
      </c>
      <c r="J7" s="17"/>
      <c r="L7" s="30">
        <f>'TR TE'!$L$7*'TR TE'!$L$54</f>
        <v>2.3178389475020338</v>
      </c>
      <c r="M7" s="30">
        <f>'TR TE'!$M$7*'TR TE'!$M$54</f>
        <v>34.854968514481214</v>
      </c>
      <c r="N7" s="30">
        <f>'TR TE'!$N$7*'TR TE'!$N$54</f>
        <v>0</v>
      </c>
      <c r="O7" s="30">
        <f>'TR TE'!$O$7*'TR TE'!$O$54</f>
        <v>12.064087448531181</v>
      </c>
      <c r="P7" s="30">
        <f>'TR TE'!$P$7*'TR TE'!$P$54</f>
        <v>-17.197125811903035</v>
      </c>
      <c r="Q7" s="30">
        <f>SUM($L$7:$P$7)</f>
        <v>32.039769098611394</v>
      </c>
      <c r="R7" s="30">
        <f>'TR TE'!$R$7*'TR TE'!$R$54</f>
        <v>324.85322239227258</v>
      </c>
      <c r="S7" s="30">
        <f>SUM($R$7:$R$7)</f>
        <v>324.85322239227258</v>
      </c>
      <c r="T7" s="30">
        <f>'TR TE'!$T$7*'TR TE'!$T$54</f>
        <v>0</v>
      </c>
      <c r="U7" s="30">
        <f>'TR TE'!$U$7*'TR TE'!$U$54</f>
        <v>0</v>
      </c>
      <c r="V7" s="30">
        <f>'TR TE'!$V$7*'TR TE'!$V$54</f>
        <v>0</v>
      </c>
      <c r="W7" s="30">
        <f>SUM($T$7:$V$7)</f>
        <v>0</v>
      </c>
      <c r="X7" s="30"/>
      <c r="Y7" s="30">
        <f>SUM($X$7:$X$7)</f>
        <v>0</v>
      </c>
      <c r="Z7" s="30">
        <f>'TR TE'!$Z$7*'TR TE'!$Z$54</f>
        <v>5.5617950200447179</v>
      </c>
      <c r="AA7" s="30">
        <f>SUM($Z$7:$Z$7)</f>
        <v>5.5617950200447179</v>
      </c>
      <c r="AB7" s="30">
        <f>SUMIF($L$4:$AA$4,"SUBTOTAL",$L$7:$AA$7)</f>
        <v>362.45478651092867</v>
      </c>
    </row>
    <row r="8" spans="1:28" ht="11.25" customHeight="1" x14ac:dyDescent="0.25">
      <c r="A8" s="129"/>
      <c r="B8" s="129"/>
      <c r="C8" s="129"/>
      <c r="D8" s="129"/>
      <c r="E8" s="129"/>
      <c r="F8" s="129"/>
      <c r="G8" s="32" t="s">
        <v>81</v>
      </c>
      <c r="H8" s="32" t="s">
        <v>79</v>
      </c>
      <c r="I8" s="32">
        <f>'MERCADO TE'!$U$5</f>
        <v>189.88</v>
      </c>
      <c r="J8" s="17"/>
      <c r="L8" s="30">
        <f>'TR TE'!$L$8*'TR TE'!$L$54</f>
        <v>2.3178389475020338</v>
      </c>
      <c r="M8" s="30">
        <f>'TR TE'!$M$8*'TR TE'!$M$54</f>
        <v>34.854968514481214</v>
      </c>
      <c r="N8" s="30">
        <f>'TR TE'!$N$8*'TR TE'!$N$54</f>
        <v>0</v>
      </c>
      <c r="O8" s="30">
        <f>'TR TE'!$O$8*'TR TE'!$O$54</f>
        <v>12.064087448531181</v>
      </c>
      <c r="P8" s="30">
        <f>'TR TE'!$P$8*'TR TE'!$P$54</f>
        <v>-17.197125811903035</v>
      </c>
      <c r="Q8" s="30">
        <f>SUM($L$8:$P$8)</f>
        <v>32.039769098611394</v>
      </c>
      <c r="R8" s="30">
        <f>'TR TE'!$R$8*'TR TE'!$R$54</f>
        <v>188.86815255364687</v>
      </c>
      <c r="S8" s="30">
        <f>SUM($R$8:$R$8)</f>
        <v>188.86815255364687</v>
      </c>
      <c r="T8" s="30">
        <f>'TR TE'!$T$8*'TR TE'!$T$54</f>
        <v>0</v>
      </c>
      <c r="U8" s="30">
        <f>'TR TE'!$U$8*'TR TE'!$U$54</f>
        <v>0</v>
      </c>
      <c r="V8" s="30">
        <f>'TR TE'!$V$8*'TR TE'!$V$54</f>
        <v>0</v>
      </c>
      <c r="W8" s="30">
        <f>SUM($T$8:$V$8)</f>
        <v>0</v>
      </c>
      <c r="X8" s="30"/>
      <c r="Y8" s="30">
        <f>SUM($X$8:$X$8)</f>
        <v>0</v>
      </c>
      <c r="Z8" s="30">
        <f>'TR TE'!$Z$8*'TR TE'!$Z$54</f>
        <v>5.5617950200447179</v>
      </c>
      <c r="AA8" s="30">
        <f>SUM($Z$8:$Z$8)</f>
        <v>5.5617950200447179</v>
      </c>
      <c r="AB8" s="30">
        <f>SUMIF($L$4:$AA$4,"SUBTOTAL",$L$8:$AA$8)</f>
        <v>226.46971667230298</v>
      </c>
    </row>
    <row r="9" spans="1:28" ht="11.25" customHeight="1" x14ac:dyDescent="0.25">
      <c r="A9" s="129"/>
      <c r="B9" s="33" t="s">
        <v>86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84</v>
      </c>
      <c r="H9" s="32" t="s">
        <v>79</v>
      </c>
      <c r="I9" s="32">
        <f>'MERCADO TE'!$U$6</f>
        <v>0</v>
      </c>
      <c r="J9" s="17"/>
      <c r="L9" s="30">
        <f>'TR TE'!$L$9*'TR TE'!$L$54</f>
        <v>2.3178389475020338</v>
      </c>
      <c r="M9" s="30">
        <f>'TR TE'!$M$9*'TR TE'!$M$54</f>
        <v>34.854968514481214</v>
      </c>
      <c r="N9" s="30">
        <f>'TR TE'!$N$9*'TR TE'!$N$54</f>
        <v>0</v>
      </c>
      <c r="O9" s="30">
        <f>'TR TE'!$O$9*'TR TE'!$O$54</f>
        <v>12.064087448531181</v>
      </c>
      <c r="P9" s="30">
        <f>'TR TE'!$P$9*'TR TE'!$P$54</f>
        <v>-17.197125811903035</v>
      </c>
      <c r="Q9" s="30">
        <f>SUM($L$9:$P$9)</f>
        <v>32.039769098611394</v>
      </c>
      <c r="R9" s="30">
        <f>'TR TE'!$R$9*'TR TE'!$R$54</f>
        <v>200.20024170686568</v>
      </c>
      <c r="S9" s="30">
        <f>SUM($R$9:$R$9)</f>
        <v>200.20024170686568</v>
      </c>
      <c r="T9" s="30">
        <f>'TR TE'!$T$9*'TR TE'!$T$54</f>
        <v>0</v>
      </c>
      <c r="U9" s="30">
        <f>'TR TE'!$U$9*'TR TE'!$U$54</f>
        <v>0</v>
      </c>
      <c r="V9" s="30">
        <f>'TR TE'!$V$9*'TR TE'!$V$54</f>
        <v>0</v>
      </c>
      <c r="W9" s="30">
        <f>SUM($T$9:$V$9)</f>
        <v>0</v>
      </c>
      <c r="X9" s="30"/>
      <c r="Y9" s="30">
        <f>SUM($X$9:$X$9)</f>
        <v>0</v>
      </c>
      <c r="Z9" s="30">
        <f>'TR TE'!$Z$9*'TR TE'!$Z$54</f>
        <v>5.5617950200447179</v>
      </c>
      <c r="AA9" s="30">
        <f>SUM($Z$9:$Z$9)</f>
        <v>5.5617950200447179</v>
      </c>
      <c r="AB9" s="30">
        <f>SUMIF($L$4:$AA$4,"SUBTOTAL",$L$9:$AA$9)</f>
        <v>237.8018058255218</v>
      </c>
    </row>
    <row r="10" spans="1:28" ht="11.25" customHeight="1" x14ac:dyDescent="0.25">
      <c r="A10" s="129" t="s">
        <v>41</v>
      </c>
      <c r="B10" s="129" t="s">
        <v>78</v>
      </c>
      <c r="C10" s="129" t="s">
        <v>25</v>
      </c>
      <c r="D10" s="129" t="s">
        <v>25</v>
      </c>
      <c r="E10" s="129" t="s">
        <v>25</v>
      </c>
      <c r="F10" s="129" t="s">
        <v>25</v>
      </c>
      <c r="G10" s="32" t="s">
        <v>80</v>
      </c>
      <c r="H10" s="32" t="s">
        <v>79</v>
      </c>
      <c r="I10" s="32">
        <f>'MERCADO TE'!$U$7</f>
        <v>17653.802</v>
      </c>
      <c r="J10" s="17"/>
      <c r="L10" s="30">
        <f>'TR TE'!$L$10*'TR TE'!$L$54</f>
        <v>2.3178389475020338</v>
      </c>
      <c r="M10" s="30">
        <f>'TR TE'!$M$10*'TR TE'!$M$54</f>
        <v>34.854968514481214</v>
      </c>
      <c r="N10" s="30">
        <f>'TR TE'!$N$10*'TR TE'!$N$54</f>
        <v>0</v>
      </c>
      <c r="O10" s="30">
        <f>'TR TE'!$O$10*'TR TE'!$O$54</f>
        <v>12.064087448531181</v>
      </c>
      <c r="P10" s="30">
        <f>'TR TE'!$P$10*'TR TE'!$P$54</f>
        <v>-17.197125811903035</v>
      </c>
      <c r="Q10" s="30">
        <f>SUM($L$10:$P$10)</f>
        <v>32.039769098611394</v>
      </c>
      <c r="R10" s="30">
        <f>'TR TE'!$R$10*'TR TE'!$R$54</f>
        <v>324.85322239227258</v>
      </c>
      <c r="S10" s="30">
        <f>SUM($R$10:$R$10)</f>
        <v>324.85322239227258</v>
      </c>
      <c r="T10" s="30">
        <f>'TR TE'!$T$10*'TR TE'!$T$54</f>
        <v>0</v>
      </c>
      <c r="U10" s="30">
        <f>'TR TE'!$U$10*'TR TE'!$U$54</f>
        <v>0</v>
      </c>
      <c r="V10" s="30">
        <f>'TR TE'!$V$10*'TR TE'!$V$54</f>
        <v>0</v>
      </c>
      <c r="W10" s="30">
        <f>SUM($T$10:$V$10)</f>
        <v>0</v>
      </c>
      <c r="X10" s="30"/>
      <c r="Y10" s="30">
        <f>SUM($X$10:$X$10)</f>
        <v>0</v>
      </c>
      <c r="Z10" s="30">
        <f>'TR TE'!$Z$10*'TR TE'!$Z$54</f>
        <v>5.5617950200447179</v>
      </c>
      <c r="AA10" s="30">
        <f>SUM($Z$10:$Z$10)</f>
        <v>5.5617950200447179</v>
      </c>
      <c r="AB10" s="30">
        <f>SUMIF($L$4:$AA$4,"SUBTOTAL",$L$10:$AA$10)</f>
        <v>362.45478651092867</v>
      </c>
    </row>
    <row r="11" spans="1:28" ht="11.25" customHeight="1" x14ac:dyDescent="0.25">
      <c r="A11" s="129"/>
      <c r="B11" s="129"/>
      <c r="C11" s="129"/>
      <c r="D11" s="129"/>
      <c r="E11" s="129"/>
      <c r="F11" s="129"/>
      <c r="G11" s="32" t="s">
        <v>81</v>
      </c>
      <c r="H11" s="32" t="s">
        <v>79</v>
      </c>
      <c r="I11" s="32">
        <f>'MERCADO TE'!$U$8</f>
        <v>207546.47200000001</v>
      </c>
      <c r="J11" s="17"/>
      <c r="L11" s="30">
        <f>'TR TE'!$L$11*'TR TE'!$L$54</f>
        <v>2.3178389475020338</v>
      </c>
      <c r="M11" s="30">
        <f>'TR TE'!$M$11*'TR TE'!$M$54</f>
        <v>34.854968514481214</v>
      </c>
      <c r="N11" s="30">
        <f>'TR TE'!$N$11*'TR TE'!$N$54</f>
        <v>0</v>
      </c>
      <c r="O11" s="30">
        <f>'TR TE'!$O$11*'TR TE'!$O$54</f>
        <v>12.064087448531181</v>
      </c>
      <c r="P11" s="30">
        <f>'TR TE'!$P$11*'TR TE'!$P$54</f>
        <v>-17.197125811903035</v>
      </c>
      <c r="Q11" s="30">
        <f>SUM($L$11:$P$11)</f>
        <v>32.039769098611394</v>
      </c>
      <c r="R11" s="30">
        <f>'TR TE'!$R$11*'TR TE'!$R$54</f>
        <v>188.86815255364687</v>
      </c>
      <c r="S11" s="30">
        <f>SUM($R$11:$R$11)</f>
        <v>188.86815255364687</v>
      </c>
      <c r="T11" s="30">
        <f>'TR TE'!$T$11*'TR TE'!$T$54</f>
        <v>0</v>
      </c>
      <c r="U11" s="30">
        <f>'TR TE'!$U$11*'TR TE'!$U$54</f>
        <v>0</v>
      </c>
      <c r="V11" s="30">
        <f>'TR TE'!$V$11*'TR TE'!$V$54</f>
        <v>0</v>
      </c>
      <c r="W11" s="30">
        <f>SUM($T$11:$V$11)</f>
        <v>0</v>
      </c>
      <c r="X11" s="30"/>
      <c r="Y11" s="30">
        <f>SUM($X$11:$X$11)</f>
        <v>0</v>
      </c>
      <c r="Z11" s="30">
        <f>'TR TE'!$Z$11*'TR TE'!$Z$54</f>
        <v>5.5617950200447179</v>
      </c>
      <c r="AA11" s="30">
        <f>SUM($Z$11:$Z$11)</f>
        <v>5.5617950200447179</v>
      </c>
      <c r="AB11" s="30">
        <f>SUMIF($L$4:$AA$4,"SUBTOTAL",$L$11:$AA$11)</f>
        <v>226.46971667230298</v>
      </c>
    </row>
    <row r="12" spans="1:28" ht="11.25" customHeight="1" x14ac:dyDescent="0.25">
      <c r="A12" s="129"/>
      <c r="B12" s="33" t="s">
        <v>86</v>
      </c>
      <c r="C12" s="33" t="s">
        <v>25</v>
      </c>
      <c r="D12" s="33" t="s">
        <v>25</v>
      </c>
      <c r="E12" s="33" t="s">
        <v>25</v>
      </c>
      <c r="F12" s="33" t="s">
        <v>25</v>
      </c>
      <c r="G12" s="32" t="s">
        <v>84</v>
      </c>
      <c r="H12" s="32" t="s">
        <v>79</v>
      </c>
      <c r="I12" s="32">
        <f>'MERCADO TE'!$U$9</f>
        <v>0</v>
      </c>
      <c r="J12" s="17"/>
      <c r="L12" s="30">
        <f>'TR TE'!$L$12*'TR TE'!$L$54</f>
        <v>2.3178389475020338</v>
      </c>
      <c r="M12" s="30">
        <f>'TR TE'!$M$12*'TR TE'!$M$54</f>
        <v>34.854968514481214</v>
      </c>
      <c r="N12" s="30">
        <f>'TR TE'!$N$12*'TR TE'!$N$54</f>
        <v>0</v>
      </c>
      <c r="O12" s="30">
        <f>'TR TE'!$O$12*'TR TE'!$O$54</f>
        <v>12.064087448531181</v>
      </c>
      <c r="P12" s="30">
        <f>'TR TE'!$P$12*'TR TE'!$P$54</f>
        <v>-17.197125811903035</v>
      </c>
      <c r="Q12" s="30">
        <f>SUM($L$12:$P$12)</f>
        <v>32.039769098611394</v>
      </c>
      <c r="R12" s="30">
        <f>'TR TE'!$R$12*'TR TE'!$R$54</f>
        <v>200.20024170686568</v>
      </c>
      <c r="S12" s="30">
        <f>SUM($R$12:$R$12)</f>
        <v>200.20024170686568</v>
      </c>
      <c r="T12" s="30">
        <f>'TR TE'!$T$12*'TR TE'!$T$54</f>
        <v>0</v>
      </c>
      <c r="U12" s="30">
        <f>'TR TE'!$U$12*'TR TE'!$U$54</f>
        <v>0</v>
      </c>
      <c r="V12" s="30">
        <f>'TR TE'!$V$12*'TR TE'!$V$54</f>
        <v>0</v>
      </c>
      <c r="W12" s="30">
        <f>SUM($T$12:$V$12)</f>
        <v>0</v>
      </c>
      <c r="X12" s="30"/>
      <c r="Y12" s="30">
        <f>SUM($X$12:$X$12)</f>
        <v>0</v>
      </c>
      <c r="Z12" s="30">
        <f>'TR TE'!$Z$12*'TR TE'!$Z$54</f>
        <v>5.5617950200447179</v>
      </c>
      <c r="AA12" s="30">
        <f>SUM($Z$12:$Z$12)</f>
        <v>5.5617950200447179</v>
      </c>
      <c r="AB12" s="30">
        <f>SUMIF($L$4:$AA$4,"SUBTOTAL",$L$12:$AA$12)</f>
        <v>237.8018058255218</v>
      </c>
    </row>
    <row r="13" spans="1:28" ht="11.25" customHeight="1" x14ac:dyDescent="0.25">
      <c r="A13" s="129" t="s">
        <v>22</v>
      </c>
      <c r="B13" s="129" t="s">
        <v>78</v>
      </c>
      <c r="C13" s="129" t="s">
        <v>24</v>
      </c>
      <c r="D13" s="129" t="s">
        <v>24</v>
      </c>
      <c r="E13" s="129" t="s">
        <v>25</v>
      </c>
      <c r="F13" s="129" t="s">
        <v>25</v>
      </c>
      <c r="G13" s="32" t="s">
        <v>80</v>
      </c>
      <c r="H13" s="32" t="s">
        <v>79</v>
      </c>
      <c r="I13" s="32">
        <f>'MERCADO TE'!$U$10</f>
        <v>14.996999999999998</v>
      </c>
      <c r="J13" s="17"/>
      <c r="L13" s="30">
        <f>'TR TE'!$L$13*'TR TE'!$L$54</f>
        <v>2.3178389475020338</v>
      </c>
      <c r="M13" s="30">
        <f>'TR TE'!$M$13*'TR TE'!$M$54</f>
        <v>34.854968514481214</v>
      </c>
      <c r="N13" s="30">
        <f>'TR TE'!$N$13*'TR TE'!$N$54</f>
        <v>0</v>
      </c>
      <c r="O13" s="30">
        <f>'TR TE'!$O$13*'TR TE'!$O$54</f>
        <v>12.064087448531181</v>
      </c>
      <c r="P13" s="30">
        <f>'TR TE'!$P$13*'TR TE'!$P$54</f>
        <v>-17.197125811903035</v>
      </c>
      <c r="Q13" s="30">
        <f>SUM($L$13:$P$13)</f>
        <v>32.039769098611394</v>
      </c>
      <c r="R13" s="30">
        <f>'TR TE'!$R$13*'TR TE'!$R$54</f>
        <v>324.85322239227258</v>
      </c>
      <c r="S13" s="30">
        <f>SUM($R$13:$R$13)</f>
        <v>324.85322239227258</v>
      </c>
      <c r="T13" s="30">
        <f>'TR TE'!$T$13*'TR TE'!$T$54</f>
        <v>0</v>
      </c>
      <c r="U13" s="30">
        <f>'TR TE'!$U$13*'TR TE'!$U$54</f>
        <v>0</v>
      </c>
      <c r="V13" s="30">
        <f>'TR TE'!$V$13*'TR TE'!$V$54</f>
        <v>0</v>
      </c>
      <c r="W13" s="30">
        <f>SUM($T$13:$V$13)</f>
        <v>0</v>
      </c>
      <c r="X13" s="30"/>
      <c r="Y13" s="30">
        <f>SUM($X$13:$X$13)</f>
        <v>0</v>
      </c>
      <c r="Z13" s="30">
        <f>'TR TE'!$Z$13*'TR TE'!$Z$54</f>
        <v>5.5617950200447179</v>
      </c>
      <c r="AA13" s="30">
        <f>SUM($Z$13:$Z$13)</f>
        <v>5.5617950200447179</v>
      </c>
      <c r="AB13" s="30">
        <f>SUMIF($L$4:$AA$4,"SUBTOTAL",$L$13:$AA$13)</f>
        <v>362.45478651092867</v>
      </c>
    </row>
    <row r="14" spans="1:28" ht="11.25" customHeight="1" x14ac:dyDescent="0.25">
      <c r="A14" s="129"/>
      <c r="B14" s="129"/>
      <c r="C14" s="129"/>
      <c r="D14" s="129"/>
      <c r="E14" s="129"/>
      <c r="F14" s="129"/>
      <c r="G14" s="32" t="s">
        <v>90</v>
      </c>
      <c r="H14" s="32" t="s">
        <v>79</v>
      </c>
      <c r="I14" s="32">
        <f>'MERCADO TE'!$U$11</f>
        <v>13.277000000000001</v>
      </c>
      <c r="J14" s="17"/>
      <c r="L14" s="30">
        <f>'TR TE'!$L$14*'TR TE'!$L$54</f>
        <v>2.3178389475020338</v>
      </c>
      <c r="M14" s="30">
        <f>'TR TE'!$M$14*'TR TE'!$M$54</f>
        <v>34.854968514481214</v>
      </c>
      <c r="N14" s="30">
        <f>'TR TE'!$N$14*'TR TE'!$N$54</f>
        <v>0</v>
      </c>
      <c r="O14" s="30">
        <f>'TR TE'!$O$14*'TR TE'!$O$54</f>
        <v>12.064087448531181</v>
      </c>
      <c r="P14" s="30">
        <f>'TR TE'!$P$14*'TR TE'!$P$54</f>
        <v>-17.197125811903035</v>
      </c>
      <c r="Q14" s="30">
        <f>SUM($L$14:$P$14)</f>
        <v>32.039769098611394</v>
      </c>
      <c r="R14" s="30">
        <f>'TR TE'!$R$14*'TR TE'!$R$54</f>
        <v>188.86815255364687</v>
      </c>
      <c r="S14" s="30">
        <f>SUM($R$14:$R$14)</f>
        <v>188.86815255364687</v>
      </c>
      <c r="T14" s="30">
        <f>'TR TE'!$T$14*'TR TE'!$T$54</f>
        <v>0</v>
      </c>
      <c r="U14" s="30">
        <f>'TR TE'!$U$14*'TR TE'!$U$54</f>
        <v>0</v>
      </c>
      <c r="V14" s="30">
        <f>'TR TE'!$V$14*'TR TE'!$V$54</f>
        <v>0</v>
      </c>
      <c r="W14" s="30">
        <f>SUM($T$14:$V$14)</f>
        <v>0</v>
      </c>
      <c r="X14" s="30"/>
      <c r="Y14" s="30">
        <f>SUM($X$14:$X$14)</f>
        <v>0</v>
      </c>
      <c r="Z14" s="30">
        <f>'TR TE'!$Z$14*'TR TE'!$Z$54</f>
        <v>5.5617950200447179</v>
      </c>
      <c r="AA14" s="30">
        <f>SUM($Z$14:$Z$14)</f>
        <v>5.5617950200447179</v>
      </c>
      <c r="AB14" s="30">
        <f>SUMIF($L$4:$AA$4,"SUBTOTAL",$L$14:$AA$14)</f>
        <v>226.46971667230298</v>
      </c>
    </row>
    <row r="15" spans="1:28" ht="11.25" customHeight="1" x14ac:dyDescent="0.25">
      <c r="A15" s="129"/>
      <c r="B15" s="129"/>
      <c r="C15" s="129"/>
      <c r="D15" s="129"/>
      <c r="E15" s="129"/>
      <c r="F15" s="129"/>
      <c r="G15" s="32" t="s">
        <v>81</v>
      </c>
      <c r="H15" s="32" t="s">
        <v>79</v>
      </c>
      <c r="I15" s="32">
        <f>'MERCADO TE'!$U$12</f>
        <v>196.47399999999999</v>
      </c>
      <c r="J15" s="17"/>
      <c r="L15" s="30">
        <f>'TR TE'!$L$15*'TR TE'!$L$54</f>
        <v>2.3178389475020338</v>
      </c>
      <c r="M15" s="30">
        <f>'TR TE'!$M$15*'TR TE'!$M$54</f>
        <v>34.854968514481214</v>
      </c>
      <c r="N15" s="30">
        <f>'TR TE'!$N$15*'TR TE'!$N$54</f>
        <v>0</v>
      </c>
      <c r="O15" s="30">
        <f>'TR TE'!$O$15*'TR TE'!$O$54</f>
        <v>12.064087448531181</v>
      </c>
      <c r="P15" s="30">
        <f>'TR TE'!$P$15*'TR TE'!$P$54</f>
        <v>-17.197125811903035</v>
      </c>
      <c r="Q15" s="30">
        <f>SUM($L$15:$P$15)</f>
        <v>32.039769098611394</v>
      </c>
      <c r="R15" s="30">
        <f>'TR TE'!$R$15*'TR TE'!$R$54</f>
        <v>188.86815255364687</v>
      </c>
      <c r="S15" s="30">
        <f>SUM($R$15:$R$15)</f>
        <v>188.86815255364687</v>
      </c>
      <c r="T15" s="30">
        <f>'TR TE'!$T$15*'TR TE'!$T$54</f>
        <v>0</v>
      </c>
      <c r="U15" s="30">
        <f>'TR TE'!$U$15*'TR TE'!$U$54</f>
        <v>0</v>
      </c>
      <c r="V15" s="30">
        <f>'TR TE'!$V$15*'TR TE'!$V$54</f>
        <v>0</v>
      </c>
      <c r="W15" s="30">
        <f>SUM($T$15:$V$15)</f>
        <v>0</v>
      </c>
      <c r="X15" s="30"/>
      <c r="Y15" s="30">
        <f>SUM($X$15:$X$15)</f>
        <v>0</v>
      </c>
      <c r="Z15" s="30">
        <f>'TR TE'!$Z$15*'TR TE'!$Z$54</f>
        <v>5.5617950200447179</v>
      </c>
      <c r="AA15" s="30">
        <f>SUM($Z$15:$Z$15)</f>
        <v>5.5617950200447179</v>
      </c>
      <c r="AB15" s="30">
        <f>SUMIF($L$4:$AA$4,"SUBTOTAL",$L$15:$AA$15)</f>
        <v>226.46971667230298</v>
      </c>
    </row>
    <row r="16" spans="1:28" ht="11.25" customHeight="1" x14ac:dyDescent="0.25">
      <c r="A16" s="129"/>
      <c r="B16" s="129" t="s">
        <v>86</v>
      </c>
      <c r="C16" s="129" t="s">
        <v>24</v>
      </c>
      <c r="D16" s="33" t="s">
        <v>24</v>
      </c>
      <c r="E16" s="33" t="s">
        <v>25</v>
      </c>
      <c r="F16" s="33" t="s">
        <v>25</v>
      </c>
      <c r="G16" s="32" t="s">
        <v>84</v>
      </c>
      <c r="H16" s="32" t="s">
        <v>79</v>
      </c>
      <c r="I16" s="32">
        <f>'MERCADO TE'!$U$13</f>
        <v>451723.65600000008</v>
      </c>
      <c r="J16" s="17"/>
      <c r="L16" s="30">
        <f>'TR TE'!$L$16*'TR TE'!$L$54</f>
        <v>2.3178389475020338</v>
      </c>
      <c r="M16" s="30">
        <f>'TR TE'!$M$16*'TR TE'!$M$54</f>
        <v>34.854968514481214</v>
      </c>
      <c r="N16" s="30">
        <f>'TR TE'!$N$16*'TR TE'!$N$54</f>
        <v>0</v>
      </c>
      <c r="O16" s="30">
        <f>'TR TE'!$O$16*'TR TE'!$O$54</f>
        <v>12.064087448531181</v>
      </c>
      <c r="P16" s="30">
        <f>'TR TE'!$P$16*'TR TE'!$P$54</f>
        <v>-17.197125811903035</v>
      </c>
      <c r="Q16" s="30">
        <f>SUM($L$16:$P$16)</f>
        <v>32.039769098611394</v>
      </c>
      <c r="R16" s="30">
        <f>'TR TE'!$R$16*'TR TE'!$R$54</f>
        <v>200.20024170686568</v>
      </c>
      <c r="S16" s="30">
        <f>SUM($R$16:$R$16)</f>
        <v>200.20024170686568</v>
      </c>
      <c r="T16" s="30">
        <f>'TR TE'!$T$16*'TR TE'!$T$54</f>
        <v>0</v>
      </c>
      <c r="U16" s="30">
        <f>'TR TE'!$U$16*'TR TE'!$U$54</f>
        <v>0</v>
      </c>
      <c r="V16" s="30">
        <f>'TR TE'!$V$16*'TR TE'!$V$54</f>
        <v>0</v>
      </c>
      <c r="W16" s="30">
        <f>SUM($T$16:$V$16)</f>
        <v>0</v>
      </c>
      <c r="X16" s="30"/>
      <c r="Y16" s="30">
        <f>SUM($X$16:$X$16)</f>
        <v>0</v>
      </c>
      <c r="Z16" s="30">
        <f>'TR TE'!$Z$16*'TR TE'!$Z$54</f>
        <v>5.5617950200447179</v>
      </c>
      <c r="AA16" s="30">
        <f>SUM($Z$16:$Z$16)</f>
        <v>5.5617950200447179</v>
      </c>
      <c r="AB16" s="30">
        <f>SUMIF($L$4:$AA$4,"SUBTOTAL",$L$16:$AA$16)</f>
        <v>237.8018058255218</v>
      </c>
    </row>
    <row r="17" spans="1:28" ht="11.25" customHeight="1" x14ac:dyDescent="0.25">
      <c r="A17" s="129"/>
      <c r="B17" s="129"/>
      <c r="C17" s="129"/>
      <c r="D17" s="33" t="s">
        <v>29</v>
      </c>
      <c r="E17" s="33" t="s">
        <v>25</v>
      </c>
      <c r="F17" s="33" t="s">
        <v>25</v>
      </c>
      <c r="G17" s="32" t="s">
        <v>84</v>
      </c>
      <c r="H17" s="32" t="s">
        <v>79</v>
      </c>
      <c r="I17" s="32">
        <f>'MERCADO TE'!$U$14</f>
        <v>15278.746999999999</v>
      </c>
      <c r="J17" s="17"/>
      <c r="L17" s="30">
        <f>'TR TE'!$L$17*'TR TE'!$L$54</f>
        <v>2.3178389475020338</v>
      </c>
      <c r="M17" s="30">
        <f>'TR TE'!$M$17*'TR TE'!$M$54</f>
        <v>34.854968514481214</v>
      </c>
      <c r="N17" s="30">
        <f>'TR TE'!$N$17*'TR TE'!$N$54</f>
        <v>0</v>
      </c>
      <c r="O17" s="30">
        <f>'TR TE'!$O$17*'TR TE'!$O$54</f>
        <v>12.064087448531181</v>
      </c>
      <c r="P17" s="30">
        <f>'TR TE'!$P$17*'TR TE'!$P$54</f>
        <v>-17.197125811903035</v>
      </c>
      <c r="Q17" s="30">
        <f>SUM($L$17:$P$17)</f>
        <v>32.039769098611394</v>
      </c>
      <c r="R17" s="30">
        <f>'TR TE'!$R$17*'TR TE'!$R$54</f>
        <v>200.20024170686568</v>
      </c>
      <c r="S17" s="30">
        <f>SUM($R$17:$R$17)</f>
        <v>200.20024170686568</v>
      </c>
      <c r="T17" s="30">
        <f>'TR TE'!$T$17*'TR TE'!$T$54</f>
        <v>0</v>
      </c>
      <c r="U17" s="30">
        <f>'TR TE'!$U$17*'TR TE'!$U$54</f>
        <v>0</v>
      </c>
      <c r="V17" s="30">
        <f>'TR TE'!$V$17*'TR TE'!$V$54</f>
        <v>0</v>
      </c>
      <c r="W17" s="30">
        <f>SUM($T$17:$V$17)</f>
        <v>0</v>
      </c>
      <c r="X17" s="30"/>
      <c r="Y17" s="30">
        <f>SUM($X$17:$X$17)</f>
        <v>0</v>
      </c>
      <c r="Z17" s="30">
        <f>'TR TE'!$Z$17*'TR TE'!$Z$54</f>
        <v>5.5617950200447179</v>
      </c>
      <c r="AA17" s="30">
        <f>SUM($Z$17:$Z$17)</f>
        <v>5.5617950200447179</v>
      </c>
      <c r="AB17" s="30">
        <f>SUMIF($L$4:$AA$4,"SUBTOTAL",$L$17:$AA$17)</f>
        <v>237.8018058255218</v>
      </c>
    </row>
    <row r="18" spans="1:28" ht="11.25" customHeight="1" x14ac:dyDescent="0.25">
      <c r="A18" s="129"/>
      <c r="B18" s="129"/>
      <c r="C18" s="129"/>
      <c r="D18" s="33" t="s">
        <v>30</v>
      </c>
      <c r="E18" s="33" t="s">
        <v>25</v>
      </c>
      <c r="F18" s="33" t="s">
        <v>25</v>
      </c>
      <c r="G18" s="32" t="s">
        <v>84</v>
      </c>
      <c r="H18" s="32" t="s">
        <v>79</v>
      </c>
      <c r="I18" s="32">
        <f>'MERCADO TE'!$U$15</f>
        <v>21966.755000000005</v>
      </c>
      <c r="J18" s="17"/>
      <c r="L18" s="30">
        <f>'TR TE'!$L$18*'TR TE'!$L$54</f>
        <v>2.3178389475020338</v>
      </c>
      <c r="M18" s="30">
        <f>'TR TE'!$M$18*'TR TE'!$M$54</f>
        <v>34.854968514481214</v>
      </c>
      <c r="N18" s="30">
        <f>'TR TE'!$N$18*'TR TE'!$N$54</f>
        <v>0</v>
      </c>
      <c r="O18" s="30">
        <f>'TR TE'!$O$18*'TR TE'!$O$54</f>
        <v>12.064087448531181</v>
      </c>
      <c r="P18" s="30">
        <f>'TR TE'!$P$18*'TR TE'!$P$54</f>
        <v>-17.197125811903035</v>
      </c>
      <c r="Q18" s="30">
        <f>SUM($L$18:$P$18)</f>
        <v>32.039769098611394</v>
      </c>
      <c r="R18" s="30">
        <f>'TR TE'!$R$18*'TR TE'!$R$54</f>
        <v>200.20024170686568</v>
      </c>
      <c r="S18" s="30">
        <f>SUM($R$18:$R$18)</f>
        <v>200.20024170686568</v>
      </c>
      <c r="T18" s="30">
        <f>'TR TE'!$T$18*'TR TE'!$T$54</f>
        <v>0</v>
      </c>
      <c r="U18" s="30">
        <f>'TR TE'!$U$18*'TR TE'!$U$54</f>
        <v>0</v>
      </c>
      <c r="V18" s="30">
        <f>'TR TE'!$V$18*'TR TE'!$V$54</f>
        <v>0</v>
      </c>
      <c r="W18" s="30">
        <f>SUM($T$18:$V$18)</f>
        <v>0</v>
      </c>
      <c r="X18" s="30"/>
      <c r="Y18" s="30">
        <f>SUM($X$18:$X$18)</f>
        <v>0</v>
      </c>
      <c r="Z18" s="30">
        <f>'TR TE'!$Z$18*'TR TE'!$Z$54</f>
        <v>5.5617950200447179</v>
      </c>
      <c r="AA18" s="30">
        <f>SUM($Z$18:$Z$18)</f>
        <v>5.5617950200447179</v>
      </c>
      <c r="AB18" s="30">
        <f>SUMIF($L$4:$AA$4,"SUBTOTAL",$L$18:$AA$18)</f>
        <v>237.8018058255218</v>
      </c>
    </row>
    <row r="19" spans="1:28" ht="11.25" customHeight="1" x14ac:dyDescent="0.25">
      <c r="A19" s="129"/>
      <c r="B19" s="129"/>
      <c r="C19" s="129"/>
      <c r="D19" s="33" t="s">
        <v>31</v>
      </c>
      <c r="E19" s="33" t="s">
        <v>25</v>
      </c>
      <c r="F19" s="33" t="s">
        <v>25</v>
      </c>
      <c r="G19" s="32" t="s">
        <v>84</v>
      </c>
      <c r="H19" s="32" t="s">
        <v>79</v>
      </c>
      <c r="I19" s="32">
        <f>'MERCADO TE'!$U$16</f>
        <v>24083.450999999997</v>
      </c>
      <c r="J19" s="17"/>
      <c r="L19" s="30">
        <f>'TR TE'!$L$19*'TR TE'!$L$54</f>
        <v>2.3178389475020338</v>
      </c>
      <c r="M19" s="30">
        <f>'TR TE'!$M$19*'TR TE'!$M$54</f>
        <v>34.854968514481214</v>
      </c>
      <c r="N19" s="30">
        <f>'TR TE'!$N$19*'TR TE'!$N$54</f>
        <v>0</v>
      </c>
      <c r="O19" s="30">
        <f>'TR TE'!$O$19*'TR TE'!$O$54</f>
        <v>12.064087448531181</v>
      </c>
      <c r="P19" s="30">
        <f>'TR TE'!$P$19*'TR TE'!$P$54</f>
        <v>-17.197125811903035</v>
      </c>
      <c r="Q19" s="30">
        <f>SUM($L$19:$P$19)</f>
        <v>32.039769098611394</v>
      </c>
      <c r="R19" s="30">
        <f>'TR TE'!$R$19*'TR TE'!$R$54</f>
        <v>200.20024170686568</v>
      </c>
      <c r="S19" s="30">
        <f>SUM($R$19:$R$19)</f>
        <v>200.20024170686568</v>
      </c>
      <c r="T19" s="30">
        <f>'TR TE'!$T$19*'TR TE'!$T$54</f>
        <v>0</v>
      </c>
      <c r="U19" s="30">
        <f>'TR TE'!$U$19*'TR TE'!$U$54</f>
        <v>0</v>
      </c>
      <c r="V19" s="30">
        <f>'TR TE'!$V$19*'TR TE'!$V$54</f>
        <v>0</v>
      </c>
      <c r="W19" s="30">
        <f>SUM($T$19:$V$19)</f>
        <v>0</v>
      </c>
      <c r="X19" s="30"/>
      <c r="Y19" s="30">
        <f>SUM($X$19:$X$19)</f>
        <v>0</v>
      </c>
      <c r="Z19" s="30">
        <f>'TR TE'!$Z$19*'TR TE'!$Z$54</f>
        <v>5.5617950200447179</v>
      </c>
      <c r="AA19" s="30">
        <f>SUM($Z$19:$Z$19)</f>
        <v>5.5617950200447179</v>
      </c>
      <c r="AB19" s="30">
        <f>SUMIF($L$4:$AA$4,"SUBTOTAL",$L$19:$AA$19)</f>
        <v>237.8018058255218</v>
      </c>
    </row>
    <row r="20" spans="1:28" ht="11.25" customHeight="1" x14ac:dyDescent="0.25">
      <c r="A20" s="129"/>
      <c r="B20" s="129"/>
      <c r="C20" s="129"/>
      <c r="D20" s="33" t="s">
        <v>32</v>
      </c>
      <c r="E20" s="33" t="s">
        <v>25</v>
      </c>
      <c r="F20" s="33" t="s">
        <v>25</v>
      </c>
      <c r="G20" s="32" t="s">
        <v>84</v>
      </c>
      <c r="H20" s="32" t="s">
        <v>79</v>
      </c>
      <c r="I20" s="32">
        <f>'MERCADO TE'!$U$17</f>
        <v>30371.136999999999</v>
      </c>
      <c r="J20" s="17"/>
      <c r="L20" s="30">
        <f>'TR TE'!$L$20*'TR TE'!$L$54</f>
        <v>2.3178389475020338</v>
      </c>
      <c r="M20" s="30">
        <f>'TR TE'!$M$20*'TR TE'!$M$54</f>
        <v>34.854968514481214</v>
      </c>
      <c r="N20" s="30">
        <f>'TR TE'!$N$20*'TR TE'!$N$54</f>
        <v>0</v>
      </c>
      <c r="O20" s="30">
        <f>'TR TE'!$O$20*'TR TE'!$O$54</f>
        <v>12.064087448531181</v>
      </c>
      <c r="P20" s="30">
        <f>'TR TE'!$P$20*'TR TE'!$P$54</f>
        <v>-17.197125811903035</v>
      </c>
      <c r="Q20" s="30">
        <f>SUM($L$20:$P$20)</f>
        <v>32.039769098611394</v>
      </c>
      <c r="R20" s="30">
        <f>'TR TE'!$R$20*'TR TE'!$R$54</f>
        <v>200.20024170686568</v>
      </c>
      <c r="S20" s="30">
        <f>SUM($R$20:$R$20)</f>
        <v>200.20024170686568</v>
      </c>
      <c r="T20" s="30">
        <f>'TR TE'!$T$20*'TR TE'!$T$54</f>
        <v>0</v>
      </c>
      <c r="U20" s="30">
        <f>'TR TE'!$U$20*'TR TE'!$U$54</f>
        <v>0</v>
      </c>
      <c r="V20" s="30">
        <f>'TR TE'!$V$20*'TR TE'!$V$54</f>
        <v>0</v>
      </c>
      <c r="W20" s="30">
        <f>SUM($T$20:$V$20)</f>
        <v>0</v>
      </c>
      <c r="X20" s="30"/>
      <c r="Y20" s="30">
        <f>SUM($X$20:$X$20)</f>
        <v>0</v>
      </c>
      <c r="Z20" s="30">
        <f>'TR TE'!$Z$20*'TR TE'!$Z$54</f>
        <v>5.5617950200447179</v>
      </c>
      <c r="AA20" s="30">
        <f>SUM($Z$20:$Z$20)</f>
        <v>5.5617950200447179</v>
      </c>
      <c r="AB20" s="30">
        <f>SUMIF($L$4:$AA$4,"SUBTOTAL",$L$20:$AA$20)</f>
        <v>237.8018058255218</v>
      </c>
    </row>
    <row r="21" spans="1:28" ht="11.25" customHeight="1" x14ac:dyDescent="0.25">
      <c r="A21" s="129"/>
      <c r="B21" s="129" t="s">
        <v>91</v>
      </c>
      <c r="C21" s="129" t="s">
        <v>24</v>
      </c>
      <c r="D21" s="33" t="s">
        <v>24</v>
      </c>
      <c r="E21" s="33" t="s">
        <v>25</v>
      </c>
      <c r="F21" s="33" t="s">
        <v>25</v>
      </c>
      <c r="G21" s="32" t="s">
        <v>84</v>
      </c>
      <c r="H21" s="32" t="s">
        <v>79</v>
      </c>
      <c r="I21" s="32">
        <f>'MERCADO TE'!$U$18</f>
        <v>0</v>
      </c>
      <c r="J21" s="17"/>
      <c r="L21" s="30">
        <f>'TR TE'!$L$21*'TR TE'!$L$54</f>
        <v>2.3178389475020338</v>
      </c>
      <c r="M21" s="30">
        <f>'TR TE'!$M$21*'TR TE'!$M$54</f>
        <v>34.854968514481214</v>
      </c>
      <c r="N21" s="30">
        <f>'TR TE'!$N$21*'TR TE'!$N$54</f>
        <v>0</v>
      </c>
      <c r="O21" s="30">
        <f>'TR TE'!$O$21*'TR TE'!$O$54</f>
        <v>12.064087448531181</v>
      </c>
      <c r="P21" s="30">
        <f>'TR TE'!$P$21*'TR TE'!$P$54</f>
        <v>-17.197125811903035</v>
      </c>
      <c r="Q21" s="30">
        <f>SUM($L$21:$P$21)</f>
        <v>32.039769098611394</v>
      </c>
      <c r="R21" s="30">
        <f>'TR TE'!$R$21*'TR TE'!$R$54</f>
        <v>200.20024170686568</v>
      </c>
      <c r="S21" s="30">
        <f>SUM($R$21:$R$21)</f>
        <v>200.20024170686568</v>
      </c>
      <c r="T21" s="30">
        <f>'TR TE'!$T$21*'TR TE'!$T$54</f>
        <v>0</v>
      </c>
      <c r="U21" s="30">
        <f>'TR TE'!$U$21*'TR TE'!$U$54</f>
        <v>0</v>
      </c>
      <c r="V21" s="30">
        <f>'TR TE'!$V$21*'TR TE'!$V$54</f>
        <v>0</v>
      </c>
      <c r="W21" s="30">
        <f>SUM($T$21:$V$21)</f>
        <v>0</v>
      </c>
      <c r="X21" s="30"/>
      <c r="Y21" s="30">
        <f>SUM($X$21:$X$21)</f>
        <v>0</v>
      </c>
      <c r="Z21" s="30">
        <f>'TR TE'!$Z$21*'TR TE'!$Z$54</f>
        <v>5.5617950200447179</v>
      </c>
      <c r="AA21" s="30">
        <f>SUM($Z$21:$Z$21)</f>
        <v>5.5617950200447179</v>
      </c>
      <c r="AB21" s="30">
        <f>SUMIF($L$4:$AA$4,"SUBTOTAL",$L$21:$AA$21)</f>
        <v>237.8018058255218</v>
      </c>
    </row>
    <row r="22" spans="1:28" ht="11.25" customHeight="1" x14ac:dyDescent="0.25">
      <c r="A22" s="129"/>
      <c r="B22" s="129"/>
      <c r="C22" s="129"/>
      <c r="D22" s="33" t="s">
        <v>29</v>
      </c>
      <c r="E22" s="33" t="s">
        <v>25</v>
      </c>
      <c r="F22" s="33" t="s">
        <v>25</v>
      </c>
      <c r="G22" s="32" t="s">
        <v>84</v>
      </c>
      <c r="H22" s="32" t="s">
        <v>79</v>
      </c>
      <c r="I22" s="32">
        <f>'MERCADO TE'!$U$19</f>
        <v>0</v>
      </c>
      <c r="J22" s="17"/>
      <c r="L22" s="30">
        <f>'TR TE'!$L$22*'TR TE'!$L$54</f>
        <v>2.3178389475020338</v>
      </c>
      <c r="M22" s="30">
        <f>'TR TE'!$M$22*'TR TE'!$M$54</f>
        <v>34.854968514481214</v>
      </c>
      <c r="N22" s="30">
        <f>'TR TE'!$N$22*'TR TE'!$N$54</f>
        <v>0</v>
      </c>
      <c r="O22" s="30">
        <f>'TR TE'!$O$22*'TR TE'!$O$54</f>
        <v>12.064087448531181</v>
      </c>
      <c r="P22" s="30">
        <f>'TR TE'!$P$22*'TR TE'!$P$54</f>
        <v>-17.197125811903035</v>
      </c>
      <c r="Q22" s="30">
        <f>SUM($L$22:$P$22)</f>
        <v>32.039769098611394</v>
      </c>
      <c r="R22" s="30">
        <f>'TR TE'!$R$22*'TR TE'!$R$54</f>
        <v>200.20024170686568</v>
      </c>
      <c r="S22" s="30">
        <f>SUM($R$22:$R$22)</f>
        <v>200.20024170686568</v>
      </c>
      <c r="T22" s="30">
        <f>'TR TE'!$T$22*'TR TE'!$T$54</f>
        <v>0</v>
      </c>
      <c r="U22" s="30">
        <f>'TR TE'!$U$22*'TR TE'!$U$54</f>
        <v>0</v>
      </c>
      <c r="V22" s="30">
        <f>'TR TE'!$V$22*'TR TE'!$V$54</f>
        <v>0</v>
      </c>
      <c r="W22" s="30">
        <f>SUM($T$22:$V$22)</f>
        <v>0</v>
      </c>
      <c r="X22" s="30"/>
      <c r="Y22" s="30">
        <f>SUM($X$22:$X$22)</f>
        <v>0</v>
      </c>
      <c r="Z22" s="30">
        <f>'TR TE'!$Z$22*'TR TE'!$Z$54</f>
        <v>5.5617950200447179</v>
      </c>
      <c r="AA22" s="30">
        <f>SUM($Z$22:$Z$22)</f>
        <v>5.5617950200447179</v>
      </c>
      <c r="AB22" s="30">
        <f>SUMIF($L$4:$AA$4,"SUBTOTAL",$L$22:$AA$22)</f>
        <v>237.8018058255218</v>
      </c>
    </row>
    <row r="23" spans="1:28" ht="11.25" customHeight="1" x14ac:dyDescent="0.25">
      <c r="A23" s="129"/>
      <c r="B23" s="129"/>
      <c r="C23" s="129"/>
      <c r="D23" s="33" t="s">
        <v>30</v>
      </c>
      <c r="E23" s="33" t="s">
        <v>25</v>
      </c>
      <c r="F23" s="33" t="s">
        <v>25</v>
      </c>
      <c r="G23" s="32" t="s">
        <v>84</v>
      </c>
      <c r="H23" s="32" t="s">
        <v>79</v>
      </c>
      <c r="I23" s="32">
        <f>'MERCADO TE'!$U$20</f>
        <v>0</v>
      </c>
      <c r="J23" s="17"/>
      <c r="L23" s="30">
        <f>'TR TE'!$L$23*'TR TE'!$L$54</f>
        <v>2.3178389475020338</v>
      </c>
      <c r="M23" s="30">
        <f>'TR TE'!$M$23*'TR TE'!$M$54</f>
        <v>34.854968514481214</v>
      </c>
      <c r="N23" s="30">
        <f>'TR TE'!$N$23*'TR TE'!$N$54</f>
        <v>0</v>
      </c>
      <c r="O23" s="30">
        <f>'TR TE'!$O$23*'TR TE'!$O$54</f>
        <v>12.064087448531181</v>
      </c>
      <c r="P23" s="30">
        <f>'TR TE'!$P$23*'TR TE'!$P$54</f>
        <v>-17.197125811903035</v>
      </c>
      <c r="Q23" s="30">
        <f>SUM($L$23:$P$23)</f>
        <v>32.039769098611394</v>
      </c>
      <c r="R23" s="30">
        <f>'TR TE'!$R$23*'TR TE'!$R$54</f>
        <v>200.20024170686568</v>
      </c>
      <c r="S23" s="30">
        <f>SUM($R$23:$R$23)</f>
        <v>200.20024170686568</v>
      </c>
      <c r="T23" s="30">
        <f>'TR TE'!$T$23*'TR TE'!$T$54</f>
        <v>0</v>
      </c>
      <c r="U23" s="30">
        <f>'TR TE'!$U$23*'TR TE'!$U$54</f>
        <v>0</v>
      </c>
      <c r="V23" s="30">
        <f>'TR TE'!$V$23*'TR TE'!$V$54</f>
        <v>0</v>
      </c>
      <c r="W23" s="30">
        <f>SUM($T$23:$V$23)</f>
        <v>0</v>
      </c>
      <c r="X23" s="30"/>
      <c r="Y23" s="30">
        <f>SUM($X$23:$X$23)</f>
        <v>0</v>
      </c>
      <c r="Z23" s="30">
        <f>'TR TE'!$Z$23*'TR TE'!$Z$54</f>
        <v>5.5617950200447179</v>
      </c>
      <c r="AA23" s="30">
        <f>SUM($Z$23:$Z$23)</f>
        <v>5.5617950200447179</v>
      </c>
      <c r="AB23" s="30">
        <f>SUMIF($L$4:$AA$4,"SUBTOTAL",$L$23:$AA$23)</f>
        <v>237.8018058255218</v>
      </c>
    </row>
    <row r="24" spans="1:28" ht="11.25" customHeight="1" x14ac:dyDescent="0.25">
      <c r="A24" s="129"/>
      <c r="B24" s="129"/>
      <c r="C24" s="129"/>
      <c r="D24" s="33" t="s">
        <v>31</v>
      </c>
      <c r="E24" s="33" t="s">
        <v>25</v>
      </c>
      <c r="F24" s="33" t="s">
        <v>25</v>
      </c>
      <c r="G24" s="32" t="s">
        <v>84</v>
      </c>
      <c r="H24" s="32" t="s">
        <v>79</v>
      </c>
      <c r="I24" s="32">
        <f>'MERCADO TE'!$U$21</f>
        <v>0</v>
      </c>
      <c r="J24" s="17"/>
      <c r="L24" s="30">
        <f>'TR TE'!$L$24*'TR TE'!$L$54</f>
        <v>2.3178389475020338</v>
      </c>
      <c r="M24" s="30">
        <f>'TR TE'!$M$24*'TR TE'!$M$54</f>
        <v>34.854968514481214</v>
      </c>
      <c r="N24" s="30">
        <f>'TR TE'!$N$24*'TR TE'!$N$54</f>
        <v>0</v>
      </c>
      <c r="O24" s="30">
        <f>'TR TE'!$O$24*'TR TE'!$O$54</f>
        <v>12.064087448531181</v>
      </c>
      <c r="P24" s="30">
        <f>'TR TE'!$P$24*'TR TE'!$P$54</f>
        <v>-17.197125811903035</v>
      </c>
      <c r="Q24" s="30">
        <f>SUM($L$24:$P$24)</f>
        <v>32.039769098611394</v>
      </c>
      <c r="R24" s="30">
        <f>'TR TE'!$R$24*'TR TE'!$R$54</f>
        <v>200.20024170686568</v>
      </c>
      <c r="S24" s="30">
        <f>SUM($R$24:$R$24)</f>
        <v>200.20024170686568</v>
      </c>
      <c r="T24" s="30">
        <f>'TR TE'!$T$24*'TR TE'!$T$54</f>
        <v>0</v>
      </c>
      <c r="U24" s="30">
        <f>'TR TE'!$U$24*'TR TE'!$U$54</f>
        <v>0</v>
      </c>
      <c r="V24" s="30">
        <f>'TR TE'!$V$24*'TR TE'!$V$54</f>
        <v>0</v>
      </c>
      <c r="W24" s="30">
        <f>SUM($T$24:$V$24)</f>
        <v>0</v>
      </c>
      <c r="X24" s="30"/>
      <c r="Y24" s="30">
        <f>SUM($X$24:$X$24)</f>
        <v>0</v>
      </c>
      <c r="Z24" s="30">
        <f>'TR TE'!$Z$24*'TR TE'!$Z$54</f>
        <v>5.5617950200447179</v>
      </c>
      <c r="AA24" s="30">
        <f>SUM($Z$24:$Z$24)</f>
        <v>5.5617950200447179</v>
      </c>
      <c r="AB24" s="30">
        <f>SUMIF($L$4:$AA$4,"SUBTOTAL",$L$24:$AA$24)</f>
        <v>237.8018058255218</v>
      </c>
    </row>
    <row r="25" spans="1:28" ht="11.25" customHeight="1" x14ac:dyDescent="0.25">
      <c r="A25" s="129"/>
      <c r="B25" s="129"/>
      <c r="C25" s="129"/>
      <c r="D25" s="33" t="s">
        <v>32</v>
      </c>
      <c r="E25" s="33" t="s">
        <v>25</v>
      </c>
      <c r="F25" s="33" t="s">
        <v>25</v>
      </c>
      <c r="G25" s="32" t="s">
        <v>84</v>
      </c>
      <c r="H25" s="32" t="s">
        <v>79</v>
      </c>
      <c r="I25" s="32">
        <f>'MERCADO TE'!$U$22</f>
        <v>0</v>
      </c>
      <c r="J25" s="17"/>
      <c r="L25" s="30">
        <f>'TR TE'!$L$25*'TR TE'!$L$54</f>
        <v>2.3178389475020338</v>
      </c>
      <c r="M25" s="30">
        <f>'TR TE'!$M$25*'TR TE'!$M$54</f>
        <v>34.854968514481214</v>
      </c>
      <c r="N25" s="30">
        <f>'TR TE'!$N$25*'TR TE'!$N$54</f>
        <v>0</v>
      </c>
      <c r="O25" s="30">
        <f>'TR TE'!$O$25*'TR TE'!$O$54</f>
        <v>12.064087448531181</v>
      </c>
      <c r="P25" s="30">
        <f>'TR TE'!$P$25*'TR TE'!$P$54</f>
        <v>-17.197125811903035</v>
      </c>
      <c r="Q25" s="30">
        <f>SUM($L$25:$P$25)</f>
        <v>32.039769098611394</v>
      </c>
      <c r="R25" s="30">
        <f>'TR TE'!$R$25*'TR TE'!$R$54</f>
        <v>200.20024170686568</v>
      </c>
      <c r="S25" s="30">
        <f>SUM($R$25:$R$25)</f>
        <v>200.20024170686568</v>
      </c>
      <c r="T25" s="30">
        <f>'TR TE'!$T$25*'TR TE'!$T$54</f>
        <v>0</v>
      </c>
      <c r="U25" s="30">
        <f>'TR TE'!$U$25*'TR TE'!$U$54</f>
        <v>0</v>
      </c>
      <c r="V25" s="30">
        <f>'TR TE'!$V$25*'TR TE'!$V$54</f>
        <v>0</v>
      </c>
      <c r="W25" s="30">
        <f>SUM($T$25:$V$25)</f>
        <v>0</v>
      </c>
      <c r="X25" s="30"/>
      <c r="Y25" s="30">
        <f>SUM($X$25:$X$25)</f>
        <v>0</v>
      </c>
      <c r="Z25" s="30">
        <f>'TR TE'!$Z$25*'TR TE'!$Z$54</f>
        <v>5.5617950200447179</v>
      </c>
      <c r="AA25" s="30">
        <f>SUM($Z$25:$Z$25)</f>
        <v>5.5617950200447179</v>
      </c>
      <c r="AB25" s="30">
        <f>SUMIF($L$4:$AA$4,"SUBTOTAL",$L$25:$AA$25)</f>
        <v>237.8018058255218</v>
      </c>
    </row>
    <row r="26" spans="1:28" ht="11.25" customHeight="1" x14ac:dyDescent="0.25">
      <c r="A26" s="129" t="s">
        <v>45</v>
      </c>
      <c r="B26" s="129" t="s">
        <v>78</v>
      </c>
      <c r="C26" s="129" t="s">
        <v>46</v>
      </c>
      <c r="D26" s="129" t="s">
        <v>25</v>
      </c>
      <c r="E26" s="129" t="s">
        <v>25</v>
      </c>
      <c r="F26" s="129" t="s">
        <v>25</v>
      </c>
      <c r="G26" s="32" t="s">
        <v>80</v>
      </c>
      <c r="H26" s="32" t="s">
        <v>79</v>
      </c>
      <c r="I26" s="32">
        <f>'MERCADO TE'!$U$23</f>
        <v>0</v>
      </c>
      <c r="J26" s="17"/>
      <c r="L26" s="30">
        <f>'TR TE'!$L$26*'TR TE'!$L$54</f>
        <v>2.3178389475020338</v>
      </c>
      <c r="M26" s="30">
        <f>'TR TE'!$M$26*'TR TE'!$M$54</f>
        <v>34.854968514481214</v>
      </c>
      <c r="N26" s="30">
        <f>'TR TE'!$N$26*'TR TE'!$N$54</f>
        <v>0</v>
      </c>
      <c r="O26" s="30">
        <f>'TR TE'!$O$26*'TR TE'!$O$54</f>
        <v>12.064087448531181</v>
      </c>
      <c r="P26" s="30">
        <f>'TR TE'!$P$26*'TR TE'!$P$54</f>
        <v>-17.197125811903035</v>
      </c>
      <c r="Q26" s="30">
        <f>SUM($L$26:$P$26)</f>
        <v>32.039769098611394</v>
      </c>
      <c r="R26" s="30">
        <f>'TR TE'!$R$26*'TR TE'!$R$54</f>
        <v>324.85322239227258</v>
      </c>
      <c r="S26" s="30">
        <f>SUM($R$26:$R$26)</f>
        <v>324.85322239227258</v>
      </c>
      <c r="T26" s="30">
        <f>'TR TE'!$T$26*'TR TE'!$T$54</f>
        <v>0</v>
      </c>
      <c r="U26" s="30">
        <f>'TR TE'!$U$26*'TR TE'!$U$54</f>
        <v>0</v>
      </c>
      <c r="V26" s="30">
        <f>'TR TE'!$V$26*'TR TE'!$V$54</f>
        <v>0</v>
      </c>
      <c r="W26" s="30">
        <f>SUM($T$26:$V$26)</f>
        <v>0</v>
      </c>
      <c r="X26" s="30"/>
      <c r="Y26" s="30">
        <f>SUM($X$26:$X$26)</f>
        <v>0</v>
      </c>
      <c r="Z26" s="30">
        <f>'TR TE'!$Z$26*'TR TE'!$Z$54</f>
        <v>5.5617950200447179</v>
      </c>
      <c r="AA26" s="30">
        <f>SUM($Z$26:$Z$26)</f>
        <v>5.5617950200447179</v>
      </c>
      <c r="AB26" s="30">
        <f>SUMIF($L$4:$AA$4,"SUBTOTAL",$L$26:$AA$26)</f>
        <v>362.45478651092867</v>
      </c>
    </row>
    <row r="27" spans="1:28" ht="11.25" customHeight="1" x14ac:dyDescent="0.25">
      <c r="A27" s="129"/>
      <c r="B27" s="129"/>
      <c r="C27" s="129"/>
      <c r="D27" s="129"/>
      <c r="E27" s="129"/>
      <c r="F27" s="129"/>
      <c r="G27" s="32" t="s">
        <v>90</v>
      </c>
      <c r="H27" s="32" t="s">
        <v>79</v>
      </c>
      <c r="I27" s="32">
        <f>'MERCADO TE'!$U$24</f>
        <v>0</v>
      </c>
      <c r="J27" s="17"/>
      <c r="L27" s="30">
        <f>'TR TE'!$L$27*'TR TE'!$L$54</f>
        <v>2.3178389475020338</v>
      </c>
      <c r="M27" s="30">
        <f>'TR TE'!$M$27*'TR TE'!$M$54</f>
        <v>34.854968514481214</v>
      </c>
      <c r="N27" s="30">
        <f>'TR TE'!$N$27*'TR TE'!$N$54</f>
        <v>0</v>
      </c>
      <c r="O27" s="30">
        <f>'TR TE'!$O$27*'TR TE'!$O$54</f>
        <v>12.064087448531181</v>
      </c>
      <c r="P27" s="30">
        <f>'TR TE'!$P$27*'TR TE'!$P$54</f>
        <v>-17.197125811903035</v>
      </c>
      <c r="Q27" s="30">
        <f>SUM($L$27:$P$27)</f>
        <v>32.039769098611394</v>
      </c>
      <c r="R27" s="30">
        <f>'TR TE'!$R$27*'TR TE'!$R$54</f>
        <v>188.86815255364687</v>
      </c>
      <c r="S27" s="30">
        <f>SUM($R$27:$R$27)</f>
        <v>188.86815255364687</v>
      </c>
      <c r="T27" s="30">
        <f>'TR TE'!$T$27*'TR TE'!$T$54</f>
        <v>0</v>
      </c>
      <c r="U27" s="30">
        <f>'TR TE'!$U$27*'TR TE'!$U$54</f>
        <v>0</v>
      </c>
      <c r="V27" s="30">
        <f>'TR TE'!$V$27*'TR TE'!$V$54</f>
        <v>0</v>
      </c>
      <c r="W27" s="30">
        <f>SUM($T$27:$V$27)</f>
        <v>0</v>
      </c>
      <c r="X27" s="30"/>
      <c r="Y27" s="30">
        <f>SUM($X$27:$X$27)</f>
        <v>0</v>
      </c>
      <c r="Z27" s="30">
        <f>'TR TE'!$Z$27*'TR TE'!$Z$54</f>
        <v>5.5617950200447179</v>
      </c>
      <c r="AA27" s="30">
        <f>SUM($Z$27:$Z$27)</f>
        <v>5.5617950200447179</v>
      </c>
      <c r="AB27" s="30">
        <f>SUMIF($L$4:$AA$4,"SUBTOTAL",$L$27:$AA$27)</f>
        <v>226.46971667230298</v>
      </c>
    </row>
    <row r="28" spans="1:28" ht="11.25" customHeight="1" x14ac:dyDescent="0.25">
      <c r="A28" s="129"/>
      <c r="B28" s="129"/>
      <c r="C28" s="129"/>
      <c r="D28" s="129"/>
      <c r="E28" s="129"/>
      <c r="F28" s="129"/>
      <c r="G28" s="32" t="s">
        <v>81</v>
      </c>
      <c r="H28" s="32" t="s">
        <v>79</v>
      </c>
      <c r="I28" s="32">
        <f>'MERCADO TE'!$U$25</f>
        <v>0</v>
      </c>
      <c r="J28" s="17"/>
      <c r="L28" s="30">
        <f>'TR TE'!$L$28*'TR TE'!$L$54</f>
        <v>2.3178389475020338</v>
      </c>
      <c r="M28" s="30">
        <f>'TR TE'!$M$28*'TR TE'!$M$54</f>
        <v>34.854968514481214</v>
      </c>
      <c r="N28" s="30">
        <f>'TR TE'!$N$28*'TR TE'!$N$54</f>
        <v>0</v>
      </c>
      <c r="O28" s="30">
        <f>'TR TE'!$O$28*'TR TE'!$O$54</f>
        <v>12.064087448531181</v>
      </c>
      <c r="P28" s="30">
        <f>'TR TE'!$P$28*'TR TE'!$P$54</f>
        <v>-17.197125811903035</v>
      </c>
      <c r="Q28" s="30">
        <f>SUM($L$28:$P$28)</f>
        <v>32.039769098611394</v>
      </c>
      <c r="R28" s="30">
        <f>'TR TE'!$R$28*'TR TE'!$R$54</f>
        <v>188.86815255364687</v>
      </c>
      <c r="S28" s="30">
        <f>SUM($R$28:$R$28)</f>
        <v>188.86815255364687</v>
      </c>
      <c r="T28" s="30">
        <f>'TR TE'!$T$28*'TR TE'!$T$54</f>
        <v>0</v>
      </c>
      <c r="U28" s="30">
        <f>'TR TE'!$U$28*'TR TE'!$U$54</f>
        <v>0</v>
      </c>
      <c r="V28" s="30">
        <f>'TR TE'!$V$28*'TR TE'!$V$54</f>
        <v>0</v>
      </c>
      <c r="W28" s="30">
        <f>SUM($T$28:$V$28)</f>
        <v>0</v>
      </c>
      <c r="X28" s="30"/>
      <c r="Y28" s="30">
        <f>SUM($X$28:$X$28)</f>
        <v>0</v>
      </c>
      <c r="Z28" s="30">
        <f>'TR TE'!$Z$28*'TR TE'!$Z$54</f>
        <v>5.5617950200447179</v>
      </c>
      <c r="AA28" s="30">
        <f>SUM($Z$28:$Z$28)</f>
        <v>5.5617950200447179</v>
      </c>
      <c r="AB28" s="30">
        <f>SUMIF($L$4:$AA$4,"SUBTOTAL",$L$28:$AA$28)</f>
        <v>226.46971667230298</v>
      </c>
    </row>
    <row r="29" spans="1:28" ht="11.25" customHeight="1" x14ac:dyDescent="0.25">
      <c r="A29" s="129"/>
      <c r="B29" s="33" t="s">
        <v>86</v>
      </c>
      <c r="C29" s="33" t="s">
        <v>46</v>
      </c>
      <c r="D29" s="33" t="s">
        <v>25</v>
      </c>
      <c r="E29" s="33" t="s">
        <v>25</v>
      </c>
      <c r="F29" s="33" t="s">
        <v>25</v>
      </c>
      <c r="G29" s="32" t="s">
        <v>84</v>
      </c>
      <c r="H29" s="32" t="s">
        <v>79</v>
      </c>
      <c r="I29" s="32">
        <f>'MERCADO TE'!$U$26</f>
        <v>4146.1049999999996</v>
      </c>
      <c r="J29" s="17"/>
      <c r="L29" s="30">
        <f>'TR TE'!$L$29*'TR TE'!$L$54</f>
        <v>2.3178389475020338</v>
      </c>
      <c r="M29" s="30">
        <f>'TR TE'!$M$29*'TR TE'!$M$54</f>
        <v>34.854968514481214</v>
      </c>
      <c r="N29" s="30">
        <f>'TR TE'!$N$29*'TR TE'!$N$54</f>
        <v>0</v>
      </c>
      <c r="O29" s="30">
        <f>'TR TE'!$O$29*'TR TE'!$O$54</f>
        <v>12.064087448531181</v>
      </c>
      <c r="P29" s="30">
        <f>'TR TE'!$P$29*'TR TE'!$P$54</f>
        <v>-17.197125811903035</v>
      </c>
      <c r="Q29" s="30">
        <f>SUM($L$29:$P$29)</f>
        <v>32.039769098611394</v>
      </c>
      <c r="R29" s="30">
        <f>'TR TE'!$R$29*'TR TE'!$R$54</f>
        <v>200.20024170686568</v>
      </c>
      <c r="S29" s="30">
        <f>SUM($R$29:$R$29)</f>
        <v>200.20024170686568</v>
      </c>
      <c r="T29" s="30">
        <f>'TR TE'!$T$29*'TR TE'!$T$54</f>
        <v>0</v>
      </c>
      <c r="U29" s="30">
        <f>'TR TE'!$U$29*'TR TE'!$U$54</f>
        <v>0</v>
      </c>
      <c r="V29" s="30">
        <f>'TR TE'!$V$29*'TR TE'!$V$54</f>
        <v>0</v>
      </c>
      <c r="W29" s="30">
        <f>SUM($T$29:$V$29)</f>
        <v>0</v>
      </c>
      <c r="X29" s="30"/>
      <c r="Y29" s="30">
        <f>SUM($X$29:$X$29)</f>
        <v>0</v>
      </c>
      <c r="Z29" s="30">
        <f>'TR TE'!$Z$29*'TR TE'!$Z$54</f>
        <v>5.5617950200447179</v>
      </c>
      <c r="AA29" s="30">
        <f>SUM($Z$29:$Z$29)</f>
        <v>5.5617950200447179</v>
      </c>
      <c r="AB29" s="30">
        <f>SUMIF($L$4:$AA$4,"SUBTOTAL",$L$29:$AA$29)</f>
        <v>237.8018058255218</v>
      </c>
    </row>
    <row r="30" spans="1:28" ht="11.25" customHeight="1" x14ac:dyDescent="0.25">
      <c r="A30" s="129"/>
      <c r="B30" s="129" t="s">
        <v>78</v>
      </c>
      <c r="C30" s="129" t="s">
        <v>46</v>
      </c>
      <c r="D30" s="129" t="s">
        <v>93</v>
      </c>
      <c r="E30" s="129" t="s">
        <v>25</v>
      </c>
      <c r="F30" s="129" t="s">
        <v>25</v>
      </c>
      <c r="G30" s="32" t="s">
        <v>80</v>
      </c>
      <c r="H30" s="32" t="s">
        <v>79</v>
      </c>
      <c r="I30" s="32">
        <f>'MERCADO TE'!$U$27</f>
        <v>0</v>
      </c>
      <c r="J30" s="17"/>
      <c r="L30" s="30">
        <f>'TR TE'!$L$30*'TR TE'!$L$54</f>
        <v>2.3178389475020338</v>
      </c>
      <c r="M30" s="30">
        <f>'TR TE'!$M$30*'TR TE'!$M$54</f>
        <v>34.854968514481214</v>
      </c>
      <c r="N30" s="30">
        <f>'TR TE'!$N$30*'TR TE'!$N$54</f>
        <v>0</v>
      </c>
      <c r="O30" s="30">
        <f>'TR TE'!$O$30*'TR TE'!$O$54</f>
        <v>12.064087448531181</v>
      </c>
      <c r="P30" s="30">
        <f>'TR TE'!$P$30*'TR TE'!$P$54</f>
        <v>-17.197125811903035</v>
      </c>
      <c r="Q30" s="30">
        <f>SUM($L$30:$P$30)</f>
        <v>32.039769098611394</v>
      </c>
      <c r="R30" s="30">
        <f>'TR TE'!$R$30*'TR TE'!$R$54</f>
        <v>324.85322239227258</v>
      </c>
      <c r="S30" s="30">
        <f>SUM($R$30:$R$30)</f>
        <v>324.85322239227258</v>
      </c>
      <c r="T30" s="30">
        <f>'TR TE'!$T$30*'TR TE'!$T$54</f>
        <v>0</v>
      </c>
      <c r="U30" s="30">
        <f>'TR TE'!$U$30*'TR TE'!$U$54</f>
        <v>0</v>
      </c>
      <c r="V30" s="30">
        <f>'TR TE'!$V$30*'TR TE'!$V$54</f>
        <v>0</v>
      </c>
      <c r="W30" s="30">
        <f>SUM($T$30:$V$30)</f>
        <v>0</v>
      </c>
      <c r="X30" s="30"/>
      <c r="Y30" s="30">
        <f>SUM($X$30:$X$30)</f>
        <v>0</v>
      </c>
      <c r="Z30" s="30">
        <f>'TR TE'!$Z$30*'TR TE'!$Z$54</f>
        <v>5.5617950200447179</v>
      </c>
      <c r="AA30" s="30">
        <f>SUM($Z$30:$Z$30)</f>
        <v>5.5617950200447179</v>
      </c>
      <c r="AB30" s="30">
        <f>SUMIF($L$4:$AA$4,"SUBTOTAL",$L$30:$AA$30)</f>
        <v>362.45478651092867</v>
      </c>
    </row>
    <row r="31" spans="1:28" ht="11.25" customHeight="1" x14ac:dyDescent="0.25">
      <c r="A31" s="129"/>
      <c r="B31" s="129"/>
      <c r="C31" s="129"/>
      <c r="D31" s="129"/>
      <c r="E31" s="129"/>
      <c r="F31" s="129"/>
      <c r="G31" s="32" t="s">
        <v>90</v>
      </c>
      <c r="H31" s="32" t="s">
        <v>79</v>
      </c>
      <c r="I31" s="32">
        <f>'MERCADO TE'!$U$28</f>
        <v>0</v>
      </c>
      <c r="J31" s="17"/>
      <c r="L31" s="30">
        <f>'TR TE'!$L$31*'TR TE'!$L$54</f>
        <v>2.3178389475020338</v>
      </c>
      <c r="M31" s="30">
        <f>'TR TE'!$M$31*'TR TE'!$M$54</f>
        <v>34.854968514481214</v>
      </c>
      <c r="N31" s="30">
        <f>'TR TE'!$N$31*'TR TE'!$N$54</f>
        <v>0</v>
      </c>
      <c r="O31" s="30">
        <f>'TR TE'!$O$31*'TR TE'!$O$54</f>
        <v>12.064087448531181</v>
      </c>
      <c r="P31" s="30">
        <f>'TR TE'!$P$31*'TR TE'!$P$54</f>
        <v>-17.197125811903035</v>
      </c>
      <c r="Q31" s="30">
        <f>SUM($L$31:$P$31)</f>
        <v>32.039769098611394</v>
      </c>
      <c r="R31" s="30">
        <f>'TR TE'!$R$31*'TR TE'!$R$54</f>
        <v>188.86815255364687</v>
      </c>
      <c r="S31" s="30">
        <f>SUM($R$31:$R$31)</f>
        <v>188.86815255364687</v>
      </c>
      <c r="T31" s="30">
        <f>'TR TE'!$T$31*'TR TE'!$T$54</f>
        <v>0</v>
      </c>
      <c r="U31" s="30">
        <f>'TR TE'!$U$31*'TR TE'!$U$54</f>
        <v>0</v>
      </c>
      <c r="V31" s="30">
        <f>'TR TE'!$V$31*'TR TE'!$V$54</f>
        <v>0</v>
      </c>
      <c r="W31" s="30">
        <f>SUM($T$31:$V$31)</f>
        <v>0</v>
      </c>
      <c r="X31" s="30"/>
      <c r="Y31" s="30">
        <f>SUM($X$31:$X$31)</f>
        <v>0</v>
      </c>
      <c r="Z31" s="30">
        <f>'TR TE'!$Z$31*'TR TE'!$Z$54</f>
        <v>5.5617950200447179</v>
      </c>
      <c r="AA31" s="30">
        <f>SUM($Z$31:$Z$31)</f>
        <v>5.5617950200447179</v>
      </c>
      <c r="AB31" s="30">
        <f>SUMIF($L$4:$AA$4,"SUBTOTAL",$L$31:$AA$31)</f>
        <v>226.46971667230298</v>
      </c>
    </row>
    <row r="32" spans="1:28" ht="11.25" customHeight="1" x14ac:dyDescent="0.25">
      <c r="A32" s="129"/>
      <c r="B32" s="129"/>
      <c r="C32" s="129"/>
      <c r="D32" s="129"/>
      <c r="E32" s="129"/>
      <c r="F32" s="129"/>
      <c r="G32" s="32" t="s">
        <v>81</v>
      </c>
      <c r="H32" s="32" t="s">
        <v>79</v>
      </c>
      <c r="I32" s="32">
        <f>'MERCADO TE'!$U$29</f>
        <v>0</v>
      </c>
      <c r="J32" s="17"/>
      <c r="L32" s="30">
        <f>'TR TE'!$L$32*'TR TE'!$L$54</f>
        <v>2.3178389475020338</v>
      </c>
      <c r="M32" s="30">
        <f>'TR TE'!$M$32*'TR TE'!$M$54</f>
        <v>34.854968514481214</v>
      </c>
      <c r="N32" s="30">
        <f>'TR TE'!$N$32*'TR TE'!$N$54</f>
        <v>0</v>
      </c>
      <c r="O32" s="30">
        <f>'TR TE'!$O$32*'TR TE'!$O$54</f>
        <v>12.064087448531181</v>
      </c>
      <c r="P32" s="30">
        <f>'TR TE'!$P$32*'TR TE'!$P$54</f>
        <v>-17.197125811903035</v>
      </c>
      <c r="Q32" s="30">
        <f>SUM($L$32:$P$32)</f>
        <v>32.039769098611394</v>
      </c>
      <c r="R32" s="30">
        <f>'TR TE'!$R$32*'TR TE'!$R$54</f>
        <v>188.86815255364687</v>
      </c>
      <c r="S32" s="30">
        <f>SUM($R$32:$R$32)</f>
        <v>188.86815255364687</v>
      </c>
      <c r="T32" s="30">
        <f>'TR TE'!$T$32*'TR TE'!$T$54</f>
        <v>0</v>
      </c>
      <c r="U32" s="30">
        <f>'TR TE'!$U$32*'TR TE'!$U$54</f>
        <v>0</v>
      </c>
      <c r="V32" s="30">
        <f>'TR TE'!$V$32*'TR TE'!$V$54</f>
        <v>0</v>
      </c>
      <c r="W32" s="30">
        <f>SUM($T$32:$V$32)</f>
        <v>0</v>
      </c>
      <c r="X32" s="30"/>
      <c r="Y32" s="30">
        <f>SUM($X$32:$X$32)</f>
        <v>0</v>
      </c>
      <c r="Z32" s="30">
        <f>'TR TE'!$Z$32*'TR TE'!$Z$54</f>
        <v>5.5617950200447179</v>
      </c>
      <c r="AA32" s="30">
        <f>SUM($Z$32:$Z$32)</f>
        <v>5.5617950200447179</v>
      </c>
      <c r="AB32" s="30">
        <f>SUMIF($L$4:$AA$4,"SUBTOTAL",$L$32:$AA$32)</f>
        <v>226.46971667230298</v>
      </c>
    </row>
    <row r="33" spans="1:28" ht="11.25" customHeight="1" x14ac:dyDescent="0.25">
      <c r="A33" s="129"/>
      <c r="B33" s="33" t="s">
        <v>86</v>
      </c>
      <c r="C33" s="33" t="s">
        <v>46</v>
      </c>
      <c r="D33" s="33" t="s">
        <v>93</v>
      </c>
      <c r="E33" s="33" t="s">
        <v>25</v>
      </c>
      <c r="F33" s="33" t="s">
        <v>25</v>
      </c>
      <c r="G33" s="32" t="s">
        <v>84</v>
      </c>
      <c r="H33" s="32" t="s">
        <v>79</v>
      </c>
      <c r="I33" s="32">
        <f>'MERCADO TE'!$U$30</f>
        <v>0</v>
      </c>
      <c r="J33" s="17"/>
      <c r="L33" s="30">
        <f>'TR TE'!$L$33*'TR TE'!$L$54</f>
        <v>2.3178389475020338</v>
      </c>
      <c r="M33" s="30">
        <f>'TR TE'!$M$33*'TR TE'!$M$54</f>
        <v>34.854968514481214</v>
      </c>
      <c r="N33" s="30">
        <f>'TR TE'!$N$33*'TR TE'!$N$54</f>
        <v>0</v>
      </c>
      <c r="O33" s="30">
        <f>'TR TE'!$O$33*'TR TE'!$O$54</f>
        <v>12.064087448531181</v>
      </c>
      <c r="P33" s="30">
        <f>'TR TE'!$P$33*'TR TE'!$P$54</f>
        <v>-17.197125811903035</v>
      </c>
      <c r="Q33" s="30">
        <f>SUM($L$33:$P$33)</f>
        <v>32.039769098611394</v>
      </c>
      <c r="R33" s="30">
        <f>'TR TE'!$R$33*'TR TE'!$R$54</f>
        <v>200.20024170686568</v>
      </c>
      <c r="S33" s="30">
        <f>SUM($R$33:$R$33)</f>
        <v>200.20024170686568</v>
      </c>
      <c r="T33" s="30">
        <f>'TR TE'!$T$33*'TR TE'!$T$54</f>
        <v>0</v>
      </c>
      <c r="U33" s="30">
        <f>'TR TE'!$U$33*'TR TE'!$U$54</f>
        <v>0</v>
      </c>
      <c r="V33" s="30">
        <f>'TR TE'!$V$33*'TR TE'!$V$54</f>
        <v>0</v>
      </c>
      <c r="W33" s="30">
        <f>SUM($T$33:$V$33)</f>
        <v>0</v>
      </c>
      <c r="X33" s="30"/>
      <c r="Y33" s="30">
        <f>SUM($X$33:$X$33)</f>
        <v>0</v>
      </c>
      <c r="Z33" s="30">
        <f>'TR TE'!$Z$33*'TR TE'!$Z$54</f>
        <v>5.5617950200447179</v>
      </c>
      <c r="AA33" s="30">
        <f>SUM($Z$33:$Z$33)</f>
        <v>5.5617950200447179</v>
      </c>
      <c r="AB33" s="30">
        <f>SUMIF($L$4:$AA$4,"SUBTOTAL",$L$33:$AA$33)</f>
        <v>237.8018058255218</v>
      </c>
    </row>
    <row r="34" spans="1:28" ht="11.25" customHeight="1" x14ac:dyDescent="0.25">
      <c r="A34" s="129"/>
      <c r="B34" s="129" t="s">
        <v>78</v>
      </c>
      <c r="C34" s="129" t="s">
        <v>46</v>
      </c>
      <c r="D34" s="129" t="s">
        <v>94</v>
      </c>
      <c r="E34" s="129" t="s">
        <v>25</v>
      </c>
      <c r="F34" s="129" t="s">
        <v>25</v>
      </c>
      <c r="G34" s="32" t="s">
        <v>80</v>
      </c>
      <c r="H34" s="32" t="s">
        <v>79</v>
      </c>
      <c r="I34" s="32">
        <f>'MERCADO TE'!$U$31</f>
        <v>0</v>
      </c>
      <c r="J34" s="17"/>
      <c r="L34" s="30">
        <f>'TR TE'!$L$34*'TR TE'!$L$54</f>
        <v>2.3178389475020338</v>
      </c>
      <c r="M34" s="30">
        <f>'TR TE'!$M$34*'TR TE'!$M$54</f>
        <v>34.854968514481214</v>
      </c>
      <c r="N34" s="30">
        <f>'TR TE'!$N$34*'TR TE'!$N$54</f>
        <v>0</v>
      </c>
      <c r="O34" s="30">
        <f>'TR TE'!$O$34*'TR TE'!$O$54</f>
        <v>12.064087448531181</v>
      </c>
      <c r="P34" s="30">
        <f>'TR TE'!$P$34*'TR TE'!$P$54</f>
        <v>-17.197125811903035</v>
      </c>
      <c r="Q34" s="30">
        <f>SUM($L$34:$P$34)</f>
        <v>32.039769098611394</v>
      </c>
      <c r="R34" s="30">
        <f>'TR TE'!$R$34*'TR TE'!$R$54</f>
        <v>324.85322239227258</v>
      </c>
      <c r="S34" s="30">
        <f>SUM($R$34:$R$34)</f>
        <v>324.85322239227258</v>
      </c>
      <c r="T34" s="30">
        <f>'TR TE'!$T$34*'TR TE'!$T$54</f>
        <v>0</v>
      </c>
      <c r="U34" s="30">
        <f>'TR TE'!$U$34*'TR TE'!$U$54</f>
        <v>0</v>
      </c>
      <c r="V34" s="30">
        <f>'TR TE'!$V$34*'TR TE'!$V$54</f>
        <v>0</v>
      </c>
      <c r="W34" s="30">
        <f>SUM($T$34:$V$34)</f>
        <v>0</v>
      </c>
      <c r="X34" s="30"/>
      <c r="Y34" s="30">
        <f>SUM($X$34:$X$34)</f>
        <v>0</v>
      </c>
      <c r="Z34" s="30">
        <f>'TR TE'!$Z$34*'TR TE'!$Z$54</f>
        <v>5.5617950200447179</v>
      </c>
      <c r="AA34" s="30">
        <f>SUM($Z$34:$Z$34)</f>
        <v>5.5617950200447179</v>
      </c>
      <c r="AB34" s="30">
        <f>SUMIF($L$4:$AA$4,"SUBTOTAL",$L$34:$AA$34)</f>
        <v>362.45478651092867</v>
      </c>
    </row>
    <row r="35" spans="1:28" ht="11.25" customHeight="1" x14ac:dyDescent="0.25">
      <c r="A35" s="129"/>
      <c r="B35" s="129"/>
      <c r="C35" s="129"/>
      <c r="D35" s="129"/>
      <c r="E35" s="129"/>
      <c r="F35" s="129"/>
      <c r="G35" s="32" t="s">
        <v>90</v>
      </c>
      <c r="H35" s="32" t="s">
        <v>79</v>
      </c>
      <c r="I35" s="32">
        <f>'MERCADO TE'!$U$32</f>
        <v>0</v>
      </c>
      <c r="J35" s="17"/>
      <c r="L35" s="30">
        <f>'TR TE'!$L$35*'TR TE'!$L$54</f>
        <v>2.3178389475020338</v>
      </c>
      <c r="M35" s="30">
        <f>'TR TE'!$M$35*'TR TE'!$M$54</f>
        <v>34.854968514481214</v>
      </c>
      <c r="N35" s="30">
        <f>'TR TE'!$N$35*'TR TE'!$N$54</f>
        <v>0</v>
      </c>
      <c r="O35" s="30">
        <f>'TR TE'!$O$35*'TR TE'!$O$54</f>
        <v>12.064087448531181</v>
      </c>
      <c r="P35" s="30">
        <f>'TR TE'!$P$35*'TR TE'!$P$54</f>
        <v>-17.197125811903035</v>
      </c>
      <c r="Q35" s="30">
        <f>SUM($L$35:$P$35)</f>
        <v>32.039769098611394</v>
      </c>
      <c r="R35" s="30">
        <f>'TR TE'!$R$35*'TR TE'!$R$54</f>
        <v>188.86815255364687</v>
      </c>
      <c r="S35" s="30">
        <f>SUM($R$35:$R$35)</f>
        <v>188.86815255364687</v>
      </c>
      <c r="T35" s="30">
        <f>'TR TE'!$T$35*'TR TE'!$T$54</f>
        <v>0</v>
      </c>
      <c r="U35" s="30">
        <f>'TR TE'!$U$35*'TR TE'!$U$54</f>
        <v>0</v>
      </c>
      <c r="V35" s="30">
        <f>'TR TE'!$V$35*'TR TE'!$V$54</f>
        <v>0</v>
      </c>
      <c r="W35" s="30">
        <f>SUM($T$35:$V$35)</f>
        <v>0</v>
      </c>
      <c r="X35" s="30"/>
      <c r="Y35" s="30">
        <f>SUM($X$35:$X$35)</f>
        <v>0</v>
      </c>
      <c r="Z35" s="30">
        <f>'TR TE'!$Z$35*'TR TE'!$Z$54</f>
        <v>5.5617950200447179</v>
      </c>
      <c r="AA35" s="30">
        <f>SUM($Z$35:$Z$35)</f>
        <v>5.5617950200447179</v>
      </c>
      <c r="AB35" s="30">
        <f>SUMIF($L$4:$AA$4,"SUBTOTAL",$L$35:$AA$35)</f>
        <v>226.46971667230298</v>
      </c>
    </row>
    <row r="36" spans="1:28" ht="11.25" customHeight="1" x14ac:dyDescent="0.25">
      <c r="A36" s="129"/>
      <c r="B36" s="129"/>
      <c r="C36" s="129"/>
      <c r="D36" s="129"/>
      <c r="E36" s="129"/>
      <c r="F36" s="129"/>
      <c r="G36" s="32" t="s">
        <v>81</v>
      </c>
      <c r="H36" s="32" t="s">
        <v>79</v>
      </c>
      <c r="I36" s="32">
        <f>'MERCADO TE'!$U$33</f>
        <v>0</v>
      </c>
      <c r="J36" s="17"/>
      <c r="L36" s="30">
        <f>'TR TE'!$L$36*'TR TE'!$L$54</f>
        <v>2.3178389475020338</v>
      </c>
      <c r="M36" s="30">
        <f>'TR TE'!$M$36*'TR TE'!$M$54</f>
        <v>34.854968514481214</v>
      </c>
      <c r="N36" s="30">
        <f>'TR TE'!$N$36*'TR TE'!$N$54</f>
        <v>0</v>
      </c>
      <c r="O36" s="30">
        <f>'TR TE'!$O$36*'TR TE'!$O$54</f>
        <v>12.064087448531181</v>
      </c>
      <c r="P36" s="30">
        <f>'TR TE'!$P$36*'TR TE'!$P$54</f>
        <v>-17.197125811903035</v>
      </c>
      <c r="Q36" s="30">
        <f>SUM($L$36:$P$36)</f>
        <v>32.039769098611394</v>
      </c>
      <c r="R36" s="30">
        <f>'TR TE'!$R$36*'TR TE'!$R$54</f>
        <v>188.86815255364687</v>
      </c>
      <c r="S36" s="30">
        <f>SUM($R$36:$R$36)</f>
        <v>188.86815255364687</v>
      </c>
      <c r="T36" s="30">
        <f>'TR TE'!$T$36*'TR TE'!$T$54</f>
        <v>0</v>
      </c>
      <c r="U36" s="30">
        <f>'TR TE'!$U$36*'TR TE'!$U$54</f>
        <v>0</v>
      </c>
      <c r="V36" s="30">
        <f>'TR TE'!$V$36*'TR TE'!$V$54</f>
        <v>0</v>
      </c>
      <c r="W36" s="30">
        <f>SUM($T$36:$V$36)</f>
        <v>0</v>
      </c>
      <c r="X36" s="30"/>
      <c r="Y36" s="30">
        <f>SUM($X$36:$X$36)</f>
        <v>0</v>
      </c>
      <c r="Z36" s="30">
        <f>'TR TE'!$Z$36*'TR TE'!$Z$54</f>
        <v>5.5617950200447179</v>
      </c>
      <c r="AA36" s="30">
        <f>SUM($Z$36:$Z$36)</f>
        <v>5.5617950200447179</v>
      </c>
      <c r="AB36" s="30">
        <f>SUMIF($L$4:$AA$4,"SUBTOTAL",$L$36:$AA$36)</f>
        <v>226.46971667230298</v>
      </c>
    </row>
    <row r="37" spans="1:28" ht="11.25" customHeight="1" x14ac:dyDescent="0.25">
      <c r="A37" s="129"/>
      <c r="B37" s="33" t="s">
        <v>86</v>
      </c>
      <c r="C37" s="33" t="s">
        <v>46</v>
      </c>
      <c r="D37" s="33" t="s">
        <v>94</v>
      </c>
      <c r="E37" s="33" t="s">
        <v>25</v>
      </c>
      <c r="F37" s="33" t="s">
        <v>25</v>
      </c>
      <c r="G37" s="32" t="s">
        <v>84</v>
      </c>
      <c r="H37" s="32" t="s">
        <v>79</v>
      </c>
      <c r="I37" s="32">
        <f>'MERCADO TE'!$U$34</f>
        <v>0</v>
      </c>
      <c r="J37" s="17"/>
      <c r="L37" s="30">
        <f>'TR TE'!$L$37*'TR TE'!$L$54</f>
        <v>2.3178389475020338</v>
      </c>
      <c r="M37" s="30">
        <f>'TR TE'!$M$37*'TR TE'!$M$54</f>
        <v>34.854968514481214</v>
      </c>
      <c r="N37" s="30">
        <f>'TR TE'!$N$37*'TR TE'!$N$54</f>
        <v>0</v>
      </c>
      <c r="O37" s="30">
        <f>'TR TE'!$O$37*'TR TE'!$O$54</f>
        <v>12.064087448531181</v>
      </c>
      <c r="P37" s="30">
        <f>'TR TE'!$P$37*'TR TE'!$P$54</f>
        <v>-17.197125811903035</v>
      </c>
      <c r="Q37" s="30">
        <f>SUM($L$37:$P$37)</f>
        <v>32.039769098611394</v>
      </c>
      <c r="R37" s="30">
        <f>'TR TE'!$R$37*'TR TE'!$R$54</f>
        <v>200.20024170686568</v>
      </c>
      <c r="S37" s="30">
        <f>SUM($R$37:$R$37)</f>
        <v>200.20024170686568</v>
      </c>
      <c r="T37" s="30">
        <f>'TR TE'!$T$37*'TR TE'!$T$54</f>
        <v>0</v>
      </c>
      <c r="U37" s="30">
        <f>'TR TE'!$U$37*'TR TE'!$U$54</f>
        <v>0</v>
      </c>
      <c r="V37" s="30">
        <f>'TR TE'!$V$37*'TR TE'!$V$54</f>
        <v>0</v>
      </c>
      <c r="W37" s="30">
        <f>SUM($T$37:$V$37)</f>
        <v>0</v>
      </c>
      <c r="X37" s="30"/>
      <c r="Y37" s="30">
        <f>SUM($X$37:$X$37)</f>
        <v>0</v>
      </c>
      <c r="Z37" s="30">
        <f>'TR TE'!$Z$37*'TR TE'!$Z$54</f>
        <v>5.5617950200447179</v>
      </c>
      <c r="AA37" s="30">
        <f>SUM($Z$37:$Z$37)</f>
        <v>5.5617950200447179</v>
      </c>
      <c r="AB37" s="30">
        <f>SUMIF($L$4:$AA$4,"SUBTOTAL",$L$37:$AA$37)</f>
        <v>237.8018058255218</v>
      </c>
    </row>
    <row r="38" spans="1:28" ht="11.25" customHeight="1" x14ac:dyDescent="0.25">
      <c r="A38" s="129"/>
      <c r="B38" s="129" t="s">
        <v>91</v>
      </c>
      <c r="C38" s="129" t="s">
        <v>46</v>
      </c>
      <c r="D38" s="33" t="s">
        <v>25</v>
      </c>
      <c r="E38" s="33" t="s">
        <v>25</v>
      </c>
      <c r="F38" s="33" t="s">
        <v>25</v>
      </c>
      <c r="G38" s="32" t="s">
        <v>84</v>
      </c>
      <c r="H38" s="32" t="s">
        <v>79</v>
      </c>
      <c r="I38" s="32">
        <f>'MERCADO TE'!$U$35</f>
        <v>0</v>
      </c>
      <c r="J38" s="17"/>
      <c r="L38" s="30">
        <f>'TR TE'!$L$38*'TR TE'!$L$54</f>
        <v>2.3178389475020338</v>
      </c>
      <c r="M38" s="30">
        <f>'TR TE'!$M$38*'TR TE'!$M$54</f>
        <v>34.854968514481214</v>
      </c>
      <c r="N38" s="30">
        <f>'TR TE'!$N$38*'TR TE'!$N$54</f>
        <v>0</v>
      </c>
      <c r="O38" s="30">
        <f>'TR TE'!$O$38*'TR TE'!$O$54</f>
        <v>12.064087448531181</v>
      </c>
      <c r="P38" s="30">
        <f>'TR TE'!$P$38*'TR TE'!$P$54</f>
        <v>-17.197125811903035</v>
      </c>
      <c r="Q38" s="30">
        <f>SUM($L$38:$P$38)</f>
        <v>32.039769098611394</v>
      </c>
      <c r="R38" s="30">
        <f>'TR TE'!$R$38*'TR TE'!$R$54</f>
        <v>200.20024170686568</v>
      </c>
      <c r="S38" s="30">
        <f>SUM($R$38:$R$38)</f>
        <v>200.20024170686568</v>
      </c>
      <c r="T38" s="30">
        <f>'TR TE'!$T$38*'TR TE'!$T$54</f>
        <v>0</v>
      </c>
      <c r="U38" s="30">
        <f>'TR TE'!$U$38*'TR TE'!$U$54</f>
        <v>0</v>
      </c>
      <c r="V38" s="30">
        <f>'TR TE'!$V$38*'TR TE'!$V$54</f>
        <v>0</v>
      </c>
      <c r="W38" s="30">
        <f>SUM($T$38:$V$38)</f>
        <v>0</v>
      </c>
      <c r="X38" s="30"/>
      <c r="Y38" s="30">
        <f>SUM($X$38:$X$38)</f>
        <v>0</v>
      </c>
      <c r="Z38" s="30">
        <f>'TR TE'!$Z$38*'TR TE'!$Z$54</f>
        <v>5.5617950200447179</v>
      </c>
      <c r="AA38" s="30">
        <f>SUM($Z$38:$Z$38)</f>
        <v>5.5617950200447179</v>
      </c>
      <c r="AB38" s="30">
        <f>SUMIF($L$4:$AA$4,"SUBTOTAL",$L$38:$AA$38)</f>
        <v>237.8018058255218</v>
      </c>
    </row>
    <row r="39" spans="1:28" ht="11.25" customHeight="1" x14ac:dyDescent="0.25">
      <c r="A39" s="129"/>
      <c r="B39" s="129"/>
      <c r="C39" s="129"/>
      <c r="D39" s="33" t="s">
        <v>93</v>
      </c>
      <c r="E39" s="33" t="s">
        <v>25</v>
      </c>
      <c r="F39" s="33" t="s">
        <v>25</v>
      </c>
      <c r="G39" s="32" t="s">
        <v>84</v>
      </c>
      <c r="H39" s="32" t="s">
        <v>79</v>
      </c>
      <c r="I39" s="32">
        <f>'MERCADO TE'!$U$36</f>
        <v>0</v>
      </c>
      <c r="J39" s="17"/>
      <c r="L39" s="30">
        <f>'TR TE'!$L$39*'TR TE'!$L$54</f>
        <v>2.3178389475020338</v>
      </c>
      <c r="M39" s="30">
        <f>'TR TE'!$M$39*'TR TE'!$M$54</f>
        <v>34.854968514481214</v>
      </c>
      <c r="N39" s="30">
        <f>'TR TE'!$N$39*'TR TE'!$N$54</f>
        <v>0</v>
      </c>
      <c r="O39" s="30">
        <f>'TR TE'!$O$39*'TR TE'!$O$54</f>
        <v>12.064087448531181</v>
      </c>
      <c r="P39" s="30">
        <f>'TR TE'!$P$39*'TR TE'!$P$54</f>
        <v>-17.197125811903035</v>
      </c>
      <c r="Q39" s="30">
        <f>SUM($L$39:$P$39)</f>
        <v>32.039769098611394</v>
      </c>
      <c r="R39" s="30">
        <f>'TR TE'!$R$39*'TR TE'!$R$54</f>
        <v>200.20024170686568</v>
      </c>
      <c r="S39" s="30">
        <f>SUM($R$39:$R$39)</f>
        <v>200.20024170686568</v>
      </c>
      <c r="T39" s="30">
        <f>'TR TE'!$T$39*'TR TE'!$T$54</f>
        <v>0</v>
      </c>
      <c r="U39" s="30">
        <f>'TR TE'!$U$39*'TR TE'!$U$54</f>
        <v>0</v>
      </c>
      <c r="V39" s="30">
        <f>'TR TE'!$V$39*'TR TE'!$V$54</f>
        <v>0</v>
      </c>
      <c r="W39" s="30">
        <f>SUM($T$39:$V$39)</f>
        <v>0</v>
      </c>
      <c r="X39" s="30"/>
      <c r="Y39" s="30">
        <f>SUM($X$39:$X$39)</f>
        <v>0</v>
      </c>
      <c r="Z39" s="30">
        <f>'TR TE'!$Z$39*'TR TE'!$Z$54</f>
        <v>5.5617950200447179</v>
      </c>
      <c r="AA39" s="30">
        <f>SUM($Z$39:$Z$39)</f>
        <v>5.5617950200447179</v>
      </c>
      <c r="AB39" s="30">
        <f>SUMIF($L$4:$AA$4,"SUBTOTAL",$L$39:$AA$39)</f>
        <v>237.8018058255218</v>
      </c>
    </row>
    <row r="40" spans="1:28" ht="11.25" customHeight="1" x14ac:dyDescent="0.25">
      <c r="A40" s="129"/>
      <c r="B40" s="129"/>
      <c r="C40" s="129"/>
      <c r="D40" s="33" t="s">
        <v>94</v>
      </c>
      <c r="E40" s="33" t="s">
        <v>25</v>
      </c>
      <c r="F40" s="33" t="s">
        <v>25</v>
      </c>
      <c r="G40" s="32" t="s">
        <v>84</v>
      </c>
      <c r="H40" s="32" t="s">
        <v>79</v>
      </c>
      <c r="I40" s="32">
        <f>'MERCADO TE'!$U$37</f>
        <v>0</v>
      </c>
      <c r="J40" s="17"/>
      <c r="L40" s="30">
        <f>'TR TE'!$L$40*'TR TE'!$L$54</f>
        <v>2.3178389475020338</v>
      </c>
      <c r="M40" s="30">
        <f>'TR TE'!$M$40*'TR TE'!$M$54</f>
        <v>34.854968514481214</v>
      </c>
      <c r="N40" s="30">
        <f>'TR TE'!$N$40*'TR TE'!$N$54</f>
        <v>0</v>
      </c>
      <c r="O40" s="30">
        <f>'TR TE'!$O$40*'TR TE'!$O$54</f>
        <v>12.064087448531181</v>
      </c>
      <c r="P40" s="30">
        <f>'TR TE'!$P$40*'TR TE'!$P$54</f>
        <v>-17.197125811903035</v>
      </c>
      <c r="Q40" s="30">
        <f>SUM($L$40:$P$40)</f>
        <v>32.039769098611394</v>
      </c>
      <c r="R40" s="30">
        <f>'TR TE'!$R$40*'TR TE'!$R$54</f>
        <v>200.20024170686568</v>
      </c>
      <c r="S40" s="30">
        <f>SUM($R$40:$R$40)</f>
        <v>200.20024170686568</v>
      </c>
      <c r="T40" s="30">
        <f>'TR TE'!$T$40*'TR TE'!$T$54</f>
        <v>0</v>
      </c>
      <c r="U40" s="30">
        <f>'TR TE'!$U$40*'TR TE'!$U$54</f>
        <v>0</v>
      </c>
      <c r="V40" s="30">
        <f>'TR TE'!$V$40*'TR TE'!$V$54</f>
        <v>0</v>
      </c>
      <c r="W40" s="30">
        <f>SUM($T$40:$V$40)</f>
        <v>0</v>
      </c>
      <c r="X40" s="30"/>
      <c r="Y40" s="30">
        <f>SUM($X$40:$X$40)</f>
        <v>0</v>
      </c>
      <c r="Z40" s="30">
        <f>'TR TE'!$Z$40*'TR TE'!$Z$54</f>
        <v>5.5617950200447179</v>
      </c>
      <c r="AA40" s="30">
        <f>SUM($Z$40:$Z$40)</f>
        <v>5.5617950200447179</v>
      </c>
      <c r="AB40" s="30">
        <f>SUMIF($L$4:$AA$4,"SUBTOTAL",$L$40:$AA$40)</f>
        <v>237.8018058255218</v>
      </c>
    </row>
    <row r="41" spans="1:28" ht="11.25" customHeight="1" x14ac:dyDescent="0.25">
      <c r="A41" s="129" t="s">
        <v>37</v>
      </c>
      <c r="B41" s="129" t="s">
        <v>78</v>
      </c>
      <c r="C41" s="129" t="s">
        <v>25</v>
      </c>
      <c r="D41" s="129" t="s">
        <v>25</v>
      </c>
      <c r="E41" s="129" t="s">
        <v>25</v>
      </c>
      <c r="F41" s="129" t="s">
        <v>25</v>
      </c>
      <c r="G41" s="32" t="s">
        <v>80</v>
      </c>
      <c r="H41" s="32" t="s">
        <v>79</v>
      </c>
      <c r="I41" s="32">
        <f>'MERCADO TE'!$U$38</f>
        <v>25.125999999999998</v>
      </c>
      <c r="J41" s="17"/>
      <c r="L41" s="30">
        <f>'TR TE'!$L$41*'TR TE'!$L$54</f>
        <v>2.3178389475020338</v>
      </c>
      <c r="M41" s="30">
        <f>'TR TE'!$M$41*'TR TE'!$M$54</f>
        <v>34.854968514481214</v>
      </c>
      <c r="N41" s="30">
        <f>'TR TE'!$N$41*'TR TE'!$N$54</f>
        <v>0</v>
      </c>
      <c r="O41" s="30">
        <f>'TR TE'!$O$41*'TR TE'!$O$54</f>
        <v>12.064087448531181</v>
      </c>
      <c r="P41" s="30">
        <f>'TR TE'!$P$41*'TR TE'!$P$54</f>
        <v>-17.197125811903035</v>
      </c>
      <c r="Q41" s="30">
        <f>SUM($L$41:$P$41)</f>
        <v>32.039769098611394</v>
      </c>
      <c r="R41" s="30">
        <f>'TR TE'!$R$41*'TR TE'!$R$54</f>
        <v>324.85322239227258</v>
      </c>
      <c r="S41" s="30">
        <f>SUM($R$41:$R$41)</f>
        <v>324.85322239227258</v>
      </c>
      <c r="T41" s="30">
        <f>'TR TE'!$T$41*'TR TE'!$T$54</f>
        <v>0</v>
      </c>
      <c r="U41" s="30">
        <f>'TR TE'!$U$41*'TR TE'!$U$54</f>
        <v>0</v>
      </c>
      <c r="V41" s="30">
        <f>'TR TE'!$V$41*'TR TE'!$V$54</f>
        <v>0</v>
      </c>
      <c r="W41" s="30">
        <f>SUM($T$41:$V$41)</f>
        <v>0</v>
      </c>
      <c r="X41" s="30"/>
      <c r="Y41" s="30">
        <f>SUM($X$41:$X$41)</f>
        <v>0</v>
      </c>
      <c r="Z41" s="30">
        <f>'TR TE'!$Z$41*'TR TE'!$Z$54</f>
        <v>5.5617950200447179</v>
      </c>
      <c r="AA41" s="30">
        <f>SUM($Z$41:$Z$41)</f>
        <v>5.5617950200447179</v>
      </c>
      <c r="AB41" s="30">
        <f>SUMIF($L$4:$AA$4,"SUBTOTAL",$L$41:$AA$41)</f>
        <v>362.45478651092867</v>
      </c>
    </row>
    <row r="42" spans="1:28" ht="11.25" customHeight="1" x14ac:dyDescent="0.25">
      <c r="A42" s="129"/>
      <c r="B42" s="129"/>
      <c r="C42" s="129"/>
      <c r="D42" s="129"/>
      <c r="E42" s="129"/>
      <c r="F42" s="129"/>
      <c r="G42" s="32" t="s">
        <v>90</v>
      </c>
      <c r="H42" s="32" t="s">
        <v>79</v>
      </c>
      <c r="I42" s="32">
        <f>'MERCADO TE'!$U$39</f>
        <v>27.405000000000001</v>
      </c>
      <c r="J42" s="17"/>
      <c r="L42" s="30">
        <f>'TR TE'!$L$42*'TR TE'!$L$54</f>
        <v>2.3178389475020338</v>
      </c>
      <c r="M42" s="30">
        <f>'TR TE'!$M$42*'TR TE'!$M$54</f>
        <v>34.854968514481214</v>
      </c>
      <c r="N42" s="30">
        <f>'TR TE'!$N$42*'TR TE'!$N$54</f>
        <v>0</v>
      </c>
      <c r="O42" s="30">
        <f>'TR TE'!$O$42*'TR TE'!$O$54</f>
        <v>12.064087448531181</v>
      </c>
      <c r="P42" s="30">
        <f>'TR TE'!$P$42*'TR TE'!$P$54</f>
        <v>-17.197125811903035</v>
      </c>
      <c r="Q42" s="30">
        <f>SUM($L$42:$P$42)</f>
        <v>32.039769098611394</v>
      </c>
      <c r="R42" s="30">
        <f>'TR TE'!$R$42*'TR TE'!$R$54</f>
        <v>188.86815255364687</v>
      </c>
      <c r="S42" s="30">
        <f>SUM($R$42:$R$42)</f>
        <v>188.86815255364687</v>
      </c>
      <c r="T42" s="30">
        <f>'TR TE'!$T$42*'TR TE'!$T$54</f>
        <v>0</v>
      </c>
      <c r="U42" s="30">
        <f>'TR TE'!$U$42*'TR TE'!$U$54</f>
        <v>0</v>
      </c>
      <c r="V42" s="30">
        <f>'TR TE'!$V$42*'TR TE'!$V$54</f>
        <v>0</v>
      </c>
      <c r="W42" s="30">
        <f>SUM($T$42:$V$42)</f>
        <v>0</v>
      </c>
      <c r="X42" s="30"/>
      <c r="Y42" s="30">
        <f>SUM($X$42:$X$42)</f>
        <v>0</v>
      </c>
      <c r="Z42" s="30">
        <f>'TR TE'!$Z$42*'TR TE'!$Z$54</f>
        <v>5.5617950200447179</v>
      </c>
      <c r="AA42" s="30">
        <f>SUM($Z$42:$Z$42)</f>
        <v>5.5617950200447179</v>
      </c>
      <c r="AB42" s="30">
        <f>SUMIF($L$4:$AA$4,"SUBTOTAL",$L$42:$AA$42)</f>
        <v>226.46971667230298</v>
      </c>
    </row>
    <row r="43" spans="1:28" ht="11.25" customHeight="1" x14ac:dyDescent="0.25">
      <c r="A43" s="129"/>
      <c r="B43" s="129"/>
      <c r="C43" s="129"/>
      <c r="D43" s="129"/>
      <c r="E43" s="129"/>
      <c r="F43" s="129"/>
      <c r="G43" s="32" t="s">
        <v>81</v>
      </c>
      <c r="H43" s="32" t="s">
        <v>79</v>
      </c>
      <c r="I43" s="32">
        <f>'MERCADO TE'!$U$40</f>
        <v>590.17399999999998</v>
      </c>
      <c r="J43" s="17"/>
      <c r="L43" s="30">
        <f>'TR TE'!$L$43*'TR TE'!$L$54</f>
        <v>2.3178389475020338</v>
      </c>
      <c r="M43" s="30">
        <f>'TR TE'!$M$43*'TR TE'!$M$54</f>
        <v>34.854968514481214</v>
      </c>
      <c r="N43" s="30">
        <f>'TR TE'!$N$43*'TR TE'!$N$54</f>
        <v>0</v>
      </c>
      <c r="O43" s="30">
        <f>'TR TE'!$O$43*'TR TE'!$O$54</f>
        <v>12.064087448531181</v>
      </c>
      <c r="P43" s="30">
        <f>'TR TE'!$P$43*'TR TE'!$P$54</f>
        <v>-17.197125811903035</v>
      </c>
      <c r="Q43" s="30">
        <f>SUM($L$43:$P$43)</f>
        <v>32.039769098611394</v>
      </c>
      <c r="R43" s="30">
        <f>'TR TE'!$R$43*'TR TE'!$R$54</f>
        <v>188.86815255364687</v>
      </c>
      <c r="S43" s="30">
        <f>SUM($R$43:$R$43)</f>
        <v>188.86815255364687</v>
      </c>
      <c r="T43" s="30">
        <f>'TR TE'!$T$43*'TR TE'!$T$54</f>
        <v>0</v>
      </c>
      <c r="U43" s="30">
        <f>'TR TE'!$U$43*'TR TE'!$U$54</f>
        <v>0</v>
      </c>
      <c r="V43" s="30">
        <f>'TR TE'!$V$43*'TR TE'!$V$54</f>
        <v>0</v>
      </c>
      <c r="W43" s="30">
        <f>SUM($T$43:$V$43)</f>
        <v>0</v>
      </c>
      <c r="X43" s="30"/>
      <c r="Y43" s="30">
        <f>SUM($X$43:$X$43)</f>
        <v>0</v>
      </c>
      <c r="Z43" s="30">
        <f>'TR TE'!$Z$43*'TR TE'!$Z$54</f>
        <v>5.5617950200447179</v>
      </c>
      <c r="AA43" s="30">
        <f>SUM($Z$43:$Z$43)</f>
        <v>5.5617950200447179</v>
      </c>
      <c r="AB43" s="30">
        <f>SUMIF($L$4:$AA$4,"SUBTOTAL",$L$43:$AA$43)</f>
        <v>226.46971667230298</v>
      </c>
    </row>
    <row r="44" spans="1:28" ht="11.25" customHeight="1" x14ac:dyDescent="0.25">
      <c r="A44" s="129"/>
      <c r="B44" s="33" t="s">
        <v>86</v>
      </c>
      <c r="C44" s="33" t="s">
        <v>25</v>
      </c>
      <c r="D44" s="33" t="s">
        <v>25</v>
      </c>
      <c r="E44" s="33" t="s">
        <v>25</v>
      </c>
      <c r="F44" s="33" t="s">
        <v>25</v>
      </c>
      <c r="G44" s="32" t="s">
        <v>84</v>
      </c>
      <c r="H44" s="32" t="s">
        <v>79</v>
      </c>
      <c r="I44" s="32">
        <f>'MERCADO TE'!$U$41</f>
        <v>181428.25600000002</v>
      </c>
      <c r="J44" s="17"/>
      <c r="L44" s="30">
        <f>'TR TE'!$L$44*'TR TE'!$L$54</f>
        <v>2.3178389475020338</v>
      </c>
      <c r="M44" s="30">
        <f>'TR TE'!$M$44*'TR TE'!$M$54</f>
        <v>34.854968514481214</v>
      </c>
      <c r="N44" s="30">
        <f>'TR TE'!$N$44*'TR TE'!$N$54</f>
        <v>0</v>
      </c>
      <c r="O44" s="30">
        <f>'TR TE'!$O$44*'TR TE'!$O$54</f>
        <v>12.064087448531181</v>
      </c>
      <c r="P44" s="30">
        <f>'TR TE'!$P$44*'TR TE'!$P$54</f>
        <v>-17.197125811903035</v>
      </c>
      <c r="Q44" s="30">
        <f>SUM($L$44:$P$44)</f>
        <v>32.039769098611394</v>
      </c>
      <c r="R44" s="30">
        <f>'TR TE'!$R$44*'TR TE'!$R$54</f>
        <v>200.20024170686568</v>
      </c>
      <c r="S44" s="30">
        <f>SUM($R$44:$R$44)</f>
        <v>200.20024170686568</v>
      </c>
      <c r="T44" s="30">
        <f>'TR TE'!$T$44*'TR TE'!$T$54</f>
        <v>0</v>
      </c>
      <c r="U44" s="30">
        <f>'TR TE'!$U$44*'TR TE'!$U$54</f>
        <v>0</v>
      </c>
      <c r="V44" s="30">
        <f>'TR TE'!$V$44*'TR TE'!$V$54</f>
        <v>0</v>
      </c>
      <c r="W44" s="30">
        <f>SUM($T$44:$V$44)</f>
        <v>0</v>
      </c>
      <c r="X44" s="30"/>
      <c r="Y44" s="30">
        <f>SUM($X$44:$X$44)</f>
        <v>0</v>
      </c>
      <c r="Z44" s="30">
        <f>'TR TE'!$Z$44*'TR TE'!$Z$54</f>
        <v>5.5617950200447179</v>
      </c>
      <c r="AA44" s="30">
        <f>SUM($Z$44:$Z$44)</f>
        <v>5.5617950200447179</v>
      </c>
      <c r="AB44" s="30">
        <f>SUMIF($L$4:$AA$4,"SUBTOTAL",$L$44:$AA$44)</f>
        <v>237.8018058255218</v>
      </c>
    </row>
    <row r="45" spans="1:28" ht="11.25" customHeight="1" x14ac:dyDescent="0.25">
      <c r="A45" s="129"/>
      <c r="B45" s="33" t="s">
        <v>91</v>
      </c>
      <c r="C45" s="33" t="s">
        <v>25</v>
      </c>
      <c r="D45" s="33" t="s">
        <v>25</v>
      </c>
      <c r="E45" s="33" t="s">
        <v>25</v>
      </c>
      <c r="F45" s="33" t="s">
        <v>25</v>
      </c>
      <c r="G45" s="32" t="s">
        <v>84</v>
      </c>
      <c r="H45" s="32" t="s">
        <v>79</v>
      </c>
      <c r="I45" s="32">
        <f>'MERCADO TE'!$U$42</f>
        <v>0</v>
      </c>
      <c r="J45" s="17"/>
      <c r="L45" s="30">
        <f>'TR TE'!$L$45*'TR TE'!$L$54</f>
        <v>2.3178389475020338</v>
      </c>
      <c r="M45" s="30">
        <f>'TR TE'!$M$45*'TR TE'!$M$54</f>
        <v>34.854968514481214</v>
      </c>
      <c r="N45" s="30">
        <f>'TR TE'!$N$45*'TR TE'!$N$54</f>
        <v>0</v>
      </c>
      <c r="O45" s="30">
        <f>'TR TE'!$O$45*'TR TE'!$O$54</f>
        <v>12.064087448531181</v>
      </c>
      <c r="P45" s="30">
        <f>'TR TE'!$P$45*'TR TE'!$P$54</f>
        <v>-17.197125811903035</v>
      </c>
      <c r="Q45" s="30">
        <f>SUM($L$45:$P$45)</f>
        <v>32.039769098611394</v>
      </c>
      <c r="R45" s="30">
        <f>'TR TE'!$R$45*'TR TE'!$R$54</f>
        <v>200.20024170686568</v>
      </c>
      <c r="S45" s="30">
        <f>SUM($R$45:$R$45)</f>
        <v>200.20024170686568</v>
      </c>
      <c r="T45" s="30">
        <f>'TR TE'!$T$45*'TR TE'!$T$54</f>
        <v>0</v>
      </c>
      <c r="U45" s="30">
        <f>'TR TE'!$U$45*'TR TE'!$U$54</f>
        <v>0</v>
      </c>
      <c r="V45" s="30">
        <f>'TR TE'!$V$45*'TR TE'!$V$54</f>
        <v>0</v>
      </c>
      <c r="W45" s="30">
        <f>SUM($T$45:$V$45)</f>
        <v>0</v>
      </c>
      <c r="X45" s="30"/>
      <c r="Y45" s="30">
        <f>SUM($X$45:$X$45)</f>
        <v>0</v>
      </c>
      <c r="Z45" s="30">
        <f>'TR TE'!$Z$45*'TR TE'!$Z$54</f>
        <v>5.5617950200447179</v>
      </c>
      <c r="AA45" s="30">
        <f>SUM($Z$45:$Z$45)</f>
        <v>5.5617950200447179</v>
      </c>
      <c r="AB45" s="30">
        <f>SUMIF($L$4:$AA$4,"SUBTOTAL",$L$45:$AA$45)</f>
        <v>237.8018058255218</v>
      </c>
    </row>
    <row r="46" spans="1:28" ht="11.25" customHeight="1" x14ac:dyDescent="0.25">
      <c r="A46" s="129" t="s">
        <v>48</v>
      </c>
      <c r="B46" s="129" t="s">
        <v>86</v>
      </c>
      <c r="C46" s="129" t="s">
        <v>49</v>
      </c>
      <c r="D46" s="33" t="s">
        <v>50</v>
      </c>
      <c r="E46" s="33" t="s">
        <v>25</v>
      </c>
      <c r="F46" s="33" t="s">
        <v>25</v>
      </c>
      <c r="G46" s="32" t="s">
        <v>84</v>
      </c>
      <c r="H46" s="32" t="s">
        <v>79</v>
      </c>
      <c r="I46" s="32">
        <f>'MERCADO TE'!$U$43</f>
        <v>39483.672999999995</v>
      </c>
      <c r="J46" s="17"/>
      <c r="L46" s="30">
        <f>'TR TE'!$L$46*'TR TE'!$L$54</f>
        <v>1.2748114211261188</v>
      </c>
      <c r="M46" s="30">
        <f>'TR TE'!$M$46*'TR TE'!$M$54</f>
        <v>19.17023268296467</v>
      </c>
      <c r="N46" s="30">
        <f>'TR TE'!$N$46*'TR TE'!$N$54</f>
        <v>0</v>
      </c>
      <c r="O46" s="30">
        <f>'TR TE'!$O$46*'TR TE'!$O$54</f>
        <v>6.6352480966921501</v>
      </c>
      <c r="P46" s="30">
        <f>'TR TE'!$P$46*'TR TE'!$P$54</f>
        <v>-9.4584191965466697</v>
      </c>
      <c r="Q46" s="30">
        <f>SUM($L$46:$P$46)</f>
        <v>17.621873004236271</v>
      </c>
      <c r="R46" s="30">
        <f>'TR TE'!$R$46*'TR TE'!$R$54</f>
        <v>110.11013293877613</v>
      </c>
      <c r="S46" s="30">
        <f>SUM($R$46:$R$46)</f>
        <v>110.11013293877613</v>
      </c>
      <c r="T46" s="30">
        <f>'TR TE'!$T$46*'TR TE'!$T$54</f>
        <v>0</v>
      </c>
      <c r="U46" s="30">
        <f>'TR TE'!$U$46*'TR TE'!$U$54</f>
        <v>0</v>
      </c>
      <c r="V46" s="30">
        <f>'TR TE'!$V$46*'TR TE'!$V$54</f>
        <v>0</v>
      </c>
      <c r="W46" s="30">
        <f>SUM($T$46:$V$46)</f>
        <v>0</v>
      </c>
      <c r="X46" s="30"/>
      <c r="Y46" s="30">
        <f>SUM($X$46:$X$46)</f>
        <v>0</v>
      </c>
      <c r="Z46" s="30">
        <f>'TR TE'!$Z$46*'TR TE'!$Z$54</f>
        <v>3.058987261024595</v>
      </c>
      <c r="AA46" s="30">
        <f>SUM($Z$46:$Z$46)</f>
        <v>3.058987261024595</v>
      </c>
      <c r="AB46" s="30">
        <f>SUMIF($L$4:$AA$4,"SUBTOTAL",$L$46:$AA$46)</f>
        <v>130.79099320403699</v>
      </c>
    </row>
    <row r="47" spans="1:28" ht="11.25" customHeight="1" x14ac:dyDescent="0.25">
      <c r="A47" s="129"/>
      <c r="B47" s="129"/>
      <c r="C47" s="129"/>
      <c r="D47" s="32" t="s">
        <v>95</v>
      </c>
      <c r="E47" s="32" t="s">
        <v>25</v>
      </c>
      <c r="F47" s="32" t="s">
        <v>25</v>
      </c>
      <c r="G47" s="32" t="s">
        <v>84</v>
      </c>
      <c r="H47" s="32" t="s">
        <v>79</v>
      </c>
      <c r="I47" s="32">
        <f>'MERCADO TE'!$U$44</f>
        <v>0</v>
      </c>
      <c r="J47" s="17"/>
      <c r="L47" s="30">
        <f>'TR TE'!$L$47*'TR TE'!$L$54</f>
        <v>1.3907033685012202</v>
      </c>
      <c r="M47" s="30">
        <f>'TR TE'!$M$47*'TR TE'!$M$54</f>
        <v>20.912981108688729</v>
      </c>
      <c r="N47" s="30">
        <f>'TR TE'!$N$47*'TR TE'!$N$54</f>
        <v>0</v>
      </c>
      <c r="O47" s="30">
        <f>'TR TE'!$O$47*'TR TE'!$O$54</f>
        <v>7.238452469118708</v>
      </c>
      <c r="P47" s="30">
        <f>'TR TE'!$P$47*'TR TE'!$P$54</f>
        <v>-10.31827548714182</v>
      </c>
      <c r="Q47" s="30">
        <f>SUM($L$47:$P$47)</f>
        <v>19.223861459166841</v>
      </c>
      <c r="R47" s="30">
        <f>'TR TE'!$R$47*'TR TE'!$R$54</f>
        <v>120.12014502411941</v>
      </c>
      <c r="S47" s="30">
        <f>SUM($R$47:$R$47)</f>
        <v>120.12014502411941</v>
      </c>
      <c r="T47" s="30">
        <f>'TR TE'!$T$47*'TR TE'!$T$54</f>
        <v>0</v>
      </c>
      <c r="U47" s="30">
        <f>'TR TE'!$U$47*'TR TE'!$U$54</f>
        <v>0</v>
      </c>
      <c r="V47" s="30">
        <f>'TR TE'!$V$47*'TR TE'!$V$54</f>
        <v>0</v>
      </c>
      <c r="W47" s="30">
        <f>SUM($T$47:$V$47)</f>
        <v>0</v>
      </c>
      <c r="X47" s="30"/>
      <c r="Y47" s="30">
        <f>SUM($X$47:$X$47)</f>
        <v>0</v>
      </c>
      <c r="Z47" s="30">
        <f>'TR TE'!$Z$47*'TR TE'!$Z$54</f>
        <v>3.3370770120268305</v>
      </c>
      <c r="AA47" s="30">
        <f>SUM($Z$47:$Z$47)</f>
        <v>3.3370770120268305</v>
      </c>
      <c r="AB47" s="30">
        <f>SUMIF($L$4:$AA$4,"SUBTOTAL",$L$47:$AA$47)</f>
        <v>142.68108349531309</v>
      </c>
    </row>
    <row r="49" spans="11:28" ht="11.25" customHeight="1" x14ac:dyDescent="0.25">
      <c r="K49" s="35" t="s">
        <v>766</v>
      </c>
      <c r="L49" s="30">
        <f t="shared" ref="L49:AB49" si="0">SUMPRODUCT($I$5:$I$47,L$5:L$47)</f>
        <v>2434049.1762334043</v>
      </c>
      <c r="M49" s="30">
        <f t="shared" si="0"/>
        <v>36602503.159999996</v>
      </c>
      <c r="N49" s="30">
        <f t="shared" si="0"/>
        <v>0</v>
      </c>
      <c r="O49" s="30">
        <f t="shared" si="0"/>
        <v>12668948.439127613</v>
      </c>
      <c r="P49" s="30">
        <f t="shared" si="0"/>
        <v>-18059343.579999994</v>
      </c>
      <c r="Q49" s="30">
        <f t="shared" si="0"/>
        <v>33646157.195361011</v>
      </c>
      <c r="R49" s="30">
        <f t="shared" si="0"/>
        <v>210127525.67695916</v>
      </c>
      <c r="S49" s="30">
        <f t="shared" si="0"/>
        <v>210127525.67695916</v>
      </c>
      <c r="T49" s="30">
        <f t="shared" si="0"/>
        <v>0</v>
      </c>
      <c r="U49" s="30">
        <f t="shared" si="0"/>
        <v>0</v>
      </c>
      <c r="V49" s="30">
        <f t="shared" si="0"/>
        <v>0</v>
      </c>
      <c r="W49" s="30">
        <f t="shared" si="0"/>
        <v>0</v>
      </c>
      <c r="X49" s="30">
        <f t="shared" si="0"/>
        <v>0</v>
      </c>
      <c r="Y49" s="30">
        <f t="shared" si="0"/>
        <v>0</v>
      </c>
      <c r="Z49" s="30">
        <f t="shared" si="0"/>
        <v>5840648.5064497869</v>
      </c>
      <c r="AA49" s="30">
        <f t="shared" si="0"/>
        <v>5840648.5064497869</v>
      </c>
      <c r="AB49" s="30">
        <f t="shared" si="0"/>
        <v>249614331.37877002</v>
      </c>
    </row>
    <row r="50" spans="11:28" ht="11.25" customHeight="1" x14ac:dyDescent="0.25">
      <c r="K50" s="35" t="s">
        <v>686</v>
      </c>
      <c r="L50" s="30">
        <f>CUSTOS!$D$30</f>
        <v>2434049.1762334048</v>
      </c>
      <c r="M50" s="30">
        <f>CUSTOS!$D$31</f>
        <v>36602503.159999996</v>
      </c>
      <c r="N50" s="30">
        <f>CUSTOS!$D$32</f>
        <v>0</v>
      </c>
      <c r="O50" s="30">
        <f>CUSTOS!$D$33</f>
        <v>12668948.439127613</v>
      </c>
      <c r="P50" s="30">
        <f>CUSTOS!$D$34</f>
        <v>-18059343.579999998</v>
      </c>
      <c r="Q50" s="30">
        <f>CUSTOS!$D$35</f>
        <v>33646157.195361018</v>
      </c>
      <c r="R50" s="30">
        <f>CUSTOS!$D$36</f>
        <v>210127525.67695919</v>
      </c>
      <c r="S50" s="30">
        <f>CUSTOS!$D$37</f>
        <v>210127525.67695919</v>
      </c>
      <c r="T50" s="30">
        <f>CUSTOS!$D$38</f>
        <v>0</v>
      </c>
      <c r="U50" s="30">
        <f>CUSTOS!$D$39</f>
        <v>0</v>
      </c>
      <c r="V50" s="30">
        <f>CUSTOS!$D$40</f>
        <v>0</v>
      </c>
      <c r="W50" s="30">
        <f>CUSTOS!$D$41</f>
        <v>0</v>
      </c>
      <c r="X50" s="30">
        <f>CUSTOS!$D$42</f>
        <v>0</v>
      </c>
      <c r="Y50" s="30">
        <f>CUSTOS!$D$43</f>
        <v>0</v>
      </c>
      <c r="Z50" s="30">
        <f>CUSTOS!$D$44</f>
        <v>5840648.5064497869</v>
      </c>
      <c r="AA50" s="30">
        <f>CUSTOS!$D$45</f>
        <v>5840648.5064497869</v>
      </c>
      <c r="AB50" s="30">
        <f>CUSTOS!$D$46</f>
        <v>249614331.37876999</v>
      </c>
    </row>
    <row r="51" spans="11:28" ht="11.25" customHeight="1" x14ac:dyDescent="0.25">
      <c r="K51" s="35" t="s">
        <v>687</v>
      </c>
      <c r="L51" s="30">
        <f>CUSTOS!$E$30</f>
        <v>0</v>
      </c>
      <c r="M51" s="30">
        <f>CUSTOS!$E$31</f>
        <v>14515474.191817597</v>
      </c>
      <c r="N51" s="30">
        <f>CUSTOS!$E$32</f>
        <v>0</v>
      </c>
      <c r="O51" s="30">
        <f>CUSTOS!$E$33</f>
        <v>-833357.30925666564</v>
      </c>
      <c r="P51" s="30">
        <f>CUSTOS!$E$34</f>
        <v>0</v>
      </c>
      <c r="Q51" s="30">
        <f>CUSTOS!$E$35</f>
        <v>13682116.882560931</v>
      </c>
      <c r="R51" s="30">
        <f>CUSTOS!$E$36</f>
        <v>-94215085.398337662</v>
      </c>
      <c r="S51" s="30">
        <f>CUSTOS!$E$37</f>
        <v>-94215085.398337662</v>
      </c>
      <c r="T51" s="30">
        <f>CUSTOS!$E$38</f>
        <v>0</v>
      </c>
      <c r="U51" s="30">
        <f>CUSTOS!$E$39</f>
        <v>0</v>
      </c>
      <c r="V51" s="30">
        <f>CUSTOS!$E$40</f>
        <v>0</v>
      </c>
      <c r="W51" s="30">
        <f>CUSTOS!$E$41</f>
        <v>0</v>
      </c>
      <c r="X51" s="30">
        <f>CUSTOS!$E$42</f>
        <v>-16600151.204938425</v>
      </c>
      <c r="Y51" s="30">
        <f>CUSTOS!$E$43</f>
        <v>-16600151.204938425</v>
      </c>
      <c r="Z51" s="30">
        <f>CUSTOS!$E$44</f>
        <v>-2618777.3165083188</v>
      </c>
      <c r="AA51" s="30">
        <f>CUSTOS!$E$45</f>
        <v>-2618777.3165083188</v>
      </c>
      <c r="AB51" s="30">
        <f>CUSTOS!$E$46</f>
        <v>-99751897.037223473</v>
      </c>
    </row>
    <row r="52" spans="11:28" ht="11.25" customHeight="1" x14ac:dyDescent="0.25">
      <c r="K52" s="35" t="s">
        <v>688</v>
      </c>
      <c r="L52" s="30">
        <f>CUSTOS!$F$30</f>
        <v>0</v>
      </c>
      <c r="M52" s="30">
        <f>CUSTOS!$F$31</f>
        <v>20821697.545299999</v>
      </c>
      <c r="N52" s="30">
        <f>CUSTOS!$F$32</f>
        <v>0</v>
      </c>
      <c r="O52" s="30">
        <f>CUSTOS!$F$33</f>
        <v>560051.04179454083</v>
      </c>
      <c r="P52" s="30">
        <f>CUSTOS!$F$34</f>
        <v>0</v>
      </c>
      <c r="Q52" s="30">
        <f>CUSTOS!$F$35</f>
        <v>21381748.587094542</v>
      </c>
      <c r="R52" s="30">
        <f>CUSTOS!$F$36</f>
        <v>62662156.668706685</v>
      </c>
      <c r="S52" s="30">
        <f>CUSTOS!$F$37</f>
        <v>62662156.668706685</v>
      </c>
      <c r="T52" s="30">
        <f>CUSTOS!$F$38</f>
        <v>0</v>
      </c>
      <c r="U52" s="30">
        <f>CUSTOS!$F$39</f>
        <v>0</v>
      </c>
      <c r="V52" s="30">
        <f>CUSTOS!$F$40</f>
        <v>0</v>
      </c>
      <c r="W52" s="30">
        <f>CUSTOS!$F$41</f>
        <v>0</v>
      </c>
      <c r="X52" s="30">
        <f>CUSTOS!$F$42</f>
        <v>0</v>
      </c>
      <c r="Y52" s="30">
        <f>CUSTOS!$F$43</f>
        <v>0</v>
      </c>
      <c r="Z52" s="30">
        <f>CUSTOS!$F$44</f>
        <v>1741740.5481691037</v>
      </c>
      <c r="AA52" s="30">
        <f>CUSTOS!$F$45</f>
        <v>1741740.5481691037</v>
      </c>
      <c r="AB52" s="30">
        <f>CUSTOS!$F$46</f>
        <v>85785645.803970337</v>
      </c>
    </row>
    <row r="53" spans="11:28" ht="11.25" customHeight="1" x14ac:dyDescent="0.25">
      <c r="K53" s="35" t="s">
        <v>767</v>
      </c>
      <c r="L53" s="30">
        <f>'TR TE'!$L$53*L54</f>
        <v>0</v>
      </c>
      <c r="M53" s="30">
        <f>'TR TE'!$M$53*M54</f>
        <v>13.822453445792339</v>
      </c>
      <c r="N53" s="30">
        <f>'TR TE'!$N$53*N54</f>
        <v>0</v>
      </c>
      <c r="O53" s="30">
        <f>'TR TE'!$O$53*O54</f>
        <v>-0.79356984544151776</v>
      </c>
      <c r="P53" s="30">
        <f>'TR TE'!$P$53*P54</f>
        <v>0</v>
      </c>
      <c r="Q53" s="30"/>
      <c r="R53" s="30">
        <f>'TR TE'!$R$53*R54</f>
        <v>-89.604632261511171</v>
      </c>
      <c r="S53" s="30"/>
      <c r="T53" s="30">
        <f>'TR TE'!$T$53*T54</f>
        <v>0</v>
      </c>
      <c r="U53" s="30">
        <f>'TR TE'!$U$53*U54</f>
        <v>0</v>
      </c>
      <c r="V53" s="30">
        <f>'TR TE'!$V$53*V54</f>
        <v>0</v>
      </c>
      <c r="W53" s="30"/>
      <c r="X53" s="30"/>
      <c r="Y53" s="30"/>
      <c r="Z53" s="30">
        <f>'TR TE'!$Z$53*Z54</f>
        <v>-2.4937475044899373</v>
      </c>
      <c r="AA53" s="30"/>
      <c r="AB53" s="30"/>
    </row>
    <row r="54" spans="11:28" ht="11.25" customHeight="1" x14ac:dyDescent="0.25">
      <c r="K54" s="35" t="s">
        <v>754</v>
      </c>
      <c r="L54" s="30">
        <f>IF(L50&lt;&gt;0,L51/L50,0)</f>
        <v>0</v>
      </c>
      <c r="M54" s="30">
        <f>IF(M50&lt;&gt;0,M51/M50,0)</f>
        <v>0.39657053312354928</v>
      </c>
      <c r="N54" s="30">
        <f>IF(N50&lt;&gt;0,N51/N50,0)</f>
        <v>0</v>
      </c>
      <c r="O54" s="30">
        <f>IF(O50&lt;&gt;0,O51/O50,0)</f>
        <v>-6.5779517002600638E-2</v>
      </c>
      <c r="P54" s="30">
        <f>IF(P50&lt;&gt;0,P51/P50,0)</f>
        <v>0</v>
      </c>
      <c r="Q54" s="30"/>
      <c r="R54" s="30">
        <f>IF(R50&lt;&gt;0,R51/R50,0)</f>
        <v>-0.44837098373860734</v>
      </c>
      <c r="S54" s="30"/>
      <c r="T54" s="30">
        <f>IF(T50&lt;&gt;0,T51/T50,0)</f>
        <v>0</v>
      </c>
      <c r="U54" s="30">
        <f>IF(U50&lt;&gt;0,U51/U50,0)</f>
        <v>0</v>
      </c>
      <c r="V54" s="30">
        <f>IF(V50&lt;&gt;0,V51/V50,0)</f>
        <v>0</v>
      </c>
      <c r="W54" s="30"/>
      <c r="X54" s="30">
        <f>IF(($AB50-0)&lt;&gt;0,X51/($AB50-0),0)</f>
        <v>-6.6503197605865857E-2</v>
      </c>
      <c r="Y54" s="30"/>
      <c r="Z54" s="30">
        <f>IF(Z50&lt;&gt;0,Z51/Z50,0)</f>
        <v>-0.44837098373860734</v>
      </c>
      <c r="AA54" s="30"/>
      <c r="AB54" s="30"/>
    </row>
    <row r="55" spans="11:28" ht="11.25" customHeight="1" x14ac:dyDescent="0.25">
      <c r="K55" s="35" t="s">
        <v>769</v>
      </c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</row>
  </sheetData>
  <mergeCells count="73">
    <mergeCell ref="E41:E43"/>
    <mergeCell ref="F41:F43"/>
    <mergeCell ref="A46:A47"/>
    <mergeCell ref="B46:B47"/>
    <mergeCell ref="C46:C47"/>
    <mergeCell ref="D41:D43"/>
    <mergeCell ref="B38:B40"/>
    <mergeCell ref="C38:C40"/>
    <mergeCell ref="A41:A45"/>
    <mergeCell ref="B41:B43"/>
    <mergeCell ref="C41:C43"/>
    <mergeCell ref="A26:A40"/>
    <mergeCell ref="B26:B28"/>
    <mergeCell ref="C26:C28"/>
    <mergeCell ref="B34:B36"/>
    <mergeCell ref="C34:C36"/>
    <mergeCell ref="B30:B32"/>
    <mergeCell ref="C30:C32"/>
    <mergeCell ref="D34:D36"/>
    <mergeCell ref="E34:E36"/>
    <mergeCell ref="F34:F36"/>
    <mergeCell ref="D26:D28"/>
    <mergeCell ref="E26:E28"/>
    <mergeCell ref="F26:F28"/>
    <mergeCell ref="D30:D32"/>
    <mergeCell ref="E30:E32"/>
    <mergeCell ref="F30:F32"/>
    <mergeCell ref="A13:A25"/>
    <mergeCell ref="B13:B15"/>
    <mergeCell ref="C13:C15"/>
    <mergeCell ref="D13:D15"/>
    <mergeCell ref="E13:E15"/>
    <mergeCell ref="F13:F15"/>
    <mergeCell ref="B16:B20"/>
    <mergeCell ref="C16:C20"/>
    <mergeCell ref="B21:B25"/>
    <mergeCell ref="C21:C25"/>
    <mergeCell ref="F10:F11"/>
    <mergeCell ref="A7:A9"/>
    <mergeCell ref="B7:B8"/>
    <mergeCell ref="C7:C8"/>
    <mergeCell ref="D7:D8"/>
    <mergeCell ref="E7:E8"/>
    <mergeCell ref="F7:F8"/>
    <mergeCell ref="A10:A12"/>
    <mergeCell ref="B10:B11"/>
    <mergeCell ref="C10:C11"/>
    <mergeCell ref="D10:D11"/>
    <mergeCell ref="E10:E11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9">
    <cfRule type="cellIs" dxfId="886" priority="33" operator="notEqual">
      <formula>$L$50</formula>
    </cfRule>
    <cfRule type="cellIs" dxfId="885" priority="34" operator="equal">
      <formula>$L$50</formula>
    </cfRule>
  </conditionalFormatting>
  <conditionalFormatting sqref="M49">
    <cfRule type="cellIs" dxfId="884" priority="31" operator="notEqual">
      <formula>$M$50</formula>
    </cfRule>
    <cfRule type="cellIs" dxfId="883" priority="32" operator="equal">
      <formula>$M$50</formula>
    </cfRule>
  </conditionalFormatting>
  <conditionalFormatting sqref="N49">
    <cfRule type="cellIs" dxfId="882" priority="29" operator="notEqual">
      <formula>$N$50</formula>
    </cfRule>
    <cfRule type="cellIs" dxfId="881" priority="30" operator="equal">
      <formula>$N$50</formula>
    </cfRule>
  </conditionalFormatting>
  <conditionalFormatting sqref="O49">
    <cfRule type="cellIs" dxfId="880" priority="27" operator="notEqual">
      <formula>$O$50</formula>
    </cfRule>
    <cfRule type="cellIs" dxfId="879" priority="28" operator="equal">
      <formula>$O$50</formula>
    </cfRule>
  </conditionalFormatting>
  <conditionalFormatting sqref="P49">
    <cfRule type="cellIs" dxfId="878" priority="25" operator="notEqual">
      <formula>$P$50</formula>
    </cfRule>
    <cfRule type="cellIs" dxfId="877" priority="26" operator="equal">
      <formula>$P$50</formula>
    </cfRule>
  </conditionalFormatting>
  <conditionalFormatting sqref="Q49">
    <cfRule type="cellIs" dxfId="876" priority="23" operator="notEqual">
      <formula>$Q$50</formula>
    </cfRule>
    <cfRule type="cellIs" dxfId="875" priority="24" operator="equal">
      <formula>$Q$50</formula>
    </cfRule>
  </conditionalFormatting>
  <conditionalFormatting sqref="R49">
    <cfRule type="cellIs" dxfId="874" priority="21" operator="notEqual">
      <formula>$R$50</formula>
    </cfRule>
    <cfRule type="cellIs" dxfId="873" priority="22" operator="equal">
      <formula>$R$50</formula>
    </cfRule>
  </conditionalFormatting>
  <conditionalFormatting sqref="S49">
    <cfRule type="cellIs" dxfId="872" priority="19" operator="notEqual">
      <formula>$S$50</formula>
    </cfRule>
    <cfRule type="cellIs" dxfId="871" priority="20" operator="equal">
      <formula>$S$50</formula>
    </cfRule>
  </conditionalFormatting>
  <conditionalFormatting sqref="T49">
    <cfRule type="cellIs" dxfId="870" priority="17" operator="notEqual">
      <formula>$T$50</formula>
    </cfRule>
    <cfRule type="cellIs" dxfId="869" priority="18" operator="equal">
      <formula>$T$50</formula>
    </cfRule>
  </conditionalFormatting>
  <conditionalFormatting sqref="U49">
    <cfRule type="cellIs" dxfId="868" priority="15" operator="notEqual">
      <formula>$U$50</formula>
    </cfRule>
    <cfRule type="cellIs" dxfId="867" priority="16" operator="equal">
      <formula>$U$50</formula>
    </cfRule>
  </conditionalFormatting>
  <conditionalFormatting sqref="V49">
    <cfRule type="cellIs" dxfId="866" priority="13" operator="notEqual">
      <formula>$V$50</formula>
    </cfRule>
    <cfRule type="cellIs" dxfId="865" priority="14" operator="equal">
      <formula>$V$50</formula>
    </cfRule>
  </conditionalFormatting>
  <conditionalFormatting sqref="W49">
    <cfRule type="cellIs" dxfId="864" priority="11" operator="notEqual">
      <formula>$W$50</formula>
    </cfRule>
    <cfRule type="cellIs" dxfId="863" priority="12" operator="equal">
      <formula>$W$50</formula>
    </cfRule>
  </conditionalFormatting>
  <conditionalFormatting sqref="X49">
    <cfRule type="cellIs" dxfId="862" priority="9" operator="notEqual">
      <formula>$X$50</formula>
    </cfRule>
    <cfRule type="cellIs" dxfId="861" priority="10" operator="equal">
      <formula>$X$50</formula>
    </cfRule>
  </conditionalFormatting>
  <conditionalFormatting sqref="Y49">
    <cfRule type="cellIs" dxfId="860" priority="7" operator="notEqual">
      <formula>$Y$50</formula>
    </cfRule>
    <cfRule type="cellIs" dxfId="859" priority="8" operator="equal">
      <formula>$Y$50</formula>
    </cfRule>
  </conditionalFormatting>
  <conditionalFormatting sqref="Z49">
    <cfRule type="cellIs" dxfId="858" priority="5" operator="notEqual">
      <formula>$Z$50</formula>
    </cfRule>
    <cfRule type="cellIs" dxfId="857" priority="6" operator="equal">
      <formula>$Z$50</formula>
    </cfRule>
  </conditionalFormatting>
  <conditionalFormatting sqref="AA49">
    <cfRule type="cellIs" dxfId="856" priority="3" operator="notEqual">
      <formula>$AA$50</formula>
    </cfRule>
    <cfRule type="cellIs" dxfId="855" priority="4" operator="equal">
      <formula>$AA$50</formula>
    </cfRule>
  </conditionalFormatting>
  <conditionalFormatting sqref="AB49">
    <cfRule type="cellIs" dxfId="854" priority="1" operator="notEqual">
      <formula>$AB$50</formula>
    </cfRule>
    <cfRule type="cellIs" dxfId="853" priority="2" operator="equal">
      <formula>$AB$50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58B82-F6FF-48E0-8CBD-A55145AEEE63}">
  <sheetPr codeName="Planilha14"/>
  <dimension ref="A1:AB55"/>
  <sheetViews>
    <sheetView showGridLines="0" topLeftCell="K1" workbookViewId="0">
      <selection activeCell="AB49" sqref="AB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57031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8" t="s">
        <v>67</v>
      </c>
      <c r="B1" s="128" t="s">
        <v>68</v>
      </c>
      <c r="C1" s="128" t="s">
        <v>69</v>
      </c>
      <c r="D1" s="128" t="s">
        <v>70</v>
      </c>
      <c r="E1" s="128" t="s">
        <v>71</v>
      </c>
      <c r="F1" s="128" t="s">
        <v>15</v>
      </c>
      <c r="G1" s="128" t="s">
        <v>73</v>
      </c>
      <c r="H1" s="128" t="s">
        <v>74</v>
      </c>
      <c r="I1" s="128" t="s">
        <v>744</v>
      </c>
      <c r="J1" s="107"/>
      <c r="L1" s="126" t="s">
        <v>771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</row>
    <row r="2" spans="1:28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672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</row>
    <row r="3" spans="1:28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645</v>
      </c>
      <c r="M3" s="126"/>
      <c r="N3" s="126"/>
      <c r="O3" s="126"/>
      <c r="P3" s="126"/>
      <c r="Q3" s="126"/>
      <c r="R3" s="126" t="s">
        <v>676</v>
      </c>
      <c r="S3" s="126"/>
      <c r="T3" s="126" t="s">
        <v>654</v>
      </c>
      <c r="U3" s="126"/>
      <c r="V3" s="126"/>
      <c r="W3" s="126"/>
      <c r="X3" s="126" t="s">
        <v>664</v>
      </c>
      <c r="Y3" s="126"/>
      <c r="Z3" s="126" t="s">
        <v>667</v>
      </c>
      <c r="AA3" s="126"/>
      <c r="AB3" s="126" t="s">
        <v>653</v>
      </c>
    </row>
    <row r="4" spans="1:28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6" t="s">
        <v>647</v>
      </c>
      <c r="M4" s="36" t="s">
        <v>673</v>
      </c>
      <c r="N4" s="36" t="s">
        <v>674</v>
      </c>
      <c r="O4" s="36" t="s">
        <v>733</v>
      </c>
      <c r="P4" s="36" t="s">
        <v>675</v>
      </c>
      <c r="Q4" s="36" t="s">
        <v>653</v>
      </c>
      <c r="R4" s="36" t="s">
        <v>677</v>
      </c>
      <c r="S4" s="36" t="s">
        <v>653</v>
      </c>
      <c r="T4" s="36" t="s">
        <v>678</v>
      </c>
      <c r="U4" s="36" t="s">
        <v>679</v>
      </c>
      <c r="V4" s="36" t="s">
        <v>680</v>
      </c>
      <c r="W4" s="36" t="s">
        <v>653</v>
      </c>
      <c r="X4" s="36" t="s">
        <v>665</v>
      </c>
      <c r="Y4" s="36" t="s">
        <v>653</v>
      </c>
      <c r="Z4" s="36" t="s">
        <v>681</v>
      </c>
      <c r="AA4" s="36" t="s">
        <v>653</v>
      </c>
      <c r="AB4" s="127"/>
    </row>
    <row r="5" spans="1:28" ht="11.25" customHeight="1" x14ac:dyDescent="0.25">
      <c r="A5" s="129" t="s">
        <v>39</v>
      </c>
      <c r="B5" s="129" t="s">
        <v>78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80</v>
      </c>
      <c r="H5" s="32" t="s">
        <v>79</v>
      </c>
      <c r="I5" s="32">
        <f>'MERCADO TE'!$U$2</f>
        <v>6416.6180000000004</v>
      </c>
      <c r="J5" s="17"/>
      <c r="L5" s="30">
        <f>'TE BE'!$L$5*'TE BE'!$L$54</f>
        <v>0</v>
      </c>
      <c r="M5" s="30">
        <f>'TE BE'!$M$5*'TE BE'!$M$54</f>
        <v>13.822453445792339</v>
      </c>
      <c r="N5" s="30">
        <f>'TE BE'!$N$5*'TE BE'!$N$54</f>
        <v>0</v>
      </c>
      <c r="O5" s="30">
        <f>'TE BE'!$O$5*'TE BE'!$O$54</f>
        <v>-0.79356984544151776</v>
      </c>
      <c r="P5" s="30">
        <f>'TE BE'!$P$5*'TE BE'!$P$54</f>
        <v>0</v>
      </c>
      <c r="Q5" s="30">
        <f>SUM($L$5:$P$5)</f>
        <v>13.028883600350822</v>
      </c>
      <c r="R5" s="30">
        <f>'TE BE'!$R$5*'TE BE'!$R$54</f>
        <v>-145.65475889467984</v>
      </c>
      <c r="S5" s="30">
        <f>SUM($R$5:$R$5)</f>
        <v>-145.65475889467984</v>
      </c>
      <c r="T5" s="30">
        <f>'TE BE'!$T$5*'TE BE'!$T$54</f>
        <v>0</v>
      </c>
      <c r="U5" s="30">
        <f>'TE BE'!$U$5*'TE BE'!$U$54</f>
        <v>0</v>
      </c>
      <c r="V5" s="30">
        <f>'TE BE'!$V$5*'TE BE'!$V$54</f>
        <v>0</v>
      </c>
      <c r="W5" s="30">
        <f>SUM($T$5:$V$5)</f>
        <v>0</v>
      </c>
      <c r="X5" s="30">
        <f>'TE BE'!$AB$5*'TE BE'!$X$54</f>
        <v>-24.104402290528213</v>
      </c>
      <c r="Y5" s="30">
        <f>SUM($X$5:$X$5)</f>
        <v>-24.104402290528213</v>
      </c>
      <c r="Z5" s="30">
        <f>'TE BE'!$Z$5*'TE BE'!$Z$54</f>
        <v>-2.4937475044899373</v>
      </c>
      <c r="AA5" s="30">
        <f>SUM($Z$5:$Z$5)</f>
        <v>-2.4937475044899373</v>
      </c>
      <c r="AB5" s="30">
        <f>SUMIF($L$4:$AA$4,"SUBTOTAL",$L$5:$AA$5)</f>
        <v>-159.22402508934718</v>
      </c>
    </row>
    <row r="6" spans="1:28" ht="11.25" customHeight="1" x14ac:dyDescent="0.25">
      <c r="A6" s="129"/>
      <c r="B6" s="129"/>
      <c r="C6" s="129"/>
      <c r="D6" s="129"/>
      <c r="E6" s="129"/>
      <c r="F6" s="129"/>
      <c r="G6" s="32" t="s">
        <v>81</v>
      </c>
      <c r="H6" s="32" t="s">
        <v>79</v>
      </c>
      <c r="I6" s="32">
        <f>'MERCADO TE'!$U$3</f>
        <v>66718.100999999995</v>
      </c>
      <c r="J6" s="17"/>
      <c r="L6" s="30">
        <f>'TE BE'!$L$6*'TE BE'!$L$54</f>
        <v>0</v>
      </c>
      <c r="M6" s="30">
        <f>'TE BE'!$M$6*'TE BE'!$M$54</f>
        <v>13.822453445792339</v>
      </c>
      <c r="N6" s="30">
        <f>'TE BE'!$N$6*'TE BE'!$N$54</f>
        <v>0</v>
      </c>
      <c r="O6" s="30">
        <f>'TE BE'!$O$6*'TE BE'!$O$54</f>
        <v>-0.79356984544151776</v>
      </c>
      <c r="P6" s="30">
        <f>'TE BE'!$P$6*'TE BE'!$P$54</f>
        <v>0</v>
      </c>
      <c r="Q6" s="30">
        <f>SUM($L$6:$P$6)</f>
        <v>13.028883600350822</v>
      </c>
      <c r="R6" s="30">
        <f>'TE BE'!$R$6*'TE BE'!$R$54</f>
        <v>-84.682999357372012</v>
      </c>
      <c r="S6" s="30">
        <f>SUM($R$6:$R$6)</f>
        <v>-84.682999357372012</v>
      </c>
      <c r="T6" s="30">
        <f>'TE BE'!$T$6*'TE BE'!$T$54</f>
        <v>0</v>
      </c>
      <c r="U6" s="30">
        <f>'TE BE'!$U$6*'TE BE'!$U$54</f>
        <v>0</v>
      </c>
      <c r="V6" s="30">
        <f>'TE BE'!$V$6*'TE BE'!$V$54</f>
        <v>0</v>
      </c>
      <c r="W6" s="30">
        <f>SUM($T$6:$V$6)</f>
        <v>0</v>
      </c>
      <c r="X6" s="30">
        <f>'TE BE'!$AB$6*'TE BE'!$X$54</f>
        <v>-15.060960319602618</v>
      </c>
      <c r="Y6" s="30">
        <f>SUM($X$6:$X$6)</f>
        <v>-15.060960319602618</v>
      </c>
      <c r="Z6" s="30">
        <f>'TE BE'!$Z$6*'TE BE'!$Z$54</f>
        <v>-2.4937475044899373</v>
      </c>
      <c r="AA6" s="30">
        <f>SUM($Z$6:$Z$6)</f>
        <v>-2.4937475044899373</v>
      </c>
      <c r="AB6" s="30">
        <f>SUMIF($L$4:$AA$4,"SUBTOTAL",$L$6:$AA$6)</f>
        <v>-89.208823581113734</v>
      </c>
    </row>
    <row r="7" spans="1:28" ht="11.25" customHeight="1" x14ac:dyDescent="0.25">
      <c r="A7" s="129" t="s">
        <v>42</v>
      </c>
      <c r="B7" s="129" t="s">
        <v>78</v>
      </c>
      <c r="C7" s="129" t="s">
        <v>25</v>
      </c>
      <c r="D7" s="129" t="s">
        <v>25</v>
      </c>
      <c r="E7" s="129" t="s">
        <v>25</v>
      </c>
      <c r="F7" s="129" t="s">
        <v>25</v>
      </c>
      <c r="G7" s="32" t="s">
        <v>80</v>
      </c>
      <c r="H7" s="32" t="s">
        <v>79</v>
      </c>
      <c r="I7" s="32">
        <f>'MERCADO TE'!$U$4</f>
        <v>30.865000000000002</v>
      </c>
      <c r="J7" s="17"/>
      <c r="L7" s="30">
        <f>'TE BE'!$L$7*'TE BE'!$L$54</f>
        <v>0</v>
      </c>
      <c r="M7" s="30">
        <f>'TE BE'!$M$7*'TE BE'!$M$54</f>
        <v>13.822453445792339</v>
      </c>
      <c r="N7" s="30">
        <f>'TE BE'!$N$7*'TE BE'!$N$54</f>
        <v>0</v>
      </c>
      <c r="O7" s="30">
        <f>'TE BE'!$O$7*'TE BE'!$O$54</f>
        <v>-0.79356984544151776</v>
      </c>
      <c r="P7" s="30">
        <f>'TE BE'!$P$7*'TE BE'!$P$54</f>
        <v>0</v>
      </c>
      <c r="Q7" s="30">
        <f>SUM($L$7:$P$7)</f>
        <v>13.028883600350822</v>
      </c>
      <c r="R7" s="30">
        <f>'TE BE'!$R$7*'TE BE'!$R$54</f>
        <v>-145.65475889467984</v>
      </c>
      <c r="S7" s="30">
        <f>SUM($R$7:$R$7)</f>
        <v>-145.65475889467984</v>
      </c>
      <c r="T7" s="30">
        <f>'TE BE'!$T$7*'TE BE'!$T$54</f>
        <v>0</v>
      </c>
      <c r="U7" s="30">
        <f>'TE BE'!$U$7*'TE BE'!$U$54</f>
        <v>0</v>
      </c>
      <c r="V7" s="30">
        <f>'TE BE'!$V$7*'TE BE'!$V$54</f>
        <v>0</v>
      </c>
      <c r="W7" s="30">
        <f>SUM($T$7:$V$7)</f>
        <v>0</v>
      </c>
      <c r="X7" s="30">
        <f>'TE BE'!$AB$7*'TE BE'!$X$54</f>
        <v>-24.104402290528213</v>
      </c>
      <c r="Y7" s="30">
        <f>SUM($X$7:$X$7)</f>
        <v>-24.104402290528213</v>
      </c>
      <c r="Z7" s="30">
        <f>'TE BE'!$Z$7*'TE BE'!$Z$54</f>
        <v>-2.4937475044899373</v>
      </c>
      <c r="AA7" s="30">
        <f>SUM($Z$7:$Z$7)</f>
        <v>-2.4937475044899373</v>
      </c>
      <c r="AB7" s="30">
        <f>SUMIF($L$4:$AA$4,"SUBTOTAL",$L$7:$AA$7)</f>
        <v>-159.22402508934718</v>
      </c>
    </row>
    <row r="8" spans="1:28" ht="11.25" customHeight="1" x14ac:dyDescent="0.25">
      <c r="A8" s="129"/>
      <c r="B8" s="129"/>
      <c r="C8" s="129"/>
      <c r="D8" s="129"/>
      <c r="E8" s="129"/>
      <c r="F8" s="129"/>
      <c r="G8" s="32" t="s">
        <v>81</v>
      </c>
      <c r="H8" s="32" t="s">
        <v>79</v>
      </c>
      <c r="I8" s="32">
        <f>'MERCADO TE'!$U$5</f>
        <v>189.88</v>
      </c>
      <c r="J8" s="17"/>
      <c r="L8" s="30">
        <f>'TE BE'!$L$8*'TE BE'!$L$54</f>
        <v>0</v>
      </c>
      <c r="M8" s="30">
        <f>'TE BE'!$M$8*'TE BE'!$M$54</f>
        <v>13.822453445792339</v>
      </c>
      <c r="N8" s="30">
        <f>'TE BE'!$N$8*'TE BE'!$N$54</f>
        <v>0</v>
      </c>
      <c r="O8" s="30">
        <f>'TE BE'!$O$8*'TE BE'!$O$54</f>
        <v>-0.79356984544151776</v>
      </c>
      <c r="P8" s="30">
        <f>'TE BE'!$P$8*'TE BE'!$P$54</f>
        <v>0</v>
      </c>
      <c r="Q8" s="30">
        <f>SUM($L$8:$P$8)</f>
        <v>13.028883600350822</v>
      </c>
      <c r="R8" s="30">
        <f>'TE BE'!$R$8*'TE BE'!$R$54</f>
        <v>-84.682999357372012</v>
      </c>
      <c r="S8" s="30">
        <f>SUM($R$8:$R$8)</f>
        <v>-84.682999357372012</v>
      </c>
      <c r="T8" s="30">
        <f>'TE BE'!$T$8*'TE BE'!$T$54</f>
        <v>0</v>
      </c>
      <c r="U8" s="30">
        <f>'TE BE'!$U$8*'TE BE'!$U$54</f>
        <v>0</v>
      </c>
      <c r="V8" s="30">
        <f>'TE BE'!$V$8*'TE BE'!$V$54</f>
        <v>0</v>
      </c>
      <c r="W8" s="30">
        <f>SUM($T$8:$V$8)</f>
        <v>0</v>
      </c>
      <c r="X8" s="30">
        <f>'TE BE'!$AB$8*'TE BE'!$X$54</f>
        <v>-15.060960319602618</v>
      </c>
      <c r="Y8" s="30">
        <f>SUM($X$8:$X$8)</f>
        <v>-15.060960319602618</v>
      </c>
      <c r="Z8" s="30">
        <f>'TE BE'!$Z$8*'TE BE'!$Z$54</f>
        <v>-2.4937475044899373</v>
      </c>
      <c r="AA8" s="30">
        <f>SUM($Z$8:$Z$8)</f>
        <v>-2.4937475044899373</v>
      </c>
      <c r="AB8" s="30">
        <f>SUMIF($L$4:$AA$4,"SUBTOTAL",$L$8:$AA$8)</f>
        <v>-89.208823581113734</v>
      </c>
    </row>
    <row r="9" spans="1:28" ht="11.25" customHeight="1" x14ac:dyDescent="0.25">
      <c r="A9" s="129"/>
      <c r="B9" s="38" t="s">
        <v>86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84</v>
      </c>
      <c r="H9" s="32" t="s">
        <v>79</v>
      </c>
      <c r="I9" s="32">
        <f>'MERCADO TE'!$U$6</f>
        <v>0</v>
      </c>
      <c r="J9" s="17"/>
      <c r="L9" s="30">
        <f>'TE BE'!$L$9*'TE BE'!$L$54</f>
        <v>0</v>
      </c>
      <c r="M9" s="30">
        <f>'TE BE'!$M$9*'TE BE'!$M$54</f>
        <v>13.822453445792339</v>
      </c>
      <c r="N9" s="30">
        <f>'TE BE'!$N$9*'TE BE'!$N$54</f>
        <v>0</v>
      </c>
      <c r="O9" s="30">
        <f>'TE BE'!$O$9*'TE BE'!$O$54</f>
        <v>-0.79356984544151776</v>
      </c>
      <c r="P9" s="30">
        <f>'TE BE'!$P$9*'TE BE'!$P$54</f>
        <v>0</v>
      </c>
      <c r="Q9" s="30">
        <f>SUM($L$9:$P$9)</f>
        <v>13.028883600350822</v>
      </c>
      <c r="R9" s="30">
        <f>'TE BE'!$R$9*'TE BE'!$R$54</f>
        <v>-89.763979318814336</v>
      </c>
      <c r="S9" s="30">
        <f>SUM($R$9:$R$9)</f>
        <v>-89.763979318814336</v>
      </c>
      <c r="T9" s="30">
        <f>'TE BE'!$T$9*'TE BE'!$T$54</f>
        <v>0</v>
      </c>
      <c r="U9" s="30">
        <f>'TE BE'!$U$9*'TE BE'!$U$54</f>
        <v>0</v>
      </c>
      <c r="V9" s="30">
        <f>'TE BE'!$V$9*'TE BE'!$V$54</f>
        <v>0</v>
      </c>
      <c r="W9" s="30">
        <f>SUM($T$9:$V$9)</f>
        <v>0</v>
      </c>
      <c r="X9" s="30">
        <f>'TE BE'!$AB$9*'TE BE'!$X$54</f>
        <v>-15.814580483846418</v>
      </c>
      <c r="Y9" s="30">
        <f>SUM($X$9:$X$9)</f>
        <v>-15.814580483846418</v>
      </c>
      <c r="Z9" s="30">
        <f>'TE BE'!$Z$9*'TE BE'!$Z$54</f>
        <v>-2.4937475044899373</v>
      </c>
      <c r="AA9" s="30">
        <f>SUM($Z$9:$Z$9)</f>
        <v>-2.4937475044899373</v>
      </c>
      <c r="AB9" s="30">
        <f>SUMIF($L$4:$AA$4,"SUBTOTAL",$L$9:$AA$9)</f>
        <v>-95.043423706799857</v>
      </c>
    </row>
    <row r="10" spans="1:28" ht="11.25" customHeight="1" x14ac:dyDescent="0.25">
      <c r="A10" s="129" t="s">
        <v>41</v>
      </c>
      <c r="B10" s="129" t="s">
        <v>78</v>
      </c>
      <c r="C10" s="129" t="s">
        <v>25</v>
      </c>
      <c r="D10" s="129" t="s">
        <v>25</v>
      </c>
      <c r="E10" s="129" t="s">
        <v>25</v>
      </c>
      <c r="F10" s="129" t="s">
        <v>25</v>
      </c>
      <c r="G10" s="32" t="s">
        <v>80</v>
      </c>
      <c r="H10" s="32" t="s">
        <v>79</v>
      </c>
      <c r="I10" s="32">
        <f>'MERCADO TE'!$U$7</f>
        <v>17653.802</v>
      </c>
      <c r="J10" s="17"/>
      <c r="L10" s="30">
        <f>'TE BE'!$L$10*'TE BE'!$L$54</f>
        <v>0</v>
      </c>
      <c r="M10" s="30">
        <f>'TE BE'!$M$10*'TE BE'!$M$54</f>
        <v>13.822453445792339</v>
      </c>
      <c r="N10" s="30">
        <f>'TE BE'!$N$10*'TE BE'!$N$54</f>
        <v>0</v>
      </c>
      <c r="O10" s="30">
        <f>'TE BE'!$O$10*'TE BE'!$O$54</f>
        <v>-0.79356984544151776</v>
      </c>
      <c r="P10" s="30">
        <f>'TE BE'!$P$10*'TE BE'!$P$54</f>
        <v>0</v>
      </c>
      <c r="Q10" s="30">
        <f>SUM($L$10:$P$10)</f>
        <v>13.028883600350822</v>
      </c>
      <c r="R10" s="30">
        <f>'TE BE'!$R$10*'TE BE'!$R$54</f>
        <v>-145.65475889467984</v>
      </c>
      <c r="S10" s="30">
        <f>SUM($R$10:$R$10)</f>
        <v>-145.65475889467984</v>
      </c>
      <c r="T10" s="30">
        <f>'TE BE'!$T$10*'TE BE'!$T$54</f>
        <v>0</v>
      </c>
      <c r="U10" s="30">
        <f>'TE BE'!$U$10*'TE BE'!$U$54</f>
        <v>0</v>
      </c>
      <c r="V10" s="30">
        <f>'TE BE'!$V$10*'TE BE'!$V$54</f>
        <v>0</v>
      </c>
      <c r="W10" s="30">
        <f>SUM($T$10:$V$10)</f>
        <v>0</v>
      </c>
      <c r="X10" s="30">
        <f>'TE BE'!$AB$10*'TE BE'!$X$54</f>
        <v>-24.104402290528213</v>
      </c>
      <c r="Y10" s="30">
        <f>SUM($X$10:$X$10)</f>
        <v>-24.104402290528213</v>
      </c>
      <c r="Z10" s="30">
        <f>'TE BE'!$Z$10*'TE BE'!$Z$54</f>
        <v>-2.4937475044899373</v>
      </c>
      <c r="AA10" s="30">
        <f>SUM($Z$10:$Z$10)</f>
        <v>-2.4937475044899373</v>
      </c>
      <c r="AB10" s="30">
        <f>SUMIF($L$4:$AA$4,"SUBTOTAL",$L$10:$AA$10)</f>
        <v>-159.22402508934718</v>
      </c>
    </row>
    <row r="11" spans="1:28" ht="11.25" customHeight="1" x14ac:dyDescent="0.25">
      <c r="A11" s="129"/>
      <c r="B11" s="129"/>
      <c r="C11" s="129"/>
      <c r="D11" s="129"/>
      <c r="E11" s="129"/>
      <c r="F11" s="129"/>
      <c r="G11" s="32" t="s">
        <v>81</v>
      </c>
      <c r="H11" s="32" t="s">
        <v>79</v>
      </c>
      <c r="I11" s="32">
        <f>'MERCADO TE'!$U$8</f>
        <v>207546.47200000001</v>
      </c>
      <c r="J11" s="17"/>
      <c r="L11" s="30">
        <f>'TE BE'!$L$11*'TE BE'!$L$54</f>
        <v>0</v>
      </c>
      <c r="M11" s="30">
        <f>'TE BE'!$M$11*'TE BE'!$M$54</f>
        <v>13.822453445792339</v>
      </c>
      <c r="N11" s="30">
        <f>'TE BE'!$N$11*'TE BE'!$N$54</f>
        <v>0</v>
      </c>
      <c r="O11" s="30">
        <f>'TE BE'!$O$11*'TE BE'!$O$54</f>
        <v>-0.79356984544151776</v>
      </c>
      <c r="P11" s="30">
        <f>'TE BE'!$P$11*'TE BE'!$P$54</f>
        <v>0</v>
      </c>
      <c r="Q11" s="30">
        <f>SUM($L$11:$P$11)</f>
        <v>13.028883600350822</v>
      </c>
      <c r="R11" s="30">
        <f>'TE BE'!$R$11*'TE BE'!$R$54</f>
        <v>-84.682999357372012</v>
      </c>
      <c r="S11" s="30">
        <f>SUM($R$11:$R$11)</f>
        <v>-84.682999357372012</v>
      </c>
      <c r="T11" s="30">
        <f>'TE BE'!$T$11*'TE BE'!$T$54</f>
        <v>0</v>
      </c>
      <c r="U11" s="30">
        <f>'TE BE'!$U$11*'TE BE'!$U$54</f>
        <v>0</v>
      </c>
      <c r="V11" s="30">
        <f>'TE BE'!$V$11*'TE BE'!$V$54</f>
        <v>0</v>
      </c>
      <c r="W11" s="30">
        <f>SUM($T$11:$V$11)</f>
        <v>0</v>
      </c>
      <c r="X11" s="30">
        <f>'TE BE'!$AB$11*'TE BE'!$X$54</f>
        <v>-15.060960319602618</v>
      </c>
      <c r="Y11" s="30">
        <f>SUM($X$11:$X$11)</f>
        <v>-15.060960319602618</v>
      </c>
      <c r="Z11" s="30">
        <f>'TE BE'!$Z$11*'TE BE'!$Z$54</f>
        <v>-2.4937475044899373</v>
      </c>
      <c r="AA11" s="30">
        <f>SUM($Z$11:$Z$11)</f>
        <v>-2.4937475044899373</v>
      </c>
      <c r="AB11" s="30">
        <f>SUMIF($L$4:$AA$4,"SUBTOTAL",$L$11:$AA$11)</f>
        <v>-89.208823581113734</v>
      </c>
    </row>
    <row r="12" spans="1:28" ht="11.25" customHeight="1" x14ac:dyDescent="0.25">
      <c r="A12" s="129"/>
      <c r="B12" s="38" t="s">
        <v>86</v>
      </c>
      <c r="C12" s="38" t="s">
        <v>25</v>
      </c>
      <c r="D12" s="38" t="s">
        <v>25</v>
      </c>
      <c r="E12" s="38" t="s">
        <v>25</v>
      </c>
      <c r="F12" s="38" t="s">
        <v>25</v>
      </c>
      <c r="G12" s="32" t="s">
        <v>84</v>
      </c>
      <c r="H12" s="32" t="s">
        <v>79</v>
      </c>
      <c r="I12" s="32">
        <f>'MERCADO TE'!$U$9</f>
        <v>0</v>
      </c>
      <c r="J12" s="17"/>
      <c r="L12" s="30">
        <f>'TE BE'!$L$12*'TE BE'!$L$54</f>
        <v>0</v>
      </c>
      <c r="M12" s="30">
        <f>'TE BE'!$M$12*'TE BE'!$M$54</f>
        <v>13.822453445792339</v>
      </c>
      <c r="N12" s="30">
        <f>'TE BE'!$N$12*'TE BE'!$N$54</f>
        <v>0</v>
      </c>
      <c r="O12" s="30">
        <f>'TE BE'!$O$12*'TE BE'!$O$54</f>
        <v>-0.79356984544151776</v>
      </c>
      <c r="P12" s="30">
        <f>'TE BE'!$P$12*'TE BE'!$P$54</f>
        <v>0</v>
      </c>
      <c r="Q12" s="30">
        <f>SUM($L$12:$P$12)</f>
        <v>13.028883600350822</v>
      </c>
      <c r="R12" s="30">
        <f>'TE BE'!$R$12*'TE BE'!$R$54</f>
        <v>-89.763979318814336</v>
      </c>
      <c r="S12" s="30">
        <f>SUM($R$12:$R$12)</f>
        <v>-89.763979318814336</v>
      </c>
      <c r="T12" s="30">
        <f>'TE BE'!$T$12*'TE BE'!$T$54</f>
        <v>0</v>
      </c>
      <c r="U12" s="30">
        <f>'TE BE'!$U$12*'TE BE'!$U$54</f>
        <v>0</v>
      </c>
      <c r="V12" s="30">
        <f>'TE BE'!$V$12*'TE BE'!$V$54</f>
        <v>0</v>
      </c>
      <c r="W12" s="30">
        <f>SUM($T$12:$V$12)</f>
        <v>0</v>
      </c>
      <c r="X12" s="30">
        <f>'TE BE'!$AB$12*'TE BE'!$X$54</f>
        <v>-15.814580483846418</v>
      </c>
      <c r="Y12" s="30">
        <f>SUM($X$12:$X$12)</f>
        <v>-15.814580483846418</v>
      </c>
      <c r="Z12" s="30">
        <f>'TE BE'!$Z$12*'TE BE'!$Z$54</f>
        <v>-2.4937475044899373</v>
      </c>
      <c r="AA12" s="30">
        <f>SUM($Z$12:$Z$12)</f>
        <v>-2.4937475044899373</v>
      </c>
      <c r="AB12" s="30">
        <f>SUMIF($L$4:$AA$4,"SUBTOTAL",$L$12:$AA$12)</f>
        <v>-95.043423706799857</v>
      </c>
    </row>
    <row r="13" spans="1:28" ht="11.25" customHeight="1" x14ac:dyDescent="0.25">
      <c r="A13" s="129" t="s">
        <v>22</v>
      </c>
      <c r="B13" s="129" t="s">
        <v>78</v>
      </c>
      <c r="C13" s="129" t="s">
        <v>24</v>
      </c>
      <c r="D13" s="129" t="s">
        <v>24</v>
      </c>
      <c r="E13" s="129" t="s">
        <v>25</v>
      </c>
      <c r="F13" s="129" t="s">
        <v>25</v>
      </c>
      <c r="G13" s="32" t="s">
        <v>80</v>
      </c>
      <c r="H13" s="32" t="s">
        <v>79</v>
      </c>
      <c r="I13" s="32">
        <f>'MERCADO TE'!$U$10</f>
        <v>14.996999999999998</v>
      </c>
      <c r="J13" s="17"/>
      <c r="L13" s="30">
        <f>'TE BE'!$L$13*'TE BE'!$L$54</f>
        <v>0</v>
      </c>
      <c r="M13" s="30">
        <f>'TE BE'!$M$13*'TE BE'!$M$54</f>
        <v>13.822453445792339</v>
      </c>
      <c r="N13" s="30">
        <f>'TE BE'!$N$13*'TE BE'!$N$54</f>
        <v>0</v>
      </c>
      <c r="O13" s="30">
        <f>'TE BE'!$O$13*'TE BE'!$O$54</f>
        <v>-0.79356984544151776</v>
      </c>
      <c r="P13" s="30">
        <f>'TE BE'!$P$13*'TE BE'!$P$54</f>
        <v>0</v>
      </c>
      <c r="Q13" s="30">
        <f>SUM($L$13:$P$13)</f>
        <v>13.028883600350822</v>
      </c>
      <c r="R13" s="30">
        <f>'TE BE'!$R$13*'TE BE'!$R$54</f>
        <v>-145.65475889467984</v>
      </c>
      <c r="S13" s="30">
        <f>SUM($R$13:$R$13)</f>
        <v>-145.65475889467984</v>
      </c>
      <c r="T13" s="30">
        <f>'TE BE'!$T$13*'TE BE'!$T$54</f>
        <v>0</v>
      </c>
      <c r="U13" s="30">
        <f>'TE BE'!$U$13*'TE BE'!$U$54</f>
        <v>0</v>
      </c>
      <c r="V13" s="30">
        <f>'TE BE'!$V$13*'TE BE'!$V$54</f>
        <v>0</v>
      </c>
      <c r="W13" s="30">
        <f>SUM($T$13:$V$13)</f>
        <v>0</v>
      </c>
      <c r="X13" s="30">
        <f>'TE BE'!$AB$13*'TE BE'!$X$54</f>
        <v>-24.104402290528213</v>
      </c>
      <c r="Y13" s="30">
        <f>SUM($X$13:$X$13)</f>
        <v>-24.104402290528213</v>
      </c>
      <c r="Z13" s="30">
        <f>'TE BE'!$Z$13*'TE BE'!$Z$54</f>
        <v>-2.4937475044899373</v>
      </c>
      <c r="AA13" s="30">
        <f>SUM($Z$13:$Z$13)</f>
        <v>-2.4937475044899373</v>
      </c>
      <c r="AB13" s="30">
        <f>SUMIF($L$4:$AA$4,"SUBTOTAL",$L$13:$AA$13)</f>
        <v>-159.22402508934718</v>
      </c>
    </row>
    <row r="14" spans="1:28" ht="11.25" customHeight="1" x14ac:dyDescent="0.25">
      <c r="A14" s="129"/>
      <c r="B14" s="129"/>
      <c r="C14" s="129"/>
      <c r="D14" s="129"/>
      <c r="E14" s="129"/>
      <c r="F14" s="129"/>
      <c r="G14" s="32" t="s">
        <v>90</v>
      </c>
      <c r="H14" s="32" t="s">
        <v>79</v>
      </c>
      <c r="I14" s="32">
        <f>'MERCADO TE'!$U$11</f>
        <v>13.277000000000001</v>
      </c>
      <c r="J14" s="17"/>
      <c r="L14" s="30">
        <f>'TE BE'!$L$14*'TE BE'!$L$54</f>
        <v>0</v>
      </c>
      <c r="M14" s="30">
        <f>'TE BE'!$M$14*'TE BE'!$M$54</f>
        <v>13.822453445792339</v>
      </c>
      <c r="N14" s="30">
        <f>'TE BE'!$N$14*'TE BE'!$N$54</f>
        <v>0</v>
      </c>
      <c r="O14" s="30">
        <f>'TE BE'!$O$14*'TE BE'!$O$54</f>
        <v>-0.79356984544151776</v>
      </c>
      <c r="P14" s="30">
        <f>'TE BE'!$P$14*'TE BE'!$P$54</f>
        <v>0</v>
      </c>
      <c r="Q14" s="30">
        <f>SUM($L$14:$P$14)</f>
        <v>13.028883600350822</v>
      </c>
      <c r="R14" s="30">
        <f>'TE BE'!$R$14*'TE BE'!$R$54</f>
        <v>-84.682999357372012</v>
      </c>
      <c r="S14" s="30">
        <f>SUM($R$14:$R$14)</f>
        <v>-84.682999357372012</v>
      </c>
      <c r="T14" s="30">
        <f>'TE BE'!$T$14*'TE BE'!$T$54</f>
        <v>0</v>
      </c>
      <c r="U14" s="30">
        <f>'TE BE'!$U$14*'TE BE'!$U$54</f>
        <v>0</v>
      </c>
      <c r="V14" s="30">
        <f>'TE BE'!$V$14*'TE BE'!$V$54</f>
        <v>0</v>
      </c>
      <c r="W14" s="30">
        <f>SUM($T$14:$V$14)</f>
        <v>0</v>
      </c>
      <c r="X14" s="30">
        <f>'TE BE'!$AB$14*'TE BE'!$X$54</f>
        <v>-15.060960319602618</v>
      </c>
      <c r="Y14" s="30">
        <f>SUM($X$14:$X$14)</f>
        <v>-15.060960319602618</v>
      </c>
      <c r="Z14" s="30">
        <f>'TE BE'!$Z$14*'TE BE'!$Z$54</f>
        <v>-2.4937475044899373</v>
      </c>
      <c r="AA14" s="30">
        <f>SUM($Z$14:$Z$14)</f>
        <v>-2.4937475044899373</v>
      </c>
      <c r="AB14" s="30">
        <f>SUMIF($L$4:$AA$4,"SUBTOTAL",$L$14:$AA$14)</f>
        <v>-89.208823581113734</v>
      </c>
    </row>
    <row r="15" spans="1:28" ht="11.25" customHeight="1" x14ac:dyDescent="0.25">
      <c r="A15" s="129"/>
      <c r="B15" s="129"/>
      <c r="C15" s="129"/>
      <c r="D15" s="129"/>
      <c r="E15" s="129"/>
      <c r="F15" s="129"/>
      <c r="G15" s="32" t="s">
        <v>81</v>
      </c>
      <c r="H15" s="32" t="s">
        <v>79</v>
      </c>
      <c r="I15" s="32">
        <f>'MERCADO TE'!$U$12</f>
        <v>196.47399999999999</v>
      </c>
      <c r="J15" s="17"/>
      <c r="L15" s="30">
        <f>'TE BE'!$L$15*'TE BE'!$L$54</f>
        <v>0</v>
      </c>
      <c r="M15" s="30">
        <f>'TE BE'!$M$15*'TE BE'!$M$54</f>
        <v>13.822453445792339</v>
      </c>
      <c r="N15" s="30">
        <f>'TE BE'!$N$15*'TE BE'!$N$54</f>
        <v>0</v>
      </c>
      <c r="O15" s="30">
        <f>'TE BE'!$O$15*'TE BE'!$O$54</f>
        <v>-0.79356984544151776</v>
      </c>
      <c r="P15" s="30">
        <f>'TE BE'!$P$15*'TE BE'!$P$54</f>
        <v>0</v>
      </c>
      <c r="Q15" s="30">
        <f>SUM($L$15:$P$15)</f>
        <v>13.028883600350822</v>
      </c>
      <c r="R15" s="30">
        <f>'TE BE'!$R$15*'TE BE'!$R$54</f>
        <v>-84.682999357372012</v>
      </c>
      <c r="S15" s="30">
        <f>SUM($R$15:$R$15)</f>
        <v>-84.682999357372012</v>
      </c>
      <c r="T15" s="30">
        <f>'TE BE'!$T$15*'TE BE'!$T$54</f>
        <v>0</v>
      </c>
      <c r="U15" s="30">
        <f>'TE BE'!$U$15*'TE BE'!$U$54</f>
        <v>0</v>
      </c>
      <c r="V15" s="30">
        <f>'TE BE'!$V$15*'TE BE'!$V$54</f>
        <v>0</v>
      </c>
      <c r="W15" s="30">
        <f>SUM($T$15:$V$15)</f>
        <v>0</v>
      </c>
      <c r="X15" s="30">
        <f>'TE BE'!$AB$15*'TE BE'!$X$54</f>
        <v>-15.060960319602618</v>
      </c>
      <c r="Y15" s="30">
        <f>SUM($X$15:$X$15)</f>
        <v>-15.060960319602618</v>
      </c>
      <c r="Z15" s="30">
        <f>'TE BE'!$Z$15*'TE BE'!$Z$54</f>
        <v>-2.4937475044899373</v>
      </c>
      <c r="AA15" s="30">
        <f>SUM($Z$15:$Z$15)</f>
        <v>-2.4937475044899373</v>
      </c>
      <c r="AB15" s="30">
        <f>SUMIF($L$4:$AA$4,"SUBTOTAL",$L$15:$AA$15)</f>
        <v>-89.208823581113734</v>
      </c>
    </row>
    <row r="16" spans="1:28" ht="11.25" customHeight="1" x14ac:dyDescent="0.25">
      <c r="A16" s="129"/>
      <c r="B16" s="129" t="s">
        <v>86</v>
      </c>
      <c r="C16" s="129" t="s">
        <v>24</v>
      </c>
      <c r="D16" s="38" t="s">
        <v>24</v>
      </c>
      <c r="E16" s="38" t="s">
        <v>25</v>
      </c>
      <c r="F16" s="38" t="s">
        <v>25</v>
      </c>
      <c r="G16" s="32" t="s">
        <v>84</v>
      </c>
      <c r="H16" s="32" t="s">
        <v>79</v>
      </c>
      <c r="I16" s="32">
        <f>'MERCADO TE'!$U$13</f>
        <v>451723.65600000008</v>
      </c>
      <c r="J16" s="17"/>
      <c r="L16" s="30">
        <f>'TE BE'!$L$16*'TE BE'!$L$54</f>
        <v>0</v>
      </c>
      <c r="M16" s="30">
        <f>'TE BE'!$M$16*'TE BE'!$M$54</f>
        <v>13.822453445792339</v>
      </c>
      <c r="N16" s="30">
        <f>'TE BE'!$N$16*'TE BE'!$N$54</f>
        <v>0</v>
      </c>
      <c r="O16" s="30">
        <f>'TE BE'!$O$16*'TE BE'!$O$54</f>
        <v>-0.79356984544151776</v>
      </c>
      <c r="P16" s="30">
        <f>'TE BE'!$P$16*'TE BE'!$P$54</f>
        <v>0</v>
      </c>
      <c r="Q16" s="30">
        <f>SUM($L$16:$P$16)</f>
        <v>13.028883600350822</v>
      </c>
      <c r="R16" s="30">
        <f>'TE BE'!$R$16*'TE BE'!$R$54</f>
        <v>-89.763979318814336</v>
      </c>
      <c r="S16" s="30">
        <f>SUM($R$16:$R$16)</f>
        <v>-89.763979318814336</v>
      </c>
      <c r="T16" s="30">
        <f>'TE BE'!$T$16*'TE BE'!$T$54</f>
        <v>0</v>
      </c>
      <c r="U16" s="30">
        <f>'TE BE'!$U$16*'TE BE'!$U$54</f>
        <v>0</v>
      </c>
      <c r="V16" s="30">
        <f>'TE BE'!$V$16*'TE BE'!$V$54</f>
        <v>0</v>
      </c>
      <c r="W16" s="30">
        <f>SUM($T$16:$V$16)</f>
        <v>0</v>
      </c>
      <c r="X16" s="30">
        <f>'TE BE'!$AB$16*'TE BE'!$X$54</f>
        <v>-15.814580483846418</v>
      </c>
      <c r="Y16" s="30">
        <f>SUM($X$16:$X$16)</f>
        <v>-15.814580483846418</v>
      </c>
      <c r="Z16" s="30">
        <f>'TE BE'!$Z$16*'TE BE'!$Z$54</f>
        <v>-2.4937475044899373</v>
      </c>
      <c r="AA16" s="30">
        <f>SUM($Z$16:$Z$16)</f>
        <v>-2.4937475044899373</v>
      </c>
      <c r="AB16" s="30">
        <f>SUMIF($L$4:$AA$4,"SUBTOTAL",$L$16:$AA$16)</f>
        <v>-95.043423706799857</v>
      </c>
    </row>
    <row r="17" spans="1:28" ht="11.25" customHeight="1" x14ac:dyDescent="0.25">
      <c r="A17" s="129"/>
      <c r="B17" s="129"/>
      <c r="C17" s="129"/>
      <c r="D17" s="38" t="s">
        <v>29</v>
      </c>
      <c r="E17" s="38" t="s">
        <v>25</v>
      </c>
      <c r="F17" s="38" t="s">
        <v>25</v>
      </c>
      <c r="G17" s="32" t="s">
        <v>84</v>
      </c>
      <c r="H17" s="32" t="s">
        <v>79</v>
      </c>
      <c r="I17" s="32">
        <f>'MERCADO TE'!$U$14</f>
        <v>15278.746999999999</v>
      </c>
      <c r="J17" s="17"/>
      <c r="L17" s="30">
        <f>'TE BE'!$L$17*'TE BE'!$L$54</f>
        <v>0</v>
      </c>
      <c r="M17" s="30">
        <f>'TE BE'!$M$17*'TE BE'!$M$54</f>
        <v>13.822453445792339</v>
      </c>
      <c r="N17" s="30">
        <f>'TE BE'!$N$17*'TE BE'!$N$54</f>
        <v>0</v>
      </c>
      <c r="O17" s="30">
        <f>'TE BE'!$O$17*'TE BE'!$O$54</f>
        <v>-0.79356984544151776</v>
      </c>
      <c r="P17" s="30">
        <f>'TE BE'!$P$17*'TE BE'!$P$54</f>
        <v>0</v>
      </c>
      <c r="Q17" s="30">
        <f>SUM($L$17:$P$17)</f>
        <v>13.028883600350822</v>
      </c>
      <c r="R17" s="30">
        <f>'TE BE'!$R$17*'TE BE'!$R$54</f>
        <v>-89.763979318814336</v>
      </c>
      <c r="S17" s="30">
        <f>SUM($R$17:$R$17)</f>
        <v>-89.763979318814336</v>
      </c>
      <c r="T17" s="30">
        <f>'TE BE'!$T$17*'TE BE'!$T$54</f>
        <v>0</v>
      </c>
      <c r="U17" s="30">
        <f>'TE BE'!$U$17*'TE BE'!$U$54</f>
        <v>0</v>
      </c>
      <c r="V17" s="30">
        <f>'TE BE'!$V$17*'TE BE'!$V$54</f>
        <v>0</v>
      </c>
      <c r="W17" s="30">
        <f>SUM($T$17:$V$17)</f>
        <v>0</v>
      </c>
      <c r="X17" s="30">
        <f>'TE BE'!$AB$17*'TE BE'!$X$54</f>
        <v>-15.814580483846418</v>
      </c>
      <c r="Y17" s="30">
        <f>SUM($X$17:$X$17)</f>
        <v>-15.814580483846418</v>
      </c>
      <c r="Z17" s="30">
        <f>'TE BE'!$Z$17*'TE BE'!$Z$54</f>
        <v>-2.4937475044899373</v>
      </c>
      <c r="AA17" s="30">
        <f>SUM($Z$17:$Z$17)</f>
        <v>-2.4937475044899373</v>
      </c>
      <c r="AB17" s="30">
        <f>SUMIF($L$4:$AA$4,"SUBTOTAL",$L$17:$AA$17)</f>
        <v>-95.043423706799857</v>
      </c>
    </row>
    <row r="18" spans="1:28" ht="11.25" customHeight="1" x14ac:dyDescent="0.25">
      <c r="A18" s="129"/>
      <c r="B18" s="129"/>
      <c r="C18" s="129"/>
      <c r="D18" s="38" t="s">
        <v>30</v>
      </c>
      <c r="E18" s="38" t="s">
        <v>25</v>
      </c>
      <c r="F18" s="38" t="s">
        <v>25</v>
      </c>
      <c r="G18" s="32" t="s">
        <v>84</v>
      </c>
      <c r="H18" s="32" t="s">
        <v>79</v>
      </c>
      <c r="I18" s="32">
        <f>'MERCADO TE'!$U$15</f>
        <v>21966.755000000005</v>
      </c>
      <c r="J18" s="17"/>
      <c r="L18" s="30">
        <f>'TE BE'!$L$18*'TE BE'!$L$54</f>
        <v>0</v>
      </c>
      <c r="M18" s="30">
        <f>'TE BE'!$M$18*'TE BE'!$M$54</f>
        <v>13.822453445792339</v>
      </c>
      <c r="N18" s="30">
        <f>'TE BE'!$N$18*'TE BE'!$N$54</f>
        <v>0</v>
      </c>
      <c r="O18" s="30">
        <f>'TE BE'!$O$18*'TE BE'!$O$54</f>
        <v>-0.79356984544151776</v>
      </c>
      <c r="P18" s="30">
        <f>'TE BE'!$P$18*'TE BE'!$P$54</f>
        <v>0</v>
      </c>
      <c r="Q18" s="30">
        <f>SUM($L$18:$P$18)</f>
        <v>13.028883600350822</v>
      </c>
      <c r="R18" s="30">
        <f>'TE BE'!$R$18*'TE BE'!$R$54</f>
        <v>-89.763979318814336</v>
      </c>
      <c r="S18" s="30">
        <f>SUM($R$18:$R$18)</f>
        <v>-89.763979318814336</v>
      </c>
      <c r="T18" s="30">
        <f>'TE BE'!$T$18*'TE BE'!$T$54</f>
        <v>0</v>
      </c>
      <c r="U18" s="30">
        <f>'TE BE'!$U$18*'TE BE'!$U$54</f>
        <v>0</v>
      </c>
      <c r="V18" s="30">
        <f>'TE BE'!$V$18*'TE BE'!$V$54</f>
        <v>0</v>
      </c>
      <c r="W18" s="30">
        <f>SUM($T$18:$V$18)</f>
        <v>0</v>
      </c>
      <c r="X18" s="30">
        <f>'TE BE'!$AB$18*'TE BE'!$X$54</f>
        <v>-15.814580483846418</v>
      </c>
      <c r="Y18" s="30">
        <f>SUM($X$18:$X$18)</f>
        <v>-15.814580483846418</v>
      </c>
      <c r="Z18" s="30">
        <f>'TE BE'!$Z$18*'TE BE'!$Z$54</f>
        <v>-2.4937475044899373</v>
      </c>
      <c r="AA18" s="30">
        <f>SUM($Z$18:$Z$18)</f>
        <v>-2.4937475044899373</v>
      </c>
      <c r="AB18" s="30">
        <f>SUMIF($L$4:$AA$4,"SUBTOTAL",$L$18:$AA$18)</f>
        <v>-95.043423706799857</v>
      </c>
    </row>
    <row r="19" spans="1:28" ht="11.25" customHeight="1" x14ac:dyDescent="0.25">
      <c r="A19" s="129"/>
      <c r="B19" s="129"/>
      <c r="C19" s="129"/>
      <c r="D19" s="38" t="s">
        <v>31</v>
      </c>
      <c r="E19" s="38" t="s">
        <v>25</v>
      </c>
      <c r="F19" s="38" t="s">
        <v>25</v>
      </c>
      <c r="G19" s="32" t="s">
        <v>84</v>
      </c>
      <c r="H19" s="32" t="s">
        <v>79</v>
      </c>
      <c r="I19" s="32">
        <f>'MERCADO TE'!$U$16</f>
        <v>24083.450999999997</v>
      </c>
      <c r="J19" s="17"/>
      <c r="L19" s="30">
        <f>'TE BE'!$L$19*'TE BE'!$L$54</f>
        <v>0</v>
      </c>
      <c r="M19" s="30">
        <f>'TE BE'!$M$19*'TE BE'!$M$54</f>
        <v>13.822453445792339</v>
      </c>
      <c r="N19" s="30">
        <f>'TE BE'!$N$19*'TE BE'!$N$54</f>
        <v>0</v>
      </c>
      <c r="O19" s="30">
        <f>'TE BE'!$O$19*'TE BE'!$O$54</f>
        <v>-0.79356984544151776</v>
      </c>
      <c r="P19" s="30">
        <f>'TE BE'!$P$19*'TE BE'!$P$54</f>
        <v>0</v>
      </c>
      <c r="Q19" s="30">
        <f>SUM($L$19:$P$19)</f>
        <v>13.028883600350822</v>
      </c>
      <c r="R19" s="30">
        <f>'TE BE'!$R$19*'TE BE'!$R$54</f>
        <v>-89.763979318814336</v>
      </c>
      <c r="S19" s="30">
        <f>SUM($R$19:$R$19)</f>
        <v>-89.763979318814336</v>
      </c>
      <c r="T19" s="30">
        <f>'TE BE'!$T$19*'TE BE'!$T$54</f>
        <v>0</v>
      </c>
      <c r="U19" s="30">
        <f>'TE BE'!$U$19*'TE BE'!$U$54</f>
        <v>0</v>
      </c>
      <c r="V19" s="30">
        <f>'TE BE'!$V$19*'TE BE'!$V$54</f>
        <v>0</v>
      </c>
      <c r="W19" s="30">
        <f>SUM($T$19:$V$19)</f>
        <v>0</v>
      </c>
      <c r="X19" s="30">
        <f>'TE BE'!$AB$19*'TE BE'!$X$54</f>
        <v>-15.814580483846418</v>
      </c>
      <c r="Y19" s="30">
        <f>SUM($X$19:$X$19)</f>
        <v>-15.814580483846418</v>
      </c>
      <c r="Z19" s="30">
        <f>'TE BE'!$Z$19*'TE BE'!$Z$54</f>
        <v>-2.4937475044899373</v>
      </c>
      <c r="AA19" s="30">
        <f>SUM($Z$19:$Z$19)</f>
        <v>-2.4937475044899373</v>
      </c>
      <c r="AB19" s="30">
        <f>SUMIF($L$4:$AA$4,"SUBTOTAL",$L$19:$AA$19)</f>
        <v>-95.043423706799857</v>
      </c>
    </row>
    <row r="20" spans="1:28" ht="11.25" customHeight="1" x14ac:dyDescent="0.25">
      <c r="A20" s="129"/>
      <c r="B20" s="129"/>
      <c r="C20" s="129"/>
      <c r="D20" s="38" t="s">
        <v>32</v>
      </c>
      <c r="E20" s="38" t="s">
        <v>25</v>
      </c>
      <c r="F20" s="38" t="s">
        <v>25</v>
      </c>
      <c r="G20" s="32" t="s">
        <v>84</v>
      </c>
      <c r="H20" s="32" t="s">
        <v>79</v>
      </c>
      <c r="I20" s="32">
        <f>'MERCADO TE'!$U$17</f>
        <v>30371.136999999999</v>
      </c>
      <c r="J20" s="17"/>
      <c r="L20" s="30">
        <f>'TE BE'!$L$20*'TE BE'!$L$54</f>
        <v>0</v>
      </c>
      <c r="M20" s="30">
        <f>'TE BE'!$M$20*'TE BE'!$M$54</f>
        <v>13.822453445792339</v>
      </c>
      <c r="N20" s="30">
        <f>'TE BE'!$N$20*'TE BE'!$N$54</f>
        <v>0</v>
      </c>
      <c r="O20" s="30">
        <f>'TE BE'!$O$20*'TE BE'!$O$54</f>
        <v>-0.79356984544151776</v>
      </c>
      <c r="P20" s="30">
        <f>'TE BE'!$P$20*'TE BE'!$P$54</f>
        <v>0</v>
      </c>
      <c r="Q20" s="30">
        <f>SUM($L$20:$P$20)</f>
        <v>13.028883600350822</v>
      </c>
      <c r="R20" s="30">
        <f>'TE BE'!$R$20*'TE BE'!$R$54</f>
        <v>-89.763979318814336</v>
      </c>
      <c r="S20" s="30">
        <f>SUM($R$20:$R$20)</f>
        <v>-89.763979318814336</v>
      </c>
      <c r="T20" s="30">
        <f>'TE BE'!$T$20*'TE BE'!$T$54</f>
        <v>0</v>
      </c>
      <c r="U20" s="30">
        <f>'TE BE'!$U$20*'TE BE'!$U$54</f>
        <v>0</v>
      </c>
      <c r="V20" s="30">
        <f>'TE BE'!$V$20*'TE BE'!$V$54</f>
        <v>0</v>
      </c>
      <c r="W20" s="30">
        <f>SUM($T$20:$V$20)</f>
        <v>0</v>
      </c>
      <c r="X20" s="30">
        <f>'TE BE'!$AB$20*'TE BE'!$X$54</f>
        <v>-15.814580483846418</v>
      </c>
      <c r="Y20" s="30">
        <f>SUM($X$20:$X$20)</f>
        <v>-15.814580483846418</v>
      </c>
      <c r="Z20" s="30">
        <f>'TE BE'!$Z$20*'TE BE'!$Z$54</f>
        <v>-2.4937475044899373</v>
      </c>
      <c r="AA20" s="30">
        <f>SUM($Z$20:$Z$20)</f>
        <v>-2.4937475044899373</v>
      </c>
      <c r="AB20" s="30">
        <f>SUMIF($L$4:$AA$4,"SUBTOTAL",$L$20:$AA$20)</f>
        <v>-95.043423706799857</v>
      </c>
    </row>
    <row r="21" spans="1:28" ht="11.25" customHeight="1" x14ac:dyDescent="0.25">
      <c r="A21" s="129"/>
      <c r="B21" s="129" t="s">
        <v>91</v>
      </c>
      <c r="C21" s="129" t="s">
        <v>24</v>
      </c>
      <c r="D21" s="38" t="s">
        <v>24</v>
      </c>
      <c r="E21" s="38" t="s">
        <v>25</v>
      </c>
      <c r="F21" s="38" t="s">
        <v>25</v>
      </c>
      <c r="G21" s="32" t="s">
        <v>84</v>
      </c>
      <c r="H21" s="32" t="s">
        <v>79</v>
      </c>
      <c r="I21" s="32">
        <f>'MERCADO TE'!$U$18</f>
        <v>0</v>
      </c>
      <c r="J21" s="17"/>
      <c r="L21" s="30">
        <f>'TE BE'!$L$21*'TE BE'!$L$54</f>
        <v>0</v>
      </c>
      <c r="M21" s="30">
        <f>'TE BE'!$M$21*'TE BE'!$M$54</f>
        <v>13.822453445792339</v>
      </c>
      <c r="N21" s="30">
        <f>'TE BE'!$N$21*'TE BE'!$N$54</f>
        <v>0</v>
      </c>
      <c r="O21" s="30">
        <f>'TE BE'!$O$21*'TE BE'!$O$54</f>
        <v>-0.79356984544151776</v>
      </c>
      <c r="P21" s="30">
        <f>'TE BE'!$P$21*'TE BE'!$P$54</f>
        <v>0</v>
      </c>
      <c r="Q21" s="30">
        <f>SUM($L$21:$P$21)</f>
        <v>13.028883600350822</v>
      </c>
      <c r="R21" s="30">
        <f>'TE BE'!$R$21*'TE BE'!$R$54</f>
        <v>-89.763979318814336</v>
      </c>
      <c r="S21" s="30">
        <f>SUM($R$21:$R$21)</f>
        <v>-89.763979318814336</v>
      </c>
      <c r="T21" s="30">
        <f>'TE BE'!$T$21*'TE BE'!$T$54</f>
        <v>0</v>
      </c>
      <c r="U21" s="30">
        <f>'TE BE'!$U$21*'TE BE'!$U$54</f>
        <v>0</v>
      </c>
      <c r="V21" s="30">
        <f>'TE BE'!$V$21*'TE BE'!$V$54</f>
        <v>0</v>
      </c>
      <c r="W21" s="30">
        <f>SUM($T$21:$V$21)</f>
        <v>0</v>
      </c>
      <c r="X21" s="30">
        <f>'TE BE'!$AB$21*'TE BE'!$X$54</f>
        <v>-15.814580483846418</v>
      </c>
      <c r="Y21" s="30">
        <f>SUM($X$21:$X$21)</f>
        <v>-15.814580483846418</v>
      </c>
      <c r="Z21" s="30">
        <f>'TE BE'!$Z$21*'TE BE'!$Z$54</f>
        <v>-2.4937475044899373</v>
      </c>
      <c r="AA21" s="30">
        <f>SUM($Z$21:$Z$21)</f>
        <v>-2.4937475044899373</v>
      </c>
      <c r="AB21" s="30">
        <f>SUMIF($L$4:$AA$4,"SUBTOTAL",$L$21:$AA$21)</f>
        <v>-95.043423706799857</v>
      </c>
    </row>
    <row r="22" spans="1:28" ht="11.25" customHeight="1" x14ac:dyDescent="0.25">
      <c r="A22" s="129"/>
      <c r="B22" s="129"/>
      <c r="C22" s="129"/>
      <c r="D22" s="38" t="s">
        <v>29</v>
      </c>
      <c r="E22" s="38" t="s">
        <v>25</v>
      </c>
      <c r="F22" s="38" t="s">
        <v>25</v>
      </c>
      <c r="G22" s="32" t="s">
        <v>84</v>
      </c>
      <c r="H22" s="32" t="s">
        <v>79</v>
      </c>
      <c r="I22" s="32">
        <f>'MERCADO TE'!$U$19</f>
        <v>0</v>
      </c>
      <c r="J22" s="17"/>
      <c r="L22" s="30">
        <f>'TE BE'!$L$22*'TE BE'!$L$54</f>
        <v>0</v>
      </c>
      <c r="M22" s="30">
        <f>'TE BE'!$M$22*'TE BE'!$M$54</f>
        <v>13.822453445792339</v>
      </c>
      <c r="N22" s="30">
        <f>'TE BE'!$N$22*'TE BE'!$N$54</f>
        <v>0</v>
      </c>
      <c r="O22" s="30">
        <f>'TE BE'!$O$22*'TE BE'!$O$54</f>
        <v>-0.79356984544151776</v>
      </c>
      <c r="P22" s="30">
        <f>'TE BE'!$P$22*'TE BE'!$P$54</f>
        <v>0</v>
      </c>
      <c r="Q22" s="30">
        <f>SUM($L$22:$P$22)</f>
        <v>13.028883600350822</v>
      </c>
      <c r="R22" s="30">
        <f>'TE BE'!$R$22*'TE BE'!$R$54</f>
        <v>-89.763979318814336</v>
      </c>
      <c r="S22" s="30">
        <f>SUM($R$22:$R$22)</f>
        <v>-89.763979318814336</v>
      </c>
      <c r="T22" s="30">
        <f>'TE BE'!$T$22*'TE BE'!$T$54</f>
        <v>0</v>
      </c>
      <c r="U22" s="30">
        <f>'TE BE'!$U$22*'TE BE'!$U$54</f>
        <v>0</v>
      </c>
      <c r="V22" s="30">
        <f>'TE BE'!$V$22*'TE BE'!$V$54</f>
        <v>0</v>
      </c>
      <c r="W22" s="30">
        <f>SUM($T$22:$V$22)</f>
        <v>0</v>
      </c>
      <c r="X22" s="30">
        <f>'TE BE'!$AB$22*'TE BE'!$X$54</f>
        <v>-15.814580483846418</v>
      </c>
      <c r="Y22" s="30">
        <f>SUM($X$22:$X$22)</f>
        <v>-15.814580483846418</v>
      </c>
      <c r="Z22" s="30">
        <f>'TE BE'!$Z$22*'TE BE'!$Z$54</f>
        <v>-2.4937475044899373</v>
      </c>
      <c r="AA22" s="30">
        <f>SUM($Z$22:$Z$22)</f>
        <v>-2.4937475044899373</v>
      </c>
      <c r="AB22" s="30">
        <f>SUMIF($L$4:$AA$4,"SUBTOTAL",$L$22:$AA$22)</f>
        <v>-95.043423706799857</v>
      </c>
    </row>
    <row r="23" spans="1:28" ht="11.25" customHeight="1" x14ac:dyDescent="0.25">
      <c r="A23" s="129"/>
      <c r="B23" s="129"/>
      <c r="C23" s="129"/>
      <c r="D23" s="38" t="s">
        <v>30</v>
      </c>
      <c r="E23" s="38" t="s">
        <v>25</v>
      </c>
      <c r="F23" s="38" t="s">
        <v>25</v>
      </c>
      <c r="G23" s="32" t="s">
        <v>84</v>
      </c>
      <c r="H23" s="32" t="s">
        <v>79</v>
      </c>
      <c r="I23" s="32">
        <f>'MERCADO TE'!$U$20</f>
        <v>0</v>
      </c>
      <c r="J23" s="17"/>
      <c r="L23" s="30">
        <f>'TE BE'!$L$23*'TE BE'!$L$54</f>
        <v>0</v>
      </c>
      <c r="M23" s="30">
        <f>'TE BE'!$M$23*'TE BE'!$M$54</f>
        <v>13.822453445792339</v>
      </c>
      <c r="N23" s="30">
        <f>'TE BE'!$N$23*'TE BE'!$N$54</f>
        <v>0</v>
      </c>
      <c r="O23" s="30">
        <f>'TE BE'!$O$23*'TE BE'!$O$54</f>
        <v>-0.79356984544151776</v>
      </c>
      <c r="P23" s="30">
        <f>'TE BE'!$P$23*'TE BE'!$P$54</f>
        <v>0</v>
      </c>
      <c r="Q23" s="30">
        <f>SUM($L$23:$P$23)</f>
        <v>13.028883600350822</v>
      </c>
      <c r="R23" s="30">
        <f>'TE BE'!$R$23*'TE BE'!$R$54</f>
        <v>-89.763979318814336</v>
      </c>
      <c r="S23" s="30">
        <f>SUM($R$23:$R$23)</f>
        <v>-89.763979318814336</v>
      </c>
      <c r="T23" s="30">
        <f>'TE BE'!$T$23*'TE BE'!$T$54</f>
        <v>0</v>
      </c>
      <c r="U23" s="30">
        <f>'TE BE'!$U$23*'TE BE'!$U$54</f>
        <v>0</v>
      </c>
      <c r="V23" s="30">
        <f>'TE BE'!$V$23*'TE BE'!$V$54</f>
        <v>0</v>
      </c>
      <c r="W23" s="30">
        <f>SUM($T$23:$V$23)</f>
        <v>0</v>
      </c>
      <c r="X23" s="30">
        <f>'TE BE'!$AB$23*'TE BE'!$X$54</f>
        <v>-15.814580483846418</v>
      </c>
      <c r="Y23" s="30">
        <f>SUM($X$23:$X$23)</f>
        <v>-15.814580483846418</v>
      </c>
      <c r="Z23" s="30">
        <f>'TE BE'!$Z$23*'TE BE'!$Z$54</f>
        <v>-2.4937475044899373</v>
      </c>
      <c r="AA23" s="30">
        <f>SUM($Z$23:$Z$23)</f>
        <v>-2.4937475044899373</v>
      </c>
      <c r="AB23" s="30">
        <f>SUMIF($L$4:$AA$4,"SUBTOTAL",$L$23:$AA$23)</f>
        <v>-95.043423706799857</v>
      </c>
    </row>
    <row r="24" spans="1:28" ht="11.25" customHeight="1" x14ac:dyDescent="0.25">
      <c r="A24" s="129"/>
      <c r="B24" s="129"/>
      <c r="C24" s="129"/>
      <c r="D24" s="38" t="s">
        <v>31</v>
      </c>
      <c r="E24" s="38" t="s">
        <v>25</v>
      </c>
      <c r="F24" s="38" t="s">
        <v>25</v>
      </c>
      <c r="G24" s="32" t="s">
        <v>84</v>
      </c>
      <c r="H24" s="32" t="s">
        <v>79</v>
      </c>
      <c r="I24" s="32">
        <f>'MERCADO TE'!$U$21</f>
        <v>0</v>
      </c>
      <c r="J24" s="17"/>
      <c r="L24" s="30">
        <f>'TE BE'!$L$24*'TE BE'!$L$54</f>
        <v>0</v>
      </c>
      <c r="M24" s="30">
        <f>'TE BE'!$M$24*'TE BE'!$M$54</f>
        <v>13.822453445792339</v>
      </c>
      <c r="N24" s="30">
        <f>'TE BE'!$N$24*'TE BE'!$N$54</f>
        <v>0</v>
      </c>
      <c r="O24" s="30">
        <f>'TE BE'!$O$24*'TE BE'!$O$54</f>
        <v>-0.79356984544151776</v>
      </c>
      <c r="P24" s="30">
        <f>'TE BE'!$P$24*'TE BE'!$P$54</f>
        <v>0</v>
      </c>
      <c r="Q24" s="30">
        <f>SUM($L$24:$P$24)</f>
        <v>13.028883600350822</v>
      </c>
      <c r="R24" s="30">
        <f>'TE BE'!$R$24*'TE BE'!$R$54</f>
        <v>-89.763979318814336</v>
      </c>
      <c r="S24" s="30">
        <f>SUM($R$24:$R$24)</f>
        <v>-89.763979318814336</v>
      </c>
      <c r="T24" s="30">
        <f>'TE BE'!$T$24*'TE BE'!$T$54</f>
        <v>0</v>
      </c>
      <c r="U24" s="30">
        <f>'TE BE'!$U$24*'TE BE'!$U$54</f>
        <v>0</v>
      </c>
      <c r="V24" s="30">
        <f>'TE BE'!$V$24*'TE BE'!$V$54</f>
        <v>0</v>
      </c>
      <c r="W24" s="30">
        <f>SUM($T$24:$V$24)</f>
        <v>0</v>
      </c>
      <c r="X24" s="30">
        <f>'TE BE'!$AB$24*'TE BE'!$X$54</f>
        <v>-15.814580483846418</v>
      </c>
      <c r="Y24" s="30">
        <f>SUM($X$24:$X$24)</f>
        <v>-15.814580483846418</v>
      </c>
      <c r="Z24" s="30">
        <f>'TE BE'!$Z$24*'TE BE'!$Z$54</f>
        <v>-2.4937475044899373</v>
      </c>
      <c r="AA24" s="30">
        <f>SUM($Z$24:$Z$24)</f>
        <v>-2.4937475044899373</v>
      </c>
      <c r="AB24" s="30">
        <f>SUMIF($L$4:$AA$4,"SUBTOTAL",$L$24:$AA$24)</f>
        <v>-95.043423706799857</v>
      </c>
    </row>
    <row r="25" spans="1:28" ht="11.25" customHeight="1" x14ac:dyDescent="0.25">
      <c r="A25" s="129"/>
      <c r="B25" s="129"/>
      <c r="C25" s="129"/>
      <c r="D25" s="38" t="s">
        <v>32</v>
      </c>
      <c r="E25" s="38" t="s">
        <v>25</v>
      </c>
      <c r="F25" s="38" t="s">
        <v>25</v>
      </c>
      <c r="G25" s="32" t="s">
        <v>84</v>
      </c>
      <c r="H25" s="32" t="s">
        <v>79</v>
      </c>
      <c r="I25" s="32">
        <f>'MERCADO TE'!$U$22</f>
        <v>0</v>
      </c>
      <c r="J25" s="17"/>
      <c r="L25" s="30">
        <f>'TE BE'!$L$25*'TE BE'!$L$54</f>
        <v>0</v>
      </c>
      <c r="M25" s="30">
        <f>'TE BE'!$M$25*'TE BE'!$M$54</f>
        <v>13.822453445792339</v>
      </c>
      <c r="N25" s="30">
        <f>'TE BE'!$N$25*'TE BE'!$N$54</f>
        <v>0</v>
      </c>
      <c r="O25" s="30">
        <f>'TE BE'!$O$25*'TE BE'!$O$54</f>
        <v>-0.79356984544151776</v>
      </c>
      <c r="P25" s="30">
        <f>'TE BE'!$P$25*'TE BE'!$P$54</f>
        <v>0</v>
      </c>
      <c r="Q25" s="30">
        <f>SUM($L$25:$P$25)</f>
        <v>13.028883600350822</v>
      </c>
      <c r="R25" s="30">
        <f>'TE BE'!$R$25*'TE BE'!$R$54</f>
        <v>-89.763979318814336</v>
      </c>
      <c r="S25" s="30">
        <f>SUM($R$25:$R$25)</f>
        <v>-89.763979318814336</v>
      </c>
      <c r="T25" s="30">
        <f>'TE BE'!$T$25*'TE BE'!$T$54</f>
        <v>0</v>
      </c>
      <c r="U25" s="30">
        <f>'TE BE'!$U$25*'TE BE'!$U$54</f>
        <v>0</v>
      </c>
      <c r="V25" s="30">
        <f>'TE BE'!$V$25*'TE BE'!$V$54</f>
        <v>0</v>
      </c>
      <c r="W25" s="30">
        <f>SUM($T$25:$V$25)</f>
        <v>0</v>
      </c>
      <c r="X25" s="30">
        <f>'TE BE'!$AB$25*'TE BE'!$X$54</f>
        <v>-15.814580483846418</v>
      </c>
      <c r="Y25" s="30">
        <f>SUM($X$25:$X$25)</f>
        <v>-15.814580483846418</v>
      </c>
      <c r="Z25" s="30">
        <f>'TE BE'!$Z$25*'TE BE'!$Z$54</f>
        <v>-2.4937475044899373</v>
      </c>
      <c r="AA25" s="30">
        <f>SUM($Z$25:$Z$25)</f>
        <v>-2.4937475044899373</v>
      </c>
      <c r="AB25" s="30">
        <f>SUMIF($L$4:$AA$4,"SUBTOTAL",$L$25:$AA$25)</f>
        <v>-95.043423706799857</v>
      </c>
    </row>
    <row r="26" spans="1:28" ht="11.25" customHeight="1" x14ac:dyDescent="0.25">
      <c r="A26" s="129" t="s">
        <v>45</v>
      </c>
      <c r="B26" s="129" t="s">
        <v>78</v>
      </c>
      <c r="C26" s="129" t="s">
        <v>46</v>
      </c>
      <c r="D26" s="129" t="s">
        <v>25</v>
      </c>
      <c r="E26" s="129" t="s">
        <v>25</v>
      </c>
      <c r="F26" s="129" t="s">
        <v>25</v>
      </c>
      <c r="G26" s="32" t="s">
        <v>80</v>
      </c>
      <c r="H26" s="32" t="s">
        <v>79</v>
      </c>
      <c r="I26" s="32">
        <f>'MERCADO TE'!$U$23</f>
        <v>0</v>
      </c>
      <c r="J26" s="17"/>
      <c r="L26" s="30">
        <f>'TE BE'!$L$26*'TE BE'!$L$54</f>
        <v>0</v>
      </c>
      <c r="M26" s="30">
        <f>'TE BE'!$M$26*'TE BE'!$M$54</f>
        <v>13.822453445792339</v>
      </c>
      <c r="N26" s="30">
        <f>'TE BE'!$N$26*'TE BE'!$N$54</f>
        <v>0</v>
      </c>
      <c r="O26" s="30">
        <f>'TE BE'!$O$26*'TE BE'!$O$54</f>
        <v>-0.79356984544151776</v>
      </c>
      <c r="P26" s="30">
        <f>'TE BE'!$P$26*'TE BE'!$P$54</f>
        <v>0</v>
      </c>
      <c r="Q26" s="30">
        <f>SUM($L$26:$P$26)</f>
        <v>13.028883600350822</v>
      </c>
      <c r="R26" s="30">
        <f>'TE BE'!$R$26*'TE BE'!$R$54</f>
        <v>-145.65475889467984</v>
      </c>
      <c r="S26" s="30">
        <f>SUM($R$26:$R$26)</f>
        <v>-145.65475889467984</v>
      </c>
      <c r="T26" s="30">
        <f>'TE BE'!$T$26*'TE BE'!$T$54</f>
        <v>0</v>
      </c>
      <c r="U26" s="30">
        <f>'TE BE'!$U$26*'TE BE'!$U$54</f>
        <v>0</v>
      </c>
      <c r="V26" s="30">
        <f>'TE BE'!$V$26*'TE BE'!$V$54</f>
        <v>0</v>
      </c>
      <c r="W26" s="30">
        <f>SUM($T$26:$V$26)</f>
        <v>0</v>
      </c>
      <c r="X26" s="30">
        <f>'TE BE'!$AB$26*'TE BE'!$X$54</f>
        <v>-24.104402290528213</v>
      </c>
      <c r="Y26" s="30">
        <f>SUM($X$26:$X$26)</f>
        <v>-24.104402290528213</v>
      </c>
      <c r="Z26" s="30">
        <f>'TE BE'!$Z$26*'TE BE'!$Z$54</f>
        <v>-2.4937475044899373</v>
      </c>
      <c r="AA26" s="30">
        <f>SUM($Z$26:$Z$26)</f>
        <v>-2.4937475044899373</v>
      </c>
      <c r="AB26" s="30">
        <f>SUMIF($L$4:$AA$4,"SUBTOTAL",$L$26:$AA$26)</f>
        <v>-159.22402508934718</v>
      </c>
    </row>
    <row r="27" spans="1:28" ht="11.25" customHeight="1" x14ac:dyDescent="0.25">
      <c r="A27" s="129"/>
      <c r="B27" s="129"/>
      <c r="C27" s="129"/>
      <c r="D27" s="129"/>
      <c r="E27" s="129"/>
      <c r="F27" s="129"/>
      <c r="G27" s="32" t="s">
        <v>90</v>
      </c>
      <c r="H27" s="32" t="s">
        <v>79</v>
      </c>
      <c r="I27" s="32">
        <f>'MERCADO TE'!$U$24</f>
        <v>0</v>
      </c>
      <c r="J27" s="17"/>
      <c r="L27" s="30">
        <f>'TE BE'!$L$27*'TE BE'!$L$54</f>
        <v>0</v>
      </c>
      <c r="M27" s="30">
        <f>'TE BE'!$M$27*'TE BE'!$M$54</f>
        <v>13.822453445792339</v>
      </c>
      <c r="N27" s="30">
        <f>'TE BE'!$N$27*'TE BE'!$N$54</f>
        <v>0</v>
      </c>
      <c r="O27" s="30">
        <f>'TE BE'!$O$27*'TE BE'!$O$54</f>
        <v>-0.79356984544151776</v>
      </c>
      <c r="P27" s="30">
        <f>'TE BE'!$P$27*'TE BE'!$P$54</f>
        <v>0</v>
      </c>
      <c r="Q27" s="30">
        <f>SUM($L$27:$P$27)</f>
        <v>13.028883600350822</v>
      </c>
      <c r="R27" s="30">
        <f>'TE BE'!$R$27*'TE BE'!$R$54</f>
        <v>-84.682999357372012</v>
      </c>
      <c r="S27" s="30">
        <f>SUM($R$27:$R$27)</f>
        <v>-84.682999357372012</v>
      </c>
      <c r="T27" s="30">
        <f>'TE BE'!$T$27*'TE BE'!$T$54</f>
        <v>0</v>
      </c>
      <c r="U27" s="30">
        <f>'TE BE'!$U$27*'TE BE'!$U$54</f>
        <v>0</v>
      </c>
      <c r="V27" s="30">
        <f>'TE BE'!$V$27*'TE BE'!$V$54</f>
        <v>0</v>
      </c>
      <c r="W27" s="30">
        <f>SUM($T$27:$V$27)</f>
        <v>0</v>
      </c>
      <c r="X27" s="30">
        <f>'TE BE'!$AB$27*'TE BE'!$X$54</f>
        <v>-15.060960319602618</v>
      </c>
      <c r="Y27" s="30">
        <f>SUM($X$27:$X$27)</f>
        <v>-15.060960319602618</v>
      </c>
      <c r="Z27" s="30">
        <f>'TE BE'!$Z$27*'TE BE'!$Z$54</f>
        <v>-2.4937475044899373</v>
      </c>
      <c r="AA27" s="30">
        <f>SUM($Z$27:$Z$27)</f>
        <v>-2.4937475044899373</v>
      </c>
      <c r="AB27" s="30">
        <f>SUMIF($L$4:$AA$4,"SUBTOTAL",$L$27:$AA$27)</f>
        <v>-89.208823581113734</v>
      </c>
    </row>
    <row r="28" spans="1:28" ht="11.25" customHeight="1" x14ac:dyDescent="0.25">
      <c r="A28" s="129"/>
      <c r="B28" s="129"/>
      <c r="C28" s="129"/>
      <c r="D28" s="129"/>
      <c r="E28" s="129"/>
      <c r="F28" s="129"/>
      <c r="G28" s="32" t="s">
        <v>81</v>
      </c>
      <c r="H28" s="32" t="s">
        <v>79</v>
      </c>
      <c r="I28" s="32">
        <f>'MERCADO TE'!$U$25</f>
        <v>0</v>
      </c>
      <c r="J28" s="17"/>
      <c r="L28" s="30">
        <f>'TE BE'!$L$28*'TE BE'!$L$54</f>
        <v>0</v>
      </c>
      <c r="M28" s="30">
        <f>'TE BE'!$M$28*'TE BE'!$M$54</f>
        <v>13.822453445792339</v>
      </c>
      <c r="N28" s="30">
        <f>'TE BE'!$N$28*'TE BE'!$N$54</f>
        <v>0</v>
      </c>
      <c r="O28" s="30">
        <f>'TE BE'!$O$28*'TE BE'!$O$54</f>
        <v>-0.79356984544151776</v>
      </c>
      <c r="P28" s="30">
        <f>'TE BE'!$P$28*'TE BE'!$P$54</f>
        <v>0</v>
      </c>
      <c r="Q28" s="30">
        <f>SUM($L$28:$P$28)</f>
        <v>13.028883600350822</v>
      </c>
      <c r="R28" s="30">
        <f>'TE BE'!$R$28*'TE BE'!$R$54</f>
        <v>-84.682999357372012</v>
      </c>
      <c r="S28" s="30">
        <f>SUM($R$28:$R$28)</f>
        <v>-84.682999357372012</v>
      </c>
      <c r="T28" s="30">
        <f>'TE BE'!$T$28*'TE BE'!$T$54</f>
        <v>0</v>
      </c>
      <c r="U28" s="30">
        <f>'TE BE'!$U$28*'TE BE'!$U$54</f>
        <v>0</v>
      </c>
      <c r="V28" s="30">
        <f>'TE BE'!$V$28*'TE BE'!$V$54</f>
        <v>0</v>
      </c>
      <c r="W28" s="30">
        <f>SUM($T$28:$V$28)</f>
        <v>0</v>
      </c>
      <c r="X28" s="30">
        <f>'TE BE'!$AB$28*'TE BE'!$X$54</f>
        <v>-15.060960319602618</v>
      </c>
      <c r="Y28" s="30">
        <f>SUM($X$28:$X$28)</f>
        <v>-15.060960319602618</v>
      </c>
      <c r="Z28" s="30">
        <f>'TE BE'!$Z$28*'TE BE'!$Z$54</f>
        <v>-2.4937475044899373</v>
      </c>
      <c r="AA28" s="30">
        <f>SUM($Z$28:$Z$28)</f>
        <v>-2.4937475044899373</v>
      </c>
      <c r="AB28" s="30">
        <f>SUMIF($L$4:$AA$4,"SUBTOTAL",$L$28:$AA$28)</f>
        <v>-89.208823581113734</v>
      </c>
    </row>
    <row r="29" spans="1:28" ht="11.25" customHeight="1" x14ac:dyDescent="0.25">
      <c r="A29" s="129"/>
      <c r="B29" s="38" t="s">
        <v>86</v>
      </c>
      <c r="C29" s="38" t="s">
        <v>46</v>
      </c>
      <c r="D29" s="38" t="s">
        <v>25</v>
      </c>
      <c r="E29" s="38" t="s">
        <v>25</v>
      </c>
      <c r="F29" s="38" t="s">
        <v>25</v>
      </c>
      <c r="G29" s="32" t="s">
        <v>84</v>
      </c>
      <c r="H29" s="32" t="s">
        <v>79</v>
      </c>
      <c r="I29" s="32">
        <f>'MERCADO TE'!$U$26</f>
        <v>4146.1049999999996</v>
      </c>
      <c r="J29" s="17"/>
      <c r="L29" s="30">
        <f>'TE BE'!$L$29*'TE BE'!$L$54</f>
        <v>0</v>
      </c>
      <c r="M29" s="30">
        <f>'TE BE'!$M$29*'TE BE'!$M$54</f>
        <v>13.822453445792339</v>
      </c>
      <c r="N29" s="30">
        <f>'TE BE'!$N$29*'TE BE'!$N$54</f>
        <v>0</v>
      </c>
      <c r="O29" s="30">
        <f>'TE BE'!$O$29*'TE BE'!$O$54</f>
        <v>-0.79356984544151776</v>
      </c>
      <c r="P29" s="30">
        <f>'TE BE'!$P$29*'TE BE'!$P$54</f>
        <v>0</v>
      </c>
      <c r="Q29" s="30">
        <f>SUM($L$29:$P$29)</f>
        <v>13.028883600350822</v>
      </c>
      <c r="R29" s="30">
        <f>'TE BE'!$R$29*'TE BE'!$R$54</f>
        <v>-89.763979318814336</v>
      </c>
      <c r="S29" s="30">
        <f>SUM($R$29:$R$29)</f>
        <v>-89.763979318814336</v>
      </c>
      <c r="T29" s="30">
        <f>'TE BE'!$T$29*'TE BE'!$T$54</f>
        <v>0</v>
      </c>
      <c r="U29" s="30">
        <f>'TE BE'!$U$29*'TE BE'!$U$54</f>
        <v>0</v>
      </c>
      <c r="V29" s="30">
        <f>'TE BE'!$V$29*'TE BE'!$V$54</f>
        <v>0</v>
      </c>
      <c r="W29" s="30">
        <f>SUM($T$29:$V$29)</f>
        <v>0</v>
      </c>
      <c r="X29" s="30">
        <f>'TE BE'!$AB$29*'TE BE'!$X$54</f>
        <v>-15.814580483846418</v>
      </c>
      <c r="Y29" s="30">
        <f>SUM($X$29:$X$29)</f>
        <v>-15.814580483846418</v>
      </c>
      <c r="Z29" s="30">
        <f>'TE BE'!$Z$29*'TE BE'!$Z$54</f>
        <v>-2.4937475044899373</v>
      </c>
      <c r="AA29" s="30">
        <f>SUM($Z$29:$Z$29)</f>
        <v>-2.4937475044899373</v>
      </c>
      <c r="AB29" s="30">
        <f>SUMIF($L$4:$AA$4,"SUBTOTAL",$L$29:$AA$29)</f>
        <v>-95.043423706799857</v>
      </c>
    </row>
    <row r="30" spans="1:28" ht="11.25" customHeight="1" x14ac:dyDescent="0.25">
      <c r="A30" s="129"/>
      <c r="B30" s="129" t="s">
        <v>78</v>
      </c>
      <c r="C30" s="129" t="s">
        <v>46</v>
      </c>
      <c r="D30" s="129" t="s">
        <v>93</v>
      </c>
      <c r="E30" s="129" t="s">
        <v>25</v>
      </c>
      <c r="F30" s="129" t="s">
        <v>25</v>
      </c>
      <c r="G30" s="32" t="s">
        <v>80</v>
      </c>
      <c r="H30" s="32" t="s">
        <v>79</v>
      </c>
      <c r="I30" s="32">
        <f>'MERCADO TE'!$U$27</f>
        <v>0</v>
      </c>
      <c r="J30" s="17"/>
      <c r="L30" s="30">
        <f>'TE BE'!$L$30*'TE BE'!$L$54</f>
        <v>0</v>
      </c>
      <c r="M30" s="30">
        <f>'TE BE'!$M$30*'TE BE'!$M$54</f>
        <v>13.822453445792339</v>
      </c>
      <c r="N30" s="30">
        <f>'TE BE'!$N$30*'TE BE'!$N$54</f>
        <v>0</v>
      </c>
      <c r="O30" s="30">
        <f>'TE BE'!$O$30*'TE BE'!$O$54</f>
        <v>-0.79356984544151776</v>
      </c>
      <c r="P30" s="30">
        <f>'TE BE'!$P$30*'TE BE'!$P$54</f>
        <v>0</v>
      </c>
      <c r="Q30" s="30">
        <f>SUM($L$30:$P$30)</f>
        <v>13.028883600350822</v>
      </c>
      <c r="R30" s="30">
        <f>'TE BE'!$R$30*'TE BE'!$R$54</f>
        <v>-145.65475889467984</v>
      </c>
      <c r="S30" s="30">
        <f>SUM($R$30:$R$30)</f>
        <v>-145.65475889467984</v>
      </c>
      <c r="T30" s="30">
        <f>'TE BE'!$T$30*'TE BE'!$T$54</f>
        <v>0</v>
      </c>
      <c r="U30" s="30">
        <f>'TE BE'!$U$30*'TE BE'!$U$54</f>
        <v>0</v>
      </c>
      <c r="V30" s="30">
        <f>'TE BE'!$V$30*'TE BE'!$V$54</f>
        <v>0</v>
      </c>
      <c r="W30" s="30">
        <f>SUM($T$30:$V$30)</f>
        <v>0</v>
      </c>
      <c r="X30" s="30">
        <f>'TE BE'!$AB$30*'TE BE'!$X$54</f>
        <v>-24.104402290528213</v>
      </c>
      <c r="Y30" s="30">
        <f>SUM($X$30:$X$30)</f>
        <v>-24.104402290528213</v>
      </c>
      <c r="Z30" s="30">
        <f>'TE BE'!$Z$30*'TE BE'!$Z$54</f>
        <v>-2.4937475044899373</v>
      </c>
      <c r="AA30" s="30">
        <f>SUM($Z$30:$Z$30)</f>
        <v>-2.4937475044899373</v>
      </c>
      <c r="AB30" s="30">
        <f>SUMIF($L$4:$AA$4,"SUBTOTAL",$L$30:$AA$30)</f>
        <v>-159.22402508934718</v>
      </c>
    </row>
    <row r="31" spans="1:28" ht="11.25" customHeight="1" x14ac:dyDescent="0.25">
      <c r="A31" s="129"/>
      <c r="B31" s="129"/>
      <c r="C31" s="129"/>
      <c r="D31" s="129"/>
      <c r="E31" s="129"/>
      <c r="F31" s="129"/>
      <c r="G31" s="32" t="s">
        <v>90</v>
      </c>
      <c r="H31" s="32" t="s">
        <v>79</v>
      </c>
      <c r="I31" s="32">
        <f>'MERCADO TE'!$U$28</f>
        <v>0</v>
      </c>
      <c r="J31" s="17"/>
      <c r="L31" s="30">
        <f>'TE BE'!$L$31*'TE BE'!$L$54</f>
        <v>0</v>
      </c>
      <c r="M31" s="30">
        <f>'TE BE'!$M$31*'TE BE'!$M$54</f>
        <v>13.822453445792339</v>
      </c>
      <c r="N31" s="30">
        <f>'TE BE'!$N$31*'TE BE'!$N$54</f>
        <v>0</v>
      </c>
      <c r="O31" s="30">
        <f>'TE BE'!$O$31*'TE BE'!$O$54</f>
        <v>-0.79356984544151776</v>
      </c>
      <c r="P31" s="30">
        <f>'TE BE'!$P$31*'TE BE'!$P$54</f>
        <v>0</v>
      </c>
      <c r="Q31" s="30">
        <f>SUM($L$31:$P$31)</f>
        <v>13.028883600350822</v>
      </c>
      <c r="R31" s="30">
        <f>'TE BE'!$R$31*'TE BE'!$R$54</f>
        <v>-84.682999357372012</v>
      </c>
      <c r="S31" s="30">
        <f>SUM($R$31:$R$31)</f>
        <v>-84.682999357372012</v>
      </c>
      <c r="T31" s="30">
        <f>'TE BE'!$T$31*'TE BE'!$T$54</f>
        <v>0</v>
      </c>
      <c r="U31" s="30">
        <f>'TE BE'!$U$31*'TE BE'!$U$54</f>
        <v>0</v>
      </c>
      <c r="V31" s="30">
        <f>'TE BE'!$V$31*'TE BE'!$V$54</f>
        <v>0</v>
      </c>
      <c r="W31" s="30">
        <f>SUM($T$31:$V$31)</f>
        <v>0</v>
      </c>
      <c r="X31" s="30">
        <f>'TE BE'!$AB$31*'TE BE'!$X$54</f>
        <v>-15.060960319602618</v>
      </c>
      <c r="Y31" s="30">
        <f>SUM($X$31:$X$31)</f>
        <v>-15.060960319602618</v>
      </c>
      <c r="Z31" s="30">
        <f>'TE BE'!$Z$31*'TE BE'!$Z$54</f>
        <v>-2.4937475044899373</v>
      </c>
      <c r="AA31" s="30">
        <f>SUM($Z$31:$Z$31)</f>
        <v>-2.4937475044899373</v>
      </c>
      <c r="AB31" s="30">
        <f>SUMIF($L$4:$AA$4,"SUBTOTAL",$L$31:$AA$31)</f>
        <v>-89.208823581113734</v>
      </c>
    </row>
    <row r="32" spans="1:28" ht="11.25" customHeight="1" x14ac:dyDescent="0.25">
      <c r="A32" s="129"/>
      <c r="B32" s="129"/>
      <c r="C32" s="129"/>
      <c r="D32" s="129"/>
      <c r="E32" s="129"/>
      <c r="F32" s="129"/>
      <c r="G32" s="32" t="s">
        <v>81</v>
      </c>
      <c r="H32" s="32" t="s">
        <v>79</v>
      </c>
      <c r="I32" s="32">
        <f>'MERCADO TE'!$U$29</f>
        <v>0</v>
      </c>
      <c r="J32" s="17"/>
      <c r="L32" s="30">
        <f>'TE BE'!$L$32*'TE BE'!$L$54</f>
        <v>0</v>
      </c>
      <c r="M32" s="30">
        <f>'TE BE'!$M$32*'TE BE'!$M$54</f>
        <v>13.822453445792339</v>
      </c>
      <c r="N32" s="30">
        <f>'TE BE'!$N$32*'TE BE'!$N$54</f>
        <v>0</v>
      </c>
      <c r="O32" s="30">
        <f>'TE BE'!$O$32*'TE BE'!$O$54</f>
        <v>-0.79356984544151776</v>
      </c>
      <c r="P32" s="30">
        <f>'TE BE'!$P$32*'TE BE'!$P$54</f>
        <v>0</v>
      </c>
      <c r="Q32" s="30">
        <f>SUM($L$32:$P$32)</f>
        <v>13.028883600350822</v>
      </c>
      <c r="R32" s="30">
        <f>'TE BE'!$R$32*'TE BE'!$R$54</f>
        <v>-84.682999357372012</v>
      </c>
      <c r="S32" s="30">
        <f>SUM($R$32:$R$32)</f>
        <v>-84.682999357372012</v>
      </c>
      <c r="T32" s="30">
        <f>'TE BE'!$T$32*'TE BE'!$T$54</f>
        <v>0</v>
      </c>
      <c r="U32" s="30">
        <f>'TE BE'!$U$32*'TE BE'!$U$54</f>
        <v>0</v>
      </c>
      <c r="V32" s="30">
        <f>'TE BE'!$V$32*'TE BE'!$V$54</f>
        <v>0</v>
      </c>
      <c r="W32" s="30">
        <f>SUM($T$32:$V$32)</f>
        <v>0</v>
      </c>
      <c r="X32" s="30">
        <f>'TE BE'!$AB$32*'TE BE'!$X$54</f>
        <v>-15.060960319602618</v>
      </c>
      <c r="Y32" s="30">
        <f>SUM($X$32:$X$32)</f>
        <v>-15.060960319602618</v>
      </c>
      <c r="Z32" s="30">
        <f>'TE BE'!$Z$32*'TE BE'!$Z$54</f>
        <v>-2.4937475044899373</v>
      </c>
      <c r="AA32" s="30">
        <f>SUM($Z$32:$Z$32)</f>
        <v>-2.4937475044899373</v>
      </c>
      <c r="AB32" s="30">
        <f>SUMIF($L$4:$AA$4,"SUBTOTAL",$L$32:$AA$32)</f>
        <v>-89.208823581113734</v>
      </c>
    </row>
    <row r="33" spans="1:28" ht="11.25" customHeight="1" x14ac:dyDescent="0.25">
      <c r="A33" s="129"/>
      <c r="B33" s="38" t="s">
        <v>86</v>
      </c>
      <c r="C33" s="38" t="s">
        <v>46</v>
      </c>
      <c r="D33" s="38" t="s">
        <v>93</v>
      </c>
      <c r="E33" s="38" t="s">
        <v>25</v>
      </c>
      <c r="F33" s="38" t="s">
        <v>25</v>
      </c>
      <c r="G33" s="32" t="s">
        <v>84</v>
      </c>
      <c r="H33" s="32" t="s">
        <v>79</v>
      </c>
      <c r="I33" s="32">
        <f>'MERCADO TE'!$U$30</f>
        <v>0</v>
      </c>
      <c r="J33" s="17"/>
      <c r="L33" s="30">
        <f>'TE BE'!$L$33*'TE BE'!$L$54</f>
        <v>0</v>
      </c>
      <c r="M33" s="30">
        <f>'TE BE'!$M$33*'TE BE'!$M$54</f>
        <v>13.822453445792339</v>
      </c>
      <c r="N33" s="30">
        <f>'TE BE'!$N$33*'TE BE'!$N$54</f>
        <v>0</v>
      </c>
      <c r="O33" s="30">
        <f>'TE BE'!$O$33*'TE BE'!$O$54</f>
        <v>-0.79356984544151776</v>
      </c>
      <c r="P33" s="30">
        <f>'TE BE'!$P$33*'TE BE'!$P$54</f>
        <v>0</v>
      </c>
      <c r="Q33" s="30">
        <f>SUM($L$33:$P$33)</f>
        <v>13.028883600350822</v>
      </c>
      <c r="R33" s="30">
        <f>'TE BE'!$R$33*'TE BE'!$R$54</f>
        <v>-89.763979318814336</v>
      </c>
      <c r="S33" s="30">
        <f>SUM($R$33:$R$33)</f>
        <v>-89.763979318814336</v>
      </c>
      <c r="T33" s="30">
        <f>'TE BE'!$T$33*'TE BE'!$T$54</f>
        <v>0</v>
      </c>
      <c r="U33" s="30">
        <f>'TE BE'!$U$33*'TE BE'!$U$54</f>
        <v>0</v>
      </c>
      <c r="V33" s="30">
        <f>'TE BE'!$V$33*'TE BE'!$V$54</f>
        <v>0</v>
      </c>
      <c r="W33" s="30">
        <f>SUM($T$33:$V$33)</f>
        <v>0</v>
      </c>
      <c r="X33" s="30">
        <f>'TE BE'!$AB$33*'TE BE'!$X$54</f>
        <v>-15.814580483846418</v>
      </c>
      <c r="Y33" s="30">
        <f>SUM($X$33:$X$33)</f>
        <v>-15.814580483846418</v>
      </c>
      <c r="Z33" s="30">
        <f>'TE BE'!$Z$33*'TE BE'!$Z$54</f>
        <v>-2.4937475044899373</v>
      </c>
      <c r="AA33" s="30">
        <f>SUM($Z$33:$Z$33)</f>
        <v>-2.4937475044899373</v>
      </c>
      <c r="AB33" s="30">
        <f>SUMIF($L$4:$AA$4,"SUBTOTAL",$L$33:$AA$33)</f>
        <v>-95.043423706799857</v>
      </c>
    </row>
    <row r="34" spans="1:28" ht="11.25" customHeight="1" x14ac:dyDescent="0.25">
      <c r="A34" s="129"/>
      <c r="B34" s="129" t="s">
        <v>78</v>
      </c>
      <c r="C34" s="129" t="s">
        <v>46</v>
      </c>
      <c r="D34" s="129" t="s">
        <v>94</v>
      </c>
      <c r="E34" s="129" t="s">
        <v>25</v>
      </c>
      <c r="F34" s="129" t="s">
        <v>25</v>
      </c>
      <c r="G34" s="32" t="s">
        <v>80</v>
      </c>
      <c r="H34" s="32" t="s">
        <v>79</v>
      </c>
      <c r="I34" s="32">
        <f>'MERCADO TE'!$U$31</f>
        <v>0</v>
      </c>
      <c r="J34" s="17"/>
      <c r="L34" s="30">
        <f>'TE BE'!$L$34*'TE BE'!$L$54</f>
        <v>0</v>
      </c>
      <c r="M34" s="30">
        <f>'TE BE'!$M$34*'TE BE'!$M$54</f>
        <v>13.822453445792339</v>
      </c>
      <c r="N34" s="30">
        <f>'TE BE'!$N$34*'TE BE'!$N$54</f>
        <v>0</v>
      </c>
      <c r="O34" s="30">
        <f>'TE BE'!$O$34*'TE BE'!$O$54</f>
        <v>-0.79356984544151776</v>
      </c>
      <c r="P34" s="30">
        <f>'TE BE'!$P$34*'TE BE'!$P$54</f>
        <v>0</v>
      </c>
      <c r="Q34" s="30">
        <f>SUM($L$34:$P$34)</f>
        <v>13.028883600350822</v>
      </c>
      <c r="R34" s="30">
        <f>'TE BE'!$R$34*'TE BE'!$R$54</f>
        <v>-145.65475889467984</v>
      </c>
      <c r="S34" s="30">
        <f>SUM($R$34:$R$34)</f>
        <v>-145.65475889467984</v>
      </c>
      <c r="T34" s="30">
        <f>'TE BE'!$T$34*'TE BE'!$T$54</f>
        <v>0</v>
      </c>
      <c r="U34" s="30">
        <f>'TE BE'!$U$34*'TE BE'!$U$54</f>
        <v>0</v>
      </c>
      <c r="V34" s="30">
        <f>'TE BE'!$V$34*'TE BE'!$V$54</f>
        <v>0</v>
      </c>
      <c r="W34" s="30">
        <f>SUM($T$34:$V$34)</f>
        <v>0</v>
      </c>
      <c r="X34" s="30">
        <f>'TE BE'!$AB$34*'TE BE'!$X$54</f>
        <v>-24.104402290528213</v>
      </c>
      <c r="Y34" s="30">
        <f>SUM($X$34:$X$34)</f>
        <v>-24.104402290528213</v>
      </c>
      <c r="Z34" s="30">
        <f>'TE BE'!$Z$34*'TE BE'!$Z$54</f>
        <v>-2.4937475044899373</v>
      </c>
      <c r="AA34" s="30">
        <f>SUM($Z$34:$Z$34)</f>
        <v>-2.4937475044899373</v>
      </c>
      <c r="AB34" s="30">
        <f>SUMIF($L$4:$AA$4,"SUBTOTAL",$L$34:$AA$34)</f>
        <v>-159.22402508934718</v>
      </c>
    </row>
    <row r="35" spans="1:28" ht="11.25" customHeight="1" x14ac:dyDescent="0.25">
      <c r="A35" s="129"/>
      <c r="B35" s="129"/>
      <c r="C35" s="129"/>
      <c r="D35" s="129"/>
      <c r="E35" s="129"/>
      <c r="F35" s="129"/>
      <c r="G35" s="32" t="s">
        <v>90</v>
      </c>
      <c r="H35" s="32" t="s">
        <v>79</v>
      </c>
      <c r="I35" s="32">
        <f>'MERCADO TE'!$U$32</f>
        <v>0</v>
      </c>
      <c r="J35" s="17"/>
      <c r="L35" s="30">
        <f>'TE BE'!$L$35*'TE BE'!$L$54</f>
        <v>0</v>
      </c>
      <c r="M35" s="30">
        <f>'TE BE'!$M$35*'TE BE'!$M$54</f>
        <v>13.822453445792339</v>
      </c>
      <c r="N35" s="30">
        <f>'TE BE'!$N$35*'TE BE'!$N$54</f>
        <v>0</v>
      </c>
      <c r="O35" s="30">
        <f>'TE BE'!$O$35*'TE BE'!$O$54</f>
        <v>-0.79356984544151776</v>
      </c>
      <c r="P35" s="30">
        <f>'TE BE'!$P$35*'TE BE'!$P$54</f>
        <v>0</v>
      </c>
      <c r="Q35" s="30">
        <f>SUM($L$35:$P$35)</f>
        <v>13.028883600350822</v>
      </c>
      <c r="R35" s="30">
        <f>'TE BE'!$R$35*'TE BE'!$R$54</f>
        <v>-84.682999357372012</v>
      </c>
      <c r="S35" s="30">
        <f>SUM($R$35:$R$35)</f>
        <v>-84.682999357372012</v>
      </c>
      <c r="T35" s="30">
        <f>'TE BE'!$T$35*'TE BE'!$T$54</f>
        <v>0</v>
      </c>
      <c r="U35" s="30">
        <f>'TE BE'!$U$35*'TE BE'!$U$54</f>
        <v>0</v>
      </c>
      <c r="V35" s="30">
        <f>'TE BE'!$V$35*'TE BE'!$V$54</f>
        <v>0</v>
      </c>
      <c r="W35" s="30">
        <f>SUM($T$35:$V$35)</f>
        <v>0</v>
      </c>
      <c r="X35" s="30">
        <f>'TE BE'!$AB$35*'TE BE'!$X$54</f>
        <v>-15.060960319602618</v>
      </c>
      <c r="Y35" s="30">
        <f>SUM($X$35:$X$35)</f>
        <v>-15.060960319602618</v>
      </c>
      <c r="Z35" s="30">
        <f>'TE BE'!$Z$35*'TE BE'!$Z$54</f>
        <v>-2.4937475044899373</v>
      </c>
      <c r="AA35" s="30">
        <f>SUM($Z$35:$Z$35)</f>
        <v>-2.4937475044899373</v>
      </c>
      <c r="AB35" s="30">
        <f>SUMIF($L$4:$AA$4,"SUBTOTAL",$L$35:$AA$35)</f>
        <v>-89.208823581113734</v>
      </c>
    </row>
    <row r="36" spans="1:28" ht="11.25" customHeight="1" x14ac:dyDescent="0.25">
      <c r="A36" s="129"/>
      <c r="B36" s="129"/>
      <c r="C36" s="129"/>
      <c r="D36" s="129"/>
      <c r="E36" s="129"/>
      <c r="F36" s="129"/>
      <c r="G36" s="32" t="s">
        <v>81</v>
      </c>
      <c r="H36" s="32" t="s">
        <v>79</v>
      </c>
      <c r="I36" s="32">
        <f>'MERCADO TE'!$U$33</f>
        <v>0</v>
      </c>
      <c r="J36" s="17"/>
      <c r="L36" s="30">
        <f>'TE BE'!$L$36*'TE BE'!$L$54</f>
        <v>0</v>
      </c>
      <c r="M36" s="30">
        <f>'TE BE'!$M$36*'TE BE'!$M$54</f>
        <v>13.822453445792339</v>
      </c>
      <c r="N36" s="30">
        <f>'TE BE'!$N$36*'TE BE'!$N$54</f>
        <v>0</v>
      </c>
      <c r="O36" s="30">
        <f>'TE BE'!$O$36*'TE BE'!$O$54</f>
        <v>-0.79356984544151776</v>
      </c>
      <c r="P36" s="30">
        <f>'TE BE'!$P$36*'TE BE'!$P$54</f>
        <v>0</v>
      </c>
      <c r="Q36" s="30">
        <f>SUM($L$36:$P$36)</f>
        <v>13.028883600350822</v>
      </c>
      <c r="R36" s="30">
        <f>'TE BE'!$R$36*'TE BE'!$R$54</f>
        <v>-84.682999357372012</v>
      </c>
      <c r="S36" s="30">
        <f>SUM($R$36:$R$36)</f>
        <v>-84.682999357372012</v>
      </c>
      <c r="T36" s="30">
        <f>'TE BE'!$T$36*'TE BE'!$T$54</f>
        <v>0</v>
      </c>
      <c r="U36" s="30">
        <f>'TE BE'!$U$36*'TE BE'!$U$54</f>
        <v>0</v>
      </c>
      <c r="V36" s="30">
        <f>'TE BE'!$V$36*'TE BE'!$V$54</f>
        <v>0</v>
      </c>
      <c r="W36" s="30">
        <f>SUM($T$36:$V$36)</f>
        <v>0</v>
      </c>
      <c r="X36" s="30">
        <f>'TE BE'!$AB$36*'TE BE'!$X$54</f>
        <v>-15.060960319602618</v>
      </c>
      <c r="Y36" s="30">
        <f>SUM($X$36:$X$36)</f>
        <v>-15.060960319602618</v>
      </c>
      <c r="Z36" s="30">
        <f>'TE BE'!$Z$36*'TE BE'!$Z$54</f>
        <v>-2.4937475044899373</v>
      </c>
      <c r="AA36" s="30">
        <f>SUM($Z$36:$Z$36)</f>
        <v>-2.4937475044899373</v>
      </c>
      <c r="AB36" s="30">
        <f>SUMIF($L$4:$AA$4,"SUBTOTAL",$L$36:$AA$36)</f>
        <v>-89.208823581113734</v>
      </c>
    </row>
    <row r="37" spans="1:28" ht="11.25" customHeight="1" x14ac:dyDescent="0.25">
      <c r="A37" s="129"/>
      <c r="B37" s="38" t="s">
        <v>86</v>
      </c>
      <c r="C37" s="38" t="s">
        <v>46</v>
      </c>
      <c r="D37" s="38" t="s">
        <v>94</v>
      </c>
      <c r="E37" s="38" t="s">
        <v>25</v>
      </c>
      <c r="F37" s="38" t="s">
        <v>25</v>
      </c>
      <c r="G37" s="32" t="s">
        <v>84</v>
      </c>
      <c r="H37" s="32" t="s">
        <v>79</v>
      </c>
      <c r="I37" s="32">
        <f>'MERCADO TE'!$U$34</f>
        <v>0</v>
      </c>
      <c r="J37" s="17"/>
      <c r="L37" s="30">
        <f>'TE BE'!$L$37*'TE BE'!$L$54</f>
        <v>0</v>
      </c>
      <c r="M37" s="30">
        <f>'TE BE'!$M$37*'TE BE'!$M$54</f>
        <v>13.822453445792339</v>
      </c>
      <c r="N37" s="30">
        <f>'TE BE'!$N$37*'TE BE'!$N$54</f>
        <v>0</v>
      </c>
      <c r="O37" s="30">
        <f>'TE BE'!$O$37*'TE BE'!$O$54</f>
        <v>-0.79356984544151776</v>
      </c>
      <c r="P37" s="30">
        <f>'TE BE'!$P$37*'TE BE'!$P$54</f>
        <v>0</v>
      </c>
      <c r="Q37" s="30">
        <f>SUM($L$37:$P$37)</f>
        <v>13.028883600350822</v>
      </c>
      <c r="R37" s="30">
        <f>'TE BE'!$R$37*'TE BE'!$R$54</f>
        <v>-89.763979318814336</v>
      </c>
      <c r="S37" s="30">
        <f>SUM($R$37:$R$37)</f>
        <v>-89.763979318814336</v>
      </c>
      <c r="T37" s="30">
        <f>'TE BE'!$T$37*'TE BE'!$T$54</f>
        <v>0</v>
      </c>
      <c r="U37" s="30">
        <f>'TE BE'!$U$37*'TE BE'!$U$54</f>
        <v>0</v>
      </c>
      <c r="V37" s="30">
        <f>'TE BE'!$V$37*'TE BE'!$V$54</f>
        <v>0</v>
      </c>
      <c r="W37" s="30">
        <f>SUM($T$37:$V$37)</f>
        <v>0</v>
      </c>
      <c r="X37" s="30">
        <f>'TE BE'!$AB$37*'TE BE'!$X$54</f>
        <v>-15.814580483846418</v>
      </c>
      <c r="Y37" s="30">
        <f>SUM($X$37:$X$37)</f>
        <v>-15.814580483846418</v>
      </c>
      <c r="Z37" s="30">
        <f>'TE BE'!$Z$37*'TE BE'!$Z$54</f>
        <v>-2.4937475044899373</v>
      </c>
      <c r="AA37" s="30">
        <f>SUM($Z$37:$Z$37)</f>
        <v>-2.4937475044899373</v>
      </c>
      <c r="AB37" s="30">
        <f>SUMIF($L$4:$AA$4,"SUBTOTAL",$L$37:$AA$37)</f>
        <v>-95.043423706799857</v>
      </c>
    </row>
    <row r="38" spans="1:28" ht="11.25" customHeight="1" x14ac:dyDescent="0.25">
      <c r="A38" s="129"/>
      <c r="B38" s="129" t="s">
        <v>91</v>
      </c>
      <c r="C38" s="129" t="s">
        <v>46</v>
      </c>
      <c r="D38" s="38" t="s">
        <v>25</v>
      </c>
      <c r="E38" s="38" t="s">
        <v>25</v>
      </c>
      <c r="F38" s="38" t="s">
        <v>25</v>
      </c>
      <c r="G38" s="32" t="s">
        <v>84</v>
      </c>
      <c r="H38" s="32" t="s">
        <v>79</v>
      </c>
      <c r="I38" s="32">
        <f>'MERCADO TE'!$U$35</f>
        <v>0</v>
      </c>
      <c r="J38" s="17"/>
      <c r="L38" s="30">
        <f>'TE BE'!$L$38*'TE BE'!$L$54</f>
        <v>0</v>
      </c>
      <c r="M38" s="30">
        <f>'TE BE'!$M$38*'TE BE'!$M$54</f>
        <v>13.822453445792339</v>
      </c>
      <c r="N38" s="30">
        <f>'TE BE'!$N$38*'TE BE'!$N$54</f>
        <v>0</v>
      </c>
      <c r="O38" s="30">
        <f>'TE BE'!$O$38*'TE BE'!$O$54</f>
        <v>-0.79356984544151776</v>
      </c>
      <c r="P38" s="30">
        <f>'TE BE'!$P$38*'TE BE'!$P$54</f>
        <v>0</v>
      </c>
      <c r="Q38" s="30">
        <f>SUM($L$38:$P$38)</f>
        <v>13.028883600350822</v>
      </c>
      <c r="R38" s="30">
        <f>'TE BE'!$R$38*'TE BE'!$R$54</f>
        <v>-89.763979318814336</v>
      </c>
      <c r="S38" s="30">
        <f>SUM($R$38:$R$38)</f>
        <v>-89.763979318814336</v>
      </c>
      <c r="T38" s="30">
        <f>'TE BE'!$T$38*'TE BE'!$T$54</f>
        <v>0</v>
      </c>
      <c r="U38" s="30">
        <f>'TE BE'!$U$38*'TE BE'!$U$54</f>
        <v>0</v>
      </c>
      <c r="V38" s="30">
        <f>'TE BE'!$V$38*'TE BE'!$V$54</f>
        <v>0</v>
      </c>
      <c r="W38" s="30">
        <f>SUM($T$38:$V$38)</f>
        <v>0</v>
      </c>
      <c r="X38" s="30">
        <f>'TE BE'!$AB$38*'TE BE'!$X$54</f>
        <v>-15.814580483846418</v>
      </c>
      <c r="Y38" s="30">
        <f>SUM($X$38:$X$38)</f>
        <v>-15.814580483846418</v>
      </c>
      <c r="Z38" s="30">
        <f>'TE BE'!$Z$38*'TE BE'!$Z$54</f>
        <v>-2.4937475044899373</v>
      </c>
      <c r="AA38" s="30">
        <f>SUM($Z$38:$Z$38)</f>
        <v>-2.4937475044899373</v>
      </c>
      <c r="AB38" s="30">
        <f>SUMIF($L$4:$AA$4,"SUBTOTAL",$L$38:$AA$38)</f>
        <v>-95.043423706799857</v>
      </c>
    </row>
    <row r="39" spans="1:28" ht="11.25" customHeight="1" x14ac:dyDescent="0.25">
      <c r="A39" s="129"/>
      <c r="B39" s="129"/>
      <c r="C39" s="129"/>
      <c r="D39" s="38" t="s">
        <v>93</v>
      </c>
      <c r="E39" s="38" t="s">
        <v>25</v>
      </c>
      <c r="F39" s="38" t="s">
        <v>25</v>
      </c>
      <c r="G39" s="32" t="s">
        <v>84</v>
      </c>
      <c r="H39" s="32" t="s">
        <v>79</v>
      </c>
      <c r="I39" s="32">
        <f>'MERCADO TE'!$U$36</f>
        <v>0</v>
      </c>
      <c r="J39" s="17"/>
      <c r="L39" s="30">
        <f>'TE BE'!$L$39*'TE BE'!$L$54</f>
        <v>0</v>
      </c>
      <c r="M39" s="30">
        <f>'TE BE'!$M$39*'TE BE'!$M$54</f>
        <v>13.822453445792339</v>
      </c>
      <c r="N39" s="30">
        <f>'TE BE'!$N$39*'TE BE'!$N$54</f>
        <v>0</v>
      </c>
      <c r="O39" s="30">
        <f>'TE BE'!$O$39*'TE BE'!$O$54</f>
        <v>-0.79356984544151776</v>
      </c>
      <c r="P39" s="30">
        <f>'TE BE'!$P$39*'TE BE'!$P$54</f>
        <v>0</v>
      </c>
      <c r="Q39" s="30">
        <f>SUM($L$39:$P$39)</f>
        <v>13.028883600350822</v>
      </c>
      <c r="R39" s="30">
        <f>'TE BE'!$R$39*'TE BE'!$R$54</f>
        <v>-89.763979318814336</v>
      </c>
      <c r="S39" s="30">
        <f>SUM($R$39:$R$39)</f>
        <v>-89.763979318814336</v>
      </c>
      <c r="T39" s="30">
        <f>'TE BE'!$T$39*'TE BE'!$T$54</f>
        <v>0</v>
      </c>
      <c r="U39" s="30">
        <f>'TE BE'!$U$39*'TE BE'!$U$54</f>
        <v>0</v>
      </c>
      <c r="V39" s="30">
        <f>'TE BE'!$V$39*'TE BE'!$V$54</f>
        <v>0</v>
      </c>
      <c r="W39" s="30">
        <f>SUM($T$39:$V$39)</f>
        <v>0</v>
      </c>
      <c r="X39" s="30">
        <f>'TE BE'!$AB$39*'TE BE'!$X$54</f>
        <v>-15.814580483846418</v>
      </c>
      <c r="Y39" s="30">
        <f>SUM($X$39:$X$39)</f>
        <v>-15.814580483846418</v>
      </c>
      <c r="Z39" s="30">
        <f>'TE BE'!$Z$39*'TE BE'!$Z$54</f>
        <v>-2.4937475044899373</v>
      </c>
      <c r="AA39" s="30">
        <f>SUM($Z$39:$Z$39)</f>
        <v>-2.4937475044899373</v>
      </c>
      <c r="AB39" s="30">
        <f>SUMIF($L$4:$AA$4,"SUBTOTAL",$L$39:$AA$39)</f>
        <v>-95.043423706799857</v>
      </c>
    </row>
    <row r="40" spans="1:28" ht="11.25" customHeight="1" x14ac:dyDescent="0.25">
      <c r="A40" s="129"/>
      <c r="B40" s="129"/>
      <c r="C40" s="129"/>
      <c r="D40" s="38" t="s">
        <v>94</v>
      </c>
      <c r="E40" s="38" t="s">
        <v>25</v>
      </c>
      <c r="F40" s="38" t="s">
        <v>25</v>
      </c>
      <c r="G40" s="32" t="s">
        <v>84</v>
      </c>
      <c r="H40" s="32" t="s">
        <v>79</v>
      </c>
      <c r="I40" s="32">
        <f>'MERCADO TE'!$U$37</f>
        <v>0</v>
      </c>
      <c r="J40" s="17"/>
      <c r="L40" s="30">
        <f>'TE BE'!$L$40*'TE BE'!$L$54</f>
        <v>0</v>
      </c>
      <c r="M40" s="30">
        <f>'TE BE'!$M$40*'TE BE'!$M$54</f>
        <v>13.822453445792339</v>
      </c>
      <c r="N40" s="30">
        <f>'TE BE'!$N$40*'TE BE'!$N$54</f>
        <v>0</v>
      </c>
      <c r="O40" s="30">
        <f>'TE BE'!$O$40*'TE BE'!$O$54</f>
        <v>-0.79356984544151776</v>
      </c>
      <c r="P40" s="30">
        <f>'TE BE'!$P$40*'TE BE'!$P$54</f>
        <v>0</v>
      </c>
      <c r="Q40" s="30">
        <f>SUM($L$40:$P$40)</f>
        <v>13.028883600350822</v>
      </c>
      <c r="R40" s="30">
        <f>'TE BE'!$R$40*'TE BE'!$R$54</f>
        <v>-89.763979318814336</v>
      </c>
      <c r="S40" s="30">
        <f>SUM($R$40:$R$40)</f>
        <v>-89.763979318814336</v>
      </c>
      <c r="T40" s="30">
        <f>'TE BE'!$T$40*'TE BE'!$T$54</f>
        <v>0</v>
      </c>
      <c r="U40" s="30">
        <f>'TE BE'!$U$40*'TE BE'!$U$54</f>
        <v>0</v>
      </c>
      <c r="V40" s="30">
        <f>'TE BE'!$V$40*'TE BE'!$V$54</f>
        <v>0</v>
      </c>
      <c r="W40" s="30">
        <f>SUM($T$40:$V$40)</f>
        <v>0</v>
      </c>
      <c r="X40" s="30">
        <f>'TE BE'!$AB$40*'TE BE'!$X$54</f>
        <v>-15.814580483846418</v>
      </c>
      <c r="Y40" s="30">
        <f>SUM($X$40:$X$40)</f>
        <v>-15.814580483846418</v>
      </c>
      <c r="Z40" s="30">
        <f>'TE BE'!$Z$40*'TE BE'!$Z$54</f>
        <v>-2.4937475044899373</v>
      </c>
      <c r="AA40" s="30">
        <f>SUM($Z$40:$Z$40)</f>
        <v>-2.4937475044899373</v>
      </c>
      <c r="AB40" s="30">
        <f>SUMIF($L$4:$AA$4,"SUBTOTAL",$L$40:$AA$40)</f>
        <v>-95.043423706799857</v>
      </c>
    </row>
    <row r="41" spans="1:28" ht="11.25" customHeight="1" x14ac:dyDescent="0.25">
      <c r="A41" s="129" t="s">
        <v>37</v>
      </c>
      <c r="B41" s="129" t="s">
        <v>78</v>
      </c>
      <c r="C41" s="129" t="s">
        <v>25</v>
      </c>
      <c r="D41" s="129" t="s">
        <v>25</v>
      </c>
      <c r="E41" s="129" t="s">
        <v>25</v>
      </c>
      <c r="F41" s="129" t="s">
        <v>25</v>
      </c>
      <c r="G41" s="32" t="s">
        <v>80</v>
      </c>
      <c r="H41" s="32" t="s">
        <v>79</v>
      </c>
      <c r="I41" s="32">
        <f>'MERCADO TE'!$U$38</f>
        <v>25.125999999999998</v>
      </c>
      <c r="J41" s="17"/>
      <c r="L41" s="30">
        <f>'TE BE'!$L$41*'TE BE'!$L$54</f>
        <v>0</v>
      </c>
      <c r="M41" s="30">
        <f>'TE BE'!$M$41*'TE BE'!$M$54</f>
        <v>13.822453445792339</v>
      </c>
      <c r="N41" s="30">
        <f>'TE BE'!$N$41*'TE BE'!$N$54</f>
        <v>0</v>
      </c>
      <c r="O41" s="30">
        <f>'TE BE'!$O$41*'TE BE'!$O$54</f>
        <v>-0.79356984544151776</v>
      </c>
      <c r="P41" s="30">
        <f>'TE BE'!$P$41*'TE BE'!$P$54</f>
        <v>0</v>
      </c>
      <c r="Q41" s="30">
        <f>SUM($L$41:$P$41)</f>
        <v>13.028883600350822</v>
      </c>
      <c r="R41" s="30">
        <f>'TE BE'!$R$41*'TE BE'!$R$54</f>
        <v>-145.65475889467984</v>
      </c>
      <c r="S41" s="30">
        <f>SUM($R$41:$R$41)</f>
        <v>-145.65475889467984</v>
      </c>
      <c r="T41" s="30">
        <f>'TE BE'!$T$41*'TE BE'!$T$54</f>
        <v>0</v>
      </c>
      <c r="U41" s="30">
        <f>'TE BE'!$U$41*'TE BE'!$U$54</f>
        <v>0</v>
      </c>
      <c r="V41" s="30">
        <f>'TE BE'!$V$41*'TE BE'!$V$54</f>
        <v>0</v>
      </c>
      <c r="W41" s="30">
        <f>SUM($T$41:$V$41)</f>
        <v>0</v>
      </c>
      <c r="X41" s="30">
        <f>'TE BE'!$AB$41*'TE BE'!$X$54</f>
        <v>-24.104402290528213</v>
      </c>
      <c r="Y41" s="30">
        <f>SUM($X$41:$X$41)</f>
        <v>-24.104402290528213</v>
      </c>
      <c r="Z41" s="30">
        <f>'TE BE'!$Z$41*'TE BE'!$Z$54</f>
        <v>-2.4937475044899373</v>
      </c>
      <c r="AA41" s="30">
        <f>SUM($Z$41:$Z$41)</f>
        <v>-2.4937475044899373</v>
      </c>
      <c r="AB41" s="30">
        <f>SUMIF($L$4:$AA$4,"SUBTOTAL",$L$41:$AA$41)</f>
        <v>-159.22402508934718</v>
      </c>
    </row>
    <row r="42" spans="1:28" ht="11.25" customHeight="1" x14ac:dyDescent="0.25">
      <c r="A42" s="129"/>
      <c r="B42" s="129"/>
      <c r="C42" s="129"/>
      <c r="D42" s="129"/>
      <c r="E42" s="129"/>
      <c r="F42" s="129"/>
      <c r="G42" s="32" t="s">
        <v>90</v>
      </c>
      <c r="H42" s="32" t="s">
        <v>79</v>
      </c>
      <c r="I42" s="32">
        <f>'MERCADO TE'!$U$39</f>
        <v>27.405000000000001</v>
      </c>
      <c r="J42" s="17"/>
      <c r="L42" s="30">
        <f>'TE BE'!$L$42*'TE BE'!$L$54</f>
        <v>0</v>
      </c>
      <c r="M42" s="30">
        <f>'TE BE'!$M$42*'TE BE'!$M$54</f>
        <v>13.822453445792339</v>
      </c>
      <c r="N42" s="30">
        <f>'TE BE'!$N$42*'TE BE'!$N$54</f>
        <v>0</v>
      </c>
      <c r="O42" s="30">
        <f>'TE BE'!$O$42*'TE BE'!$O$54</f>
        <v>-0.79356984544151776</v>
      </c>
      <c r="P42" s="30">
        <f>'TE BE'!$P$42*'TE BE'!$P$54</f>
        <v>0</v>
      </c>
      <c r="Q42" s="30">
        <f>SUM($L$42:$P$42)</f>
        <v>13.028883600350822</v>
      </c>
      <c r="R42" s="30">
        <f>'TE BE'!$R$42*'TE BE'!$R$54</f>
        <v>-84.682999357372012</v>
      </c>
      <c r="S42" s="30">
        <f>SUM($R$42:$R$42)</f>
        <v>-84.682999357372012</v>
      </c>
      <c r="T42" s="30">
        <f>'TE BE'!$T$42*'TE BE'!$T$54</f>
        <v>0</v>
      </c>
      <c r="U42" s="30">
        <f>'TE BE'!$U$42*'TE BE'!$U$54</f>
        <v>0</v>
      </c>
      <c r="V42" s="30">
        <f>'TE BE'!$V$42*'TE BE'!$V$54</f>
        <v>0</v>
      </c>
      <c r="W42" s="30">
        <f>SUM($T$42:$V$42)</f>
        <v>0</v>
      </c>
      <c r="X42" s="30">
        <f>'TE BE'!$AB$42*'TE BE'!$X$54</f>
        <v>-15.060960319602618</v>
      </c>
      <c r="Y42" s="30">
        <f>SUM($X$42:$X$42)</f>
        <v>-15.060960319602618</v>
      </c>
      <c r="Z42" s="30">
        <f>'TE BE'!$Z$42*'TE BE'!$Z$54</f>
        <v>-2.4937475044899373</v>
      </c>
      <c r="AA42" s="30">
        <f>SUM($Z$42:$Z$42)</f>
        <v>-2.4937475044899373</v>
      </c>
      <c r="AB42" s="30">
        <f>SUMIF($L$4:$AA$4,"SUBTOTAL",$L$42:$AA$42)</f>
        <v>-89.208823581113734</v>
      </c>
    </row>
    <row r="43" spans="1:28" ht="11.25" customHeight="1" x14ac:dyDescent="0.25">
      <c r="A43" s="129"/>
      <c r="B43" s="129"/>
      <c r="C43" s="129"/>
      <c r="D43" s="129"/>
      <c r="E43" s="129"/>
      <c r="F43" s="129"/>
      <c r="G43" s="32" t="s">
        <v>81</v>
      </c>
      <c r="H43" s="32" t="s">
        <v>79</v>
      </c>
      <c r="I43" s="32">
        <f>'MERCADO TE'!$U$40</f>
        <v>590.17399999999998</v>
      </c>
      <c r="J43" s="17"/>
      <c r="L43" s="30">
        <f>'TE BE'!$L$43*'TE BE'!$L$54</f>
        <v>0</v>
      </c>
      <c r="M43" s="30">
        <f>'TE BE'!$M$43*'TE BE'!$M$54</f>
        <v>13.822453445792339</v>
      </c>
      <c r="N43" s="30">
        <f>'TE BE'!$N$43*'TE BE'!$N$54</f>
        <v>0</v>
      </c>
      <c r="O43" s="30">
        <f>'TE BE'!$O$43*'TE BE'!$O$54</f>
        <v>-0.79356984544151776</v>
      </c>
      <c r="P43" s="30">
        <f>'TE BE'!$P$43*'TE BE'!$P$54</f>
        <v>0</v>
      </c>
      <c r="Q43" s="30">
        <f>SUM($L$43:$P$43)</f>
        <v>13.028883600350822</v>
      </c>
      <c r="R43" s="30">
        <f>'TE BE'!$R$43*'TE BE'!$R$54</f>
        <v>-84.682999357372012</v>
      </c>
      <c r="S43" s="30">
        <f>SUM($R$43:$R$43)</f>
        <v>-84.682999357372012</v>
      </c>
      <c r="T43" s="30">
        <f>'TE BE'!$T$43*'TE BE'!$T$54</f>
        <v>0</v>
      </c>
      <c r="U43" s="30">
        <f>'TE BE'!$U$43*'TE BE'!$U$54</f>
        <v>0</v>
      </c>
      <c r="V43" s="30">
        <f>'TE BE'!$V$43*'TE BE'!$V$54</f>
        <v>0</v>
      </c>
      <c r="W43" s="30">
        <f>SUM($T$43:$V$43)</f>
        <v>0</v>
      </c>
      <c r="X43" s="30">
        <f>'TE BE'!$AB$43*'TE BE'!$X$54</f>
        <v>-15.060960319602618</v>
      </c>
      <c r="Y43" s="30">
        <f>SUM($X$43:$X$43)</f>
        <v>-15.060960319602618</v>
      </c>
      <c r="Z43" s="30">
        <f>'TE BE'!$Z$43*'TE BE'!$Z$54</f>
        <v>-2.4937475044899373</v>
      </c>
      <c r="AA43" s="30">
        <f>SUM($Z$43:$Z$43)</f>
        <v>-2.4937475044899373</v>
      </c>
      <c r="AB43" s="30">
        <f>SUMIF($L$4:$AA$4,"SUBTOTAL",$L$43:$AA$43)</f>
        <v>-89.208823581113734</v>
      </c>
    </row>
    <row r="44" spans="1:28" ht="11.25" customHeight="1" x14ac:dyDescent="0.25">
      <c r="A44" s="129"/>
      <c r="B44" s="38" t="s">
        <v>86</v>
      </c>
      <c r="C44" s="38" t="s">
        <v>25</v>
      </c>
      <c r="D44" s="38" t="s">
        <v>25</v>
      </c>
      <c r="E44" s="38" t="s">
        <v>25</v>
      </c>
      <c r="F44" s="38" t="s">
        <v>25</v>
      </c>
      <c r="G44" s="32" t="s">
        <v>84</v>
      </c>
      <c r="H44" s="32" t="s">
        <v>79</v>
      </c>
      <c r="I44" s="32">
        <f>'MERCADO TE'!$U$41</f>
        <v>181428.25600000002</v>
      </c>
      <c r="J44" s="17"/>
      <c r="L44" s="30">
        <f>'TE BE'!$L$44*'TE BE'!$L$54</f>
        <v>0</v>
      </c>
      <c r="M44" s="30">
        <f>'TE BE'!$M$44*'TE BE'!$M$54</f>
        <v>13.822453445792339</v>
      </c>
      <c r="N44" s="30">
        <f>'TE BE'!$N$44*'TE BE'!$N$54</f>
        <v>0</v>
      </c>
      <c r="O44" s="30">
        <f>'TE BE'!$O$44*'TE BE'!$O$54</f>
        <v>-0.79356984544151776</v>
      </c>
      <c r="P44" s="30">
        <f>'TE BE'!$P$44*'TE BE'!$P$54</f>
        <v>0</v>
      </c>
      <c r="Q44" s="30">
        <f>SUM($L$44:$P$44)</f>
        <v>13.028883600350822</v>
      </c>
      <c r="R44" s="30">
        <f>'TE BE'!$R$44*'TE BE'!$R$54</f>
        <v>-89.763979318814336</v>
      </c>
      <c r="S44" s="30">
        <f>SUM($R$44:$R$44)</f>
        <v>-89.763979318814336</v>
      </c>
      <c r="T44" s="30">
        <f>'TE BE'!$T$44*'TE BE'!$T$54</f>
        <v>0</v>
      </c>
      <c r="U44" s="30">
        <f>'TE BE'!$U$44*'TE BE'!$U$54</f>
        <v>0</v>
      </c>
      <c r="V44" s="30">
        <f>'TE BE'!$V$44*'TE BE'!$V$54</f>
        <v>0</v>
      </c>
      <c r="W44" s="30">
        <f>SUM($T$44:$V$44)</f>
        <v>0</v>
      </c>
      <c r="X44" s="30">
        <f>'TE BE'!$AB$44*'TE BE'!$X$54</f>
        <v>-15.814580483846418</v>
      </c>
      <c r="Y44" s="30">
        <f>SUM($X$44:$X$44)</f>
        <v>-15.814580483846418</v>
      </c>
      <c r="Z44" s="30">
        <f>'TE BE'!$Z$44*'TE BE'!$Z$54</f>
        <v>-2.4937475044899373</v>
      </c>
      <c r="AA44" s="30">
        <f>SUM($Z$44:$Z$44)</f>
        <v>-2.4937475044899373</v>
      </c>
      <c r="AB44" s="30">
        <f>SUMIF($L$4:$AA$4,"SUBTOTAL",$L$44:$AA$44)</f>
        <v>-95.043423706799857</v>
      </c>
    </row>
    <row r="45" spans="1:28" ht="11.25" customHeight="1" x14ac:dyDescent="0.25">
      <c r="A45" s="129"/>
      <c r="B45" s="38" t="s">
        <v>91</v>
      </c>
      <c r="C45" s="38" t="s">
        <v>25</v>
      </c>
      <c r="D45" s="38" t="s">
        <v>25</v>
      </c>
      <c r="E45" s="38" t="s">
        <v>25</v>
      </c>
      <c r="F45" s="38" t="s">
        <v>25</v>
      </c>
      <c r="G45" s="32" t="s">
        <v>84</v>
      </c>
      <c r="H45" s="32" t="s">
        <v>79</v>
      </c>
      <c r="I45" s="32">
        <f>'MERCADO TE'!$U$42</f>
        <v>0</v>
      </c>
      <c r="J45" s="17"/>
      <c r="L45" s="30">
        <f>'TE BE'!$L$45*'TE BE'!$L$54</f>
        <v>0</v>
      </c>
      <c r="M45" s="30">
        <f>'TE BE'!$M$45*'TE BE'!$M$54</f>
        <v>13.822453445792339</v>
      </c>
      <c r="N45" s="30">
        <f>'TE BE'!$N$45*'TE BE'!$N$54</f>
        <v>0</v>
      </c>
      <c r="O45" s="30">
        <f>'TE BE'!$O$45*'TE BE'!$O$54</f>
        <v>-0.79356984544151776</v>
      </c>
      <c r="P45" s="30">
        <f>'TE BE'!$P$45*'TE BE'!$P$54</f>
        <v>0</v>
      </c>
      <c r="Q45" s="30">
        <f>SUM($L$45:$P$45)</f>
        <v>13.028883600350822</v>
      </c>
      <c r="R45" s="30">
        <f>'TE BE'!$R$45*'TE BE'!$R$54</f>
        <v>-89.763979318814336</v>
      </c>
      <c r="S45" s="30">
        <f>SUM($R$45:$R$45)</f>
        <v>-89.763979318814336</v>
      </c>
      <c r="T45" s="30">
        <f>'TE BE'!$T$45*'TE BE'!$T$54</f>
        <v>0</v>
      </c>
      <c r="U45" s="30">
        <f>'TE BE'!$U$45*'TE BE'!$U$54</f>
        <v>0</v>
      </c>
      <c r="V45" s="30">
        <f>'TE BE'!$V$45*'TE BE'!$V$54</f>
        <v>0</v>
      </c>
      <c r="W45" s="30">
        <f>SUM($T$45:$V$45)</f>
        <v>0</v>
      </c>
      <c r="X45" s="30">
        <f>'TE BE'!$AB$45*'TE BE'!$X$54</f>
        <v>-15.814580483846418</v>
      </c>
      <c r="Y45" s="30">
        <f>SUM($X$45:$X$45)</f>
        <v>-15.814580483846418</v>
      </c>
      <c r="Z45" s="30">
        <f>'TE BE'!$Z$45*'TE BE'!$Z$54</f>
        <v>-2.4937475044899373</v>
      </c>
      <c r="AA45" s="30">
        <f>SUM($Z$45:$Z$45)</f>
        <v>-2.4937475044899373</v>
      </c>
      <c r="AB45" s="30">
        <f>SUMIF($L$4:$AA$4,"SUBTOTAL",$L$45:$AA$45)</f>
        <v>-95.043423706799857</v>
      </c>
    </row>
    <row r="46" spans="1:28" ht="11.25" customHeight="1" x14ac:dyDescent="0.25">
      <c r="A46" s="129" t="s">
        <v>48</v>
      </c>
      <c r="B46" s="129" t="s">
        <v>86</v>
      </c>
      <c r="C46" s="129" t="s">
        <v>49</v>
      </c>
      <c r="D46" s="38" t="s">
        <v>50</v>
      </c>
      <c r="E46" s="38" t="s">
        <v>25</v>
      </c>
      <c r="F46" s="38" t="s">
        <v>25</v>
      </c>
      <c r="G46" s="32" t="s">
        <v>84</v>
      </c>
      <c r="H46" s="32" t="s">
        <v>79</v>
      </c>
      <c r="I46" s="32">
        <f>'MERCADO TE'!$U$43</f>
        <v>39483.672999999995</v>
      </c>
      <c r="J46" s="17"/>
      <c r="L46" s="30">
        <f>'TE BE'!$L$46*'TE BE'!$L$54</f>
        <v>0</v>
      </c>
      <c r="M46" s="30">
        <f>'TE BE'!$M$46*'TE BE'!$M$54</f>
        <v>7.6023493951857875</v>
      </c>
      <c r="N46" s="30">
        <f>'TE BE'!$N$46*'TE BE'!$N$54</f>
        <v>0</v>
      </c>
      <c r="O46" s="30">
        <f>'TE BE'!$O$46*'TE BE'!$O$54</f>
        <v>-0.43646341499283481</v>
      </c>
      <c r="P46" s="30">
        <f>'TE BE'!$P$46*'TE BE'!$P$54</f>
        <v>0</v>
      </c>
      <c r="Q46" s="30">
        <f>SUM($L$46:$P$46)</f>
        <v>7.1658859801929529</v>
      </c>
      <c r="R46" s="30">
        <f>'TE BE'!$R$46*'TE BE'!$R$54</f>
        <v>-49.370188625347886</v>
      </c>
      <c r="S46" s="30">
        <f>SUM($R$46:$R$46)</f>
        <v>-49.370188625347886</v>
      </c>
      <c r="T46" s="30">
        <f>'TE BE'!$T$46*'TE BE'!$T$54</f>
        <v>0</v>
      </c>
      <c r="U46" s="30">
        <f>'TE BE'!$U$46*'TE BE'!$U$54</f>
        <v>0</v>
      </c>
      <c r="V46" s="30">
        <f>'TE BE'!$V$46*'TE BE'!$V$54</f>
        <v>0</v>
      </c>
      <c r="W46" s="30">
        <f>SUM($T$46:$V$46)</f>
        <v>0</v>
      </c>
      <c r="X46" s="30">
        <f>'TE BE'!$AB$46*'TE BE'!$X$54</f>
        <v>-8.69801926611553</v>
      </c>
      <c r="Y46" s="30">
        <f>SUM($X$46:$X$46)</f>
        <v>-8.69801926611553</v>
      </c>
      <c r="Z46" s="30">
        <f>'TE BE'!$Z$46*'TE BE'!$Z$54</f>
        <v>-1.3715611274694657</v>
      </c>
      <c r="AA46" s="30">
        <f>SUM($Z$46:$Z$46)</f>
        <v>-1.3715611274694657</v>
      </c>
      <c r="AB46" s="30">
        <f>SUMIF($L$4:$AA$4,"SUBTOTAL",$L$46:$AA$46)</f>
        <v>-52.273883038739925</v>
      </c>
    </row>
    <row r="47" spans="1:28" ht="11.25" customHeight="1" x14ac:dyDescent="0.25">
      <c r="A47" s="129"/>
      <c r="B47" s="129"/>
      <c r="C47" s="129"/>
      <c r="D47" s="32" t="s">
        <v>95</v>
      </c>
      <c r="E47" s="32" t="s">
        <v>25</v>
      </c>
      <c r="F47" s="32" t="s">
        <v>25</v>
      </c>
      <c r="G47" s="32" t="s">
        <v>84</v>
      </c>
      <c r="H47" s="32" t="s">
        <v>79</v>
      </c>
      <c r="I47" s="32">
        <f>'MERCADO TE'!$U$44</f>
        <v>0</v>
      </c>
      <c r="J47" s="17"/>
      <c r="L47" s="30">
        <f>'TE BE'!$L$47*'TE BE'!$L$54</f>
        <v>0</v>
      </c>
      <c r="M47" s="30">
        <f>'TE BE'!$M$47*'TE BE'!$M$54</f>
        <v>8.2934720674754043</v>
      </c>
      <c r="N47" s="30">
        <f>'TE BE'!$N$47*'TE BE'!$N$54</f>
        <v>0</v>
      </c>
      <c r="O47" s="30">
        <f>'TE BE'!$O$47*'TE BE'!$O$54</f>
        <v>-0.47614190726491062</v>
      </c>
      <c r="P47" s="30">
        <f>'TE BE'!$P$47*'TE BE'!$P$54</f>
        <v>0</v>
      </c>
      <c r="Q47" s="30">
        <f>SUM($L$47:$P$47)</f>
        <v>7.8173301602104939</v>
      </c>
      <c r="R47" s="30">
        <f>'TE BE'!$R$47*'TE BE'!$R$54</f>
        <v>-53.858387591288597</v>
      </c>
      <c r="S47" s="30">
        <f>SUM($R$47:$R$47)</f>
        <v>-53.858387591288597</v>
      </c>
      <c r="T47" s="30">
        <f>'TE BE'!$T$47*'TE BE'!$T$54</f>
        <v>0</v>
      </c>
      <c r="U47" s="30">
        <f>'TE BE'!$U$47*'TE BE'!$U$54</f>
        <v>0</v>
      </c>
      <c r="V47" s="30">
        <f>'TE BE'!$V$47*'TE BE'!$V$54</f>
        <v>0</v>
      </c>
      <c r="W47" s="30">
        <f>SUM($T$47:$V$47)</f>
        <v>0</v>
      </c>
      <c r="X47" s="30">
        <f>'TE BE'!$AB$47*'TE BE'!$X$54</f>
        <v>-9.4887482903078517</v>
      </c>
      <c r="Y47" s="30">
        <f>SUM($X$47:$X$47)</f>
        <v>-9.4887482903078517</v>
      </c>
      <c r="Z47" s="30">
        <f>'TE BE'!$Z$47*'TE BE'!$Z$54</f>
        <v>-1.4962485026939625</v>
      </c>
      <c r="AA47" s="30">
        <f>SUM($Z$47:$Z$47)</f>
        <v>-1.4962485026939625</v>
      </c>
      <c r="AB47" s="30">
        <f>SUMIF($L$4:$AA$4,"SUBTOTAL",$L$47:$AA$47)</f>
        <v>-57.026054224079914</v>
      </c>
    </row>
    <row r="49" spans="11:28" ht="11.25" customHeight="1" x14ac:dyDescent="0.25">
      <c r="K49" s="37" t="s">
        <v>766</v>
      </c>
      <c r="L49" s="30">
        <f t="shared" ref="L49:AB49" si="0">SUMPRODUCT($I$5:$I$47,L$5:L$47)</f>
        <v>0</v>
      </c>
      <c r="M49" s="30">
        <f t="shared" si="0"/>
        <v>14515474.191817598</v>
      </c>
      <c r="N49" s="30">
        <f t="shared" si="0"/>
        <v>0</v>
      </c>
      <c r="O49" s="30">
        <f t="shared" si="0"/>
        <v>-833357.30925666564</v>
      </c>
      <c r="P49" s="30">
        <f t="shared" si="0"/>
        <v>0</v>
      </c>
      <c r="Q49" s="30">
        <f t="shared" si="0"/>
        <v>13682116.882560931</v>
      </c>
      <c r="R49" s="30">
        <f t="shared" si="0"/>
        <v>-94215085.398337692</v>
      </c>
      <c r="S49" s="30">
        <f t="shared" si="0"/>
        <v>-94215085.398337692</v>
      </c>
      <c r="T49" s="30">
        <f t="shared" si="0"/>
        <v>0</v>
      </c>
      <c r="U49" s="30">
        <f t="shared" si="0"/>
        <v>0</v>
      </c>
      <c r="V49" s="30">
        <f t="shared" si="0"/>
        <v>0</v>
      </c>
      <c r="W49" s="30">
        <f t="shared" si="0"/>
        <v>0</v>
      </c>
      <c r="X49" s="30">
        <f t="shared" si="0"/>
        <v>-16600151.204938425</v>
      </c>
      <c r="Y49" s="30">
        <f t="shared" si="0"/>
        <v>-16600151.204938425</v>
      </c>
      <c r="Z49" s="30">
        <f t="shared" si="0"/>
        <v>-2618777.3165083183</v>
      </c>
      <c r="AA49" s="30">
        <f t="shared" si="0"/>
        <v>-2618777.3165083183</v>
      </c>
      <c r="AB49" s="30">
        <f t="shared" si="0"/>
        <v>-99751897.037223458</v>
      </c>
    </row>
    <row r="50" spans="11:28" ht="11.25" customHeight="1" x14ac:dyDescent="0.25">
      <c r="K50" s="37" t="s">
        <v>686</v>
      </c>
      <c r="L50" s="30">
        <f>CUSTOS!$D$30</f>
        <v>2434049.1762334048</v>
      </c>
      <c r="M50" s="30">
        <f>CUSTOS!$D$31</f>
        <v>36602503.159999996</v>
      </c>
      <c r="N50" s="30">
        <f>CUSTOS!$D$32</f>
        <v>0</v>
      </c>
      <c r="O50" s="30">
        <f>CUSTOS!$D$33</f>
        <v>12668948.439127613</v>
      </c>
      <c r="P50" s="30">
        <f>CUSTOS!$D$34</f>
        <v>-18059343.579999998</v>
      </c>
      <c r="Q50" s="30">
        <f>CUSTOS!$D$35</f>
        <v>33646157.195361018</v>
      </c>
      <c r="R50" s="30">
        <f>CUSTOS!$D$36</f>
        <v>210127525.67695919</v>
      </c>
      <c r="S50" s="30">
        <f>CUSTOS!$D$37</f>
        <v>210127525.67695919</v>
      </c>
      <c r="T50" s="30">
        <f>CUSTOS!$D$38</f>
        <v>0</v>
      </c>
      <c r="U50" s="30">
        <f>CUSTOS!$D$39</f>
        <v>0</v>
      </c>
      <c r="V50" s="30">
        <f>CUSTOS!$D$40</f>
        <v>0</v>
      </c>
      <c r="W50" s="30">
        <f>CUSTOS!$D$41</f>
        <v>0</v>
      </c>
      <c r="X50" s="30">
        <f>CUSTOS!$D$42</f>
        <v>0</v>
      </c>
      <c r="Y50" s="30">
        <f>CUSTOS!$D$43</f>
        <v>0</v>
      </c>
      <c r="Z50" s="30">
        <f>CUSTOS!$D$44</f>
        <v>5840648.5064497869</v>
      </c>
      <c r="AA50" s="30">
        <f>CUSTOS!$D$45</f>
        <v>5840648.5064497869</v>
      </c>
      <c r="AB50" s="30">
        <f>CUSTOS!$D$46</f>
        <v>249614331.37876999</v>
      </c>
    </row>
    <row r="51" spans="11:28" ht="11.25" customHeight="1" x14ac:dyDescent="0.25">
      <c r="K51" s="37" t="s">
        <v>687</v>
      </c>
      <c r="L51" s="30">
        <f>CUSTOS!$E$30</f>
        <v>0</v>
      </c>
      <c r="M51" s="30">
        <f>CUSTOS!$E$31</f>
        <v>14515474.191817597</v>
      </c>
      <c r="N51" s="30">
        <f>CUSTOS!$E$32</f>
        <v>0</v>
      </c>
      <c r="O51" s="30">
        <f>CUSTOS!$E$33</f>
        <v>-833357.30925666564</v>
      </c>
      <c r="P51" s="30">
        <f>CUSTOS!$E$34</f>
        <v>0</v>
      </c>
      <c r="Q51" s="30">
        <f>CUSTOS!$E$35</f>
        <v>13682116.882560931</v>
      </c>
      <c r="R51" s="30">
        <f>CUSTOS!$E$36</f>
        <v>-94215085.398337662</v>
      </c>
      <c r="S51" s="30">
        <f>CUSTOS!$E$37</f>
        <v>-94215085.398337662</v>
      </c>
      <c r="T51" s="30">
        <f>CUSTOS!$E$38</f>
        <v>0</v>
      </c>
      <c r="U51" s="30">
        <f>CUSTOS!$E$39</f>
        <v>0</v>
      </c>
      <c r="V51" s="30">
        <f>CUSTOS!$E$40</f>
        <v>0</v>
      </c>
      <c r="W51" s="30">
        <f>CUSTOS!$E$41</f>
        <v>0</v>
      </c>
      <c r="X51" s="30">
        <f>CUSTOS!$E$42</f>
        <v>-16600151.204938425</v>
      </c>
      <c r="Y51" s="30">
        <f>CUSTOS!$E$43</f>
        <v>-16600151.204938425</v>
      </c>
      <c r="Z51" s="30">
        <f>CUSTOS!$E$44</f>
        <v>-2618777.3165083188</v>
      </c>
      <c r="AA51" s="30">
        <f>CUSTOS!$E$45</f>
        <v>-2618777.3165083188</v>
      </c>
      <c r="AB51" s="30">
        <f>CUSTOS!$E$46</f>
        <v>-99751897.037223473</v>
      </c>
    </row>
    <row r="52" spans="11:28" ht="11.25" customHeight="1" x14ac:dyDescent="0.25">
      <c r="K52" s="37" t="s">
        <v>688</v>
      </c>
      <c r="L52" s="30">
        <f>CUSTOS!$F$30</f>
        <v>0</v>
      </c>
      <c r="M52" s="30">
        <f>CUSTOS!$F$31</f>
        <v>20821697.545299999</v>
      </c>
      <c r="N52" s="30">
        <f>CUSTOS!$F$32</f>
        <v>0</v>
      </c>
      <c r="O52" s="30">
        <f>CUSTOS!$F$33</f>
        <v>560051.04179454083</v>
      </c>
      <c r="P52" s="30">
        <f>CUSTOS!$F$34</f>
        <v>0</v>
      </c>
      <c r="Q52" s="30">
        <f>CUSTOS!$F$35</f>
        <v>21381748.587094542</v>
      </c>
      <c r="R52" s="30">
        <f>CUSTOS!$F$36</f>
        <v>62662156.668706685</v>
      </c>
      <c r="S52" s="30">
        <f>CUSTOS!$F$37</f>
        <v>62662156.668706685</v>
      </c>
      <c r="T52" s="30">
        <f>CUSTOS!$F$38</f>
        <v>0</v>
      </c>
      <c r="U52" s="30">
        <f>CUSTOS!$F$39</f>
        <v>0</v>
      </c>
      <c r="V52" s="30">
        <f>CUSTOS!$F$40</f>
        <v>0</v>
      </c>
      <c r="W52" s="30">
        <f>CUSTOS!$F$41</f>
        <v>0</v>
      </c>
      <c r="X52" s="30">
        <f>CUSTOS!$F$42</f>
        <v>0</v>
      </c>
      <c r="Y52" s="30">
        <f>CUSTOS!$F$43</f>
        <v>0</v>
      </c>
      <c r="Z52" s="30">
        <f>CUSTOS!$F$44</f>
        <v>1741740.5481691037</v>
      </c>
      <c r="AA52" s="30">
        <f>CUSTOS!$F$45</f>
        <v>1741740.5481691037</v>
      </c>
      <c r="AB52" s="30">
        <f>CUSTOS!$F$46</f>
        <v>85785645.803970337</v>
      </c>
    </row>
    <row r="53" spans="11:28" ht="11.25" customHeight="1" x14ac:dyDescent="0.25">
      <c r="K53" s="37" t="s">
        <v>767</v>
      </c>
      <c r="L53" s="30">
        <f>'TR TE'!$L$53*L54</f>
        <v>0</v>
      </c>
      <c r="M53" s="30">
        <f>'TR TE'!$M$53*M54</f>
        <v>19.827595101544482</v>
      </c>
      <c r="N53" s="30">
        <f>'TR TE'!$N$53*N54</f>
        <v>0</v>
      </c>
      <c r="O53" s="30">
        <f>'TR TE'!$O$53*O54</f>
        <v>0.53331219842864763</v>
      </c>
      <c r="P53" s="30">
        <f>'TR TE'!$P$53*P54</f>
        <v>0</v>
      </c>
      <c r="Q53" s="30"/>
      <c r="R53" s="30">
        <f>'TR TE'!$R$53*R54</f>
        <v>59.595758803098541</v>
      </c>
      <c r="S53" s="30"/>
      <c r="T53" s="30">
        <f>'TR TE'!$T$53*T54</f>
        <v>0</v>
      </c>
      <c r="U53" s="30">
        <f>'TR TE'!$U$53*U54</f>
        <v>0</v>
      </c>
      <c r="V53" s="30">
        <f>'TR TE'!$V$53*V54</f>
        <v>0</v>
      </c>
      <c r="W53" s="30"/>
      <c r="X53" s="30"/>
      <c r="Y53" s="30"/>
      <c r="Z53" s="30">
        <f>'TR TE'!$Z$53*Z54</f>
        <v>1.6585836138434573</v>
      </c>
      <c r="AA53" s="30"/>
      <c r="AB53" s="30"/>
    </row>
    <row r="54" spans="11:28" ht="11.25" customHeight="1" x14ac:dyDescent="0.25">
      <c r="K54" s="37" t="s">
        <v>762</v>
      </c>
      <c r="L54" s="30">
        <f>IF(L50&lt;&gt;0,L52/L50,0)</f>
        <v>0</v>
      </c>
      <c r="M54" s="30">
        <f>IF(M50&lt;&gt;0,M52/M50,0)</f>
        <v>0.56885993436794235</v>
      </c>
      <c r="N54" s="30">
        <f>IF(N50&lt;&gt;0,N52/N50,0)</f>
        <v>0</v>
      </c>
      <c r="O54" s="30">
        <f>IF(O50&lt;&gt;0,O52/O50,0)</f>
        <v>4.4206592558609079E-2</v>
      </c>
      <c r="P54" s="30">
        <f>IF(P50&lt;&gt;0,P52/P50,0)</f>
        <v>0</v>
      </c>
      <c r="Q54" s="30"/>
      <c r="R54" s="30">
        <f>IF(R50&lt;&gt;0,R52/R50,0)</f>
        <v>0.29821012961929</v>
      </c>
      <c r="S54" s="30"/>
      <c r="T54" s="30">
        <f>IF(T50&lt;&gt;0,T52/T50,0)</f>
        <v>0</v>
      </c>
      <c r="U54" s="30">
        <f>IF(U50&lt;&gt;0,U52/U50,0)</f>
        <v>0</v>
      </c>
      <c r="V54" s="30">
        <f>IF(V50&lt;&gt;0,V52/V50,0)</f>
        <v>0</v>
      </c>
      <c r="W54" s="30"/>
      <c r="X54" s="30">
        <f>IF($AB50&lt;&gt;0,X52/($AB50-SUM('TR TE'!$L53:'TR TE'!$AA53)*0),0)</f>
        <v>0</v>
      </c>
      <c r="Y54" s="30"/>
      <c r="Z54" s="30">
        <f>IF(Z50&lt;&gt;0,Z52/Z50,0)</f>
        <v>0.29821012961929005</v>
      </c>
      <c r="AA54" s="30"/>
      <c r="AB54" s="30"/>
    </row>
    <row r="55" spans="11:28" ht="11.25" customHeight="1" x14ac:dyDescent="0.25"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0:F11"/>
    <mergeCell ref="A7:A9"/>
    <mergeCell ref="B7:B8"/>
    <mergeCell ref="C7:C8"/>
    <mergeCell ref="D7:D8"/>
    <mergeCell ref="E7:E8"/>
    <mergeCell ref="F7:F8"/>
    <mergeCell ref="A10:A12"/>
    <mergeCell ref="B10:B11"/>
    <mergeCell ref="C10:C11"/>
    <mergeCell ref="D10:D11"/>
    <mergeCell ref="E10:E11"/>
    <mergeCell ref="F13:F15"/>
    <mergeCell ref="B16:B20"/>
    <mergeCell ref="C16:C20"/>
    <mergeCell ref="B21:B25"/>
    <mergeCell ref="C21:C25"/>
    <mergeCell ref="A13:A25"/>
    <mergeCell ref="B13:B15"/>
    <mergeCell ref="C13:C15"/>
    <mergeCell ref="D13:D15"/>
    <mergeCell ref="E13:E15"/>
    <mergeCell ref="D34:D36"/>
    <mergeCell ref="E34:E36"/>
    <mergeCell ref="F34:F36"/>
    <mergeCell ref="D26:D28"/>
    <mergeCell ref="E26:E28"/>
    <mergeCell ref="F26:F28"/>
    <mergeCell ref="D30:D32"/>
    <mergeCell ref="E30:E32"/>
    <mergeCell ref="F30:F32"/>
    <mergeCell ref="B38:B40"/>
    <mergeCell ref="C38:C40"/>
    <mergeCell ref="A41:A45"/>
    <mergeCell ref="B41:B43"/>
    <mergeCell ref="C41:C43"/>
    <mergeCell ref="A26:A40"/>
    <mergeCell ref="B26:B28"/>
    <mergeCell ref="C26:C28"/>
    <mergeCell ref="B34:B36"/>
    <mergeCell ref="C34:C36"/>
    <mergeCell ref="B30:B32"/>
    <mergeCell ref="C30:C32"/>
    <mergeCell ref="E41:E43"/>
    <mergeCell ref="F41:F43"/>
    <mergeCell ref="A46:A47"/>
    <mergeCell ref="B46:B47"/>
    <mergeCell ref="C46:C47"/>
    <mergeCell ref="D41:D43"/>
  </mergeCells>
  <conditionalFormatting sqref="L49">
    <cfRule type="cellIs" dxfId="852" priority="33" operator="notEqual">
      <formula>$L$51</formula>
    </cfRule>
    <cfRule type="cellIs" dxfId="851" priority="34" operator="equal">
      <formula>$L$51</formula>
    </cfRule>
  </conditionalFormatting>
  <conditionalFormatting sqref="M49">
    <cfRule type="cellIs" dxfId="850" priority="31" operator="notEqual">
      <formula>$M$51</formula>
    </cfRule>
    <cfRule type="cellIs" dxfId="849" priority="32" operator="equal">
      <formula>$M$51</formula>
    </cfRule>
  </conditionalFormatting>
  <conditionalFormatting sqref="N49">
    <cfRule type="cellIs" dxfId="848" priority="29" operator="notEqual">
      <formula>$N$51</formula>
    </cfRule>
    <cfRule type="cellIs" dxfId="847" priority="30" operator="equal">
      <formula>$N$51</formula>
    </cfRule>
  </conditionalFormatting>
  <conditionalFormatting sqref="O49">
    <cfRule type="cellIs" dxfId="846" priority="27" operator="notEqual">
      <formula>$O$51</formula>
    </cfRule>
    <cfRule type="cellIs" dxfId="845" priority="28" operator="equal">
      <formula>$O$51</formula>
    </cfRule>
  </conditionalFormatting>
  <conditionalFormatting sqref="P49">
    <cfRule type="cellIs" dxfId="844" priority="25" operator="notEqual">
      <formula>$P$51</formula>
    </cfRule>
    <cfRule type="cellIs" dxfId="843" priority="26" operator="equal">
      <formula>$P$51</formula>
    </cfRule>
  </conditionalFormatting>
  <conditionalFormatting sqref="Q49">
    <cfRule type="cellIs" dxfId="842" priority="23" operator="notEqual">
      <formula>$Q$51</formula>
    </cfRule>
    <cfRule type="cellIs" dxfId="841" priority="24" operator="equal">
      <formula>$Q$51</formula>
    </cfRule>
  </conditionalFormatting>
  <conditionalFormatting sqref="R49">
    <cfRule type="cellIs" dxfId="840" priority="21" operator="notEqual">
      <formula>$R$51</formula>
    </cfRule>
    <cfRule type="cellIs" dxfId="839" priority="22" operator="equal">
      <formula>$R$51</formula>
    </cfRule>
  </conditionalFormatting>
  <conditionalFormatting sqref="S49">
    <cfRule type="cellIs" dxfId="838" priority="19" operator="notEqual">
      <formula>$S$51</formula>
    </cfRule>
    <cfRule type="cellIs" dxfId="837" priority="20" operator="equal">
      <formula>$S$51</formula>
    </cfRule>
  </conditionalFormatting>
  <conditionalFormatting sqref="T49">
    <cfRule type="cellIs" dxfId="836" priority="17" operator="notEqual">
      <formula>$T$51</formula>
    </cfRule>
    <cfRule type="cellIs" dxfId="835" priority="18" operator="equal">
      <formula>$T$51</formula>
    </cfRule>
  </conditionalFormatting>
  <conditionalFormatting sqref="U49">
    <cfRule type="cellIs" dxfId="834" priority="15" operator="notEqual">
      <formula>$U$51</formula>
    </cfRule>
    <cfRule type="cellIs" dxfId="833" priority="16" operator="equal">
      <formula>$U$51</formula>
    </cfRule>
  </conditionalFormatting>
  <conditionalFormatting sqref="V49">
    <cfRule type="cellIs" dxfId="832" priority="13" operator="notEqual">
      <formula>$V$51</formula>
    </cfRule>
    <cfRule type="cellIs" dxfId="831" priority="14" operator="equal">
      <formula>$V$51</formula>
    </cfRule>
  </conditionalFormatting>
  <conditionalFormatting sqref="W49">
    <cfRule type="cellIs" dxfId="830" priority="11" operator="notEqual">
      <formula>$W$51</formula>
    </cfRule>
    <cfRule type="cellIs" dxfId="829" priority="12" operator="equal">
      <formula>$W$51</formula>
    </cfRule>
  </conditionalFormatting>
  <conditionalFormatting sqref="X49">
    <cfRule type="cellIs" dxfId="828" priority="9" operator="notEqual">
      <formula>$X$51</formula>
    </cfRule>
    <cfRule type="cellIs" dxfId="827" priority="10" operator="equal">
      <formula>$X$51</formula>
    </cfRule>
  </conditionalFormatting>
  <conditionalFormatting sqref="Y49">
    <cfRule type="cellIs" dxfId="826" priority="7" operator="notEqual">
      <formula>$Y$51</formula>
    </cfRule>
    <cfRule type="cellIs" dxfId="825" priority="8" operator="equal">
      <formula>$Y$51</formula>
    </cfRule>
  </conditionalFormatting>
  <conditionalFormatting sqref="Z49">
    <cfRule type="cellIs" dxfId="824" priority="5" operator="notEqual">
      <formula>$Z$51</formula>
    </cfRule>
    <cfRule type="cellIs" dxfId="823" priority="6" operator="equal">
      <formula>$Z$51</formula>
    </cfRule>
  </conditionalFormatting>
  <conditionalFormatting sqref="AA49">
    <cfRule type="cellIs" dxfId="822" priority="3" operator="notEqual">
      <formula>$AA$51</formula>
    </cfRule>
    <cfRule type="cellIs" dxfId="821" priority="4" operator="equal">
      <formula>$AA$51</formula>
    </cfRule>
  </conditionalFormatting>
  <conditionalFormatting sqref="AB49">
    <cfRule type="cellIs" dxfId="820" priority="1" operator="notEqual">
      <formula>$AB$51</formula>
    </cfRule>
    <cfRule type="cellIs" dxfId="819" priority="2" operator="equal">
      <formula>$AB$51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3137-00A4-49B7-AF89-3DE8C7ABDA20}">
  <sheetPr codeName="Planilha15"/>
  <dimension ref="A1:AB55"/>
  <sheetViews>
    <sheetView showGridLines="0" topLeftCell="K1" workbookViewId="0">
      <selection activeCell="AB49" sqref="AB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.5703125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8" t="s">
        <v>67</v>
      </c>
      <c r="B1" s="128" t="s">
        <v>68</v>
      </c>
      <c r="C1" s="128" t="s">
        <v>69</v>
      </c>
      <c r="D1" s="128" t="s">
        <v>70</v>
      </c>
      <c r="E1" s="128" t="s">
        <v>71</v>
      </c>
      <c r="F1" s="128" t="s">
        <v>15</v>
      </c>
      <c r="G1" s="128" t="s">
        <v>73</v>
      </c>
      <c r="H1" s="128" t="s">
        <v>74</v>
      </c>
      <c r="I1" s="128" t="s">
        <v>744</v>
      </c>
      <c r="J1" s="107"/>
      <c r="L1" s="126" t="s">
        <v>772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</row>
    <row r="2" spans="1:28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672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</row>
    <row r="3" spans="1:28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645</v>
      </c>
      <c r="M3" s="126"/>
      <c r="N3" s="126"/>
      <c r="O3" s="126"/>
      <c r="P3" s="126"/>
      <c r="Q3" s="126"/>
      <c r="R3" s="126" t="s">
        <v>676</v>
      </c>
      <c r="S3" s="126"/>
      <c r="T3" s="126" t="s">
        <v>654</v>
      </c>
      <c r="U3" s="126"/>
      <c r="V3" s="126"/>
      <c r="W3" s="126"/>
      <c r="X3" s="126" t="s">
        <v>664</v>
      </c>
      <c r="Y3" s="126"/>
      <c r="Z3" s="126" t="s">
        <v>667</v>
      </c>
      <c r="AA3" s="126"/>
      <c r="AB3" s="126" t="s">
        <v>653</v>
      </c>
    </row>
    <row r="4" spans="1:28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36" t="s">
        <v>647</v>
      </c>
      <c r="M4" s="36" t="s">
        <v>673</v>
      </c>
      <c r="N4" s="36" t="s">
        <v>674</v>
      </c>
      <c r="O4" s="36" t="s">
        <v>733</v>
      </c>
      <c r="P4" s="36" t="s">
        <v>675</v>
      </c>
      <c r="Q4" s="36" t="s">
        <v>653</v>
      </c>
      <c r="R4" s="36" t="s">
        <v>677</v>
      </c>
      <c r="S4" s="36" t="s">
        <v>653</v>
      </c>
      <c r="T4" s="36" t="s">
        <v>678</v>
      </c>
      <c r="U4" s="36" t="s">
        <v>679</v>
      </c>
      <c r="V4" s="36" t="s">
        <v>680</v>
      </c>
      <c r="W4" s="36" t="s">
        <v>653</v>
      </c>
      <c r="X4" s="36" t="s">
        <v>665</v>
      </c>
      <c r="Y4" s="36" t="s">
        <v>653</v>
      </c>
      <c r="Z4" s="36" t="s">
        <v>681</v>
      </c>
      <c r="AA4" s="36" t="s">
        <v>653</v>
      </c>
      <c r="AB4" s="127"/>
    </row>
    <row r="5" spans="1:28" ht="11.25" customHeight="1" x14ac:dyDescent="0.25">
      <c r="A5" s="129" t="s">
        <v>39</v>
      </c>
      <c r="B5" s="129" t="s">
        <v>78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80</v>
      </c>
      <c r="H5" s="32" t="s">
        <v>79</v>
      </c>
      <c r="I5" s="32">
        <f>'MERCADO TE'!$U$2</f>
        <v>6416.6180000000004</v>
      </c>
      <c r="J5" s="17"/>
      <c r="L5" s="30">
        <f>'TE BE'!$L$5*'TE BF'!$L$54</f>
        <v>0</v>
      </c>
      <c r="M5" s="30">
        <f>'TE BE'!$M$5*'TE BF'!$M$54</f>
        <v>19.827595101544482</v>
      </c>
      <c r="N5" s="30">
        <f>'TE BE'!$N$5*'TE BF'!$N$54</f>
        <v>0</v>
      </c>
      <c r="O5" s="30">
        <f>'TE BE'!$O$5*'TE BF'!$O$54</f>
        <v>0.53331219842864763</v>
      </c>
      <c r="P5" s="30">
        <f>'TE BE'!$P$5*'TE BF'!$P$54</f>
        <v>0</v>
      </c>
      <c r="Q5" s="30">
        <f>SUM($L$5:$P$5)</f>
        <v>20.360907299973128</v>
      </c>
      <c r="R5" s="30">
        <f>'TE BE'!$R$5*'TE BF'!$R$54</f>
        <v>96.874521556843646</v>
      </c>
      <c r="S5" s="30">
        <f>SUM($R$5:$R$5)</f>
        <v>96.874521556843646</v>
      </c>
      <c r="T5" s="30">
        <f>'TE BE'!$T$5*'TE BF'!$T$54</f>
        <v>0</v>
      </c>
      <c r="U5" s="30">
        <f>'TE BE'!$U$5*'TE BF'!$U$54</f>
        <v>0</v>
      </c>
      <c r="V5" s="30">
        <f>'TE BE'!$V$5*'TE BF'!$V$54</f>
        <v>0</v>
      </c>
      <c r="W5" s="30">
        <f>SUM($T$5:$V$5)</f>
        <v>0</v>
      </c>
      <c r="X5" s="30">
        <f>'TE BE'!$AB$5*'TE BF'!$X$54</f>
        <v>0</v>
      </c>
      <c r="Y5" s="30">
        <f>SUM($X$5:$X$5)</f>
        <v>0</v>
      </c>
      <c r="Z5" s="30">
        <f>'TE BE'!$Z$5*'TE BF'!$Z$54</f>
        <v>1.6585836138434573</v>
      </c>
      <c r="AA5" s="30">
        <f>SUM($Z$5:$Z$5)</f>
        <v>1.6585836138434573</v>
      </c>
      <c r="AB5" s="30">
        <f>SUMIF($L$4:$AA$4,"SUBTOTAL",$L$5:$AA$5)</f>
        <v>118.89401247066024</v>
      </c>
    </row>
    <row r="6" spans="1:28" ht="11.25" customHeight="1" x14ac:dyDescent="0.25">
      <c r="A6" s="129"/>
      <c r="B6" s="129"/>
      <c r="C6" s="129"/>
      <c r="D6" s="129"/>
      <c r="E6" s="129"/>
      <c r="F6" s="129"/>
      <c r="G6" s="32" t="s">
        <v>81</v>
      </c>
      <c r="H6" s="32" t="s">
        <v>79</v>
      </c>
      <c r="I6" s="32">
        <f>'MERCADO TE'!$U$3</f>
        <v>66718.100999999995</v>
      </c>
      <c r="J6" s="17"/>
      <c r="L6" s="30">
        <f>'TE BE'!$L$6*'TE BF'!$L$54</f>
        <v>0</v>
      </c>
      <c r="M6" s="30">
        <f>'TE BE'!$M$6*'TE BF'!$M$54</f>
        <v>19.827595101544482</v>
      </c>
      <c r="N6" s="30">
        <f>'TE BE'!$N$6*'TE BF'!$N$54</f>
        <v>0</v>
      </c>
      <c r="O6" s="30">
        <f>'TE BE'!$O$6*'TE BF'!$O$54</f>
        <v>0.53331219842864763</v>
      </c>
      <c r="P6" s="30">
        <f>'TE BE'!$P$6*'TE BF'!$P$54</f>
        <v>0</v>
      </c>
      <c r="Q6" s="30">
        <f>SUM($L$6:$P$6)</f>
        <v>20.360907299973128</v>
      </c>
      <c r="R6" s="30">
        <f>'TE BE'!$R$6*'TE BF'!$R$54</f>
        <v>56.322396253978866</v>
      </c>
      <c r="S6" s="30">
        <f>SUM($R$6:$R$6)</f>
        <v>56.322396253978866</v>
      </c>
      <c r="T6" s="30">
        <f>'TE BE'!$T$6*'TE BF'!$T$54</f>
        <v>0</v>
      </c>
      <c r="U6" s="30">
        <f>'TE BE'!$U$6*'TE BF'!$U$54</f>
        <v>0</v>
      </c>
      <c r="V6" s="30">
        <f>'TE BE'!$V$6*'TE BF'!$V$54</f>
        <v>0</v>
      </c>
      <c r="W6" s="30">
        <f>SUM($T$6:$V$6)</f>
        <v>0</v>
      </c>
      <c r="X6" s="30">
        <f>'TE BE'!$AB$6*'TE BF'!$X$54</f>
        <v>0</v>
      </c>
      <c r="Y6" s="30">
        <f>SUM($X$6:$X$6)</f>
        <v>0</v>
      </c>
      <c r="Z6" s="30">
        <f>'TE BE'!$Z$6*'TE BF'!$Z$54</f>
        <v>1.6585836138434573</v>
      </c>
      <c r="AA6" s="30">
        <f>SUM($Z$6:$Z$6)</f>
        <v>1.6585836138434573</v>
      </c>
      <c r="AB6" s="30">
        <f>SUMIF($L$4:$AA$4,"SUBTOTAL",$L$6:$AA$6)</f>
        <v>78.341887167795448</v>
      </c>
    </row>
    <row r="7" spans="1:28" ht="11.25" customHeight="1" x14ac:dyDescent="0.25">
      <c r="A7" s="129" t="s">
        <v>42</v>
      </c>
      <c r="B7" s="129" t="s">
        <v>78</v>
      </c>
      <c r="C7" s="129" t="s">
        <v>25</v>
      </c>
      <c r="D7" s="129" t="s">
        <v>25</v>
      </c>
      <c r="E7" s="129" t="s">
        <v>25</v>
      </c>
      <c r="F7" s="129" t="s">
        <v>25</v>
      </c>
      <c r="G7" s="32" t="s">
        <v>80</v>
      </c>
      <c r="H7" s="32" t="s">
        <v>79</v>
      </c>
      <c r="I7" s="32">
        <f>'MERCADO TE'!$U$4</f>
        <v>30.865000000000002</v>
      </c>
      <c r="J7" s="17"/>
      <c r="L7" s="30">
        <f>'TE BE'!$L$7*'TE BF'!$L$54</f>
        <v>0</v>
      </c>
      <c r="M7" s="30">
        <f>'TE BE'!$M$7*'TE BF'!$M$54</f>
        <v>19.827595101544482</v>
      </c>
      <c r="N7" s="30">
        <f>'TE BE'!$N$7*'TE BF'!$N$54</f>
        <v>0</v>
      </c>
      <c r="O7" s="30">
        <f>'TE BE'!$O$7*'TE BF'!$O$54</f>
        <v>0.53331219842864763</v>
      </c>
      <c r="P7" s="30">
        <f>'TE BE'!$P$7*'TE BF'!$P$54</f>
        <v>0</v>
      </c>
      <c r="Q7" s="30">
        <f>SUM($L$7:$P$7)</f>
        <v>20.360907299973128</v>
      </c>
      <c r="R7" s="30">
        <f>'TE BE'!$R$7*'TE BF'!$R$54</f>
        <v>96.874521556843646</v>
      </c>
      <c r="S7" s="30">
        <f>SUM($R$7:$R$7)</f>
        <v>96.874521556843646</v>
      </c>
      <c r="T7" s="30">
        <f>'TE BE'!$T$7*'TE BF'!$T$54</f>
        <v>0</v>
      </c>
      <c r="U7" s="30">
        <f>'TE BE'!$U$7*'TE BF'!$U$54</f>
        <v>0</v>
      </c>
      <c r="V7" s="30">
        <f>'TE BE'!$V$7*'TE BF'!$V$54</f>
        <v>0</v>
      </c>
      <c r="W7" s="30">
        <f>SUM($T$7:$V$7)</f>
        <v>0</v>
      </c>
      <c r="X7" s="30">
        <f>'TE BE'!$AB$7*'TE BF'!$X$54</f>
        <v>0</v>
      </c>
      <c r="Y7" s="30">
        <f>SUM($X$7:$X$7)</f>
        <v>0</v>
      </c>
      <c r="Z7" s="30">
        <f>'TE BE'!$Z$7*'TE BF'!$Z$54</f>
        <v>1.6585836138434573</v>
      </c>
      <c r="AA7" s="30">
        <f>SUM($Z$7:$Z$7)</f>
        <v>1.6585836138434573</v>
      </c>
      <c r="AB7" s="30">
        <f>SUMIF($L$4:$AA$4,"SUBTOTAL",$L$7:$AA$7)</f>
        <v>118.89401247066024</v>
      </c>
    </row>
    <row r="8" spans="1:28" ht="11.25" customHeight="1" x14ac:dyDescent="0.25">
      <c r="A8" s="129"/>
      <c r="B8" s="129"/>
      <c r="C8" s="129"/>
      <c r="D8" s="129"/>
      <c r="E8" s="129"/>
      <c r="F8" s="129"/>
      <c r="G8" s="32" t="s">
        <v>81</v>
      </c>
      <c r="H8" s="32" t="s">
        <v>79</v>
      </c>
      <c r="I8" s="32">
        <f>'MERCADO TE'!$U$5</f>
        <v>189.88</v>
      </c>
      <c r="J8" s="17"/>
      <c r="L8" s="30">
        <f>'TE BE'!$L$8*'TE BF'!$L$54</f>
        <v>0</v>
      </c>
      <c r="M8" s="30">
        <f>'TE BE'!$M$8*'TE BF'!$M$54</f>
        <v>19.827595101544482</v>
      </c>
      <c r="N8" s="30">
        <f>'TE BE'!$N$8*'TE BF'!$N$54</f>
        <v>0</v>
      </c>
      <c r="O8" s="30">
        <f>'TE BE'!$O$8*'TE BF'!$O$54</f>
        <v>0.53331219842864763</v>
      </c>
      <c r="P8" s="30">
        <f>'TE BE'!$P$8*'TE BF'!$P$54</f>
        <v>0</v>
      </c>
      <c r="Q8" s="30">
        <f>SUM($L$8:$P$8)</f>
        <v>20.360907299973128</v>
      </c>
      <c r="R8" s="30">
        <f>'TE BE'!$R$8*'TE BF'!$R$54</f>
        <v>56.322396253978866</v>
      </c>
      <c r="S8" s="30">
        <f>SUM($R$8:$R$8)</f>
        <v>56.322396253978866</v>
      </c>
      <c r="T8" s="30">
        <f>'TE BE'!$T$8*'TE BF'!$T$54</f>
        <v>0</v>
      </c>
      <c r="U8" s="30">
        <f>'TE BE'!$U$8*'TE BF'!$U$54</f>
        <v>0</v>
      </c>
      <c r="V8" s="30">
        <f>'TE BE'!$V$8*'TE BF'!$V$54</f>
        <v>0</v>
      </c>
      <c r="W8" s="30">
        <f>SUM($T$8:$V$8)</f>
        <v>0</v>
      </c>
      <c r="X8" s="30">
        <f>'TE BE'!$AB$8*'TE BF'!$X$54</f>
        <v>0</v>
      </c>
      <c r="Y8" s="30">
        <f>SUM($X$8:$X$8)</f>
        <v>0</v>
      </c>
      <c r="Z8" s="30">
        <f>'TE BE'!$Z$8*'TE BF'!$Z$54</f>
        <v>1.6585836138434573</v>
      </c>
      <c r="AA8" s="30">
        <f>SUM($Z$8:$Z$8)</f>
        <v>1.6585836138434573</v>
      </c>
      <c r="AB8" s="30">
        <f>SUMIF($L$4:$AA$4,"SUBTOTAL",$L$8:$AA$8)</f>
        <v>78.341887167795448</v>
      </c>
    </row>
    <row r="9" spans="1:28" ht="11.25" customHeight="1" x14ac:dyDescent="0.25">
      <c r="A9" s="129"/>
      <c r="B9" s="38" t="s">
        <v>86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84</v>
      </c>
      <c r="H9" s="32" t="s">
        <v>79</v>
      </c>
      <c r="I9" s="32">
        <f>'MERCADO TE'!$U$6</f>
        <v>0</v>
      </c>
      <c r="J9" s="17"/>
      <c r="L9" s="30">
        <f>'TE BE'!$L$9*'TE BF'!$L$54</f>
        <v>0</v>
      </c>
      <c r="M9" s="30">
        <f>'TE BE'!$M$9*'TE BF'!$M$54</f>
        <v>19.827595101544482</v>
      </c>
      <c r="N9" s="30">
        <f>'TE BE'!$N$9*'TE BF'!$N$54</f>
        <v>0</v>
      </c>
      <c r="O9" s="30">
        <f>'TE BE'!$O$9*'TE BF'!$O$54</f>
        <v>0.53331219842864763</v>
      </c>
      <c r="P9" s="30">
        <f>'TE BE'!$P$9*'TE BF'!$P$54</f>
        <v>0</v>
      </c>
      <c r="Q9" s="30">
        <f>SUM($L$9:$P$9)</f>
        <v>20.360907299973128</v>
      </c>
      <c r="R9" s="30">
        <f>'TE BE'!$R$9*'TE BF'!$R$54</f>
        <v>59.701740029217603</v>
      </c>
      <c r="S9" s="30">
        <f>SUM($R$9:$R$9)</f>
        <v>59.701740029217603</v>
      </c>
      <c r="T9" s="30">
        <f>'TE BE'!$T$9*'TE BF'!$T$54</f>
        <v>0</v>
      </c>
      <c r="U9" s="30">
        <f>'TE BE'!$U$9*'TE BF'!$U$54</f>
        <v>0</v>
      </c>
      <c r="V9" s="30">
        <f>'TE BE'!$V$9*'TE BF'!$V$54</f>
        <v>0</v>
      </c>
      <c r="W9" s="30">
        <f>SUM($T$9:$V$9)</f>
        <v>0</v>
      </c>
      <c r="X9" s="30">
        <f>'TE BE'!$AB$9*'TE BF'!$X$54</f>
        <v>0</v>
      </c>
      <c r="Y9" s="30">
        <f>SUM($X$9:$X$9)</f>
        <v>0</v>
      </c>
      <c r="Z9" s="30">
        <f>'TE BE'!$Z$9*'TE BF'!$Z$54</f>
        <v>1.6585836138434573</v>
      </c>
      <c r="AA9" s="30">
        <f>SUM($Z$9:$Z$9)</f>
        <v>1.6585836138434573</v>
      </c>
      <c r="AB9" s="30">
        <f>SUMIF($L$4:$AA$4,"SUBTOTAL",$L$9:$AA$9)</f>
        <v>81.721230943034186</v>
      </c>
    </row>
    <row r="10" spans="1:28" ht="11.25" customHeight="1" x14ac:dyDescent="0.25">
      <c r="A10" s="129" t="s">
        <v>41</v>
      </c>
      <c r="B10" s="129" t="s">
        <v>78</v>
      </c>
      <c r="C10" s="129" t="s">
        <v>25</v>
      </c>
      <c r="D10" s="129" t="s">
        <v>25</v>
      </c>
      <c r="E10" s="129" t="s">
        <v>25</v>
      </c>
      <c r="F10" s="129" t="s">
        <v>25</v>
      </c>
      <c r="G10" s="32" t="s">
        <v>80</v>
      </c>
      <c r="H10" s="32" t="s">
        <v>79</v>
      </c>
      <c r="I10" s="32">
        <f>'MERCADO TE'!$U$7</f>
        <v>17653.802</v>
      </c>
      <c r="J10" s="17"/>
      <c r="L10" s="30">
        <f>'TE BE'!$L$10*'TE BF'!$L$54</f>
        <v>0</v>
      </c>
      <c r="M10" s="30">
        <f>'TE BE'!$M$10*'TE BF'!$M$54</f>
        <v>19.827595101544482</v>
      </c>
      <c r="N10" s="30">
        <f>'TE BE'!$N$10*'TE BF'!$N$54</f>
        <v>0</v>
      </c>
      <c r="O10" s="30">
        <f>'TE BE'!$O$10*'TE BF'!$O$54</f>
        <v>0.53331219842864763</v>
      </c>
      <c r="P10" s="30">
        <f>'TE BE'!$P$10*'TE BF'!$P$54</f>
        <v>0</v>
      </c>
      <c r="Q10" s="30">
        <f>SUM($L$10:$P$10)</f>
        <v>20.360907299973128</v>
      </c>
      <c r="R10" s="30">
        <f>'TE BE'!$R$10*'TE BF'!$R$54</f>
        <v>96.874521556843646</v>
      </c>
      <c r="S10" s="30">
        <f>SUM($R$10:$R$10)</f>
        <v>96.874521556843646</v>
      </c>
      <c r="T10" s="30">
        <f>'TE BE'!$T$10*'TE BF'!$T$54</f>
        <v>0</v>
      </c>
      <c r="U10" s="30">
        <f>'TE BE'!$U$10*'TE BF'!$U$54</f>
        <v>0</v>
      </c>
      <c r="V10" s="30">
        <f>'TE BE'!$V$10*'TE BF'!$V$54</f>
        <v>0</v>
      </c>
      <c r="W10" s="30">
        <f>SUM($T$10:$V$10)</f>
        <v>0</v>
      </c>
      <c r="X10" s="30">
        <f>'TE BE'!$AB$10*'TE BF'!$X$54</f>
        <v>0</v>
      </c>
      <c r="Y10" s="30">
        <f>SUM($X$10:$X$10)</f>
        <v>0</v>
      </c>
      <c r="Z10" s="30">
        <f>'TE BE'!$Z$10*'TE BF'!$Z$54</f>
        <v>1.6585836138434573</v>
      </c>
      <c r="AA10" s="30">
        <f>SUM($Z$10:$Z$10)</f>
        <v>1.6585836138434573</v>
      </c>
      <c r="AB10" s="30">
        <f>SUMIF($L$4:$AA$4,"SUBTOTAL",$L$10:$AA$10)</f>
        <v>118.89401247066024</v>
      </c>
    </row>
    <row r="11" spans="1:28" ht="11.25" customHeight="1" x14ac:dyDescent="0.25">
      <c r="A11" s="129"/>
      <c r="B11" s="129"/>
      <c r="C11" s="129"/>
      <c r="D11" s="129"/>
      <c r="E11" s="129"/>
      <c r="F11" s="129"/>
      <c r="G11" s="32" t="s">
        <v>81</v>
      </c>
      <c r="H11" s="32" t="s">
        <v>79</v>
      </c>
      <c r="I11" s="32">
        <f>'MERCADO TE'!$U$8</f>
        <v>207546.47200000001</v>
      </c>
      <c r="J11" s="17"/>
      <c r="L11" s="30">
        <f>'TE BE'!$L$11*'TE BF'!$L$54</f>
        <v>0</v>
      </c>
      <c r="M11" s="30">
        <f>'TE BE'!$M$11*'TE BF'!$M$54</f>
        <v>19.827595101544482</v>
      </c>
      <c r="N11" s="30">
        <f>'TE BE'!$N$11*'TE BF'!$N$54</f>
        <v>0</v>
      </c>
      <c r="O11" s="30">
        <f>'TE BE'!$O$11*'TE BF'!$O$54</f>
        <v>0.53331219842864763</v>
      </c>
      <c r="P11" s="30">
        <f>'TE BE'!$P$11*'TE BF'!$P$54</f>
        <v>0</v>
      </c>
      <c r="Q11" s="30">
        <f>SUM($L$11:$P$11)</f>
        <v>20.360907299973128</v>
      </c>
      <c r="R11" s="30">
        <f>'TE BE'!$R$11*'TE BF'!$R$54</f>
        <v>56.322396253978866</v>
      </c>
      <c r="S11" s="30">
        <f>SUM($R$11:$R$11)</f>
        <v>56.322396253978866</v>
      </c>
      <c r="T11" s="30">
        <f>'TE BE'!$T$11*'TE BF'!$T$54</f>
        <v>0</v>
      </c>
      <c r="U11" s="30">
        <f>'TE BE'!$U$11*'TE BF'!$U$54</f>
        <v>0</v>
      </c>
      <c r="V11" s="30">
        <f>'TE BE'!$V$11*'TE BF'!$V$54</f>
        <v>0</v>
      </c>
      <c r="W11" s="30">
        <f>SUM($T$11:$V$11)</f>
        <v>0</v>
      </c>
      <c r="X11" s="30">
        <f>'TE BE'!$AB$11*'TE BF'!$X$54</f>
        <v>0</v>
      </c>
      <c r="Y11" s="30">
        <f>SUM($X$11:$X$11)</f>
        <v>0</v>
      </c>
      <c r="Z11" s="30">
        <f>'TE BE'!$Z$11*'TE BF'!$Z$54</f>
        <v>1.6585836138434573</v>
      </c>
      <c r="AA11" s="30">
        <f>SUM($Z$11:$Z$11)</f>
        <v>1.6585836138434573</v>
      </c>
      <c r="AB11" s="30">
        <f>SUMIF($L$4:$AA$4,"SUBTOTAL",$L$11:$AA$11)</f>
        <v>78.341887167795448</v>
      </c>
    </row>
    <row r="12" spans="1:28" ht="11.25" customHeight="1" x14ac:dyDescent="0.25">
      <c r="A12" s="129"/>
      <c r="B12" s="38" t="s">
        <v>86</v>
      </c>
      <c r="C12" s="38" t="s">
        <v>25</v>
      </c>
      <c r="D12" s="38" t="s">
        <v>25</v>
      </c>
      <c r="E12" s="38" t="s">
        <v>25</v>
      </c>
      <c r="F12" s="38" t="s">
        <v>25</v>
      </c>
      <c r="G12" s="32" t="s">
        <v>84</v>
      </c>
      <c r="H12" s="32" t="s">
        <v>79</v>
      </c>
      <c r="I12" s="32">
        <f>'MERCADO TE'!$U$9</f>
        <v>0</v>
      </c>
      <c r="J12" s="17"/>
      <c r="L12" s="30">
        <f>'TE BE'!$L$12*'TE BF'!$L$54</f>
        <v>0</v>
      </c>
      <c r="M12" s="30">
        <f>'TE BE'!$M$12*'TE BF'!$M$54</f>
        <v>19.827595101544482</v>
      </c>
      <c r="N12" s="30">
        <f>'TE BE'!$N$12*'TE BF'!$N$54</f>
        <v>0</v>
      </c>
      <c r="O12" s="30">
        <f>'TE BE'!$O$12*'TE BF'!$O$54</f>
        <v>0.53331219842864763</v>
      </c>
      <c r="P12" s="30">
        <f>'TE BE'!$P$12*'TE BF'!$P$54</f>
        <v>0</v>
      </c>
      <c r="Q12" s="30">
        <f>SUM($L$12:$P$12)</f>
        <v>20.360907299973128</v>
      </c>
      <c r="R12" s="30">
        <f>'TE BE'!$R$12*'TE BF'!$R$54</f>
        <v>59.701740029217603</v>
      </c>
      <c r="S12" s="30">
        <f>SUM($R$12:$R$12)</f>
        <v>59.701740029217603</v>
      </c>
      <c r="T12" s="30">
        <f>'TE BE'!$T$12*'TE BF'!$T$54</f>
        <v>0</v>
      </c>
      <c r="U12" s="30">
        <f>'TE BE'!$U$12*'TE BF'!$U$54</f>
        <v>0</v>
      </c>
      <c r="V12" s="30">
        <f>'TE BE'!$V$12*'TE BF'!$V$54</f>
        <v>0</v>
      </c>
      <c r="W12" s="30">
        <f>SUM($T$12:$V$12)</f>
        <v>0</v>
      </c>
      <c r="X12" s="30">
        <f>'TE BE'!$AB$12*'TE BF'!$X$54</f>
        <v>0</v>
      </c>
      <c r="Y12" s="30">
        <f>SUM($X$12:$X$12)</f>
        <v>0</v>
      </c>
      <c r="Z12" s="30">
        <f>'TE BE'!$Z$12*'TE BF'!$Z$54</f>
        <v>1.6585836138434573</v>
      </c>
      <c r="AA12" s="30">
        <f>SUM($Z$12:$Z$12)</f>
        <v>1.6585836138434573</v>
      </c>
      <c r="AB12" s="30">
        <f>SUMIF($L$4:$AA$4,"SUBTOTAL",$L$12:$AA$12)</f>
        <v>81.721230943034186</v>
      </c>
    </row>
    <row r="13" spans="1:28" ht="11.25" customHeight="1" x14ac:dyDescent="0.25">
      <c r="A13" s="129" t="s">
        <v>22</v>
      </c>
      <c r="B13" s="129" t="s">
        <v>78</v>
      </c>
      <c r="C13" s="129" t="s">
        <v>24</v>
      </c>
      <c r="D13" s="129" t="s">
        <v>24</v>
      </c>
      <c r="E13" s="129" t="s">
        <v>25</v>
      </c>
      <c r="F13" s="129" t="s">
        <v>25</v>
      </c>
      <c r="G13" s="32" t="s">
        <v>80</v>
      </c>
      <c r="H13" s="32" t="s">
        <v>79</v>
      </c>
      <c r="I13" s="32">
        <f>'MERCADO TE'!$U$10</f>
        <v>14.996999999999998</v>
      </c>
      <c r="J13" s="17"/>
      <c r="L13" s="30">
        <f>'TE BE'!$L$13*'TE BF'!$L$54</f>
        <v>0</v>
      </c>
      <c r="M13" s="30">
        <f>'TE BE'!$M$13*'TE BF'!$M$54</f>
        <v>19.827595101544482</v>
      </c>
      <c r="N13" s="30">
        <f>'TE BE'!$N$13*'TE BF'!$N$54</f>
        <v>0</v>
      </c>
      <c r="O13" s="30">
        <f>'TE BE'!$O$13*'TE BF'!$O$54</f>
        <v>0.53331219842864763</v>
      </c>
      <c r="P13" s="30">
        <f>'TE BE'!$P$13*'TE BF'!$P$54</f>
        <v>0</v>
      </c>
      <c r="Q13" s="30">
        <f>SUM($L$13:$P$13)</f>
        <v>20.360907299973128</v>
      </c>
      <c r="R13" s="30">
        <f>'TE BE'!$R$13*'TE BF'!$R$54</f>
        <v>96.874521556843646</v>
      </c>
      <c r="S13" s="30">
        <f>SUM($R$13:$R$13)</f>
        <v>96.874521556843646</v>
      </c>
      <c r="T13" s="30">
        <f>'TE BE'!$T$13*'TE BF'!$T$54</f>
        <v>0</v>
      </c>
      <c r="U13" s="30">
        <f>'TE BE'!$U$13*'TE BF'!$U$54</f>
        <v>0</v>
      </c>
      <c r="V13" s="30">
        <f>'TE BE'!$V$13*'TE BF'!$V$54</f>
        <v>0</v>
      </c>
      <c r="W13" s="30">
        <f>SUM($T$13:$V$13)</f>
        <v>0</v>
      </c>
      <c r="X13" s="30">
        <f>'TE BE'!$AB$13*'TE BF'!$X$54</f>
        <v>0</v>
      </c>
      <c r="Y13" s="30">
        <f>SUM($X$13:$X$13)</f>
        <v>0</v>
      </c>
      <c r="Z13" s="30">
        <f>'TE BE'!$Z$13*'TE BF'!$Z$54</f>
        <v>1.6585836138434573</v>
      </c>
      <c r="AA13" s="30">
        <f>SUM($Z$13:$Z$13)</f>
        <v>1.6585836138434573</v>
      </c>
      <c r="AB13" s="30">
        <f>SUMIF($L$4:$AA$4,"SUBTOTAL",$L$13:$AA$13)</f>
        <v>118.89401247066024</v>
      </c>
    </row>
    <row r="14" spans="1:28" ht="11.25" customHeight="1" x14ac:dyDescent="0.25">
      <c r="A14" s="129"/>
      <c r="B14" s="129"/>
      <c r="C14" s="129"/>
      <c r="D14" s="129"/>
      <c r="E14" s="129"/>
      <c r="F14" s="129"/>
      <c r="G14" s="32" t="s">
        <v>90</v>
      </c>
      <c r="H14" s="32" t="s">
        <v>79</v>
      </c>
      <c r="I14" s="32">
        <f>'MERCADO TE'!$U$11</f>
        <v>13.277000000000001</v>
      </c>
      <c r="J14" s="17"/>
      <c r="L14" s="30">
        <f>'TE BE'!$L$14*'TE BF'!$L$54</f>
        <v>0</v>
      </c>
      <c r="M14" s="30">
        <f>'TE BE'!$M$14*'TE BF'!$M$54</f>
        <v>19.827595101544482</v>
      </c>
      <c r="N14" s="30">
        <f>'TE BE'!$N$14*'TE BF'!$N$54</f>
        <v>0</v>
      </c>
      <c r="O14" s="30">
        <f>'TE BE'!$O$14*'TE BF'!$O$54</f>
        <v>0.53331219842864763</v>
      </c>
      <c r="P14" s="30">
        <f>'TE BE'!$P$14*'TE BF'!$P$54</f>
        <v>0</v>
      </c>
      <c r="Q14" s="30">
        <f>SUM($L$14:$P$14)</f>
        <v>20.360907299973128</v>
      </c>
      <c r="R14" s="30">
        <f>'TE BE'!$R$14*'TE BF'!$R$54</f>
        <v>56.322396253978866</v>
      </c>
      <c r="S14" s="30">
        <f>SUM($R$14:$R$14)</f>
        <v>56.322396253978866</v>
      </c>
      <c r="T14" s="30">
        <f>'TE BE'!$T$14*'TE BF'!$T$54</f>
        <v>0</v>
      </c>
      <c r="U14" s="30">
        <f>'TE BE'!$U$14*'TE BF'!$U$54</f>
        <v>0</v>
      </c>
      <c r="V14" s="30">
        <f>'TE BE'!$V$14*'TE BF'!$V$54</f>
        <v>0</v>
      </c>
      <c r="W14" s="30">
        <f>SUM($T$14:$V$14)</f>
        <v>0</v>
      </c>
      <c r="X14" s="30">
        <f>'TE BE'!$AB$14*'TE BF'!$X$54</f>
        <v>0</v>
      </c>
      <c r="Y14" s="30">
        <f>SUM($X$14:$X$14)</f>
        <v>0</v>
      </c>
      <c r="Z14" s="30">
        <f>'TE BE'!$Z$14*'TE BF'!$Z$54</f>
        <v>1.6585836138434573</v>
      </c>
      <c r="AA14" s="30">
        <f>SUM($Z$14:$Z$14)</f>
        <v>1.6585836138434573</v>
      </c>
      <c r="AB14" s="30">
        <f>SUMIF($L$4:$AA$4,"SUBTOTAL",$L$14:$AA$14)</f>
        <v>78.341887167795448</v>
      </c>
    </row>
    <row r="15" spans="1:28" ht="11.25" customHeight="1" x14ac:dyDescent="0.25">
      <c r="A15" s="129"/>
      <c r="B15" s="129"/>
      <c r="C15" s="129"/>
      <c r="D15" s="129"/>
      <c r="E15" s="129"/>
      <c r="F15" s="129"/>
      <c r="G15" s="32" t="s">
        <v>81</v>
      </c>
      <c r="H15" s="32" t="s">
        <v>79</v>
      </c>
      <c r="I15" s="32">
        <f>'MERCADO TE'!$U$12</f>
        <v>196.47399999999999</v>
      </c>
      <c r="J15" s="17"/>
      <c r="L15" s="30">
        <f>'TE BE'!$L$15*'TE BF'!$L$54</f>
        <v>0</v>
      </c>
      <c r="M15" s="30">
        <f>'TE BE'!$M$15*'TE BF'!$M$54</f>
        <v>19.827595101544482</v>
      </c>
      <c r="N15" s="30">
        <f>'TE BE'!$N$15*'TE BF'!$N$54</f>
        <v>0</v>
      </c>
      <c r="O15" s="30">
        <f>'TE BE'!$O$15*'TE BF'!$O$54</f>
        <v>0.53331219842864763</v>
      </c>
      <c r="P15" s="30">
        <f>'TE BE'!$P$15*'TE BF'!$P$54</f>
        <v>0</v>
      </c>
      <c r="Q15" s="30">
        <f>SUM($L$15:$P$15)</f>
        <v>20.360907299973128</v>
      </c>
      <c r="R15" s="30">
        <f>'TE BE'!$R$15*'TE BF'!$R$54</f>
        <v>56.322396253978866</v>
      </c>
      <c r="S15" s="30">
        <f>SUM($R$15:$R$15)</f>
        <v>56.322396253978866</v>
      </c>
      <c r="T15" s="30">
        <f>'TE BE'!$T$15*'TE BF'!$T$54</f>
        <v>0</v>
      </c>
      <c r="U15" s="30">
        <f>'TE BE'!$U$15*'TE BF'!$U$54</f>
        <v>0</v>
      </c>
      <c r="V15" s="30">
        <f>'TE BE'!$V$15*'TE BF'!$V$54</f>
        <v>0</v>
      </c>
      <c r="W15" s="30">
        <f>SUM($T$15:$V$15)</f>
        <v>0</v>
      </c>
      <c r="X15" s="30">
        <f>'TE BE'!$AB$15*'TE BF'!$X$54</f>
        <v>0</v>
      </c>
      <c r="Y15" s="30">
        <f>SUM($X$15:$X$15)</f>
        <v>0</v>
      </c>
      <c r="Z15" s="30">
        <f>'TE BE'!$Z$15*'TE BF'!$Z$54</f>
        <v>1.6585836138434573</v>
      </c>
      <c r="AA15" s="30">
        <f>SUM($Z$15:$Z$15)</f>
        <v>1.6585836138434573</v>
      </c>
      <c r="AB15" s="30">
        <f>SUMIF($L$4:$AA$4,"SUBTOTAL",$L$15:$AA$15)</f>
        <v>78.341887167795448</v>
      </c>
    </row>
    <row r="16" spans="1:28" ht="11.25" customHeight="1" x14ac:dyDescent="0.25">
      <c r="A16" s="129"/>
      <c r="B16" s="129" t="s">
        <v>86</v>
      </c>
      <c r="C16" s="129" t="s">
        <v>24</v>
      </c>
      <c r="D16" s="38" t="s">
        <v>24</v>
      </c>
      <c r="E16" s="38" t="s">
        <v>25</v>
      </c>
      <c r="F16" s="38" t="s">
        <v>25</v>
      </c>
      <c r="G16" s="32" t="s">
        <v>84</v>
      </c>
      <c r="H16" s="32" t="s">
        <v>79</v>
      </c>
      <c r="I16" s="32">
        <f>'MERCADO TE'!$U$13</f>
        <v>451723.65600000008</v>
      </c>
      <c r="J16" s="17"/>
      <c r="L16" s="30">
        <f>'TE BE'!$L$16*'TE BF'!$L$54</f>
        <v>0</v>
      </c>
      <c r="M16" s="30">
        <f>'TE BE'!$M$16*'TE BF'!$M$54</f>
        <v>19.827595101544482</v>
      </c>
      <c r="N16" s="30">
        <f>'TE BE'!$N$16*'TE BF'!$N$54</f>
        <v>0</v>
      </c>
      <c r="O16" s="30">
        <f>'TE BE'!$O$16*'TE BF'!$O$54</f>
        <v>0.53331219842864763</v>
      </c>
      <c r="P16" s="30">
        <f>'TE BE'!$P$16*'TE BF'!$P$54</f>
        <v>0</v>
      </c>
      <c r="Q16" s="30">
        <f>SUM($L$16:$P$16)</f>
        <v>20.360907299973128</v>
      </c>
      <c r="R16" s="30">
        <f>'TE BE'!$R$16*'TE BF'!$R$54</f>
        <v>59.701740029217603</v>
      </c>
      <c r="S16" s="30">
        <f>SUM($R$16:$R$16)</f>
        <v>59.701740029217603</v>
      </c>
      <c r="T16" s="30">
        <f>'TE BE'!$T$16*'TE BF'!$T$54</f>
        <v>0</v>
      </c>
      <c r="U16" s="30">
        <f>'TE BE'!$U$16*'TE BF'!$U$54</f>
        <v>0</v>
      </c>
      <c r="V16" s="30">
        <f>'TE BE'!$V$16*'TE BF'!$V$54</f>
        <v>0</v>
      </c>
      <c r="W16" s="30">
        <f>SUM($T$16:$V$16)</f>
        <v>0</v>
      </c>
      <c r="X16" s="30">
        <f>'TE BE'!$AB$16*'TE BF'!$X$54</f>
        <v>0</v>
      </c>
      <c r="Y16" s="30">
        <f>SUM($X$16:$X$16)</f>
        <v>0</v>
      </c>
      <c r="Z16" s="30">
        <f>'TE BE'!$Z$16*'TE BF'!$Z$54</f>
        <v>1.6585836138434573</v>
      </c>
      <c r="AA16" s="30">
        <f>SUM($Z$16:$Z$16)</f>
        <v>1.6585836138434573</v>
      </c>
      <c r="AB16" s="30">
        <f>SUMIF($L$4:$AA$4,"SUBTOTAL",$L$16:$AA$16)</f>
        <v>81.721230943034186</v>
      </c>
    </row>
    <row r="17" spans="1:28" ht="11.25" customHeight="1" x14ac:dyDescent="0.25">
      <c r="A17" s="129"/>
      <c r="B17" s="129"/>
      <c r="C17" s="129"/>
      <c r="D17" s="38" t="s">
        <v>29</v>
      </c>
      <c r="E17" s="38" t="s">
        <v>25</v>
      </c>
      <c r="F17" s="38" t="s">
        <v>25</v>
      </c>
      <c r="G17" s="32" t="s">
        <v>84</v>
      </c>
      <c r="H17" s="32" t="s">
        <v>79</v>
      </c>
      <c r="I17" s="32">
        <f>'MERCADO TE'!$U$14</f>
        <v>15278.746999999999</v>
      </c>
      <c r="J17" s="17"/>
      <c r="L17" s="30">
        <f>'TE BE'!$L$17*'TE BF'!$L$54</f>
        <v>0</v>
      </c>
      <c r="M17" s="30">
        <f>'TE BE'!$M$17*'TE BF'!$M$54</f>
        <v>19.827595101544482</v>
      </c>
      <c r="N17" s="30">
        <f>'TE BE'!$N$17*'TE BF'!$N$54</f>
        <v>0</v>
      </c>
      <c r="O17" s="30">
        <f>'TE BE'!$O$17*'TE BF'!$O$54</f>
        <v>0.53331219842864763</v>
      </c>
      <c r="P17" s="30">
        <f>'TE BE'!$P$17*'TE BF'!$P$54</f>
        <v>0</v>
      </c>
      <c r="Q17" s="30">
        <f>SUM($L$17:$P$17)</f>
        <v>20.360907299973128</v>
      </c>
      <c r="R17" s="30">
        <f>'TE BE'!$R$17*'TE BF'!$R$54</f>
        <v>59.701740029217603</v>
      </c>
      <c r="S17" s="30">
        <f>SUM($R$17:$R$17)</f>
        <v>59.701740029217603</v>
      </c>
      <c r="T17" s="30">
        <f>'TE BE'!$T$17*'TE BF'!$T$54</f>
        <v>0</v>
      </c>
      <c r="U17" s="30">
        <f>'TE BE'!$U$17*'TE BF'!$U$54</f>
        <v>0</v>
      </c>
      <c r="V17" s="30">
        <f>'TE BE'!$V$17*'TE BF'!$V$54</f>
        <v>0</v>
      </c>
      <c r="W17" s="30">
        <f>SUM($T$17:$V$17)</f>
        <v>0</v>
      </c>
      <c r="X17" s="30">
        <f>'TE BE'!$AB$17*'TE BF'!$X$54</f>
        <v>0</v>
      </c>
      <c r="Y17" s="30">
        <f>SUM($X$17:$X$17)</f>
        <v>0</v>
      </c>
      <c r="Z17" s="30">
        <f>'TE BE'!$Z$17*'TE BF'!$Z$54</f>
        <v>1.6585836138434573</v>
      </c>
      <c r="AA17" s="30">
        <f>SUM($Z$17:$Z$17)</f>
        <v>1.6585836138434573</v>
      </c>
      <c r="AB17" s="30">
        <f>SUMIF($L$4:$AA$4,"SUBTOTAL",$L$17:$AA$17)</f>
        <v>81.721230943034186</v>
      </c>
    </row>
    <row r="18" spans="1:28" ht="11.25" customHeight="1" x14ac:dyDescent="0.25">
      <c r="A18" s="129"/>
      <c r="B18" s="129"/>
      <c r="C18" s="129"/>
      <c r="D18" s="38" t="s">
        <v>30</v>
      </c>
      <c r="E18" s="38" t="s">
        <v>25</v>
      </c>
      <c r="F18" s="38" t="s">
        <v>25</v>
      </c>
      <c r="G18" s="32" t="s">
        <v>84</v>
      </c>
      <c r="H18" s="32" t="s">
        <v>79</v>
      </c>
      <c r="I18" s="32">
        <f>'MERCADO TE'!$U$15</f>
        <v>21966.755000000005</v>
      </c>
      <c r="J18" s="17"/>
      <c r="L18" s="30">
        <f>'TE BE'!$L$18*'TE BF'!$L$54</f>
        <v>0</v>
      </c>
      <c r="M18" s="30">
        <f>'TE BE'!$M$18*'TE BF'!$M$54</f>
        <v>19.827595101544482</v>
      </c>
      <c r="N18" s="30">
        <f>'TE BE'!$N$18*'TE BF'!$N$54</f>
        <v>0</v>
      </c>
      <c r="O18" s="30">
        <f>'TE BE'!$O$18*'TE BF'!$O$54</f>
        <v>0.53331219842864763</v>
      </c>
      <c r="P18" s="30">
        <f>'TE BE'!$P$18*'TE BF'!$P$54</f>
        <v>0</v>
      </c>
      <c r="Q18" s="30">
        <f>SUM($L$18:$P$18)</f>
        <v>20.360907299973128</v>
      </c>
      <c r="R18" s="30">
        <f>'TE BE'!$R$18*'TE BF'!$R$54</f>
        <v>59.701740029217603</v>
      </c>
      <c r="S18" s="30">
        <f>SUM($R$18:$R$18)</f>
        <v>59.701740029217603</v>
      </c>
      <c r="T18" s="30">
        <f>'TE BE'!$T$18*'TE BF'!$T$54</f>
        <v>0</v>
      </c>
      <c r="U18" s="30">
        <f>'TE BE'!$U$18*'TE BF'!$U$54</f>
        <v>0</v>
      </c>
      <c r="V18" s="30">
        <f>'TE BE'!$V$18*'TE BF'!$V$54</f>
        <v>0</v>
      </c>
      <c r="W18" s="30">
        <f>SUM($T$18:$V$18)</f>
        <v>0</v>
      </c>
      <c r="X18" s="30">
        <f>'TE BE'!$AB$18*'TE BF'!$X$54</f>
        <v>0</v>
      </c>
      <c r="Y18" s="30">
        <f>SUM($X$18:$X$18)</f>
        <v>0</v>
      </c>
      <c r="Z18" s="30">
        <f>'TE BE'!$Z$18*'TE BF'!$Z$54</f>
        <v>1.6585836138434573</v>
      </c>
      <c r="AA18" s="30">
        <f>SUM($Z$18:$Z$18)</f>
        <v>1.6585836138434573</v>
      </c>
      <c r="AB18" s="30">
        <f>SUMIF($L$4:$AA$4,"SUBTOTAL",$L$18:$AA$18)</f>
        <v>81.721230943034186</v>
      </c>
    </row>
    <row r="19" spans="1:28" ht="11.25" customHeight="1" x14ac:dyDescent="0.25">
      <c r="A19" s="129"/>
      <c r="B19" s="129"/>
      <c r="C19" s="129"/>
      <c r="D19" s="38" t="s">
        <v>31</v>
      </c>
      <c r="E19" s="38" t="s">
        <v>25</v>
      </c>
      <c r="F19" s="38" t="s">
        <v>25</v>
      </c>
      <c r="G19" s="32" t="s">
        <v>84</v>
      </c>
      <c r="H19" s="32" t="s">
        <v>79</v>
      </c>
      <c r="I19" s="32">
        <f>'MERCADO TE'!$U$16</f>
        <v>24083.450999999997</v>
      </c>
      <c r="J19" s="17"/>
      <c r="L19" s="30">
        <f>'TE BE'!$L$19*'TE BF'!$L$54</f>
        <v>0</v>
      </c>
      <c r="M19" s="30">
        <f>'TE BE'!$M$19*'TE BF'!$M$54</f>
        <v>19.827595101544482</v>
      </c>
      <c r="N19" s="30">
        <f>'TE BE'!$N$19*'TE BF'!$N$54</f>
        <v>0</v>
      </c>
      <c r="O19" s="30">
        <f>'TE BE'!$O$19*'TE BF'!$O$54</f>
        <v>0.53331219842864763</v>
      </c>
      <c r="P19" s="30">
        <f>'TE BE'!$P$19*'TE BF'!$P$54</f>
        <v>0</v>
      </c>
      <c r="Q19" s="30">
        <f>SUM($L$19:$P$19)</f>
        <v>20.360907299973128</v>
      </c>
      <c r="R19" s="30">
        <f>'TE BE'!$R$19*'TE BF'!$R$54</f>
        <v>59.701740029217603</v>
      </c>
      <c r="S19" s="30">
        <f>SUM($R$19:$R$19)</f>
        <v>59.701740029217603</v>
      </c>
      <c r="T19" s="30">
        <f>'TE BE'!$T$19*'TE BF'!$T$54</f>
        <v>0</v>
      </c>
      <c r="U19" s="30">
        <f>'TE BE'!$U$19*'TE BF'!$U$54</f>
        <v>0</v>
      </c>
      <c r="V19" s="30">
        <f>'TE BE'!$V$19*'TE BF'!$V$54</f>
        <v>0</v>
      </c>
      <c r="W19" s="30">
        <f>SUM($T$19:$V$19)</f>
        <v>0</v>
      </c>
      <c r="X19" s="30">
        <f>'TE BE'!$AB$19*'TE BF'!$X$54</f>
        <v>0</v>
      </c>
      <c r="Y19" s="30">
        <f>SUM($X$19:$X$19)</f>
        <v>0</v>
      </c>
      <c r="Z19" s="30">
        <f>'TE BE'!$Z$19*'TE BF'!$Z$54</f>
        <v>1.6585836138434573</v>
      </c>
      <c r="AA19" s="30">
        <f>SUM($Z$19:$Z$19)</f>
        <v>1.6585836138434573</v>
      </c>
      <c r="AB19" s="30">
        <f>SUMIF($L$4:$AA$4,"SUBTOTAL",$L$19:$AA$19)</f>
        <v>81.721230943034186</v>
      </c>
    </row>
    <row r="20" spans="1:28" ht="11.25" customHeight="1" x14ac:dyDescent="0.25">
      <c r="A20" s="129"/>
      <c r="B20" s="129"/>
      <c r="C20" s="129"/>
      <c r="D20" s="38" t="s">
        <v>32</v>
      </c>
      <c r="E20" s="38" t="s">
        <v>25</v>
      </c>
      <c r="F20" s="38" t="s">
        <v>25</v>
      </c>
      <c r="G20" s="32" t="s">
        <v>84</v>
      </c>
      <c r="H20" s="32" t="s">
        <v>79</v>
      </c>
      <c r="I20" s="32">
        <f>'MERCADO TE'!$U$17</f>
        <v>30371.136999999999</v>
      </c>
      <c r="J20" s="17"/>
      <c r="L20" s="30">
        <f>'TE BE'!$L$20*'TE BF'!$L$54</f>
        <v>0</v>
      </c>
      <c r="M20" s="30">
        <f>'TE BE'!$M$20*'TE BF'!$M$54</f>
        <v>19.827595101544482</v>
      </c>
      <c r="N20" s="30">
        <f>'TE BE'!$N$20*'TE BF'!$N$54</f>
        <v>0</v>
      </c>
      <c r="O20" s="30">
        <f>'TE BE'!$O$20*'TE BF'!$O$54</f>
        <v>0.53331219842864763</v>
      </c>
      <c r="P20" s="30">
        <f>'TE BE'!$P$20*'TE BF'!$P$54</f>
        <v>0</v>
      </c>
      <c r="Q20" s="30">
        <f>SUM($L$20:$P$20)</f>
        <v>20.360907299973128</v>
      </c>
      <c r="R20" s="30">
        <f>'TE BE'!$R$20*'TE BF'!$R$54</f>
        <v>59.701740029217603</v>
      </c>
      <c r="S20" s="30">
        <f>SUM($R$20:$R$20)</f>
        <v>59.701740029217603</v>
      </c>
      <c r="T20" s="30">
        <f>'TE BE'!$T$20*'TE BF'!$T$54</f>
        <v>0</v>
      </c>
      <c r="U20" s="30">
        <f>'TE BE'!$U$20*'TE BF'!$U$54</f>
        <v>0</v>
      </c>
      <c r="V20" s="30">
        <f>'TE BE'!$V$20*'TE BF'!$V$54</f>
        <v>0</v>
      </c>
      <c r="W20" s="30">
        <f>SUM($T$20:$V$20)</f>
        <v>0</v>
      </c>
      <c r="X20" s="30">
        <f>'TE BE'!$AB$20*'TE BF'!$X$54</f>
        <v>0</v>
      </c>
      <c r="Y20" s="30">
        <f>SUM($X$20:$X$20)</f>
        <v>0</v>
      </c>
      <c r="Z20" s="30">
        <f>'TE BE'!$Z$20*'TE BF'!$Z$54</f>
        <v>1.6585836138434573</v>
      </c>
      <c r="AA20" s="30">
        <f>SUM($Z$20:$Z$20)</f>
        <v>1.6585836138434573</v>
      </c>
      <c r="AB20" s="30">
        <f>SUMIF($L$4:$AA$4,"SUBTOTAL",$L$20:$AA$20)</f>
        <v>81.721230943034186</v>
      </c>
    </row>
    <row r="21" spans="1:28" ht="11.25" customHeight="1" x14ac:dyDescent="0.25">
      <c r="A21" s="129"/>
      <c r="B21" s="129" t="s">
        <v>91</v>
      </c>
      <c r="C21" s="129" t="s">
        <v>24</v>
      </c>
      <c r="D21" s="38" t="s">
        <v>24</v>
      </c>
      <c r="E21" s="38" t="s">
        <v>25</v>
      </c>
      <c r="F21" s="38" t="s">
        <v>25</v>
      </c>
      <c r="G21" s="32" t="s">
        <v>84</v>
      </c>
      <c r="H21" s="32" t="s">
        <v>79</v>
      </c>
      <c r="I21" s="32">
        <f>'MERCADO TE'!$U$18</f>
        <v>0</v>
      </c>
      <c r="J21" s="17"/>
      <c r="L21" s="30">
        <f>'TE BE'!$L$21*'TE BF'!$L$54</f>
        <v>0</v>
      </c>
      <c r="M21" s="30">
        <f>'TE BE'!$M$21*'TE BF'!$M$54</f>
        <v>19.827595101544482</v>
      </c>
      <c r="N21" s="30">
        <f>'TE BE'!$N$21*'TE BF'!$N$54</f>
        <v>0</v>
      </c>
      <c r="O21" s="30">
        <f>'TE BE'!$O$21*'TE BF'!$O$54</f>
        <v>0.53331219842864763</v>
      </c>
      <c r="P21" s="30">
        <f>'TE BE'!$P$21*'TE BF'!$P$54</f>
        <v>0</v>
      </c>
      <c r="Q21" s="30">
        <f>SUM($L$21:$P$21)</f>
        <v>20.360907299973128</v>
      </c>
      <c r="R21" s="30">
        <f>'TE BE'!$R$21*'TE BF'!$R$54</f>
        <v>59.701740029217603</v>
      </c>
      <c r="S21" s="30">
        <f>SUM($R$21:$R$21)</f>
        <v>59.701740029217603</v>
      </c>
      <c r="T21" s="30">
        <f>'TE BE'!$T$21*'TE BF'!$T$54</f>
        <v>0</v>
      </c>
      <c r="U21" s="30">
        <f>'TE BE'!$U$21*'TE BF'!$U$54</f>
        <v>0</v>
      </c>
      <c r="V21" s="30">
        <f>'TE BE'!$V$21*'TE BF'!$V$54</f>
        <v>0</v>
      </c>
      <c r="W21" s="30">
        <f>SUM($T$21:$V$21)</f>
        <v>0</v>
      </c>
      <c r="X21" s="30">
        <f>'TE BE'!$AB$21*'TE BF'!$X$54</f>
        <v>0</v>
      </c>
      <c r="Y21" s="30">
        <f>SUM($X$21:$X$21)</f>
        <v>0</v>
      </c>
      <c r="Z21" s="30">
        <f>'TE BE'!$Z$21*'TE BF'!$Z$54</f>
        <v>1.6585836138434573</v>
      </c>
      <c r="AA21" s="30">
        <f>SUM($Z$21:$Z$21)</f>
        <v>1.6585836138434573</v>
      </c>
      <c r="AB21" s="30">
        <f>SUMIF($L$4:$AA$4,"SUBTOTAL",$L$21:$AA$21)</f>
        <v>81.721230943034186</v>
      </c>
    </row>
    <row r="22" spans="1:28" ht="11.25" customHeight="1" x14ac:dyDescent="0.25">
      <c r="A22" s="129"/>
      <c r="B22" s="129"/>
      <c r="C22" s="129"/>
      <c r="D22" s="38" t="s">
        <v>29</v>
      </c>
      <c r="E22" s="38" t="s">
        <v>25</v>
      </c>
      <c r="F22" s="38" t="s">
        <v>25</v>
      </c>
      <c r="G22" s="32" t="s">
        <v>84</v>
      </c>
      <c r="H22" s="32" t="s">
        <v>79</v>
      </c>
      <c r="I22" s="32">
        <f>'MERCADO TE'!$U$19</f>
        <v>0</v>
      </c>
      <c r="J22" s="17"/>
      <c r="L22" s="30">
        <f>'TE BE'!$L$22*'TE BF'!$L$54</f>
        <v>0</v>
      </c>
      <c r="M22" s="30">
        <f>'TE BE'!$M$22*'TE BF'!$M$54</f>
        <v>19.827595101544482</v>
      </c>
      <c r="N22" s="30">
        <f>'TE BE'!$N$22*'TE BF'!$N$54</f>
        <v>0</v>
      </c>
      <c r="O22" s="30">
        <f>'TE BE'!$O$22*'TE BF'!$O$54</f>
        <v>0.53331219842864763</v>
      </c>
      <c r="P22" s="30">
        <f>'TE BE'!$P$22*'TE BF'!$P$54</f>
        <v>0</v>
      </c>
      <c r="Q22" s="30">
        <f>SUM($L$22:$P$22)</f>
        <v>20.360907299973128</v>
      </c>
      <c r="R22" s="30">
        <f>'TE BE'!$R$22*'TE BF'!$R$54</f>
        <v>59.701740029217603</v>
      </c>
      <c r="S22" s="30">
        <f>SUM($R$22:$R$22)</f>
        <v>59.701740029217603</v>
      </c>
      <c r="T22" s="30">
        <f>'TE BE'!$T$22*'TE BF'!$T$54</f>
        <v>0</v>
      </c>
      <c r="U22" s="30">
        <f>'TE BE'!$U$22*'TE BF'!$U$54</f>
        <v>0</v>
      </c>
      <c r="V22" s="30">
        <f>'TE BE'!$V$22*'TE BF'!$V$54</f>
        <v>0</v>
      </c>
      <c r="W22" s="30">
        <f>SUM($T$22:$V$22)</f>
        <v>0</v>
      </c>
      <c r="X22" s="30">
        <f>'TE BE'!$AB$22*'TE BF'!$X$54</f>
        <v>0</v>
      </c>
      <c r="Y22" s="30">
        <f>SUM($X$22:$X$22)</f>
        <v>0</v>
      </c>
      <c r="Z22" s="30">
        <f>'TE BE'!$Z$22*'TE BF'!$Z$54</f>
        <v>1.6585836138434573</v>
      </c>
      <c r="AA22" s="30">
        <f>SUM($Z$22:$Z$22)</f>
        <v>1.6585836138434573</v>
      </c>
      <c r="AB22" s="30">
        <f>SUMIF($L$4:$AA$4,"SUBTOTAL",$L$22:$AA$22)</f>
        <v>81.721230943034186</v>
      </c>
    </row>
    <row r="23" spans="1:28" ht="11.25" customHeight="1" x14ac:dyDescent="0.25">
      <c r="A23" s="129"/>
      <c r="B23" s="129"/>
      <c r="C23" s="129"/>
      <c r="D23" s="38" t="s">
        <v>30</v>
      </c>
      <c r="E23" s="38" t="s">
        <v>25</v>
      </c>
      <c r="F23" s="38" t="s">
        <v>25</v>
      </c>
      <c r="G23" s="32" t="s">
        <v>84</v>
      </c>
      <c r="H23" s="32" t="s">
        <v>79</v>
      </c>
      <c r="I23" s="32">
        <f>'MERCADO TE'!$U$20</f>
        <v>0</v>
      </c>
      <c r="J23" s="17"/>
      <c r="L23" s="30">
        <f>'TE BE'!$L$23*'TE BF'!$L$54</f>
        <v>0</v>
      </c>
      <c r="M23" s="30">
        <f>'TE BE'!$M$23*'TE BF'!$M$54</f>
        <v>19.827595101544482</v>
      </c>
      <c r="N23" s="30">
        <f>'TE BE'!$N$23*'TE BF'!$N$54</f>
        <v>0</v>
      </c>
      <c r="O23" s="30">
        <f>'TE BE'!$O$23*'TE BF'!$O$54</f>
        <v>0.53331219842864763</v>
      </c>
      <c r="P23" s="30">
        <f>'TE BE'!$P$23*'TE BF'!$P$54</f>
        <v>0</v>
      </c>
      <c r="Q23" s="30">
        <f>SUM($L$23:$P$23)</f>
        <v>20.360907299973128</v>
      </c>
      <c r="R23" s="30">
        <f>'TE BE'!$R$23*'TE BF'!$R$54</f>
        <v>59.701740029217603</v>
      </c>
      <c r="S23" s="30">
        <f>SUM($R$23:$R$23)</f>
        <v>59.701740029217603</v>
      </c>
      <c r="T23" s="30">
        <f>'TE BE'!$T$23*'TE BF'!$T$54</f>
        <v>0</v>
      </c>
      <c r="U23" s="30">
        <f>'TE BE'!$U$23*'TE BF'!$U$54</f>
        <v>0</v>
      </c>
      <c r="V23" s="30">
        <f>'TE BE'!$V$23*'TE BF'!$V$54</f>
        <v>0</v>
      </c>
      <c r="W23" s="30">
        <f>SUM($T$23:$V$23)</f>
        <v>0</v>
      </c>
      <c r="X23" s="30">
        <f>'TE BE'!$AB$23*'TE BF'!$X$54</f>
        <v>0</v>
      </c>
      <c r="Y23" s="30">
        <f>SUM($X$23:$X$23)</f>
        <v>0</v>
      </c>
      <c r="Z23" s="30">
        <f>'TE BE'!$Z$23*'TE BF'!$Z$54</f>
        <v>1.6585836138434573</v>
      </c>
      <c r="AA23" s="30">
        <f>SUM($Z$23:$Z$23)</f>
        <v>1.6585836138434573</v>
      </c>
      <c r="AB23" s="30">
        <f>SUMIF($L$4:$AA$4,"SUBTOTAL",$L$23:$AA$23)</f>
        <v>81.721230943034186</v>
      </c>
    </row>
    <row r="24" spans="1:28" ht="11.25" customHeight="1" x14ac:dyDescent="0.25">
      <c r="A24" s="129"/>
      <c r="B24" s="129"/>
      <c r="C24" s="129"/>
      <c r="D24" s="38" t="s">
        <v>31</v>
      </c>
      <c r="E24" s="38" t="s">
        <v>25</v>
      </c>
      <c r="F24" s="38" t="s">
        <v>25</v>
      </c>
      <c r="G24" s="32" t="s">
        <v>84</v>
      </c>
      <c r="H24" s="32" t="s">
        <v>79</v>
      </c>
      <c r="I24" s="32">
        <f>'MERCADO TE'!$U$21</f>
        <v>0</v>
      </c>
      <c r="J24" s="17"/>
      <c r="L24" s="30">
        <f>'TE BE'!$L$24*'TE BF'!$L$54</f>
        <v>0</v>
      </c>
      <c r="M24" s="30">
        <f>'TE BE'!$M$24*'TE BF'!$M$54</f>
        <v>19.827595101544482</v>
      </c>
      <c r="N24" s="30">
        <f>'TE BE'!$N$24*'TE BF'!$N$54</f>
        <v>0</v>
      </c>
      <c r="O24" s="30">
        <f>'TE BE'!$O$24*'TE BF'!$O$54</f>
        <v>0.53331219842864763</v>
      </c>
      <c r="P24" s="30">
        <f>'TE BE'!$P$24*'TE BF'!$P$54</f>
        <v>0</v>
      </c>
      <c r="Q24" s="30">
        <f>SUM($L$24:$P$24)</f>
        <v>20.360907299973128</v>
      </c>
      <c r="R24" s="30">
        <f>'TE BE'!$R$24*'TE BF'!$R$54</f>
        <v>59.701740029217603</v>
      </c>
      <c r="S24" s="30">
        <f>SUM($R$24:$R$24)</f>
        <v>59.701740029217603</v>
      </c>
      <c r="T24" s="30">
        <f>'TE BE'!$T$24*'TE BF'!$T$54</f>
        <v>0</v>
      </c>
      <c r="U24" s="30">
        <f>'TE BE'!$U$24*'TE BF'!$U$54</f>
        <v>0</v>
      </c>
      <c r="V24" s="30">
        <f>'TE BE'!$V$24*'TE BF'!$V$54</f>
        <v>0</v>
      </c>
      <c r="W24" s="30">
        <f>SUM($T$24:$V$24)</f>
        <v>0</v>
      </c>
      <c r="X24" s="30">
        <f>'TE BE'!$AB$24*'TE BF'!$X$54</f>
        <v>0</v>
      </c>
      <c r="Y24" s="30">
        <f>SUM($X$24:$X$24)</f>
        <v>0</v>
      </c>
      <c r="Z24" s="30">
        <f>'TE BE'!$Z$24*'TE BF'!$Z$54</f>
        <v>1.6585836138434573</v>
      </c>
      <c r="AA24" s="30">
        <f>SUM($Z$24:$Z$24)</f>
        <v>1.6585836138434573</v>
      </c>
      <c r="AB24" s="30">
        <f>SUMIF($L$4:$AA$4,"SUBTOTAL",$L$24:$AA$24)</f>
        <v>81.721230943034186</v>
      </c>
    </row>
    <row r="25" spans="1:28" ht="11.25" customHeight="1" x14ac:dyDescent="0.25">
      <c r="A25" s="129"/>
      <c r="B25" s="129"/>
      <c r="C25" s="129"/>
      <c r="D25" s="38" t="s">
        <v>32</v>
      </c>
      <c r="E25" s="38" t="s">
        <v>25</v>
      </c>
      <c r="F25" s="38" t="s">
        <v>25</v>
      </c>
      <c r="G25" s="32" t="s">
        <v>84</v>
      </c>
      <c r="H25" s="32" t="s">
        <v>79</v>
      </c>
      <c r="I25" s="32">
        <f>'MERCADO TE'!$U$22</f>
        <v>0</v>
      </c>
      <c r="J25" s="17"/>
      <c r="L25" s="30">
        <f>'TE BE'!$L$25*'TE BF'!$L$54</f>
        <v>0</v>
      </c>
      <c r="M25" s="30">
        <f>'TE BE'!$M$25*'TE BF'!$M$54</f>
        <v>19.827595101544482</v>
      </c>
      <c r="N25" s="30">
        <f>'TE BE'!$N$25*'TE BF'!$N$54</f>
        <v>0</v>
      </c>
      <c r="O25" s="30">
        <f>'TE BE'!$O$25*'TE BF'!$O$54</f>
        <v>0.53331219842864763</v>
      </c>
      <c r="P25" s="30">
        <f>'TE BE'!$P$25*'TE BF'!$P$54</f>
        <v>0</v>
      </c>
      <c r="Q25" s="30">
        <f>SUM($L$25:$P$25)</f>
        <v>20.360907299973128</v>
      </c>
      <c r="R25" s="30">
        <f>'TE BE'!$R$25*'TE BF'!$R$54</f>
        <v>59.701740029217603</v>
      </c>
      <c r="S25" s="30">
        <f>SUM($R$25:$R$25)</f>
        <v>59.701740029217603</v>
      </c>
      <c r="T25" s="30">
        <f>'TE BE'!$T$25*'TE BF'!$T$54</f>
        <v>0</v>
      </c>
      <c r="U25" s="30">
        <f>'TE BE'!$U$25*'TE BF'!$U$54</f>
        <v>0</v>
      </c>
      <c r="V25" s="30">
        <f>'TE BE'!$V$25*'TE BF'!$V$54</f>
        <v>0</v>
      </c>
      <c r="W25" s="30">
        <f>SUM($T$25:$V$25)</f>
        <v>0</v>
      </c>
      <c r="X25" s="30">
        <f>'TE BE'!$AB$25*'TE BF'!$X$54</f>
        <v>0</v>
      </c>
      <c r="Y25" s="30">
        <f>SUM($X$25:$X$25)</f>
        <v>0</v>
      </c>
      <c r="Z25" s="30">
        <f>'TE BE'!$Z$25*'TE BF'!$Z$54</f>
        <v>1.6585836138434573</v>
      </c>
      <c r="AA25" s="30">
        <f>SUM($Z$25:$Z$25)</f>
        <v>1.6585836138434573</v>
      </c>
      <c r="AB25" s="30">
        <f>SUMIF($L$4:$AA$4,"SUBTOTAL",$L$25:$AA$25)</f>
        <v>81.721230943034186</v>
      </c>
    </row>
    <row r="26" spans="1:28" ht="11.25" customHeight="1" x14ac:dyDescent="0.25">
      <c r="A26" s="129" t="s">
        <v>45</v>
      </c>
      <c r="B26" s="129" t="s">
        <v>78</v>
      </c>
      <c r="C26" s="129" t="s">
        <v>46</v>
      </c>
      <c r="D26" s="129" t="s">
        <v>25</v>
      </c>
      <c r="E26" s="129" t="s">
        <v>25</v>
      </c>
      <c r="F26" s="129" t="s">
        <v>25</v>
      </c>
      <c r="G26" s="32" t="s">
        <v>80</v>
      </c>
      <c r="H26" s="32" t="s">
        <v>79</v>
      </c>
      <c r="I26" s="32">
        <f>'MERCADO TE'!$U$23</f>
        <v>0</v>
      </c>
      <c r="J26" s="17"/>
      <c r="L26" s="30">
        <f>'TE BE'!$L$26*'TE BF'!$L$54</f>
        <v>0</v>
      </c>
      <c r="M26" s="30">
        <f>'TE BE'!$M$26*'TE BF'!$M$54</f>
        <v>19.827595101544482</v>
      </c>
      <c r="N26" s="30">
        <f>'TE BE'!$N$26*'TE BF'!$N$54</f>
        <v>0</v>
      </c>
      <c r="O26" s="30">
        <f>'TE BE'!$O$26*'TE BF'!$O$54</f>
        <v>0.53331219842864763</v>
      </c>
      <c r="P26" s="30">
        <f>'TE BE'!$P$26*'TE BF'!$P$54</f>
        <v>0</v>
      </c>
      <c r="Q26" s="30">
        <f>SUM($L$26:$P$26)</f>
        <v>20.360907299973128</v>
      </c>
      <c r="R26" s="30">
        <f>'TE BE'!$R$26*'TE BF'!$R$54</f>
        <v>96.874521556843646</v>
      </c>
      <c r="S26" s="30">
        <f>SUM($R$26:$R$26)</f>
        <v>96.874521556843646</v>
      </c>
      <c r="T26" s="30">
        <f>'TE BE'!$T$26*'TE BF'!$T$54</f>
        <v>0</v>
      </c>
      <c r="U26" s="30">
        <f>'TE BE'!$U$26*'TE BF'!$U$54</f>
        <v>0</v>
      </c>
      <c r="V26" s="30">
        <f>'TE BE'!$V$26*'TE BF'!$V$54</f>
        <v>0</v>
      </c>
      <c r="W26" s="30">
        <f>SUM($T$26:$V$26)</f>
        <v>0</v>
      </c>
      <c r="X26" s="30">
        <f>'TE BE'!$AB$26*'TE BF'!$X$54</f>
        <v>0</v>
      </c>
      <c r="Y26" s="30">
        <f>SUM($X$26:$X$26)</f>
        <v>0</v>
      </c>
      <c r="Z26" s="30">
        <f>'TE BE'!$Z$26*'TE BF'!$Z$54</f>
        <v>1.6585836138434573</v>
      </c>
      <c r="AA26" s="30">
        <f>SUM($Z$26:$Z$26)</f>
        <v>1.6585836138434573</v>
      </c>
      <c r="AB26" s="30">
        <f>SUMIF($L$4:$AA$4,"SUBTOTAL",$L$26:$AA$26)</f>
        <v>118.89401247066024</v>
      </c>
    </row>
    <row r="27" spans="1:28" ht="11.25" customHeight="1" x14ac:dyDescent="0.25">
      <c r="A27" s="129"/>
      <c r="B27" s="129"/>
      <c r="C27" s="129"/>
      <c r="D27" s="129"/>
      <c r="E27" s="129"/>
      <c r="F27" s="129"/>
      <c r="G27" s="32" t="s">
        <v>90</v>
      </c>
      <c r="H27" s="32" t="s">
        <v>79</v>
      </c>
      <c r="I27" s="32">
        <f>'MERCADO TE'!$U$24</f>
        <v>0</v>
      </c>
      <c r="J27" s="17"/>
      <c r="L27" s="30">
        <f>'TE BE'!$L$27*'TE BF'!$L$54</f>
        <v>0</v>
      </c>
      <c r="M27" s="30">
        <f>'TE BE'!$M$27*'TE BF'!$M$54</f>
        <v>19.827595101544482</v>
      </c>
      <c r="N27" s="30">
        <f>'TE BE'!$N$27*'TE BF'!$N$54</f>
        <v>0</v>
      </c>
      <c r="O27" s="30">
        <f>'TE BE'!$O$27*'TE BF'!$O$54</f>
        <v>0.53331219842864763</v>
      </c>
      <c r="P27" s="30">
        <f>'TE BE'!$P$27*'TE BF'!$P$54</f>
        <v>0</v>
      </c>
      <c r="Q27" s="30">
        <f>SUM($L$27:$P$27)</f>
        <v>20.360907299973128</v>
      </c>
      <c r="R27" s="30">
        <f>'TE BE'!$R$27*'TE BF'!$R$54</f>
        <v>56.322396253978866</v>
      </c>
      <c r="S27" s="30">
        <f>SUM($R$27:$R$27)</f>
        <v>56.322396253978866</v>
      </c>
      <c r="T27" s="30">
        <f>'TE BE'!$T$27*'TE BF'!$T$54</f>
        <v>0</v>
      </c>
      <c r="U27" s="30">
        <f>'TE BE'!$U$27*'TE BF'!$U$54</f>
        <v>0</v>
      </c>
      <c r="V27" s="30">
        <f>'TE BE'!$V$27*'TE BF'!$V$54</f>
        <v>0</v>
      </c>
      <c r="W27" s="30">
        <f>SUM($T$27:$V$27)</f>
        <v>0</v>
      </c>
      <c r="X27" s="30">
        <f>'TE BE'!$AB$27*'TE BF'!$X$54</f>
        <v>0</v>
      </c>
      <c r="Y27" s="30">
        <f>SUM($X$27:$X$27)</f>
        <v>0</v>
      </c>
      <c r="Z27" s="30">
        <f>'TE BE'!$Z$27*'TE BF'!$Z$54</f>
        <v>1.6585836138434573</v>
      </c>
      <c r="AA27" s="30">
        <f>SUM($Z$27:$Z$27)</f>
        <v>1.6585836138434573</v>
      </c>
      <c r="AB27" s="30">
        <f>SUMIF($L$4:$AA$4,"SUBTOTAL",$L$27:$AA$27)</f>
        <v>78.341887167795448</v>
      </c>
    </row>
    <row r="28" spans="1:28" ht="11.25" customHeight="1" x14ac:dyDescent="0.25">
      <c r="A28" s="129"/>
      <c r="B28" s="129"/>
      <c r="C28" s="129"/>
      <c r="D28" s="129"/>
      <c r="E28" s="129"/>
      <c r="F28" s="129"/>
      <c r="G28" s="32" t="s">
        <v>81</v>
      </c>
      <c r="H28" s="32" t="s">
        <v>79</v>
      </c>
      <c r="I28" s="32">
        <f>'MERCADO TE'!$U$25</f>
        <v>0</v>
      </c>
      <c r="J28" s="17"/>
      <c r="L28" s="30">
        <f>'TE BE'!$L$28*'TE BF'!$L$54</f>
        <v>0</v>
      </c>
      <c r="M28" s="30">
        <f>'TE BE'!$M$28*'TE BF'!$M$54</f>
        <v>19.827595101544482</v>
      </c>
      <c r="N28" s="30">
        <f>'TE BE'!$N$28*'TE BF'!$N$54</f>
        <v>0</v>
      </c>
      <c r="O28" s="30">
        <f>'TE BE'!$O$28*'TE BF'!$O$54</f>
        <v>0.53331219842864763</v>
      </c>
      <c r="P28" s="30">
        <f>'TE BE'!$P$28*'TE BF'!$P$54</f>
        <v>0</v>
      </c>
      <c r="Q28" s="30">
        <f>SUM($L$28:$P$28)</f>
        <v>20.360907299973128</v>
      </c>
      <c r="R28" s="30">
        <f>'TE BE'!$R$28*'TE BF'!$R$54</f>
        <v>56.322396253978866</v>
      </c>
      <c r="S28" s="30">
        <f>SUM($R$28:$R$28)</f>
        <v>56.322396253978866</v>
      </c>
      <c r="T28" s="30">
        <f>'TE BE'!$T$28*'TE BF'!$T$54</f>
        <v>0</v>
      </c>
      <c r="U28" s="30">
        <f>'TE BE'!$U$28*'TE BF'!$U$54</f>
        <v>0</v>
      </c>
      <c r="V28" s="30">
        <f>'TE BE'!$V$28*'TE BF'!$V$54</f>
        <v>0</v>
      </c>
      <c r="W28" s="30">
        <f>SUM($T$28:$V$28)</f>
        <v>0</v>
      </c>
      <c r="X28" s="30">
        <f>'TE BE'!$AB$28*'TE BF'!$X$54</f>
        <v>0</v>
      </c>
      <c r="Y28" s="30">
        <f>SUM($X$28:$X$28)</f>
        <v>0</v>
      </c>
      <c r="Z28" s="30">
        <f>'TE BE'!$Z$28*'TE BF'!$Z$54</f>
        <v>1.6585836138434573</v>
      </c>
      <c r="AA28" s="30">
        <f>SUM($Z$28:$Z$28)</f>
        <v>1.6585836138434573</v>
      </c>
      <c r="AB28" s="30">
        <f>SUMIF($L$4:$AA$4,"SUBTOTAL",$L$28:$AA$28)</f>
        <v>78.341887167795448</v>
      </c>
    </row>
    <row r="29" spans="1:28" ht="11.25" customHeight="1" x14ac:dyDescent="0.25">
      <c r="A29" s="129"/>
      <c r="B29" s="38" t="s">
        <v>86</v>
      </c>
      <c r="C29" s="38" t="s">
        <v>46</v>
      </c>
      <c r="D29" s="38" t="s">
        <v>25</v>
      </c>
      <c r="E29" s="38" t="s">
        <v>25</v>
      </c>
      <c r="F29" s="38" t="s">
        <v>25</v>
      </c>
      <c r="G29" s="32" t="s">
        <v>84</v>
      </c>
      <c r="H29" s="32" t="s">
        <v>79</v>
      </c>
      <c r="I29" s="32">
        <f>'MERCADO TE'!$U$26</f>
        <v>4146.1049999999996</v>
      </c>
      <c r="J29" s="17"/>
      <c r="L29" s="30">
        <f>'TE BE'!$L$29*'TE BF'!$L$54</f>
        <v>0</v>
      </c>
      <c r="M29" s="30">
        <f>'TE BE'!$M$29*'TE BF'!$M$54</f>
        <v>19.827595101544482</v>
      </c>
      <c r="N29" s="30">
        <f>'TE BE'!$N$29*'TE BF'!$N$54</f>
        <v>0</v>
      </c>
      <c r="O29" s="30">
        <f>'TE BE'!$O$29*'TE BF'!$O$54</f>
        <v>0.53331219842864763</v>
      </c>
      <c r="P29" s="30">
        <f>'TE BE'!$P$29*'TE BF'!$P$54</f>
        <v>0</v>
      </c>
      <c r="Q29" s="30">
        <f>SUM($L$29:$P$29)</f>
        <v>20.360907299973128</v>
      </c>
      <c r="R29" s="30">
        <f>'TE BE'!$R$29*'TE BF'!$R$54</f>
        <v>59.701740029217603</v>
      </c>
      <c r="S29" s="30">
        <f>SUM($R$29:$R$29)</f>
        <v>59.701740029217603</v>
      </c>
      <c r="T29" s="30">
        <f>'TE BE'!$T$29*'TE BF'!$T$54</f>
        <v>0</v>
      </c>
      <c r="U29" s="30">
        <f>'TE BE'!$U$29*'TE BF'!$U$54</f>
        <v>0</v>
      </c>
      <c r="V29" s="30">
        <f>'TE BE'!$V$29*'TE BF'!$V$54</f>
        <v>0</v>
      </c>
      <c r="W29" s="30">
        <f>SUM($T$29:$V$29)</f>
        <v>0</v>
      </c>
      <c r="X29" s="30">
        <f>'TE BE'!$AB$29*'TE BF'!$X$54</f>
        <v>0</v>
      </c>
      <c r="Y29" s="30">
        <f>SUM($X$29:$X$29)</f>
        <v>0</v>
      </c>
      <c r="Z29" s="30">
        <f>'TE BE'!$Z$29*'TE BF'!$Z$54</f>
        <v>1.6585836138434573</v>
      </c>
      <c r="AA29" s="30">
        <f>SUM($Z$29:$Z$29)</f>
        <v>1.6585836138434573</v>
      </c>
      <c r="AB29" s="30">
        <f>SUMIF($L$4:$AA$4,"SUBTOTAL",$L$29:$AA$29)</f>
        <v>81.721230943034186</v>
      </c>
    </row>
    <row r="30" spans="1:28" ht="11.25" customHeight="1" x14ac:dyDescent="0.25">
      <c r="A30" s="129"/>
      <c r="B30" s="129" t="s">
        <v>78</v>
      </c>
      <c r="C30" s="129" t="s">
        <v>46</v>
      </c>
      <c r="D30" s="129" t="s">
        <v>93</v>
      </c>
      <c r="E30" s="129" t="s">
        <v>25</v>
      </c>
      <c r="F30" s="129" t="s">
        <v>25</v>
      </c>
      <c r="G30" s="32" t="s">
        <v>80</v>
      </c>
      <c r="H30" s="32" t="s">
        <v>79</v>
      </c>
      <c r="I30" s="32">
        <f>'MERCADO TE'!$U$27</f>
        <v>0</v>
      </c>
      <c r="J30" s="17"/>
      <c r="L30" s="30">
        <f>'TE BE'!$L$30*'TE BF'!$L$54</f>
        <v>0</v>
      </c>
      <c r="M30" s="30">
        <f>'TE BE'!$M$30*'TE BF'!$M$54</f>
        <v>19.827595101544482</v>
      </c>
      <c r="N30" s="30">
        <f>'TE BE'!$N$30*'TE BF'!$N$54</f>
        <v>0</v>
      </c>
      <c r="O30" s="30">
        <f>'TE BE'!$O$30*'TE BF'!$O$54</f>
        <v>0.53331219842864763</v>
      </c>
      <c r="P30" s="30">
        <f>'TE BE'!$P$30*'TE BF'!$P$54</f>
        <v>0</v>
      </c>
      <c r="Q30" s="30">
        <f>SUM($L$30:$P$30)</f>
        <v>20.360907299973128</v>
      </c>
      <c r="R30" s="30">
        <f>'TE BE'!$R$30*'TE BF'!$R$54</f>
        <v>96.874521556843646</v>
      </c>
      <c r="S30" s="30">
        <f>SUM($R$30:$R$30)</f>
        <v>96.874521556843646</v>
      </c>
      <c r="T30" s="30">
        <f>'TE BE'!$T$30*'TE BF'!$T$54</f>
        <v>0</v>
      </c>
      <c r="U30" s="30">
        <f>'TE BE'!$U$30*'TE BF'!$U$54</f>
        <v>0</v>
      </c>
      <c r="V30" s="30">
        <f>'TE BE'!$V$30*'TE BF'!$V$54</f>
        <v>0</v>
      </c>
      <c r="W30" s="30">
        <f>SUM($T$30:$V$30)</f>
        <v>0</v>
      </c>
      <c r="X30" s="30">
        <f>'TE BE'!$AB$30*'TE BF'!$X$54</f>
        <v>0</v>
      </c>
      <c r="Y30" s="30">
        <f>SUM($X$30:$X$30)</f>
        <v>0</v>
      </c>
      <c r="Z30" s="30">
        <f>'TE BE'!$Z$30*'TE BF'!$Z$54</f>
        <v>1.6585836138434573</v>
      </c>
      <c r="AA30" s="30">
        <f>SUM($Z$30:$Z$30)</f>
        <v>1.6585836138434573</v>
      </c>
      <c r="AB30" s="30">
        <f>SUMIF($L$4:$AA$4,"SUBTOTAL",$L$30:$AA$30)</f>
        <v>118.89401247066024</v>
      </c>
    </row>
    <row r="31" spans="1:28" ht="11.25" customHeight="1" x14ac:dyDescent="0.25">
      <c r="A31" s="129"/>
      <c r="B31" s="129"/>
      <c r="C31" s="129"/>
      <c r="D31" s="129"/>
      <c r="E31" s="129"/>
      <c r="F31" s="129"/>
      <c r="G31" s="32" t="s">
        <v>90</v>
      </c>
      <c r="H31" s="32" t="s">
        <v>79</v>
      </c>
      <c r="I31" s="32">
        <f>'MERCADO TE'!$U$28</f>
        <v>0</v>
      </c>
      <c r="J31" s="17"/>
      <c r="L31" s="30">
        <f>'TE BE'!$L$31*'TE BF'!$L$54</f>
        <v>0</v>
      </c>
      <c r="M31" s="30">
        <f>'TE BE'!$M$31*'TE BF'!$M$54</f>
        <v>19.827595101544482</v>
      </c>
      <c r="N31" s="30">
        <f>'TE BE'!$N$31*'TE BF'!$N$54</f>
        <v>0</v>
      </c>
      <c r="O31" s="30">
        <f>'TE BE'!$O$31*'TE BF'!$O$54</f>
        <v>0.53331219842864763</v>
      </c>
      <c r="P31" s="30">
        <f>'TE BE'!$P$31*'TE BF'!$P$54</f>
        <v>0</v>
      </c>
      <c r="Q31" s="30">
        <f>SUM($L$31:$P$31)</f>
        <v>20.360907299973128</v>
      </c>
      <c r="R31" s="30">
        <f>'TE BE'!$R$31*'TE BF'!$R$54</f>
        <v>56.322396253978866</v>
      </c>
      <c r="S31" s="30">
        <f>SUM($R$31:$R$31)</f>
        <v>56.322396253978866</v>
      </c>
      <c r="T31" s="30">
        <f>'TE BE'!$T$31*'TE BF'!$T$54</f>
        <v>0</v>
      </c>
      <c r="U31" s="30">
        <f>'TE BE'!$U$31*'TE BF'!$U$54</f>
        <v>0</v>
      </c>
      <c r="V31" s="30">
        <f>'TE BE'!$V$31*'TE BF'!$V$54</f>
        <v>0</v>
      </c>
      <c r="W31" s="30">
        <f>SUM($T$31:$V$31)</f>
        <v>0</v>
      </c>
      <c r="X31" s="30">
        <f>'TE BE'!$AB$31*'TE BF'!$X$54</f>
        <v>0</v>
      </c>
      <c r="Y31" s="30">
        <f>SUM($X$31:$X$31)</f>
        <v>0</v>
      </c>
      <c r="Z31" s="30">
        <f>'TE BE'!$Z$31*'TE BF'!$Z$54</f>
        <v>1.6585836138434573</v>
      </c>
      <c r="AA31" s="30">
        <f>SUM($Z$31:$Z$31)</f>
        <v>1.6585836138434573</v>
      </c>
      <c r="AB31" s="30">
        <f>SUMIF($L$4:$AA$4,"SUBTOTAL",$L$31:$AA$31)</f>
        <v>78.341887167795448</v>
      </c>
    </row>
    <row r="32" spans="1:28" ht="11.25" customHeight="1" x14ac:dyDescent="0.25">
      <c r="A32" s="129"/>
      <c r="B32" s="129"/>
      <c r="C32" s="129"/>
      <c r="D32" s="129"/>
      <c r="E32" s="129"/>
      <c r="F32" s="129"/>
      <c r="G32" s="32" t="s">
        <v>81</v>
      </c>
      <c r="H32" s="32" t="s">
        <v>79</v>
      </c>
      <c r="I32" s="32">
        <f>'MERCADO TE'!$U$29</f>
        <v>0</v>
      </c>
      <c r="J32" s="17"/>
      <c r="L32" s="30">
        <f>'TE BE'!$L$32*'TE BF'!$L$54</f>
        <v>0</v>
      </c>
      <c r="M32" s="30">
        <f>'TE BE'!$M$32*'TE BF'!$M$54</f>
        <v>19.827595101544482</v>
      </c>
      <c r="N32" s="30">
        <f>'TE BE'!$N$32*'TE BF'!$N$54</f>
        <v>0</v>
      </c>
      <c r="O32" s="30">
        <f>'TE BE'!$O$32*'TE BF'!$O$54</f>
        <v>0.53331219842864763</v>
      </c>
      <c r="P32" s="30">
        <f>'TE BE'!$P$32*'TE BF'!$P$54</f>
        <v>0</v>
      </c>
      <c r="Q32" s="30">
        <f>SUM($L$32:$P$32)</f>
        <v>20.360907299973128</v>
      </c>
      <c r="R32" s="30">
        <f>'TE BE'!$R$32*'TE BF'!$R$54</f>
        <v>56.322396253978866</v>
      </c>
      <c r="S32" s="30">
        <f>SUM($R$32:$R$32)</f>
        <v>56.322396253978866</v>
      </c>
      <c r="T32" s="30">
        <f>'TE BE'!$T$32*'TE BF'!$T$54</f>
        <v>0</v>
      </c>
      <c r="U32" s="30">
        <f>'TE BE'!$U$32*'TE BF'!$U$54</f>
        <v>0</v>
      </c>
      <c r="V32" s="30">
        <f>'TE BE'!$V$32*'TE BF'!$V$54</f>
        <v>0</v>
      </c>
      <c r="W32" s="30">
        <f>SUM($T$32:$V$32)</f>
        <v>0</v>
      </c>
      <c r="X32" s="30">
        <f>'TE BE'!$AB$32*'TE BF'!$X$54</f>
        <v>0</v>
      </c>
      <c r="Y32" s="30">
        <f>SUM($X$32:$X$32)</f>
        <v>0</v>
      </c>
      <c r="Z32" s="30">
        <f>'TE BE'!$Z$32*'TE BF'!$Z$54</f>
        <v>1.6585836138434573</v>
      </c>
      <c r="AA32" s="30">
        <f>SUM($Z$32:$Z$32)</f>
        <v>1.6585836138434573</v>
      </c>
      <c r="AB32" s="30">
        <f>SUMIF($L$4:$AA$4,"SUBTOTAL",$L$32:$AA$32)</f>
        <v>78.341887167795448</v>
      </c>
    </row>
    <row r="33" spans="1:28" ht="11.25" customHeight="1" x14ac:dyDescent="0.25">
      <c r="A33" s="129"/>
      <c r="B33" s="38" t="s">
        <v>86</v>
      </c>
      <c r="C33" s="38" t="s">
        <v>46</v>
      </c>
      <c r="D33" s="38" t="s">
        <v>93</v>
      </c>
      <c r="E33" s="38" t="s">
        <v>25</v>
      </c>
      <c r="F33" s="38" t="s">
        <v>25</v>
      </c>
      <c r="G33" s="32" t="s">
        <v>84</v>
      </c>
      <c r="H33" s="32" t="s">
        <v>79</v>
      </c>
      <c r="I33" s="32">
        <f>'MERCADO TE'!$U$30</f>
        <v>0</v>
      </c>
      <c r="J33" s="17"/>
      <c r="L33" s="30">
        <f>'TE BE'!$L$33*'TE BF'!$L$54</f>
        <v>0</v>
      </c>
      <c r="M33" s="30">
        <f>'TE BE'!$M$33*'TE BF'!$M$54</f>
        <v>19.827595101544482</v>
      </c>
      <c r="N33" s="30">
        <f>'TE BE'!$N$33*'TE BF'!$N$54</f>
        <v>0</v>
      </c>
      <c r="O33" s="30">
        <f>'TE BE'!$O$33*'TE BF'!$O$54</f>
        <v>0.53331219842864763</v>
      </c>
      <c r="P33" s="30">
        <f>'TE BE'!$P$33*'TE BF'!$P$54</f>
        <v>0</v>
      </c>
      <c r="Q33" s="30">
        <f>SUM($L$33:$P$33)</f>
        <v>20.360907299973128</v>
      </c>
      <c r="R33" s="30">
        <f>'TE BE'!$R$33*'TE BF'!$R$54</f>
        <v>59.701740029217603</v>
      </c>
      <c r="S33" s="30">
        <f>SUM($R$33:$R$33)</f>
        <v>59.701740029217603</v>
      </c>
      <c r="T33" s="30">
        <f>'TE BE'!$T$33*'TE BF'!$T$54</f>
        <v>0</v>
      </c>
      <c r="U33" s="30">
        <f>'TE BE'!$U$33*'TE BF'!$U$54</f>
        <v>0</v>
      </c>
      <c r="V33" s="30">
        <f>'TE BE'!$V$33*'TE BF'!$V$54</f>
        <v>0</v>
      </c>
      <c r="W33" s="30">
        <f>SUM($T$33:$V$33)</f>
        <v>0</v>
      </c>
      <c r="X33" s="30">
        <f>'TE BE'!$AB$33*'TE BF'!$X$54</f>
        <v>0</v>
      </c>
      <c r="Y33" s="30">
        <f>SUM($X$33:$X$33)</f>
        <v>0</v>
      </c>
      <c r="Z33" s="30">
        <f>'TE BE'!$Z$33*'TE BF'!$Z$54</f>
        <v>1.6585836138434573</v>
      </c>
      <c r="AA33" s="30">
        <f>SUM($Z$33:$Z$33)</f>
        <v>1.6585836138434573</v>
      </c>
      <c r="AB33" s="30">
        <f>SUMIF($L$4:$AA$4,"SUBTOTAL",$L$33:$AA$33)</f>
        <v>81.721230943034186</v>
      </c>
    </row>
    <row r="34" spans="1:28" ht="11.25" customHeight="1" x14ac:dyDescent="0.25">
      <c r="A34" s="129"/>
      <c r="B34" s="129" t="s">
        <v>78</v>
      </c>
      <c r="C34" s="129" t="s">
        <v>46</v>
      </c>
      <c r="D34" s="129" t="s">
        <v>94</v>
      </c>
      <c r="E34" s="129" t="s">
        <v>25</v>
      </c>
      <c r="F34" s="129" t="s">
        <v>25</v>
      </c>
      <c r="G34" s="32" t="s">
        <v>80</v>
      </c>
      <c r="H34" s="32" t="s">
        <v>79</v>
      </c>
      <c r="I34" s="32">
        <f>'MERCADO TE'!$U$31</f>
        <v>0</v>
      </c>
      <c r="J34" s="17"/>
      <c r="L34" s="30">
        <f>'TE BE'!$L$34*'TE BF'!$L$54</f>
        <v>0</v>
      </c>
      <c r="M34" s="30">
        <f>'TE BE'!$M$34*'TE BF'!$M$54</f>
        <v>19.827595101544482</v>
      </c>
      <c r="N34" s="30">
        <f>'TE BE'!$N$34*'TE BF'!$N$54</f>
        <v>0</v>
      </c>
      <c r="O34" s="30">
        <f>'TE BE'!$O$34*'TE BF'!$O$54</f>
        <v>0.53331219842864763</v>
      </c>
      <c r="P34" s="30">
        <f>'TE BE'!$P$34*'TE BF'!$P$54</f>
        <v>0</v>
      </c>
      <c r="Q34" s="30">
        <f>SUM($L$34:$P$34)</f>
        <v>20.360907299973128</v>
      </c>
      <c r="R34" s="30">
        <f>'TE BE'!$R$34*'TE BF'!$R$54</f>
        <v>96.874521556843646</v>
      </c>
      <c r="S34" s="30">
        <f>SUM($R$34:$R$34)</f>
        <v>96.874521556843646</v>
      </c>
      <c r="T34" s="30">
        <f>'TE BE'!$T$34*'TE BF'!$T$54</f>
        <v>0</v>
      </c>
      <c r="U34" s="30">
        <f>'TE BE'!$U$34*'TE BF'!$U$54</f>
        <v>0</v>
      </c>
      <c r="V34" s="30">
        <f>'TE BE'!$V$34*'TE BF'!$V$54</f>
        <v>0</v>
      </c>
      <c r="W34" s="30">
        <f>SUM($T$34:$V$34)</f>
        <v>0</v>
      </c>
      <c r="X34" s="30">
        <f>'TE BE'!$AB$34*'TE BF'!$X$54</f>
        <v>0</v>
      </c>
      <c r="Y34" s="30">
        <f>SUM($X$34:$X$34)</f>
        <v>0</v>
      </c>
      <c r="Z34" s="30">
        <f>'TE BE'!$Z$34*'TE BF'!$Z$54</f>
        <v>1.6585836138434573</v>
      </c>
      <c r="AA34" s="30">
        <f>SUM($Z$34:$Z$34)</f>
        <v>1.6585836138434573</v>
      </c>
      <c r="AB34" s="30">
        <f>SUMIF($L$4:$AA$4,"SUBTOTAL",$L$34:$AA$34)</f>
        <v>118.89401247066024</v>
      </c>
    </row>
    <row r="35" spans="1:28" ht="11.25" customHeight="1" x14ac:dyDescent="0.25">
      <c r="A35" s="129"/>
      <c r="B35" s="129"/>
      <c r="C35" s="129"/>
      <c r="D35" s="129"/>
      <c r="E35" s="129"/>
      <c r="F35" s="129"/>
      <c r="G35" s="32" t="s">
        <v>90</v>
      </c>
      <c r="H35" s="32" t="s">
        <v>79</v>
      </c>
      <c r="I35" s="32">
        <f>'MERCADO TE'!$U$32</f>
        <v>0</v>
      </c>
      <c r="J35" s="17"/>
      <c r="L35" s="30">
        <f>'TE BE'!$L$35*'TE BF'!$L$54</f>
        <v>0</v>
      </c>
      <c r="M35" s="30">
        <f>'TE BE'!$M$35*'TE BF'!$M$54</f>
        <v>19.827595101544482</v>
      </c>
      <c r="N35" s="30">
        <f>'TE BE'!$N$35*'TE BF'!$N$54</f>
        <v>0</v>
      </c>
      <c r="O35" s="30">
        <f>'TE BE'!$O$35*'TE BF'!$O$54</f>
        <v>0.53331219842864763</v>
      </c>
      <c r="P35" s="30">
        <f>'TE BE'!$P$35*'TE BF'!$P$54</f>
        <v>0</v>
      </c>
      <c r="Q35" s="30">
        <f>SUM($L$35:$P$35)</f>
        <v>20.360907299973128</v>
      </c>
      <c r="R35" s="30">
        <f>'TE BE'!$R$35*'TE BF'!$R$54</f>
        <v>56.322396253978866</v>
      </c>
      <c r="S35" s="30">
        <f>SUM($R$35:$R$35)</f>
        <v>56.322396253978866</v>
      </c>
      <c r="T35" s="30">
        <f>'TE BE'!$T$35*'TE BF'!$T$54</f>
        <v>0</v>
      </c>
      <c r="U35" s="30">
        <f>'TE BE'!$U$35*'TE BF'!$U$54</f>
        <v>0</v>
      </c>
      <c r="V35" s="30">
        <f>'TE BE'!$V$35*'TE BF'!$V$54</f>
        <v>0</v>
      </c>
      <c r="W35" s="30">
        <f>SUM($T$35:$V$35)</f>
        <v>0</v>
      </c>
      <c r="X35" s="30">
        <f>'TE BE'!$AB$35*'TE BF'!$X$54</f>
        <v>0</v>
      </c>
      <c r="Y35" s="30">
        <f>SUM($X$35:$X$35)</f>
        <v>0</v>
      </c>
      <c r="Z35" s="30">
        <f>'TE BE'!$Z$35*'TE BF'!$Z$54</f>
        <v>1.6585836138434573</v>
      </c>
      <c r="AA35" s="30">
        <f>SUM($Z$35:$Z$35)</f>
        <v>1.6585836138434573</v>
      </c>
      <c r="AB35" s="30">
        <f>SUMIF($L$4:$AA$4,"SUBTOTAL",$L$35:$AA$35)</f>
        <v>78.341887167795448</v>
      </c>
    </row>
    <row r="36" spans="1:28" ht="11.25" customHeight="1" x14ac:dyDescent="0.25">
      <c r="A36" s="129"/>
      <c r="B36" s="129"/>
      <c r="C36" s="129"/>
      <c r="D36" s="129"/>
      <c r="E36" s="129"/>
      <c r="F36" s="129"/>
      <c r="G36" s="32" t="s">
        <v>81</v>
      </c>
      <c r="H36" s="32" t="s">
        <v>79</v>
      </c>
      <c r="I36" s="32">
        <f>'MERCADO TE'!$U$33</f>
        <v>0</v>
      </c>
      <c r="J36" s="17"/>
      <c r="L36" s="30">
        <f>'TE BE'!$L$36*'TE BF'!$L$54</f>
        <v>0</v>
      </c>
      <c r="M36" s="30">
        <f>'TE BE'!$M$36*'TE BF'!$M$54</f>
        <v>19.827595101544482</v>
      </c>
      <c r="N36" s="30">
        <f>'TE BE'!$N$36*'TE BF'!$N$54</f>
        <v>0</v>
      </c>
      <c r="O36" s="30">
        <f>'TE BE'!$O$36*'TE BF'!$O$54</f>
        <v>0.53331219842864763</v>
      </c>
      <c r="P36" s="30">
        <f>'TE BE'!$P$36*'TE BF'!$P$54</f>
        <v>0</v>
      </c>
      <c r="Q36" s="30">
        <f>SUM($L$36:$P$36)</f>
        <v>20.360907299973128</v>
      </c>
      <c r="R36" s="30">
        <f>'TE BE'!$R$36*'TE BF'!$R$54</f>
        <v>56.322396253978866</v>
      </c>
      <c r="S36" s="30">
        <f>SUM($R$36:$R$36)</f>
        <v>56.322396253978866</v>
      </c>
      <c r="T36" s="30">
        <f>'TE BE'!$T$36*'TE BF'!$T$54</f>
        <v>0</v>
      </c>
      <c r="U36" s="30">
        <f>'TE BE'!$U$36*'TE BF'!$U$54</f>
        <v>0</v>
      </c>
      <c r="V36" s="30">
        <f>'TE BE'!$V$36*'TE BF'!$V$54</f>
        <v>0</v>
      </c>
      <c r="W36" s="30">
        <f>SUM($T$36:$V$36)</f>
        <v>0</v>
      </c>
      <c r="X36" s="30">
        <f>'TE BE'!$AB$36*'TE BF'!$X$54</f>
        <v>0</v>
      </c>
      <c r="Y36" s="30">
        <f>SUM($X$36:$X$36)</f>
        <v>0</v>
      </c>
      <c r="Z36" s="30">
        <f>'TE BE'!$Z$36*'TE BF'!$Z$54</f>
        <v>1.6585836138434573</v>
      </c>
      <c r="AA36" s="30">
        <f>SUM($Z$36:$Z$36)</f>
        <v>1.6585836138434573</v>
      </c>
      <c r="AB36" s="30">
        <f>SUMIF($L$4:$AA$4,"SUBTOTAL",$L$36:$AA$36)</f>
        <v>78.341887167795448</v>
      </c>
    </row>
    <row r="37" spans="1:28" ht="11.25" customHeight="1" x14ac:dyDescent="0.25">
      <c r="A37" s="129"/>
      <c r="B37" s="38" t="s">
        <v>86</v>
      </c>
      <c r="C37" s="38" t="s">
        <v>46</v>
      </c>
      <c r="D37" s="38" t="s">
        <v>94</v>
      </c>
      <c r="E37" s="38" t="s">
        <v>25</v>
      </c>
      <c r="F37" s="38" t="s">
        <v>25</v>
      </c>
      <c r="G37" s="32" t="s">
        <v>84</v>
      </c>
      <c r="H37" s="32" t="s">
        <v>79</v>
      </c>
      <c r="I37" s="32">
        <f>'MERCADO TE'!$U$34</f>
        <v>0</v>
      </c>
      <c r="J37" s="17"/>
      <c r="L37" s="30">
        <f>'TE BE'!$L$37*'TE BF'!$L$54</f>
        <v>0</v>
      </c>
      <c r="M37" s="30">
        <f>'TE BE'!$M$37*'TE BF'!$M$54</f>
        <v>19.827595101544482</v>
      </c>
      <c r="N37" s="30">
        <f>'TE BE'!$N$37*'TE BF'!$N$54</f>
        <v>0</v>
      </c>
      <c r="O37" s="30">
        <f>'TE BE'!$O$37*'TE BF'!$O$54</f>
        <v>0.53331219842864763</v>
      </c>
      <c r="P37" s="30">
        <f>'TE BE'!$P$37*'TE BF'!$P$54</f>
        <v>0</v>
      </c>
      <c r="Q37" s="30">
        <f>SUM($L$37:$P$37)</f>
        <v>20.360907299973128</v>
      </c>
      <c r="R37" s="30">
        <f>'TE BE'!$R$37*'TE BF'!$R$54</f>
        <v>59.701740029217603</v>
      </c>
      <c r="S37" s="30">
        <f>SUM($R$37:$R$37)</f>
        <v>59.701740029217603</v>
      </c>
      <c r="T37" s="30">
        <f>'TE BE'!$T$37*'TE BF'!$T$54</f>
        <v>0</v>
      </c>
      <c r="U37" s="30">
        <f>'TE BE'!$U$37*'TE BF'!$U$54</f>
        <v>0</v>
      </c>
      <c r="V37" s="30">
        <f>'TE BE'!$V$37*'TE BF'!$V$54</f>
        <v>0</v>
      </c>
      <c r="W37" s="30">
        <f>SUM($T$37:$V$37)</f>
        <v>0</v>
      </c>
      <c r="X37" s="30">
        <f>'TE BE'!$AB$37*'TE BF'!$X$54</f>
        <v>0</v>
      </c>
      <c r="Y37" s="30">
        <f>SUM($X$37:$X$37)</f>
        <v>0</v>
      </c>
      <c r="Z37" s="30">
        <f>'TE BE'!$Z$37*'TE BF'!$Z$54</f>
        <v>1.6585836138434573</v>
      </c>
      <c r="AA37" s="30">
        <f>SUM($Z$37:$Z$37)</f>
        <v>1.6585836138434573</v>
      </c>
      <c r="AB37" s="30">
        <f>SUMIF($L$4:$AA$4,"SUBTOTAL",$L$37:$AA$37)</f>
        <v>81.721230943034186</v>
      </c>
    </row>
    <row r="38" spans="1:28" ht="11.25" customHeight="1" x14ac:dyDescent="0.25">
      <c r="A38" s="129"/>
      <c r="B38" s="129" t="s">
        <v>91</v>
      </c>
      <c r="C38" s="129" t="s">
        <v>46</v>
      </c>
      <c r="D38" s="38" t="s">
        <v>25</v>
      </c>
      <c r="E38" s="38" t="s">
        <v>25</v>
      </c>
      <c r="F38" s="38" t="s">
        <v>25</v>
      </c>
      <c r="G38" s="32" t="s">
        <v>84</v>
      </c>
      <c r="H38" s="32" t="s">
        <v>79</v>
      </c>
      <c r="I38" s="32">
        <f>'MERCADO TE'!$U$35</f>
        <v>0</v>
      </c>
      <c r="J38" s="17"/>
      <c r="L38" s="30">
        <f>'TE BE'!$L$38*'TE BF'!$L$54</f>
        <v>0</v>
      </c>
      <c r="M38" s="30">
        <f>'TE BE'!$M$38*'TE BF'!$M$54</f>
        <v>19.827595101544482</v>
      </c>
      <c r="N38" s="30">
        <f>'TE BE'!$N$38*'TE BF'!$N$54</f>
        <v>0</v>
      </c>
      <c r="O38" s="30">
        <f>'TE BE'!$O$38*'TE BF'!$O$54</f>
        <v>0.53331219842864763</v>
      </c>
      <c r="P38" s="30">
        <f>'TE BE'!$P$38*'TE BF'!$P$54</f>
        <v>0</v>
      </c>
      <c r="Q38" s="30">
        <f>SUM($L$38:$P$38)</f>
        <v>20.360907299973128</v>
      </c>
      <c r="R38" s="30">
        <f>'TE BE'!$R$38*'TE BF'!$R$54</f>
        <v>59.701740029217603</v>
      </c>
      <c r="S38" s="30">
        <f>SUM($R$38:$R$38)</f>
        <v>59.701740029217603</v>
      </c>
      <c r="T38" s="30">
        <f>'TE BE'!$T$38*'TE BF'!$T$54</f>
        <v>0</v>
      </c>
      <c r="U38" s="30">
        <f>'TE BE'!$U$38*'TE BF'!$U$54</f>
        <v>0</v>
      </c>
      <c r="V38" s="30">
        <f>'TE BE'!$V$38*'TE BF'!$V$54</f>
        <v>0</v>
      </c>
      <c r="W38" s="30">
        <f>SUM($T$38:$V$38)</f>
        <v>0</v>
      </c>
      <c r="X38" s="30">
        <f>'TE BE'!$AB$38*'TE BF'!$X$54</f>
        <v>0</v>
      </c>
      <c r="Y38" s="30">
        <f>SUM($X$38:$X$38)</f>
        <v>0</v>
      </c>
      <c r="Z38" s="30">
        <f>'TE BE'!$Z$38*'TE BF'!$Z$54</f>
        <v>1.6585836138434573</v>
      </c>
      <c r="AA38" s="30">
        <f>SUM($Z$38:$Z$38)</f>
        <v>1.6585836138434573</v>
      </c>
      <c r="AB38" s="30">
        <f>SUMIF($L$4:$AA$4,"SUBTOTAL",$L$38:$AA$38)</f>
        <v>81.721230943034186</v>
      </c>
    </row>
    <row r="39" spans="1:28" ht="11.25" customHeight="1" x14ac:dyDescent="0.25">
      <c r="A39" s="129"/>
      <c r="B39" s="129"/>
      <c r="C39" s="129"/>
      <c r="D39" s="38" t="s">
        <v>93</v>
      </c>
      <c r="E39" s="38" t="s">
        <v>25</v>
      </c>
      <c r="F39" s="38" t="s">
        <v>25</v>
      </c>
      <c r="G39" s="32" t="s">
        <v>84</v>
      </c>
      <c r="H39" s="32" t="s">
        <v>79</v>
      </c>
      <c r="I39" s="32">
        <f>'MERCADO TE'!$U$36</f>
        <v>0</v>
      </c>
      <c r="J39" s="17"/>
      <c r="L39" s="30">
        <f>'TE BE'!$L$39*'TE BF'!$L$54</f>
        <v>0</v>
      </c>
      <c r="M39" s="30">
        <f>'TE BE'!$M$39*'TE BF'!$M$54</f>
        <v>19.827595101544482</v>
      </c>
      <c r="N39" s="30">
        <f>'TE BE'!$N$39*'TE BF'!$N$54</f>
        <v>0</v>
      </c>
      <c r="O39" s="30">
        <f>'TE BE'!$O$39*'TE BF'!$O$54</f>
        <v>0.53331219842864763</v>
      </c>
      <c r="P39" s="30">
        <f>'TE BE'!$P$39*'TE BF'!$P$54</f>
        <v>0</v>
      </c>
      <c r="Q39" s="30">
        <f>SUM($L$39:$P$39)</f>
        <v>20.360907299973128</v>
      </c>
      <c r="R39" s="30">
        <f>'TE BE'!$R$39*'TE BF'!$R$54</f>
        <v>59.701740029217603</v>
      </c>
      <c r="S39" s="30">
        <f>SUM($R$39:$R$39)</f>
        <v>59.701740029217603</v>
      </c>
      <c r="T39" s="30">
        <f>'TE BE'!$T$39*'TE BF'!$T$54</f>
        <v>0</v>
      </c>
      <c r="U39" s="30">
        <f>'TE BE'!$U$39*'TE BF'!$U$54</f>
        <v>0</v>
      </c>
      <c r="V39" s="30">
        <f>'TE BE'!$V$39*'TE BF'!$V$54</f>
        <v>0</v>
      </c>
      <c r="W39" s="30">
        <f>SUM($T$39:$V$39)</f>
        <v>0</v>
      </c>
      <c r="X39" s="30">
        <f>'TE BE'!$AB$39*'TE BF'!$X$54</f>
        <v>0</v>
      </c>
      <c r="Y39" s="30">
        <f>SUM($X$39:$X$39)</f>
        <v>0</v>
      </c>
      <c r="Z39" s="30">
        <f>'TE BE'!$Z$39*'TE BF'!$Z$54</f>
        <v>1.6585836138434573</v>
      </c>
      <c r="AA39" s="30">
        <f>SUM($Z$39:$Z$39)</f>
        <v>1.6585836138434573</v>
      </c>
      <c r="AB39" s="30">
        <f>SUMIF($L$4:$AA$4,"SUBTOTAL",$L$39:$AA$39)</f>
        <v>81.721230943034186</v>
      </c>
    </row>
    <row r="40" spans="1:28" ht="11.25" customHeight="1" x14ac:dyDescent="0.25">
      <c r="A40" s="129"/>
      <c r="B40" s="129"/>
      <c r="C40" s="129"/>
      <c r="D40" s="38" t="s">
        <v>94</v>
      </c>
      <c r="E40" s="38" t="s">
        <v>25</v>
      </c>
      <c r="F40" s="38" t="s">
        <v>25</v>
      </c>
      <c r="G40" s="32" t="s">
        <v>84</v>
      </c>
      <c r="H40" s="32" t="s">
        <v>79</v>
      </c>
      <c r="I40" s="32">
        <f>'MERCADO TE'!$U$37</f>
        <v>0</v>
      </c>
      <c r="J40" s="17"/>
      <c r="L40" s="30">
        <f>'TE BE'!$L$40*'TE BF'!$L$54</f>
        <v>0</v>
      </c>
      <c r="M40" s="30">
        <f>'TE BE'!$M$40*'TE BF'!$M$54</f>
        <v>19.827595101544482</v>
      </c>
      <c r="N40" s="30">
        <f>'TE BE'!$N$40*'TE BF'!$N$54</f>
        <v>0</v>
      </c>
      <c r="O40" s="30">
        <f>'TE BE'!$O$40*'TE BF'!$O$54</f>
        <v>0.53331219842864763</v>
      </c>
      <c r="P40" s="30">
        <f>'TE BE'!$P$40*'TE BF'!$P$54</f>
        <v>0</v>
      </c>
      <c r="Q40" s="30">
        <f>SUM($L$40:$P$40)</f>
        <v>20.360907299973128</v>
      </c>
      <c r="R40" s="30">
        <f>'TE BE'!$R$40*'TE BF'!$R$54</f>
        <v>59.701740029217603</v>
      </c>
      <c r="S40" s="30">
        <f>SUM($R$40:$R$40)</f>
        <v>59.701740029217603</v>
      </c>
      <c r="T40" s="30">
        <f>'TE BE'!$T$40*'TE BF'!$T$54</f>
        <v>0</v>
      </c>
      <c r="U40" s="30">
        <f>'TE BE'!$U$40*'TE BF'!$U$54</f>
        <v>0</v>
      </c>
      <c r="V40" s="30">
        <f>'TE BE'!$V$40*'TE BF'!$V$54</f>
        <v>0</v>
      </c>
      <c r="W40" s="30">
        <f>SUM($T$40:$V$40)</f>
        <v>0</v>
      </c>
      <c r="X40" s="30">
        <f>'TE BE'!$AB$40*'TE BF'!$X$54</f>
        <v>0</v>
      </c>
      <c r="Y40" s="30">
        <f>SUM($X$40:$X$40)</f>
        <v>0</v>
      </c>
      <c r="Z40" s="30">
        <f>'TE BE'!$Z$40*'TE BF'!$Z$54</f>
        <v>1.6585836138434573</v>
      </c>
      <c r="AA40" s="30">
        <f>SUM($Z$40:$Z$40)</f>
        <v>1.6585836138434573</v>
      </c>
      <c r="AB40" s="30">
        <f>SUMIF($L$4:$AA$4,"SUBTOTAL",$L$40:$AA$40)</f>
        <v>81.721230943034186</v>
      </c>
    </row>
    <row r="41" spans="1:28" ht="11.25" customHeight="1" x14ac:dyDescent="0.25">
      <c r="A41" s="129" t="s">
        <v>37</v>
      </c>
      <c r="B41" s="129" t="s">
        <v>78</v>
      </c>
      <c r="C41" s="129" t="s">
        <v>25</v>
      </c>
      <c r="D41" s="129" t="s">
        <v>25</v>
      </c>
      <c r="E41" s="129" t="s">
        <v>25</v>
      </c>
      <c r="F41" s="129" t="s">
        <v>25</v>
      </c>
      <c r="G41" s="32" t="s">
        <v>80</v>
      </c>
      <c r="H41" s="32" t="s">
        <v>79</v>
      </c>
      <c r="I41" s="32">
        <f>'MERCADO TE'!$U$38</f>
        <v>25.125999999999998</v>
      </c>
      <c r="J41" s="17"/>
      <c r="L41" s="30">
        <f>'TE BE'!$L$41*'TE BF'!$L$54</f>
        <v>0</v>
      </c>
      <c r="M41" s="30">
        <f>'TE BE'!$M$41*'TE BF'!$M$54</f>
        <v>19.827595101544482</v>
      </c>
      <c r="N41" s="30">
        <f>'TE BE'!$N$41*'TE BF'!$N$54</f>
        <v>0</v>
      </c>
      <c r="O41" s="30">
        <f>'TE BE'!$O$41*'TE BF'!$O$54</f>
        <v>0.53331219842864763</v>
      </c>
      <c r="P41" s="30">
        <f>'TE BE'!$P$41*'TE BF'!$P$54</f>
        <v>0</v>
      </c>
      <c r="Q41" s="30">
        <f>SUM($L$41:$P$41)</f>
        <v>20.360907299973128</v>
      </c>
      <c r="R41" s="30">
        <f>'TE BE'!$R$41*'TE BF'!$R$54</f>
        <v>96.874521556843646</v>
      </c>
      <c r="S41" s="30">
        <f>SUM($R$41:$R$41)</f>
        <v>96.874521556843646</v>
      </c>
      <c r="T41" s="30">
        <f>'TE BE'!$T$41*'TE BF'!$T$54</f>
        <v>0</v>
      </c>
      <c r="U41" s="30">
        <f>'TE BE'!$U$41*'TE BF'!$U$54</f>
        <v>0</v>
      </c>
      <c r="V41" s="30">
        <f>'TE BE'!$V$41*'TE BF'!$V$54</f>
        <v>0</v>
      </c>
      <c r="W41" s="30">
        <f>SUM($T$41:$V$41)</f>
        <v>0</v>
      </c>
      <c r="X41" s="30">
        <f>'TE BE'!$AB$41*'TE BF'!$X$54</f>
        <v>0</v>
      </c>
      <c r="Y41" s="30">
        <f>SUM($X$41:$X$41)</f>
        <v>0</v>
      </c>
      <c r="Z41" s="30">
        <f>'TE BE'!$Z$41*'TE BF'!$Z$54</f>
        <v>1.6585836138434573</v>
      </c>
      <c r="AA41" s="30">
        <f>SUM($Z$41:$Z$41)</f>
        <v>1.6585836138434573</v>
      </c>
      <c r="AB41" s="30">
        <f>SUMIF($L$4:$AA$4,"SUBTOTAL",$L$41:$AA$41)</f>
        <v>118.89401247066024</v>
      </c>
    </row>
    <row r="42" spans="1:28" ht="11.25" customHeight="1" x14ac:dyDescent="0.25">
      <c r="A42" s="129"/>
      <c r="B42" s="129"/>
      <c r="C42" s="129"/>
      <c r="D42" s="129"/>
      <c r="E42" s="129"/>
      <c r="F42" s="129"/>
      <c r="G42" s="32" t="s">
        <v>90</v>
      </c>
      <c r="H42" s="32" t="s">
        <v>79</v>
      </c>
      <c r="I42" s="32">
        <f>'MERCADO TE'!$U$39</f>
        <v>27.405000000000001</v>
      </c>
      <c r="J42" s="17"/>
      <c r="L42" s="30">
        <f>'TE BE'!$L$42*'TE BF'!$L$54</f>
        <v>0</v>
      </c>
      <c r="M42" s="30">
        <f>'TE BE'!$M$42*'TE BF'!$M$54</f>
        <v>19.827595101544482</v>
      </c>
      <c r="N42" s="30">
        <f>'TE BE'!$N$42*'TE BF'!$N$54</f>
        <v>0</v>
      </c>
      <c r="O42" s="30">
        <f>'TE BE'!$O$42*'TE BF'!$O$54</f>
        <v>0.53331219842864763</v>
      </c>
      <c r="P42" s="30">
        <f>'TE BE'!$P$42*'TE BF'!$P$54</f>
        <v>0</v>
      </c>
      <c r="Q42" s="30">
        <f>SUM($L$42:$P$42)</f>
        <v>20.360907299973128</v>
      </c>
      <c r="R42" s="30">
        <f>'TE BE'!$R$42*'TE BF'!$R$54</f>
        <v>56.322396253978866</v>
      </c>
      <c r="S42" s="30">
        <f>SUM($R$42:$R$42)</f>
        <v>56.322396253978866</v>
      </c>
      <c r="T42" s="30">
        <f>'TE BE'!$T$42*'TE BF'!$T$54</f>
        <v>0</v>
      </c>
      <c r="U42" s="30">
        <f>'TE BE'!$U$42*'TE BF'!$U$54</f>
        <v>0</v>
      </c>
      <c r="V42" s="30">
        <f>'TE BE'!$V$42*'TE BF'!$V$54</f>
        <v>0</v>
      </c>
      <c r="W42" s="30">
        <f>SUM($T$42:$V$42)</f>
        <v>0</v>
      </c>
      <c r="X42" s="30">
        <f>'TE BE'!$AB$42*'TE BF'!$X$54</f>
        <v>0</v>
      </c>
      <c r="Y42" s="30">
        <f>SUM($X$42:$X$42)</f>
        <v>0</v>
      </c>
      <c r="Z42" s="30">
        <f>'TE BE'!$Z$42*'TE BF'!$Z$54</f>
        <v>1.6585836138434573</v>
      </c>
      <c r="AA42" s="30">
        <f>SUM($Z$42:$Z$42)</f>
        <v>1.6585836138434573</v>
      </c>
      <c r="AB42" s="30">
        <f>SUMIF($L$4:$AA$4,"SUBTOTAL",$L$42:$AA$42)</f>
        <v>78.341887167795448</v>
      </c>
    </row>
    <row r="43" spans="1:28" ht="11.25" customHeight="1" x14ac:dyDescent="0.25">
      <c r="A43" s="129"/>
      <c r="B43" s="129"/>
      <c r="C43" s="129"/>
      <c r="D43" s="129"/>
      <c r="E43" s="129"/>
      <c r="F43" s="129"/>
      <c r="G43" s="32" t="s">
        <v>81</v>
      </c>
      <c r="H43" s="32" t="s">
        <v>79</v>
      </c>
      <c r="I43" s="32">
        <f>'MERCADO TE'!$U$40</f>
        <v>590.17399999999998</v>
      </c>
      <c r="J43" s="17"/>
      <c r="L43" s="30">
        <f>'TE BE'!$L$43*'TE BF'!$L$54</f>
        <v>0</v>
      </c>
      <c r="M43" s="30">
        <f>'TE BE'!$M$43*'TE BF'!$M$54</f>
        <v>19.827595101544482</v>
      </c>
      <c r="N43" s="30">
        <f>'TE BE'!$N$43*'TE BF'!$N$54</f>
        <v>0</v>
      </c>
      <c r="O43" s="30">
        <f>'TE BE'!$O$43*'TE BF'!$O$54</f>
        <v>0.53331219842864763</v>
      </c>
      <c r="P43" s="30">
        <f>'TE BE'!$P$43*'TE BF'!$P$54</f>
        <v>0</v>
      </c>
      <c r="Q43" s="30">
        <f>SUM($L$43:$P$43)</f>
        <v>20.360907299973128</v>
      </c>
      <c r="R43" s="30">
        <f>'TE BE'!$R$43*'TE BF'!$R$54</f>
        <v>56.322396253978866</v>
      </c>
      <c r="S43" s="30">
        <f>SUM($R$43:$R$43)</f>
        <v>56.322396253978866</v>
      </c>
      <c r="T43" s="30">
        <f>'TE BE'!$T$43*'TE BF'!$T$54</f>
        <v>0</v>
      </c>
      <c r="U43" s="30">
        <f>'TE BE'!$U$43*'TE BF'!$U$54</f>
        <v>0</v>
      </c>
      <c r="V43" s="30">
        <f>'TE BE'!$V$43*'TE BF'!$V$54</f>
        <v>0</v>
      </c>
      <c r="W43" s="30">
        <f>SUM($T$43:$V$43)</f>
        <v>0</v>
      </c>
      <c r="X43" s="30">
        <f>'TE BE'!$AB$43*'TE BF'!$X$54</f>
        <v>0</v>
      </c>
      <c r="Y43" s="30">
        <f>SUM($X$43:$X$43)</f>
        <v>0</v>
      </c>
      <c r="Z43" s="30">
        <f>'TE BE'!$Z$43*'TE BF'!$Z$54</f>
        <v>1.6585836138434573</v>
      </c>
      <c r="AA43" s="30">
        <f>SUM($Z$43:$Z$43)</f>
        <v>1.6585836138434573</v>
      </c>
      <c r="AB43" s="30">
        <f>SUMIF($L$4:$AA$4,"SUBTOTAL",$L$43:$AA$43)</f>
        <v>78.341887167795448</v>
      </c>
    </row>
    <row r="44" spans="1:28" ht="11.25" customHeight="1" x14ac:dyDescent="0.25">
      <c r="A44" s="129"/>
      <c r="B44" s="38" t="s">
        <v>86</v>
      </c>
      <c r="C44" s="38" t="s">
        <v>25</v>
      </c>
      <c r="D44" s="38" t="s">
        <v>25</v>
      </c>
      <c r="E44" s="38" t="s">
        <v>25</v>
      </c>
      <c r="F44" s="38" t="s">
        <v>25</v>
      </c>
      <c r="G44" s="32" t="s">
        <v>84</v>
      </c>
      <c r="H44" s="32" t="s">
        <v>79</v>
      </c>
      <c r="I44" s="32">
        <f>'MERCADO TE'!$U$41</f>
        <v>181428.25600000002</v>
      </c>
      <c r="J44" s="17"/>
      <c r="L44" s="30">
        <f>'TE BE'!$L$44*'TE BF'!$L$54</f>
        <v>0</v>
      </c>
      <c r="M44" s="30">
        <f>'TE BE'!$M$44*'TE BF'!$M$54</f>
        <v>19.827595101544482</v>
      </c>
      <c r="N44" s="30">
        <f>'TE BE'!$N$44*'TE BF'!$N$54</f>
        <v>0</v>
      </c>
      <c r="O44" s="30">
        <f>'TE BE'!$O$44*'TE BF'!$O$54</f>
        <v>0.53331219842864763</v>
      </c>
      <c r="P44" s="30">
        <f>'TE BE'!$P$44*'TE BF'!$P$54</f>
        <v>0</v>
      </c>
      <c r="Q44" s="30">
        <f>SUM($L$44:$P$44)</f>
        <v>20.360907299973128</v>
      </c>
      <c r="R44" s="30">
        <f>'TE BE'!$R$44*'TE BF'!$R$54</f>
        <v>59.701740029217603</v>
      </c>
      <c r="S44" s="30">
        <f>SUM($R$44:$R$44)</f>
        <v>59.701740029217603</v>
      </c>
      <c r="T44" s="30">
        <f>'TE BE'!$T$44*'TE BF'!$T$54</f>
        <v>0</v>
      </c>
      <c r="U44" s="30">
        <f>'TE BE'!$U$44*'TE BF'!$U$54</f>
        <v>0</v>
      </c>
      <c r="V44" s="30">
        <f>'TE BE'!$V$44*'TE BF'!$V$54</f>
        <v>0</v>
      </c>
      <c r="W44" s="30">
        <f>SUM($T$44:$V$44)</f>
        <v>0</v>
      </c>
      <c r="X44" s="30">
        <f>'TE BE'!$AB$44*'TE BF'!$X$54</f>
        <v>0</v>
      </c>
      <c r="Y44" s="30">
        <f>SUM($X$44:$X$44)</f>
        <v>0</v>
      </c>
      <c r="Z44" s="30">
        <f>'TE BE'!$Z$44*'TE BF'!$Z$54</f>
        <v>1.6585836138434573</v>
      </c>
      <c r="AA44" s="30">
        <f>SUM($Z$44:$Z$44)</f>
        <v>1.6585836138434573</v>
      </c>
      <c r="AB44" s="30">
        <f>SUMIF($L$4:$AA$4,"SUBTOTAL",$L$44:$AA$44)</f>
        <v>81.721230943034186</v>
      </c>
    </row>
    <row r="45" spans="1:28" ht="11.25" customHeight="1" x14ac:dyDescent="0.25">
      <c r="A45" s="129"/>
      <c r="B45" s="38" t="s">
        <v>91</v>
      </c>
      <c r="C45" s="38" t="s">
        <v>25</v>
      </c>
      <c r="D45" s="38" t="s">
        <v>25</v>
      </c>
      <c r="E45" s="38" t="s">
        <v>25</v>
      </c>
      <c r="F45" s="38" t="s">
        <v>25</v>
      </c>
      <c r="G45" s="32" t="s">
        <v>84</v>
      </c>
      <c r="H45" s="32" t="s">
        <v>79</v>
      </c>
      <c r="I45" s="32">
        <f>'MERCADO TE'!$U$42</f>
        <v>0</v>
      </c>
      <c r="J45" s="17"/>
      <c r="L45" s="30">
        <f>'TE BE'!$L$45*'TE BF'!$L$54</f>
        <v>0</v>
      </c>
      <c r="M45" s="30">
        <f>'TE BE'!$M$45*'TE BF'!$M$54</f>
        <v>19.827595101544482</v>
      </c>
      <c r="N45" s="30">
        <f>'TE BE'!$N$45*'TE BF'!$N$54</f>
        <v>0</v>
      </c>
      <c r="O45" s="30">
        <f>'TE BE'!$O$45*'TE BF'!$O$54</f>
        <v>0.53331219842864763</v>
      </c>
      <c r="P45" s="30">
        <f>'TE BE'!$P$45*'TE BF'!$P$54</f>
        <v>0</v>
      </c>
      <c r="Q45" s="30">
        <f>SUM($L$45:$P$45)</f>
        <v>20.360907299973128</v>
      </c>
      <c r="R45" s="30">
        <f>'TE BE'!$R$45*'TE BF'!$R$54</f>
        <v>59.701740029217603</v>
      </c>
      <c r="S45" s="30">
        <f>SUM($R$45:$R$45)</f>
        <v>59.701740029217603</v>
      </c>
      <c r="T45" s="30">
        <f>'TE BE'!$T$45*'TE BF'!$T$54</f>
        <v>0</v>
      </c>
      <c r="U45" s="30">
        <f>'TE BE'!$U$45*'TE BF'!$U$54</f>
        <v>0</v>
      </c>
      <c r="V45" s="30">
        <f>'TE BE'!$V$45*'TE BF'!$V$54</f>
        <v>0</v>
      </c>
      <c r="W45" s="30">
        <f>SUM($T$45:$V$45)</f>
        <v>0</v>
      </c>
      <c r="X45" s="30">
        <f>'TE BE'!$AB$45*'TE BF'!$X$54</f>
        <v>0</v>
      </c>
      <c r="Y45" s="30">
        <f>SUM($X$45:$X$45)</f>
        <v>0</v>
      </c>
      <c r="Z45" s="30">
        <f>'TE BE'!$Z$45*'TE BF'!$Z$54</f>
        <v>1.6585836138434573</v>
      </c>
      <c r="AA45" s="30">
        <f>SUM($Z$45:$Z$45)</f>
        <v>1.6585836138434573</v>
      </c>
      <c r="AB45" s="30">
        <f>SUMIF($L$4:$AA$4,"SUBTOTAL",$L$45:$AA$45)</f>
        <v>81.721230943034186</v>
      </c>
    </row>
    <row r="46" spans="1:28" ht="11.25" customHeight="1" x14ac:dyDescent="0.25">
      <c r="A46" s="129" t="s">
        <v>48</v>
      </c>
      <c r="B46" s="129" t="s">
        <v>86</v>
      </c>
      <c r="C46" s="129" t="s">
        <v>49</v>
      </c>
      <c r="D46" s="38" t="s">
        <v>50</v>
      </c>
      <c r="E46" s="38" t="s">
        <v>25</v>
      </c>
      <c r="F46" s="38" t="s">
        <v>25</v>
      </c>
      <c r="G46" s="32" t="s">
        <v>84</v>
      </c>
      <c r="H46" s="32" t="s">
        <v>79</v>
      </c>
      <c r="I46" s="32">
        <f>'MERCADO TE'!$U$43</f>
        <v>39483.672999999995</v>
      </c>
      <c r="J46" s="17"/>
      <c r="L46" s="30">
        <f>'TE BE'!$L$46*'TE BF'!$L$54</f>
        <v>0</v>
      </c>
      <c r="M46" s="30">
        <f>'TE BE'!$M$46*'TE BF'!$M$54</f>
        <v>10.905177305849465</v>
      </c>
      <c r="N46" s="30">
        <f>'TE BE'!$N$46*'TE BF'!$N$54</f>
        <v>0</v>
      </c>
      <c r="O46" s="30">
        <f>'TE BE'!$O$46*'TE BF'!$O$54</f>
        <v>0.29332170913575628</v>
      </c>
      <c r="P46" s="30">
        <f>'TE BE'!$P$46*'TE BF'!$P$54</f>
        <v>0</v>
      </c>
      <c r="Q46" s="30">
        <f>SUM($L$46:$P$46)</f>
        <v>11.198499014985222</v>
      </c>
      <c r="R46" s="30">
        <f>'TE BE'!$R$46*'TE BF'!$R$54</f>
        <v>32.835957016069685</v>
      </c>
      <c r="S46" s="30">
        <f>SUM($R$46:$R$46)</f>
        <v>32.835957016069685</v>
      </c>
      <c r="T46" s="30">
        <f>'TE BE'!$T$46*'TE BF'!$T$54</f>
        <v>0</v>
      </c>
      <c r="U46" s="30">
        <f>'TE BE'!$U$46*'TE BF'!$U$54</f>
        <v>0</v>
      </c>
      <c r="V46" s="30">
        <f>'TE BE'!$V$46*'TE BF'!$V$54</f>
        <v>0</v>
      </c>
      <c r="W46" s="30">
        <f>SUM($T$46:$V$46)</f>
        <v>0</v>
      </c>
      <c r="X46" s="30">
        <f>'TE BE'!$AB$46*'TE BF'!$X$54</f>
        <v>0</v>
      </c>
      <c r="Y46" s="30">
        <f>SUM($X$46:$X$46)</f>
        <v>0</v>
      </c>
      <c r="Z46" s="30">
        <f>'TE BE'!$Z$46*'TE BF'!$Z$54</f>
        <v>0.91222098761390147</v>
      </c>
      <c r="AA46" s="30">
        <f>SUM($Z$46:$Z$46)</f>
        <v>0.91222098761390147</v>
      </c>
      <c r="AB46" s="30">
        <f>SUMIF($L$4:$AA$4,"SUBTOTAL",$L$46:$AA$46)</f>
        <v>44.946677018668808</v>
      </c>
    </row>
    <row r="47" spans="1:28" ht="11.25" customHeight="1" x14ac:dyDescent="0.25">
      <c r="A47" s="129"/>
      <c r="B47" s="129"/>
      <c r="C47" s="129"/>
      <c r="D47" s="32" t="s">
        <v>95</v>
      </c>
      <c r="E47" s="32" t="s">
        <v>25</v>
      </c>
      <c r="F47" s="32" t="s">
        <v>25</v>
      </c>
      <c r="G47" s="32" t="s">
        <v>84</v>
      </c>
      <c r="H47" s="32" t="s">
        <v>79</v>
      </c>
      <c r="I47" s="32">
        <f>'MERCADO TE'!$U$44</f>
        <v>0</v>
      </c>
      <c r="J47" s="17"/>
      <c r="L47" s="30">
        <f>'TE BE'!$L$47*'TE BF'!$L$54</f>
        <v>0</v>
      </c>
      <c r="M47" s="30">
        <f>'TE BE'!$M$47*'TE BF'!$M$54</f>
        <v>11.896557060926689</v>
      </c>
      <c r="N47" s="30">
        <f>'TE BE'!$N$47*'TE BF'!$N$54</f>
        <v>0</v>
      </c>
      <c r="O47" s="30">
        <f>'TE BE'!$O$47*'TE BF'!$O$54</f>
        <v>0.31998731905718858</v>
      </c>
      <c r="P47" s="30">
        <f>'TE BE'!$P$47*'TE BF'!$P$54</f>
        <v>0</v>
      </c>
      <c r="Q47" s="30">
        <f>SUM($L$47:$P$47)</f>
        <v>12.216544379983878</v>
      </c>
      <c r="R47" s="30">
        <f>'TE BE'!$R$47*'TE BF'!$R$54</f>
        <v>35.821044017530561</v>
      </c>
      <c r="S47" s="30">
        <f>SUM($R$47:$R$47)</f>
        <v>35.821044017530561</v>
      </c>
      <c r="T47" s="30">
        <f>'TE BE'!$T$47*'TE BF'!$T$54</f>
        <v>0</v>
      </c>
      <c r="U47" s="30">
        <f>'TE BE'!$U$47*'TE BF'!$U$54</f>
        <v>0</v>
      </c>
      <c r="V47" s="30">
        <f>'TE BE'!$V$47*'TE BF'!$V$54</f>
        <v>0</v>
      </c>
      <c r="W47" s="30">
        <f>SUM($T$47:$V$47)</f>
        <v>0</v>
      </c>
      <c r="X47" s="30">
        <f>'TE BE'!$AB$47*'TE BF'!$X$54</f>
        <v>0</v>
      </c>
      <c r="Y47" s="30">
        <f>SUM($X$47:$X$47)</f>
        <v>0</v>
      </c>
      <c r="Z47" s="30">
        <f>'TE BE'!$Z$47*'TE BF'!$Z$54</f>
        <v>0.99515016830607428</v>
      </c>
      <c r="AA47" s="30">
        <f>SUM($Z$47:$Z$47)</f>
        <v>0.99515016830607428</v>
      </c>
      <c r="AB47" s="30">
        <f>SUMIF($L$4:$AA$4,"SUBTOTAL",$L$47:$AA$47)</f>
        <v>49.032738565820516</v>
      </c>
    </row>
    <row r="49" spans="11:28" ht="11.25" customHeight="1" x14ac:dyDescent="0.25">
      <c r="K49" s="37" t="s">
        <v>766</v>
      </c>
      <c r="L49" s="30">
        <f t="shared" ref="L49:AB49" si="0">SUMPRODUCT($I$5:$I$47,L$5:L$47)</f>
        <v>0</v>
      </c>
      <c r="M49" s="30">
        <f t="shared" si="0"/>
        <v>20821697.545300003</v>
      </c>
      <c r="N49" s="30">
        <f t="shared" si="0"/>
        <v>0</v>
      </c>
      <c r="O49" s="30">
        <f t="shared" si="0"/>
        <v>560051.04179454083</v>
      </c>
      <c r="P49" s="30">
        <f t="shared" si="0"/>
        <v>0</v>
      </c>
      <c r="Q49" s="30">
        <f t="shared" si="0"/>
        <v>21381748.587094542</v>
      </c>
      <c r="R49" s="30">
        <f t="shared" si="0"/>
        <v>62662156.6687067</v>
      </c>
      <c r="S49" s="30">
        <f t="shared" si="0"/>
        <v>62662156.6687067</v>
      </c>
      <c r="T49" s="30">
        <f t="shared" si="0"/>
        <v>0</v>
      </c>
      <c r="U49" s="30">
        <f t="shared" si="0"/>
        <v>0</v>
      </c>
      <c r="V49" s="30">
        <f t="shared" si="0"/>
        <v>0</v>
      </c>
      <c r="W49" s="30">
        <f t="shared" si="0"/>
        <v>0</v>
      </c>
      <c r="X49" s="30">
        <f t="shared" si="0"/>
        <v>0</v>
      </c>
      <c r="Y49" s="30">
        <f t="shared" si="0"/>
        <v>0</v>
      </c>
      <c r="Z49" s="30">
        <f t="shared" si="0"/>
        <v>1741740.5481691039</v>
      </c>
      <c r="AA49" s="30">
        <f t="shared" si="0"/>
        <v>1741740.5481691039</v>
      </c>
      <c r="AB49" s="30">
        <f t="shared" si="0"/>
        <v>85785645.803970337</v>
      </c>
    </row>
    <row r="50" spans="11:28" ht="11.25" customHeight="1" x14ac:dyDescent="0.25">
      <c r="K50" s="37" t="s">
        <v>686</v>
      </c>
      <c r="L50" s="30">
        <f>CUSTOS!$D$30</f>
        <v>2434049.1762334048</v>
      </c>
      <c r="M50" s="30">
        <f>CUSTOS!$D$31</f>
        <v>36602503.159999996</v>
      </c>
      <c r="N50" s="30">
        <f>CUSTOS!$D$32</f>
        <v>0</v>
      </c>
      <c r="O50" s="30">
        <f>CUSTOS!$D$33</f>
        <v>12668948.439127613</v>
      </c>
      <c r="P50" s="30">
        <f>CUSTOS!$D$34</f>
        <v>-18059343.579999998</v>
      </c>
      <c r="Q50" s="30">
        <f>CUSTOS!$D$35</f>
        <v>33646157.195361018</v>
      </c>
      <c r="R50" s="30">
        <f>CUSTOS!$D$36</f>
        <v>210127525.67695919</v>
      </c>
      <c r="S50" s="30">
        <f>CUSTOS!$D$37</f>
        <v>210127525.67695919</v>
      </c>
      <c r="T50" s="30">
        <f>CUSTOS!$D$38</f>
        <v>0</v>
      </c>
      <c r="U50" s="30">
        <f>CUSTOS!$D$39</f>
        <v>0</v>
      </c>
      <c r="V50" s="30">
        <f>CUSTOS!$D$40</f>
        <v>0</v>
      </c>
      <c r="W50" s="30">
        <f>CUSTOS!$D$41</f>
        <v>0</v>
      </c>
      <c r="X50" s="30">
        <f>CUSTOS!$D$42</f>
        <v>0</v>
      </c>
      <c r="Y50" s="30">
        <f>CUSTOS!$D$43</f>
        <v>0</v>
      </c>
      <c r="Z50" s="30">
        <f>CUSTOS!$D$44</f>
        <v>5840648.5064497869</v>
      </c>
      <c r="AA50" s="30">
        <f>CUSTOS!$D$45</f>
        <v>5840648.5064497869</v>
      </c>
      <c r="AB50" s="30">
        <f>CUSTOS!$D$46</f>
        <v>249614331.37876999</v>
      </c>
    </row>
    <row r="51" spans="11:28" ht="11.25" customHeight="1" x14ac:dyDescent="0.25">
      <c r="K51" s="37" t="s">
        <v>687</v>
      </c>
      <c r="L51" s="30">
        <f>CUSTOS!$E$30</f>
        <v>0</v>
      </c>
      <c r="M51" s="30">
        <f>CUSTOS!$E$31</f>
        <v>14515474.191817597</v>
      </c>
      <c r="N51" s="30">
        <f>CUSTOS!$E$32</f>
        <v>0</v>
      </c>
      <c r="O51" s="30">
        <f>CUSTOS!$E$33</f>
        <v>-833357.30925666564</v>
      </c>
      <c r="P51" s="30">
        <f>CUSTOS!$E$34</f>
        <v>0</v>
      </c>
      <c r="Q51" s="30">
        <f>CUSTOS!$E$35</f>
        <v>13682116.882560931</v>
      </c>
      <c r="R51" s="30">
        <f>CUSTOS!$E$36</f>
        <v>-94215085.398337662</v>
      </c>
      <c r="S51" s="30">
        <f>CUSTOS!$E$37</f>
        <v>-94215085.398337662</v>
      </c>
      <c r="T51" s="30">
        <f>CUSTOS!$E$38</f>
        <v>0</v>
      </c>
      <c r="U51" s="30">
        <f>CUSTOS!$E$39</f>
        <v>0</v>
      </c>
      <c r="V51" s="30">
        <f>CUSTOS!$E$40</f>
        <v>0</v>
      </c>
      <c r="W51" s="30">
        <f>CUSTOS!$E$41</f>
        <v>0</v>
      </c>
      <c r="X51" s="30">
        <f>CUSTOS!$E$42</f>
        <v>-16600151.204938425</v>
      </c>
      <c r="Y51" s="30">
        <f>CUSTOS!$E$43</f>
        <v>-16600151.204938425</v>
      </c>
      <c r="Z51" s="30">
        <f>CUSTOS!$E$44</f>
        <v>-2618777.3165083188</v>
      </c>
      <c r="AA51" s="30">
        <f>CUSTOS!$E$45</f>
        <v>-2618777.3165083188</v>
      </c>
      <c r="AB51" s="30">
        <f>CUSTOS!$E$46</f>
        <v>-99751897.037223473</v>
      </c>
    </row>
    <row r="52" spans="11:28" ht="11.25" customHeight="1" x14ac:dyDescent="0.25">
      <c r="K52" s="37" t="s">
        <v>688</v>
      </c>
      <c r="L52" s="30">
        <f>CUSTOS!$F$30</f>
        <v>0</v>
      </c>
      <c r="M52" s="30">
        <f>CUSTOS!$F$31</f>
        <v>20821697.545299999</v>
      </c>
      <c r="N52" s="30">
        <f>CUSTOS!$F$32</f>
        <v>0</v>
      </c>
      <c r="O52" s="30">
        <f>CUSTOS!$F$33</f>
        <v>560051.04179454083</v>
      </c>
      <c r="P52" s="30">
        <f>CUSTOS!$F$34</f>
        <v>0</v>
      </c>
      <c r="Q52" s="30">
        <f>CUSTOS!$F$35</f>
        <v>21381748.587094542</v>
      </c>
      <c r="R52" s="30">
        <f>CUSTOS!$F$36</f>
        <v>62662156.668706685</v>
      </c>
      <c r="S52" s="30">
        <f>CUSTOS!$F$37</f>
        <v>62662156.668706685</v>
      </c>
      <c r="T52" s="30">
        <f>CUSTOS!$F$38</f>
        <v>0</v>
      </c>
      <c r="U52" s="30">
        <f>CUSTOS!$F$39</f>
        <v>0</v>
      </c>
      <c r="V52" s="30">
        <f>CUSTOS!$F$40</f>
        <v>0</v>
      </c>
      <c r="W52" s="30">
        <f>CUSTOS!$F$41</f>
        <v>0</v>
      </c>
      <c r="X52" s="30">
        <f>CUSTOS!$F$42</f>
        <v>0</v>
      </c>
      <c r="Y52" s="30">
        <f>CUSTOS!$F$43</f>
        <v>0</v>
      </c>
      <c r="Z52" s="30">
        <f>CUSTOS!$F$44</f>
        <v>1741740.5481691037</v>
      </c>
      <c r="AA52" s="30">
        <f>CUSTOS!$F$45</f>
        <v>1741740.5481691037</v>
      </c>
      <c r="AB52" s="30">
        <f>CUSTOS!$F$46</f>
        <v>85785645.803970337</v>
      </c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 spans="11:28" ht="11.25" customHeight="1" x14ac:dyDescent="0.25"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1:28" ht="11.25" customHeight="1" x14ac:dyDescent="0.25"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0:F11"/>
    <mergeCell ref="A7:A9"/>
    <mergeCell ref="B7:B8"/>
    <mergeCell ref="C7:C8"/>
    <mergeCell ref="D7:D8"/>
    <mergeCell ref="E7:E8"/>
    <mergeCell ref="F7:F8"/>
    <mergeCell ref="A10:A12"/>
    <mergeCell ref="B10:B11"/>
    <mergeCell ref="C10:C11"/>
    <mergeCell ref="D10:D11"/>
    <mergeCell ref="E10:E11"/>
    <mergeCell ref="F13:F15"/>
    <mergeCell ref="B16:B20"/>
    <mergeCell ref="C16:C20"/>
    <mergeCell ref="B21:B25"/>
    <mergeCell ref="C21:C25"/>
    <mergeCell ref="A13:A25"/>
    <mergeCell ref="B13:B15"/>
    <mergeCell ref="C13:C15"/>
    <mergeCell ref="D13:D15"/>
    <mergeCell ref="E13:E15"/>
    <mergeCell ref="D34:D36"/>
    <mergeCell ref="E34:E36"/>
    <mergeCell ref="F34:F36"/>
    <mergeCell ref="D26:D28"/>
    <mergeCell ref="E26:E28"/>
    <mergeCell ref="F26:F28"/>
    <mergeCell ref="D30:D32"/>
    <mergeCell ref="E30:E32"/>
    <mergeCell ref="F30:F32"/>
    <mergeCell ref="B38:B40"/>
    <mergeCell ref="C38:C40"/>
    <mergeCell ref="A41:A45"/>
    <mergeCell ref="B41:B43"/>
    <mergeCell ref="C41:C43"/>
    <mergeCell ref="A26:A40"/>
    <mergeCell ref="B26:B28"/>
    <mergeCell ref="C26:C28"/>
    <mergeCell ref="B34:B36"/>
    <mergeCell ref="C34:C36"/>
    <mergeCell ref="B30:B32"/>
    <mergeCell ref="C30:C32"/>
    <mergeCell ref="E41:E43"/>
    <mergeCell ref="F41:F43"/>
    <mergeCell ref="A46:A47"/>
    <mergeCell ref="B46:B47"/>
    <mergeCell ref="C46:C47"/>
    <mergeCell ref="D41:D43"/>
  </mergeCells>
  <conditionalFormatting sqref="L49">
    <cfRule type="cellIs" dxfId="818" priority="33" operator="notEqual">
      <formula>$L$52</formula>
    </cfRule>
    <cfRule type="cellIs" dxfId="817" priority="34" operator="equal">
      <formula>$L$52</formula>
    </cfRule>
  </conditionalFormatting>
  <conditionalFormatting sqref="M49">
    <cfRule type="cellIs" dxfId="816" priority="31" operator="notEqual">
      <formula>$M$52</formula>
    </cfRule>
    <cfRule type="cellIs" dxfId="815" priority="32" operator="equal">
      <formula>$M$52</formula>
    </cfRule>
  </conditionalFormatting>
  <conditionalFormatting sqref="N49">
    <cfRule type="cellIs" dxfId="814" priority="29" operator="notEqual">
      <formula>$N$52</formula>
    </cfRule>
    <cfRule type="cellIs" dxfId="813" priority="30" operator="equal">
      <formula>$N$52</formula>
    </cfRule>
  </conditionalFormatting>
  <conditionalFormatting sqref="O49">
    <cfRule type="cellIs" dxfId="812" priority="27" operator="notEqual">
      <formula>$O$52</formula>
    </cfRule>
    <cfRule type="cellIs" dxfId="811" priority="28" operator="equal">
      <formula>$O$52</formula>
    </cfRule>
  </conditionalFormatting>
  <conditionalFormatting sqref="P49">
    <cfRule type="cellIs" dxfId="810" priority="25" operator="notEqual">
      <formula>$P$52</formula>
    </cfRule>
    <cfRule type="cellIs" dxfId="809" priority="26" operator="equal">
      <formula>$P$52</formula>
    </cfRule>
  </conditionalFormatting>
  <conditionalFormatting sqref="Q49">
    <cfRule type="cellIs" dxfId="808" priority="23" operator="notEqual">
      <formula>$Q$52</formula>
    </cfRule>
    <cfRule type="cellIs" dxfId="807" priority="24" operator="equal">
      <formula>$Q$52</formula>
    </cfRule>
  </conditionalFormatting>
  <conditionalFormatting sqref="R49">
    <cfRule type="cellIs" dxfId="806" priority="21" operator="notEqual">
      <formula>$R$52</formula>
    </cfRule>
    <cfRule type="cellIs" dxfId="805" priority="22" operator="equal">
      <formula>$R$52</formula>
    </cfRule>
  </conditionalFormatting>
  <conditionalFormatting sqref="S49">
    <cfRule type="cellIs" dxfId="804" priority="19" operator="notEqual">
      <formula>$S$52</formula>
    </cfRule>
    <cfRule type="cellIs" dxfId="803" priority="20" operator="equal">
      <formula>$S$52</formula>
    </cfRule>
  </conditionalFormatting>
  <conditionalFormatting sqref="T49">
    <cfRule type="cellIs" dxfId="802" priority="17" operator="notEqual">
      <formula>$T$52</formula>
    </cfRule>
    <cfRule type="cellIs" dxfId="801" priority="18" operator="equal">
      <formula>$T$52</formula>
    </cfRule>
  </conditionalFormatting>
  <conditionalFormatting sqref="U49">
    <cfRule type="cellIs" dxfId="800" priority="15" operator="notEqual">
      <formula>$U$52</formula>
    </cfRule>
    <cfRule type="cellIs" dxfId="799" priority="16" operator="equal">
      <formula>$U$52</formula>
    </cfRule>
  </conditionalFormatting>
  <conditionalFormatting sqref="V49">
    <cfRule type="cellIs" dxfId="798" priority="13" operator="notEqual">
      <formula>$V$52</formula>
    </cfRule>
    <cfRule type="cellIs" dxfId="797" priority="14" operator="equal">
      <formula>$V$52</formula>
    </cfRule>
  </conditionalFormatting>
  <conditionalFormatting sqref="W49">
    <cfRule type="cellIs" dxfId="796" priority="11" operator="notEqual">
      <formula>$W$52</formula>
    </cfRule>
    <cfRule type="cellIs" dxfId="795" priority="12" operator="equal">
      <formula>$W$52</formula>
    </cfRule>
  </conditionalFormatting>
  <conditionalFormatting sqref="X49">
    <cfRule type="cellIs" dxfId="794" priority="9" operator="notEqual">
      <formula>$X$52</formula>
    </cfRule>
    <cfRule type="cellIs" dxfId="793" priority="10" operator="equal">
      <formula>$X$52</formula>
    </cfRule>
  </conditionalFormatting>
  <conditionalFormatting sqref="Y49">
    <cfRule type="cellIs" dxfId="792" priority="7" operator="notEqual">
      <formula>$Y$52</formula>
    </cfRule>
    <cfRule type="cellIs" dxfId="791" priority="8" operator="equal">
      <formula>$Y$52</formula>
    </cfRule>
  </conditionalFormatting>
  <conditionalFormatting sqref="Z49">
    <cfRule type="cellIs" dxfId="790" priority="5" operator="notEqual">
      <formula>$Z$52</formula>
    </cfRule>
    <cfRule type="cellIs" dxfId="789" priority="6" operator="equal">
      <formula>$Z$52</formula>
    </cfRule>
  </conditionalFormatting>
  <conditionalFormatting sqref="AA49">
    <cfRule type="cellIs" dxfId="788" priority="3" operator="notEqual">
      <formula>$AA$52</formula>
    </cfRule>
    <cfRule type="cellIs" dxfId="787" priority="4" operator="equal">
      <formula>$AA$52</formula>
    </cfRule>
  </conditionalFormatting>
  <conditionalFormatting sqref="AB49">
    <cfRule type="cellIs" dxfId="786" priority="1" operator="notEqual">
      <formula>$AB$52</formula>
    </cfRule>
    <cfRule type="cellIs" dxfId="785" priority="2" operator="equal">
      <formula>$AB$52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5BA94-B005-4463-B909-15362EA38609}">
  <sheetPr codeName="Planilha16"/>
  <dimension ref="A1:AV1039"/>
  <sheetViews>
    <sheetView showGridLines="0" topLeftCell="AF1" workbookViewId="0">
      <selection activeCell="AS32" sqref="AS32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7.425781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1.71093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789</v>
      </c>
      <c r="W1" s="1" t="s">
        <v>790</v>
      </c>
      <c r="X1" s="1" t="s">
        <v>791</v>
      </c>
      <c r="Y1" s="1" t="s">
        <v>792</v>
      </c>
      <c r="Z1" s="1" t="s">
        <v>793</v>
      </c>
      <c r="AA1" s="1" t="s">
        <v>794</v>
      </c>
      <c r="AB1" s="1" t="s">
        <v>811</v>
      </c>
      <c r="AC1" s="1" t="s">
        <v>812</v>
      </c>
      <c r="AD1" s="1" t="s">
        <v>813</v>
      </c>
      <c r="AE1" s="1" t="s">
        <v>814</v>
      </c>
      <c r="AF1" s="1" t="s">
        <v>815</v>
      </c>
      <c r="AG1" s="1" t="s">
        <v>816</v>
      </c>
      <c r="AI1" s="52" t="s">
        <v>67</v>
      </c>
      <c r="AJ1" s="52" t="s">
        <v>817</v>
      </c>
      <c r="AK1" s="52" t="s">
        <v>818</v>
      </c>
      <c r="AL1" s="52" t="s">
        <v>819</v>
      </c>
      <c r="AN1" s="52" t="s">
        <v>67</v>
      </c>
      <c r="AO1" s="52" t="s">
        <v>820</v>
      </c>
      <c r="AP1" s="52" t="s">
        <v>821</v>
      </c>
      <c r="AQ1" s="52" t="s">
        <v>819</v>
      </c>
      <c r="AS1" s="52" t="s">
        <v>67</v>
      </c>
      <c r="AT1" s="52" t="s">
        <v>822</v>
      </c>
      <c r="AU1" s="52" t="s">
        <v>823</v>
      </c>
      <c r="AV1" s="52" t="s">
        <v>819</v>
      </c>
    </row>
    <row r="2" spans="1:48" ht="11.25" customHeight="1" x14ac:dyDescent="0.25">
      <c r="A2" s="4" t="s">
        <v>21</v>
      </c>
      <c r="B2" s="4" t="s">
        <v>57</v>
      </c>
      <c r="C2" s="4" t="s">
        <v>58</v>
      </c>
      <c r="D2" s="4" t="s">
        <v>25</v>
      </c>
      <c r="E2" s="4" t="s">
        <v>25</v>
      </c>
      <c r="F2" s="4" t="s">
        <v>25</v>
      </c>
      <c r="G2" s="4" t="s">
        <v>59</v>
      </c>
      <c r="H2" s="4" t="s">
        <v>25</v>
      </c>
      <c r="I2" s="5">
        <v>44531</v>
      </c>
      <c r="J2" s="6">
        <v>77720</v>
      </c>
      <c r="K2" s="6">
        <v>77720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783</v>
      </c>
      <c r="S2" s="6">
        <v>1</v>
      </c>
      <c r="T2" s="6">
        <v>0</v>
      </c>
      <c r="U2" s="6">
        <v>0</v>
      </c>
      <c r="V2" s="6">
        <f>IF(ISERROR(VLOOKUP($S$2,'TAR FIN'!$A$1:$O$108,15,0)),0,VLOOKUP($S$2,'TAR FIN'!$A$1:$O$108,15,0))</f>
        <v>6.92</v>
      </c>
      <c r="W2" s="6">
        <f>IF(ISERROR(VLOOKUP($T$2,'TAR FIN'!$A$1:$O$108,15,0)),0,VLOOKUP($T$2,'TAR FIN'!$A$1:$O$108,15,0))</f>
        <v>0</v>
      </c>
      <c r="X2" s="6">
        <f>IF(ISERROR(VLOOKUP($U$2,'TAR FIN'!$A$1:$O$108,15,0)),0,VLOOKUP($U$2,'TAR FIN'!$A$1:$O$108,15,0))</f>
        <v>0</v>
      </c>
      <c r="Y2" s="6">
        <f ca="1">('TUSD BE'!$AM$5+'TUSD BF'!$AM$5+'TUSD CVA'!$AM$5)*1</f>
        <v>6.4715135626767397</v>
      </c>
      <c r="Z2" s="6"/>
      <c r="AA2" s="6"/>
      <c r="AB2" s="6">
        <f>$K$2*$V$2</f>
        <v>537822.4</v>
      </c>
      <c r="AC2" s="6">
        <f>$M$2*$W$2</f>
        <v>0</v>
      </c>
      <c r="AD2" s="6">
        <f>$O$2*$X$2</f>
        <v>0</v>
      </c>
      <c r="AE2" s="6">
        <f ca="1">$K$2*$Y$2</f>
        <v>502966.03409123619</v>
      </c>
      <c r="AF2" s="6">
        <f>$M$2*$Z$2</f>
        <v>0</v>
      </c>
      <c r="AG2" s="6">
        <f>$O$2*$AA$2</f>
        <v>0</v>
      </c>
      <c r="AI2" s="53" t="s">
        <v>57</v>
      </c>
      <c r="AJ2" s="54">
        <f t="shared" ref="AJ2:AJ9" si="0">SUMIF($B$2:$B$1039,AI2,$AB$2:$AB$1039)+SUMIF($B$2:$B$1039,AI2,$AC$2:$AC$1039)</f>
        <v>6453868.8000000017</v>
      </c>
      <c r="AK2" s="54">
        <f t="shared" ref="AK2:AK9" ca="1" si="1">SUMIF($B$2:$B$1039,AI2,$AE$2:$AE$1039)+SUMIF($B$2:$B$1039,AI2,$AF$2:$AF$1039)</f>
        <v>6035592.4090948338</v>
      </c>
      <c r="AL2" s="55">
        <f t="shared" ref="AL2:AL12" ca="1" si="2">IF(AJ2&lt;&gt;0,AK2/AJ2-1,0)</f>
        <v>-6.4810178803939689E-2</v>
      </c>
      <c r="AN2" s="53" t="s">
        <v>57</v>
      </c>
      <c r="AO2" s="54">
        <f t="shared" ref="AO2:AO9" si="3">SUMIF($B$2:$B$1039,AN2,$AD$2:$AD$1039)</f>
        <v>0</v>
      </c>
      <c r="AP2" s="54">
        <f t="shared" ref="AP2:AP9" si="4">SUMIF($B$2:$B$1039,AN2,$AG$2:$AG$1039)</f>
        <v>0</v>
      </c>
      <c r="AQ2" s="55">
        <f t="shared" ref="AQ2:AQ12" si="5">IF(AO2&lt;&gt;0,AP2/AO2-1,0)</f>
        <v>0</v>
      </c>
      <c r="AS2" s="53" t="s">
        <v>57</v>
      </c>
      <c r="AT2" s="54">
        <f t="shared" ref="AT2:AT9" si="6">SUMIF($B$2:$B$1039,AS2,$AB$2:$AB$1039)+SUMIF($B$2:$B$1039,AS2,$AC$2:$AC$1039)+SUMIF($B$2:$B$1039,AS2,$AD$2:$AD$1039)</f>
        <v>6453868.8000000017</v>
      </c>
      <c r="AU2" s="54">
        <f t="shared" ref="AU2:AU9" ca="1" si="7">SUMIF($B$2:$B$1039,AS2,$AE$2:$AE$1039)+SUMIF($B$2:$B$1039,AS2,$AF$2:$AF$1039)+SUMIF($B$2:$B$1039,AS2,$AG$2:$AG$1039)</f>
        <v>6035592.4090948338</v>
      </c>
      <c r="AV2" s="55">
        <f t="shared" ref="AV2:AV12" ca="1" si="8">IF(AT2&lt;&gt;0,AU2/AT2-1,0)</f>
        <v>-6.4810178803939689E-2</v>
      </c>
    </row>
    <row r="3" spans="1:48" ht="11.25" customHeight="1" x14ac:dyDescent="0.25">
      <c r="A3" s="4" t="s">
        <v>21</v>
      </c>
      <c r="B3" s="4" t="s">
        <v>57</v>
      </c>
      <c r="C3" s="4" t="s">
        <v>58</v>
      </c>
      <c r="D3" s="4" t="s">
        <v>25</v>
      </c>
      <c r="E3" s="4" t="s">
        <v>25</v>
      </c>
      <c r="F3" s="4" t="s">
        <v>25</v>
      </c>
      <c r="G3" s="4" t="s">
        <v>59</v>
      </c>
      <c r="H3" s="4" t="s">
        <v>25</v>
      </c>
      <c r="I3" s="5">
        <v>44562</v>
      </c>
      <c r="J3" s="6">
        <v>77720</v>
      </c>
      <c r="K3" s="6">
        <v>77720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783</v>
      </c>
      <c r="S3" s="6">
        <v>1</v>
      </c>
      <c r="T3" s="6">
        <v>0</v>
      </c>
      <c r="U3" s="6">
        <v>0</v>
      </c>
      <c r="V3" s="6">
        <f>IF(ISERROR(VLOOKUP($S$3,'TAR FIN'!$A$1:$O$108,15,0)),0,VLOOKUP($S$3,'TAR FIN'!$A$1:$O$108,15,0))</f>
        <v>6.92</v>
      </c>
      <c r="W3" s="6">
        <f>IF(ISERROR(VLOOKUP($T$3,'TAR FIN'!$A$1:$O$108,15,0)),0,VLOOKUP($T$3,'TAR FIN'!$A$1:$O$108,15,0))</f>
        <v>0</v>
      </c>
      <c r="X3" s="6">
        <f>IF(ISERROR(VLOOKUP($U$3,'TAR FIN'!$A$1:$O$108,15,0)),0,VLOOKUP($U$3,'TAR FIN'!$A$1:$O$108,15,0))</f>
        <v>0</v>
      </c>
      <c r="Y3" s="6">
        <f ca="1">('TUSD BE'!$AM$5+'TUSD BF'!$AM$5+'TUSD CVA'!$AM$5)*1</f>
        <v>6.4715135626767397</v>
      </c>
      <c r="Z3" s="6"/>
      <c r="AA3" s="6"/>
      <c r="AB3" s="6">
        <f>$K$3*$V$3</f>
        <v>537822.4</v>
      </c>
      <c r="AC3" s="6">
        <f>$M$3*$W$3</f>
        <v>0</v>
      </c>
      <c r="AD3" s="6">
        <f>$O$3*$X$3</f>
        <v>0</v>
      </c>
      <c r="AE3" s="6">
        <f ca="1">$K$3*$Y$3</f>
        <v>502966.03409123619</v>
      </c>
      <c r="AF3" s="6">
        <f>$M$3*$Z$3</f>
        <v>0</v>
      </c>
      <c r="AG3" s="6">
        <f>$O$3*$AA$3</f>
        <v>0</v>
      </c>
      <c r="AI3" s="53" t="s">
        <v>39</v>
      </c>
      <c r="AJ3" s="54">
        <f t="shared" si="0"/>
        <v>13492814.898359999</v>
      </c>
      <c r="AK3" s="54">
        <f t="shared" ca="1" si="1"/>
        <v>17636542.57138133</v>
      </c>
      <c r="AL3" s="55">
        <f t="shared" ca="1" si="2"/>
        <v>0.30710624167274281</v>
      </c>
      <c r="AN3" s="53" t="s">
        <v>39</v>
      </c>
      <c r="AO3" s="54">
        <f t="shared" si="3"/>
        <v>7901637.6208399991</v>
      </c>
      <c r="AP3" s="54">
        <f t="shared" si="4"/>
        <v>16451559.691602638</v>
      </c>
      <c r="AQ3" s="55">
        <f t="shared" si="5"/>
        <v>1.0820443154989587</v>
      </c>
      <c r="AS3" s="53" t="s">
        <v>39</v>
      </c>
      <c r="AT3" s="54">
        <f t="shared" si="6"/>
        <v>21394452.519199997</v>
      </c>
      <c r="AU3" s="54">
        <f t="shared" ca="1" si="7"/>
        <v>34088102.26298397</v>
      </c>
      <c r="AV3" s="55">
        <f t="shared" ca="1" si="8"/>
        <v>0.59331500688752503</v>
      </c>
    </row>
    <row r="4" spans="1:48" ht="11.25" customHeight="1" x14ac:dyDescent="0.25">
      <c r="A4" s="4" t="s">
        <v>21</v>
      </c>
      <c r="B4" s="4" t="s">
        <v>57</v>
      </c>
      <c r="C4" s="4" t="s">
        <v>58</v>
      </c>
      <c r="D4" s="4" t="s">
        <v>25</v>
      </c>
      <c r="E4" s="4" t="s">
        <v>25</v>
      </c>
      <c r="F4" s="4" t="s">
        <v>25</v>
      </c>
      <c r="G4" s="4" t="s">
        <v>59</v>
      </c>
      <c r="H4" s="4" t="s">
        <v>25</v>
      </c>
      <c r="I4" s="5">
        <v>44593</v>
      </c>
      <c r="J4" s="6">
        <v>77720</v>
      </c>
      <c r="K4" s="6">
        <v>77720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783</v>
      </c>
      <c r="S4" s="6">
        <v>1</v>
      </c>
      <c r="T4" s="6">
        <v>0</v>
      </c>
      <c r="U4" s="6">
        <v>0</v>
      </c>
      <c r="V4" s="6">
        <f>IF(ISERROR(VLOOKUP($S$4,'TAR FIN'!$A$1:$O$108,15,0)),0,VLOOKUP($S$4,'TAR FIN'!$A$1:$O$108,15,0))</f>
        <v>6.92</v>
      </c>
      <c r="W4" s="6">
        <f>IF(ISERROR(VLOOKUP($T$4,'TAR FIN'!$A$1:$O$108,15,0)),0,VLOOKUP($T$4,'TAR FIN'!$A$1:$O$108,15,0))</f>
        <v>0</v>
      </c>
      <c r="X4" s="6">
        <f>IF(ISERROR(VLOOKUP($U$4,'TAR FIN'!$A$1:$O$108,15,0)),0,VLOOKUP($U$4,'TAR FIN'!$A$1:$O$108,15,0))</f>
        <v>0</v>
      </c>
      <c r="Y4" s="6">
        <f ca="1">('TUSD BE'!$AM$5+'TUSD BF'!$AM$5+'TUSD CVA'!$AM$5)*1</f>
        <v>6.4715135626767397</v>
      </c>
      <c r="Z4" s="6"/>
      <c r="AA4" s="6"/>
      <c r="AB4" s="6">
        <f>$K$4*$V$4</f>
        <v>537822.4</v>
      </c>
      <c r="AC4" s="6">
        <f>$M$4*$W$4</f>
        <v>0</v>
      </c>
      <c r="AD4" s="6">
        <f>$O$4*$X$4</f>
        <v>0</v>
      </c>
      <c r="AE4" s="6">
        <f ca="1">$K$4*$Y$4</f>
        <v>502966.03409123619</v>
      </c>
      <c r="AF4" s="6">
        <f>$M$4*$Z$4</f>
        <v>0</v>
      </c>
      <c r="AG4" s="6">
        <f>$O$4*$AA$4</f>
        <v>0</v>
      </c>
      <c r="AI4" s="53" t="s">
        <v>42</v>
      </c>
      <c r="AJ4" s="54">
        <f t="shared" si="0"/>
        <v>104159.626</v>
      </c>
      <c r="AK4" s="54">
        <f t="shared" ca="1" si="1"/>
        <v>120103.38532766749</v>
      </c>
      <c r="AL4" s="55">
        <f t="shared" ca="1" si="2"/>
        <v>0.15307043563758072</v>
      </c>
      <c r="AN4" s="53" t="s">
        <v>42</v>
      </c>
      <c r="AO4" s="54">
        <f t="shared" si="3"/>
        <v>24497.434949999999</v>
      </c>
      <c r="AP4" s="54">
        <f t="shared" si="4"/>
        <v>50881.037061760035</v>
      </c>
      <c r="AQ4" s="55">
        <f t="shared" si="5"/>
        <v>1.0769944757730663</v>
      </c>
      <c r="AS4" s="53" t="s">
        <v>42</v>
      </c>
      <c r="AT4" s="54">
        <f t="shared" si="6"/>
        <v>128657.06095</v>
      </c>
      <c r="AU4" s="54">
        <f t="shared" ca="1" si="7"/>
        <v>170984.42238942752</v>
      </c>
      <c r="AV4" s="55">
        <f t="shared" ca="1" si="8"/>
        <v>0.32899369165503645</v>
      </c>
    </row>
    <row r="5" spans="1:48" ht="11.25" customHeight="1" x14ac:dyDescent="0.25">
      <c r="A5" s="4" t="s">
        <v>21</v>
      </c>
      <c r="B5" s="4" t="s">
        <v>57</v>
      </c>
      <c r="C5" s="4" t="s">
        <v>58</v>
      </c>
      <c r="D5" s="4" t="s">
        <v>25</v>
      </c>
      <c r="E5" s="4" t="s">
        <v>25</v>
      </c>
      <c r="F5" s="4" t="s">
        <v>25</v>
      </c>
      <c r="G5" s="4" t="s">
        <v>59</v>
      </c>
      <c r="H5" s="4" t="s">
        <v>25</v>
      </c>
      <c r="I5" s="5">
        <v>44621</v>
      </c>
      <c r="J5" s="6">
        <v>77720</v>
      </c>
      <c r="K5" s="6">
        <v>77720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783</v>
      </c>
      <c r="S5" s="6">
        <v>1</v>
      </c>
      <c r="T5" s="6">
        <v>0</v>
      </c>
      <c r="U5" s="6">
        <v>0</v>
      </c>
      <c r="V5" s="6">
        <f>IF(ISERROR(VLOOKUP($S$5,'TAR FIN'!$A$1:$O$108,15,0)),0,VLOOKUP($S$5,'TAR FIN'!$A$1:$O$108,15,0))</f>
        <v>6.92</v>
      </c>
      <c r="W5" s="6">
        <f>IF(ISERROR(VLOOKUP($T$5,'TAR FIN'!$A$1:$O$108,15,0)),0,VLOOKUP($T$5,'TAR FIN'!$A$1:$O$108,15,0))</f>
        <v>0</v>
      </c>
      <c r="X5" s="6">
        <f>IF(ISERROR(VLOOKUP($U$5,'TAR FIN'!$A$1:$O$108,15,0)),0,VLOOKUP($U$5,'TAR FIN'!$A$1:$O$108,15,0))</f>
        <v>0</v>
      </c>
      <c r="Y5" s="6">
        <f ca="1">('TUSD BE'!$AM$5+'TUSD BF'!$AM$5+'TUSD CVA'!$AM$5)*1</f>
        <v>6.4715135626767397</v>
      </c>
      <c r="Z5" s="6"/>
      <c r="AA5" s="6"/>
      <c r="AB5" s="6">
        <f>$K$5*$V$5</f>
        <v>537822.4</v>
      </c>
      <c r="AC5" s="6">
        <f>$M$5*$W$5</f>
        <v>0</v>
      </c>
      <c r="AD5" s="6">
        <f>$O$5*$X$5</f>
        <v>0</v>
      </c>
      <c r="AE5" s="6">
        <f ca="1">$K$5*$Y$5</f>
        <v>502966.03409123619</v>
      </c>
      <c r="AF5" s="6">
        <f>$M$5*$Z$5</f>
        <v>0</v>
      </c>
      <c r="AG5" s="6">
        <f>$O$5*$AA$5</f>
        <v>0</v>
      </c>
      <c r="AI5" s="53" t="s">
        <v>41</v>
      </c>
      <c r="AJ5" s="54">
        <f t="shared" si="0"/>
        <v>72070470.280333638</v>
      </c>
      <c r="AK5" s="54">
        <f t="shared" ca="1" si="1"/>
        <v>89238193.14670831</v>
      </c>
      <c r="AL5" s="55">
        <f t="shared" ca="1" si="2"/>
        <v>0.23820744889823953</v>
      </c>
      <c r="AN5" s="53" t="s">
        <v>41</v>
      </c>
      <c r="AO5" s="54">
        <f t="shared" si="3"/>
        <v>24107836.804421801</v>
      </c>
      <c r="AP5" s="54">
        <f t="shared" si="4"/>
        <v>50325264.774591699</v>
      </c>
      <c r="AQ5" s="55">
        <f t="shared" si="5"/>
        <v>1.0875064479182619</v>
      </c>
      <c r="AS5" s="53" t="s">
        <v>41</v>
      </c>
      <c r="AT5" s="54">
        <f t="shared" si="6"/>
        <v>96178307.084755436</v>
      </c>
      <c r="AU5" s="54">
        <f t="shared" ca="1" si="7"/>
        <v>139563457.92129999</v>
      </c>
      <c r="AV5" s="55">
        <f t="shared" ca="1" si="8"/>
        <v>0.45109081404720675</v>
      </c>
    </row>
    <row r="6" spans="1:48" ht="11.25" customHeight="1" x14ac:dyDescent="0.25">
      <c r="A6" s="4" t="s">
        <v>21</v>
      </c>
      <c r="B6" s="4" t="s">
        <v>57</v>
      </c>
      <c r="C6" s="4" t="s">
        <v>58</v>
      </c>
      <c r="D6" s="4" t="s">
        <v>25</v>
      </c>
      <c r="E6" s="4" t="s">
        <v>25</v>
      </c>
      <c r="F6" s="4" t="s">
        <v>25</v>
      </c>
      <c r="G6" s="4" t="s">
        <v>59</v>
      </c>
      <c r="H6" s="4" t="s">
        <v>25</v>
      </c>
      <c r="I6" s="5">
        <v>44652</v>
      </c>
      <c r="J6" s="6">
        <v>77720</v>
      </c>
      <c r="K6" s="6">
        <v>77720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783</v>
      </c>
      <c r="S6" s="6">
        <v>1</v>
      </c>
      <c r="T6" s="6">
        <v>0</v>
      </c>
      <c r="U6" s="6">
        <v>0</v>
      </c>
      <c r="V6" s="6">
        <f>IF(ISERROR(VLOOKUP($S$6,'TAR FIN'!$A$1:$O$108,15,0)),0,VLOOKUP($S$6,'TAR FIN'!$A$1:$O$108,15,0))</f>
        <v>6.92</v>
      </c>
      <c r="W6" s="6">
        <f>IF(ISERROR(VLOOKUP($T$6,'TAR FIN'!$A$1:$O$108,15,0)),0,VLOOKUP($T$6,'TAR FIN'!$A$1:$O$108,15,0))</f>
        <v>0</v>
      </c>
      <c r="X6" s="6">
        <f>IF(ISERROR(VLOOKUP($U$6,'TAR FIN'!$A$1:$O$108,15,0)),0,VLOOKUP($U$6,'TAR FIN'!$A$1:$O$108,15,0))</f>
        <v>0</v>
      </c>
      <c r="Y6" s="6">
        <f ca="1">('TUSD BE'!$AM$5+'TUSD BF'!$AM$5+'TUSD CVA'!$AM$5)*1</f>
        <v>6.4715135626767397</v>
      </c>
      <c r="Z6" s="6"/>
      <c r="AA6" s="6"/>
      <c r="AB6" s="6">
        <f>$K$6*$V$6</f>
        <v>537822.4</v>
      </c>
      <c r="AC6" s="6">
        <f>$M$6*$W$6</f>
        <v>0</v>
      </c>
      <c r="AD6" s="6">
        <f>$O$6*$X$6</f>
        <v>0</v>
      </c>
      <c r="AE6" s="6">
        <f ca="1">$K$6*$Y$6</f>
        <v>502966.03409123619</v>
      </c>
      <c r="AF6" s="6">
        <f>$M$6*$Z$6</f>
        <v>0</v>
      </c>
      <c r="AG6" s="6">
        <f>$O$6*$AA$6</f>
        <v>0</v>
      </c>
      <c r="AI6" s="53" t="s">
        <v>22</v>
      </c>
      <c r="AJ6" s="54">
        <f t="shared" si="0"/>
        <v>221862763.54094994</v>
      </c>
      <c r="AK6" s="54">
        <f t="shared" ca="1" si="1"/>
        <v>252746279.36626038</v>
      </c>
      <c r="AL6" s="55">
        <f t="shared" ca="1" si="2"/>
        <v>0.13920098772956169</v>
      </c>
      <c r="AN6" s="53" t="s">
        <v>22</v>
      </c>
      <c r="AO6" s="54">
        <f t="shared" si="3"/>
        <v>56322406.788950033</v>
      </c>
      <c r="AP6" s="54">
        <f t="shared" si="4"/>
        <v>117295197.50392152</v>
      </c>
      <c r="AQ6" s="55">
        <f t="shared" si="5"/>
        <v>1.0825672088809566</v>
      </c>
      <c r="AS6" s="53" t="s">
        <v>22</v>
      </c>
      <c r="AT6" s="54">
        <f t="shared" si="6"/>
        <v>278185170.32989997</v>
      </c>
      <c r="AU6" s="54">
        <f t="shared" ca="1" si="7"/>
        <v>370041476.87018192</v>
      </c>
      <c r="AV6" s="55">
        <f t="shared" ca="1" si="8"/>
        <v>0.33019843017278561</v>
      </c>
    </row>
    <row r="7" spans="1:48" ht="11.25" customHeight="1" x14ac:dyDescent="0.25">
      <c r="A7" s="4" t="s">
        <v>21</v>
      </c>
      <c r="B7" s="4" t="s">
        <v>57</v>
      </c>
      <c r="C7" s="4" t="s">
        <v>58</v>
      </c>
      <c r="D7" s="4" t="s">
        <v>25</v>
      </c>
      <c r="E7" s="4" t="s">
        <v>25</v>
      </c>
      <c r="F7" s="4" t="s">
        <v>25</v>
      </c>
      <c r="G7" s="4" t="s">
        <v>59</v>
      </c>
      <c r="H7" s="4" t="s">
        <v>25</v>
      </c>
      <c r="I7" s="5">
        <v>44682</v>
      </c>
      <c r="J7" s="6">
        <v>77720</v>
      </c>
      <c r="K7" s="6">
        <v>77720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783</v>
      </c>
      <c r="S7" s="6">
        <v>1</v>
      </c>
      <c r="T7" s="6">
        <v>0</v>
      </c>
      <c r="U7" s="6">
        <v>0</v>
      </c>
      <c r="V7" s="6">
        <f>IF(ISERROR(VLOOKUP($S$7,'TAR FIN'!$A$1:$O$108,15,0)),0,VLOOKUP($S$7,'TAR FIN'!$A$1:$O$108,15,0))</f>
        <v>6.92</v>
      </c>
      <c r="W7" s="6">
        <f>IF(ISERROR(VLOOKUP($T$7,'TAR FIN'!$A$1:$O$108,15,0)),0,VLOOKUP($T$7,'TAR FIN'!$A$1:$O$108,15,0))</f>
        <v>0</v>
      </c>
      <c r="X7" s="6">
        <f>IF(ISERROR(VLOOKUP($U$7,'TAR FIN'!$A$1:$O$108,15,0)),0,VLOOKUP($U$7,'TAR FIN'!$A$1:$O$108,15,0))</f>
        <v>0</v>
      </c>
      <c r="Y7" s="6">
        <f ca="1">('TUSD BE'!$AM$5+'TUSD BF'!$AM$5+'TUSD CVA'!$AM$5)*1</f>
        <v>6.4715135626767397</v>
      </c>
      <c r="Z7" s="6"/>
      <c r="AA7" s="6"/>
      <c r="AB7" s="6">
        <f>$K$7*$V$7</f>
        <v>537822.4</v>
      </c>
      <c r="AC7" s="6">
        <f>$M$7*$W$7</f>
        <v>0</v>
      </c>
      <c r="AD7" s="6">
        <f>$O$7*$X$7</f>
        <v>0</v>
      </c>
      <c r="AE7" s="6">
        <f ca="1">$K$7*$Y$7</f>
        <v>502966.03409123619</v>
      </c>
      <c r="AF7" s="6">
        <f>$M$7*$Z$7</f>
        <v>0</v>
      </c>
      <c r="AG7" s="6">
        <f>$O$7*$AA$7</f>
        <v>0</v>
      </c>
      <c r="AI7" s="53" t="s">
        <v>45</v>
      </c>
      <c r="AJ7" s="54">
        <f t="shared" si="0"/>
        <v>1576266.1989000002</v>
      </c>
      <c r="AK7" s="54">
        <f t="shared" ca="1" si="1"/>
        <v>1937725.8019749955</v>
      </c>
      <c r="AL7" s="55">
        <f t="shared" ca="1" si="2"/>
        <v>0.2293138071013896</v>
      </c>
      <c r="AN7" s="53" t="s">
        <v>45</v>
      </c>
      <c r="AO7" s="54">
        <f t="shared" si="3"/>
        <v>393299.52029999992</v>
      </c>
      <c r="AP7" s="54">
        <f t="shared" si="4"/>
        <v>874873.0833466074</v>
      </c>
      <c r="AQ7" s="55">
        <f t="shared" si="5"/>
        <v>1.2244448268822552</v>
      </c>
      <c r="AS7" s="53" t="s">
        <v>45</v>
      </c>
      <c r="AT7" s="54">
        <f t="shared" si="6"/>
        <v>1969565.7192000002</v>
      </c>
      <c r="AU7" s="54">
        <f t="shared" ca="1" si="7"/>
        <v>2812598.8853216032</v>
      </c>
      <c r="AV7" s="55">
        <f t="shared" ca="1" si="8"/>
        <v>0.42802997529020104</v>
      </c>
    </row>
    <row r="8" spans="1:48" ht="11.25" customHeight="1" x14ac:dyDescent="0.25">
      <c r="A8" s="4" t="s">
        <v>21</v>
      </c>
      <c r="B8" s="4" t="s">
        <v>57</v>
      </c>
      <c r="C8" s="4" t="s">
        <v>58</v>
      </c>
      <c r="D8" s="4" t="s">
        <v>25</v>
      </c>
      <c r="E8" s="4" t="s">
        <v>25</v>
      </c>
      <c r="F8" s="4" t="s">
        <v>25</v>
      </c>
      <c r="G8" s="4" t="s">
        <v>59</v>
      </c>
      <c r="H8" s="4" t="s">
        <v>25</v>
      </c>
      <c r="I8" s="5">
        <v>44713</v>
      </c>
      <c r="J8" s="6">
        <v>77720</v>
      </c>
      <c r="K8" s="6">
        <v>77720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783</v>
      </c>
      <c r="S8" s="6">
        <v>1</v>
      </c>
      <c r="T8" s="6">
        <v>0</v>
      </c>
      <c r="U8" s="6">
        <v>0</v>
      </c>
      <c r="V8" s="6">
        <f>IF(ISERROR(VLOOKUP($S$8,'TAR FIN'!$A$1:$O$108,15,0)),0,VLOOKUP($S$8,'TAR FIN'!$A$1:$O$108,15,0))</f>
        <v>6.92</v>
      </c>
      <c r="W8" s="6">
        <f>IF(ISERROR(VLOOKUP($T$8,'TAR FIN'!$A$1:$O$108,15,0)),0,VLOOKUP($T$8,'TAR FIN'!$A$1:$O$108,15,0))</f>
        <v>0</v>
      </c>
      <c r="X8" s="6">
        <f>IF(ISERROR(VLOOKUP($U$8,'TAR FIN'!$A$1:$O$108,15,0)),0,VLOOKUP($U$8,'TAR FIN'!$A$1:$O$108,15,0))</f>
        <v>0</v>
      </c>
      <c r="Y8" s="6">
        <f ca="1">('TUSD BE'!$AM$5+'TUSD BF'!$AM$5+'TUSD CVA'!$AM$5)*1</f>
        <v>6.4715135626767397</v>
      </c>
      <c r="Z8" s="6"/>
      <c r="AA8" s="6"/>
      <c r="AB8" s="6">
        <f>$K$8*$V$8</f>
        <v>537822.4</v>
      </c>
      <c r="AC8" s="6">
        <f>$M$8*$W$8</f>
        <v>0</v>
      </c>
      <c r="AD8" s="6">
        <f>$O$8*$X$8</f>
        <v>0</v>
      </c>
      <c r="AE8" s="6">
        <f ca="1">$K$8*$Y$8</f>
        <v>502966.03409123619</v>
      </c>
      <c r="AF8" s="6">
        <f>$M$8*$Z$8</f>
        <v>0</v>
      </c>
      <c r="AG8" s="6">
        <f>$O$8*$AA$8</f>
        <v>0</v>
      </c>
      <c r="AI8" s="53" t="s">
        <v>37</v>
      </c>
      <c r="AJ8" s="54">
        <f t="shared" si="0"/>
        <v>78489666.984603614</v>
      </c>
      <c r="AK8" s="54">
        <f t="shared" ca="1" si="1"/>
        <v>90412383.028199315</v>
      </c>
      <c r="AL8" s="55">
        <f t="shared" ca="1" si="2"/>
        <v>0.15190172798075996</v>
      </c>
      <c r="AN8" s="53" t="s">
        <v>37</v>
      </c>
      <c r="AO8" s="54">
        <f t="shared" si="3"/>
        <v>19591397.734257188</v>
      </c>
      <c r="AP8" s="54">
        <f t="shared" si="4"/>
        <v>40834419.076222457</v>
      </c>
      <c r="AQ8" s="55">
        <f t="shared" si="5"/>
        <v>1.084303510658664</v>
      </c>
      <c r="AS8" s="53" t="s">
        <v>37</v>
      </c>
      <c r="AT8" s="54">
        <f t="shared" si="6"/>
        <v>98081064.718860805</v>
      </c>
      <c r="AU8" s="54">
        <f t="shared" ca="1" si="7"/>
        <v>131246802.10442176</v>
      </c>
      <c r="AV8" s="55">
        <f t="shared" ca="1" si="8"/>
        <v>0.33814618020947362</v>
      </c>
    </row>
    <row r="9" spans="1:48" ht="11.25" customHeight="1" x14ac:dyDescent="0.25">
      <c r="A9" s="4" t="s">
        <v>21</v>
      </c>
      <c r="B9" s="4" t="s">
        <v>57</v>
      </c>
      <c r="C9" s="4" t="s">
        <v>58</v>
      </c>
      <c r="D9" s="4" t="s">
        <v>25</v>
      </c>
      <c r="E9" s="4" t="s">
        <v>25</v>
      </c>
      <c r="F9" s="4" t="s">
        <v>25</v>
      </c>
      <c r="G9" s="4" t="s">
        <v>59</v>
      </c>
      <c r="H9" s="4" t="s">
        <v>25</v>
      </c>
      <c r="I9" s="5">
        <v>44743</v>
      </c>
      <c r="J9" s="6">
        <v>77720</v>
      </c>
      <c r="K9" s="6">
        <v>77720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783</v>
      </c>
      <c r="S9" s="6">
        <v>1</v>
      </c>
      <c r="T9" s="6">
        <v>0</v>
      </c>
      <c r="U9" s="6">
        <v>0</v>
      </c>
      <c r="V9" s="6">
        <f>IF(ISERROR(VLOOKUP($S$9,'TAR FIN'!$A$1:$O$108,15,0)),0,VLOOKUP($S$9,'TAR FIN'!$A$1:$O$108,15,0))</f>
        <v>6.92</v>
      </c>
      <c r="W9" s="6">
        <f>IF(ISERROR(VLOOKUP($T$9,'TAR FIN'!$A$1:$O$108,15,0)),0,VLOOKUP($T$9,'TAR FIN'!$A$1:$O$108,15,0))</f>
        <v>0</v>
      </c>
      <c r="X9" s="6">
        <f>IF(ISERROR(VLOOKUP($U$9,'TAR FIN'!$A$1:$O$108,15,0)),0,VLOOKUP($U$9,'TAR FIN'!$A$1:$O$108,15,0))</f>
        <v>0</v>
      </c>
      <c r="Y9" s="6">
        <f ca="1">('TUSD BE'!$AM$5+'TUSD BF'!$AM$5+'TUSD CVA'!$AM$5)*1</f>
        <v>6.4715135626767397</v>
      </c>
      <c r="Z9" s="6"/>
      <c r="AA9" s="6"/>
      <c r="AB9" s="6">
        <f>$K$9*$V$9</f>
        <v>537822.4</v>
      </c>
      <c r="AC9" s="6">
        <f>$M$9*$W$9</f>
        <v>0</v>
      </c>
      <c r="AD9" s="6">
        <f>$O$9*$X$9</f>
        <v>0</v>
      </c>
      <c r="AE9" s="6">
        <f ca="1">$K$9*$Y$9</f>
        <v>502966.03409123619</v>
      </c>
      <c r="AF9" s="6">
        <f>$M$9*$Z$9</f>
        <v>0</v>
      </c>
      <c r="AG9" s="6">
        <f>$O$9*$AA$9</f>
        <v>0</v>
      </c>
      <c r="AI9" s="53" t="s">
        <v>48</v>
      </c>
      <c r="AJ9" s="54">
        <f t="shared" si="0"/>
        <v>9381715.5415300019</v>
      </c>
      <c r="AK9" s="54">
        <f t="shared" ca="1" si="1"/>
        <v>10797032.488057537</v>
      </c>
      <c r="AL9" s="55">
        <f t="shared" ca="1" si="2"/>
        <v>0.15085907692067169</v>
      </c>
      <c r="AN9" s="53" t="s">
        <v>48</v>
      </c>
      <c r="AO9" s="54">
        <f t="shared" si="3"/>
        <v>2340592.1354400003</v>
      </c>
      <c r="AP9" s="54">
        <f t="shared" si="4"/>
        <v>4874803.8005132992</v>
      </c>
      <c r="AQ9" s="55">
        <f t="shared" si="5"/>
        <v>1.0827224558698694</v>
      </c>
      <c r="AS9" s="53" t="s">
        <v>48</v>
      </c>
      <c r="AT9" s="54">
        <f t="shared" si="6"/>
        <v>11722307.676970001</v>
      </c>
      <c r="AU9" s="54">
        <f t="shared" ca="1" si="7"/>
        <v>15671836.288570836</v>
      </c>
      <c r="AV9" s="55">
        <f t="shared" ca="1" si="8"/>
        <v>0.33692415524634267</v>
      </c>
    </row>
    <row r="10" spans="1:48" ht="11.25" customHeight="1" x14ac:dyDescent="0.25">
      <c r="A10" s="4" t="s">
        <v>21</v>
      </c>
      <c r="B10" s="4" t="s">
        <v>57</v>
      </c>
      <c r="C10" s="4" t="s">
        <v>58</v>
      </c>
      <c r="D10" s="4" t="s">
        <v>25</v>
      </c>
      <c r="E10" s="4" t="s">
        <v>25</v>
      </c>
      <c r="F10" s="4" t="s">
        <v>25</v>
      </c>
      <c r="G10" s="4" t="s">
        <v>59</v>
      </c>
      <c r="H10" s="4" t="s">
        <v>25</v>
      </c>
      <c r="I10" s="5">
        <v>44774</v>
      </c>
      <c r="J10" s="6">
        <v>77720</v>
      </c>
      <c r="K10" s="6">
        <v>77720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783</v>
      </c>
      <c r="S10" s="6">
        <v>1</v>
      </c>
      <c r="T10" s="6">
        <v>0</v>
      </c>
      <c r="U10" s="6">
        <v>0</v>
      </c>
      <c r="V10" s="6">
        <f>IF(ISERROR(VLOOKUP($S$10,'TAR FIN'!$A$1:$O$108,15,0)),0,VLOOKUP($S$10,'TAR FIN'!$A$1:$O$108,15,0))</f>
        <v>6.92</v>
      </c>
      <c r="W10" s="6">
        <f>IF(ISERROR(VLOOKUP($T$10,'TAR FIN'!$A$1:$O$108,15,0)),0,VLOOKUP($T$10,'TAR FIN'!$A$1:$O$108,15,0))</f>
        <v>0</v>
      </c>
      <c r="X10" s="6">
        <f>IF(ISERROR(VLOOKUP($U$10,'TAR FIN'!$A$1:$O$108,15,0)),0,VLOOKUP($U$10,'TAR FIN'!$A$1:$O$108,15,0))</f>
        <v>0</v>
      </c>
      <c r="Y10" s="6">
        <f ca="1">('TUSD BE'!$AM$5+'TUSD BF'!$AM$5+'TUSD CVA'!$AM$5)*1</f>
        <v>6.4715135626767397</v>
      </c>
      <c r="Z10" s="6"/>
      <c r="AA10" s="6"/>
      <c r="AB10" s="6">
        <f>$K$10*$V$10</f>
        <v>537822.4</v>
      </c>
      <c r="AC10" s="6">
        <f>$M$10*$W$10</f>
        <v>0</v>
      </c>
      <c r="AD10" s="6">
        <f>$O$10*$X$10</f>
        <v>0</v>
      </c>
      <c r="AE10" s="6">
        <f ca="1">$K$10*$Y$10</f>
        <v>502966.03409123619</v>
      </c>
      <c r="AF10" s="6">
        <f>$M$10*$Z$10</f>
        <v>0</v>
      </c>
      <c r="AG10" s="6">
        <f>$O$10*$AA$10</f>
        <v>0</v>
      </c>
      <c r="AI10" s="53" t="s">
        <v>824</v>
      </c>
      <c r="AJ10" s="54">
        <f>+$AJ$2+$AJ$3+$AJ$4+$AJ$5</f>
        <v>92121313.604693636</v>
      </c>
      <c r="AK10" s="54">
        <f ca="1">+$AK$2+$AK$3+$AK$4+$AK$5</f>
        <v>113030431.51251215</v>
      </c>
      <c r="AL10" s="55">
        <f t="shared" ca="1" si="2"/>
        <v>0.22697372724777543</v>
      </c>
      <c r="AN10" s="53" t="s">
        <v>824</v>
      </c>
      <c r="AO10" s="54">
        <f>+$AO$2+$AO$3+$AO$4+$AO$5</f>
        <v>32033971.860211801</v>
      </c>
      <c r="AP10" s="54">
        <f>+$AP$2+$AP$3+$AP$4+$AP$5</f>
        <v>66827705.503256097</v>
      </c>
      <c r="AQ10" s="55">
        <f t="shared" si="5"/>
        <v>1.086151095932637</v>
      </c>
      <c r="AS10" s="53" t="s">
        <v>824</v>
      </c>
      <c r="AT10" s="54">
        <f>+$AT$2+$AT$3+$AT$4+$AT$5</f>
        <v>124155285.46490544</v>
      </c>
      <c r="AU10" s="54">
        <f ca="1">+$AU$2+$AU$3+$AU$4+$AU$5</f>
        <v>179858137.01576823</v>
      </c>
      <c r="AV10" s="55">
        <f t="shared" ca="1" si="8"/>
        <v>0.4486546935338338</v>
      </c>
    </row>
    <row r="11" spans="1:48" ht="11.25" customHeight="1" x14ac:dyDescent="0.25">
      <c r="A11" s="4" t="s">
        <v>21</v>
      </c>
      <c r="B11" s="4" t="s">
        <v>57</v>
      </c>
      <c r="C11" s="4" t="s">
        <v>58</v>
      </c>
      <c r="D11" s="4" t="s">
        <v>25</v>
      </c>
      <c r="E11" s="4" t="s">
        <v>25</v>
      </c>
      <c r="F11" s="4" t="s">
        <v>25</v>
      </c>
      <c r="G11" s="4" t="s">
        <v>59</v>
      </c>
      <c r="H11" s="4" t="s">
        <v>25</v>
      </c>
      <c r="I11" s="5">
        <v>44805</v>
      </c>
      <c r="J11" s="6">
        <v>77720</v>
      </c>
      <c r="K11" s="6">
        <v>77720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783</v>
      </c>
      <c r="S11" s="6">
        <v>1</v>
      </c>
      <c r="T11" s="6">
        <v>0</v>
      </c>
      <c r="U11" s="6">
        <v>0</v>
      </c>
      <c r="V11" s="6">
        <f>IF(ISERROR(VLOOKUP($S$11,'TAR FIN'!$A$1:$O$108,15,0)),0,VLOOKUP($S$11,'TAR FIN'!$A$1:$O$108,15,0))</f>
        <v>6.92</v>
      </c>
      <c r="W11" s="6">
        <f>IF(ISERROR(VLOOKUP($T$11,'TAR FIN'!$A$1:$O$108,15,0)),0,VLOOKUP($T$11,'TAR FIN'!$A$1:$O$108,15,0))</f>
        <v>0</v>
      </c>
      <c r="X11" s="6">
        <f>IF(ISERROR(VLOOKUP($U$11,'TAR FIN'!$A$1:$O$108,15,0)),0,VLOOKUP($U$11,'TAR FIN'!$A$1:$O$108,15,0))</f>
        <v>0</v>
      </c>
      <c r="Y11" s="6">
        <f ca="1">('TUSD BE'!$AM$5+'TUSD BF'!$AM$5+'TUSD CVA'!$AM$5)*1</f>
        <v>6.4715135626767397</v>
      </c>
      <c r="Z11" s="6"/>
      <c r="AA11" s="6"/>
      <c r="AB11" s="6">
        <f>$K$11*$V$11</f>
        <v>537822.4</v>
      </c>
      <c r="AC11" s="6">
        <f>$M$11*$W$11</f>
        <v>0</v>
      </c>
      <c r="AD11" s="6">
        <f>$O$11*$X$11</f>
        <v>0</v>
      </c>
      <c r="AE11" s="6">
        <f ca="1">$K$11*$Y$11</f>
        <v>502966.03409123619</v>
      </c>
      <c r="AF11" s="6">
        <f>$M$11*$Z$11</f>
        <v>0</v>
      </c>
      <c r="AG11" s="6">
        <f>$O$11*$AA$11</f>
        <v>0</v>
      </c>
      <c r="AI11" s="53" t="s">
        <v>87</v>
      </c>
      <c r="AJ11" s="54">
        <f>+$AJ$6+$AJ$7+$AJ$8+$AJ$9</f>
        <v>311310412.26598358</v>
      </c>
      <c r="AK11" s="54">
        <f ca="1">+$AK$6+$AK$7+$AK$8+$AK$9</f>
        <v>355893420.68449223</v>
      </c>
      <c r="AL11" s="55">
        <f t="shared" ca="1" si="2"/>
        <v>0.1432107846762829</v>
      </c>
      <c r="AN11" s="53" t="s">
        <v>87</v>
      </c>
      <c r="AO11" s="54">
        <f>+$AO$6+$AO$7+$AO$8+$AO$9</f>
        <v>78647696.178947225</v>
      </c>
      <c r="AP11" s="54">
        <f>+$AP$6+$AP$7+$AP$8+$AP$9</f>
        <v>163879293.46400389</v>
      </c>
      <c r="AQ11" s="55">
        <f t="shared" si="5"/>
        <v>1.0837138457448146</v>
      </c>
      <c r="AS11" s="53" t="s">
        <v>87</v>
      </c>
      <c r="AT11" s="54">
        <f>+$AT$6+$AT$7+$AT$8+$AT$9</f>
        <v>389958108.44493079</v>
      </c>
      <c r="AU11" s="54">
        <f ca="1">+$AU$6+$AU$7+$AU$8+$AU$9</f>
        <v>519772714.14849609</v>
      </c>
      <c r="AV11" s="55">
        <f t="shared" ca="1" si="8"/>
        <v>0.3328937208697571</v>
      </c>
    </row>
    <row r="12" spans="1:48" ht="11.25" customHeight="1" x14ac:dyDescent="0.25">
      <c r="A12" s="4" t="s">
        <v>21</v>
      </c>
      <c r="B12" s="4" t="s">
        <v>57</v>
      </c>
      <c r="C12" s="4" t="s">
        <v>58</v>
      </c>
      <c r="D12" s="4" t="s">
        <v>25</v>
      </c>
      <c r="E12" s="4" t="s">
        <v>25</v>
      </c>
      <c r="F12" s="4" t="s">
        <v>25</v>
      </c>
      <c r="G12" s="4" t="s">
        <v>59</v>
      </c>
      <c r="H12" s="4" t="s">
        <v>25</v>
      </c>
      <c r="I12" s="5">
        <v>44835</v>
      </c>
      <c r="J12" s="6">
        <v>77720</v>
      </c>
      <c r="K12" s="6">
        <v>77720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783</v>
      </c>
      <c r="S12" s="6">
        <v>1</v>
      </c>
      <c r="T12" s="6">
        <v>0</v>
      </c>
      <c r="U12" s="6">
        <v>0</v>
      </c>
      <c r="V12" s="6">
        <f>IF(ISERROR(VLOOKUP($S$12,'TAR FIN'!$A$1:$O$108,15,0)),0,VLOOKUP($S$12,'TAR FIN'!$A$1:$O$108,15,0))</f>
        <v>6.92</v>
      </c>
      <c r="W12" s="6">
        <f>IF(ISERROR(VLOOKUP($T$12,'TAR FIN'!$A$1:$O$108,15,0)),0,VLOOKUP($T$12,'TAR FIN'!$A$1:$O$108,15,0))</f>
        <v>0</v>
      </c>
      <c r="X12" s="6">
        <f>IF(ISERROR(VLOOKUP($U$12,'TAR FIN'!$A$1:$O$108,15,0)),0,VLOOKUP($U$12,'TAR FIN'!$A$1:$O$108,15,0))</f>
        <v>0</v>
      </c>
      <c r="Y12" s="6">
        <f ca="1">('TUSD BE'!$AM$5+'TUSD BF'!$AM$5+'TUSD CVA'!$AM$5)*1</f>
        <v>6.4715135626767397</v>
      </c>
      <c r="Z12" s="6"/>
      <c r="AA12" s="6"/>
      <c r="AB12" s="6">
        <f>$K$12*$V$12</f>
        <v>537822.4</v>
      </c>
      <c r="AC12" s="6">
        <f>$M$12*$W$12</f>
        <v>0</v>
      </c>
      <c r="AD12" s="6">
        <f>$O$12*$X$12</f>
        <v>0</v>
      </c>
      <c r="AE12" s="6">
        <f ca="1">$K$12*$Y$12</f>
        <v>502966.03409123619</v>
      </c>
      <c r="AF12" s="6">
        <f>$M$12*$Z$12</f>
        <v>0</v>
      </c>
      <c r="AG12" s="6">
        <f>$O$12*$AA$12</f>
        <v>0</v>
      </c>
      <c r="AI12" s="53" t="s">
        <v>825</v>
      </c>
      <c r="AJ12" s="54">
        <f>AJ11+AJ10</f>
        <v>403431725.87067723</v>
      </c>
      <c r="AK12" s="54">
        <f ca="1">AK11+AK10</f>
        <v>468923852.19700438</v>
      </c>
      <c r="AL12" s="55">
        <f t="shared" ca="1" si="2"/>
        <v>0.16233757071282273</v>
      </c>
      <c r="AN12" s="53" t="s">
        <v>825</v>
      </c>
      <c r="AO12" s="54">
        <f>AO11+AO10</f>
        <v>110681668.03915903</v>
      </c>
      <c r="AP12" s="54">
        <f>AP11+AP10</f>
        <v>230706998.96726</v>
      </c>
      <c r="AQ12" s="55">
        <f t="shared" si="5"/>
        <v>1.0844192453409374</v>
      </c>
      <c r="AS12" s="53" t="s">
        <v>825</v>
      </c>
      <c r="AT12" s="54">
        <f>AT11+AT10</f>
        <v>514113393.90983623</v>
      </c>
      <c r="AU12" s="54">
        <f ca="1">AU11+AU10</f>
        <v>699630851.16426432</v>
      </c>
      <c r="AV12" s="55">
        <f t="shared" ca="1" si="8"/>
        <v>0.36084929794099785</v>
      </c>
    </row>
    <row r="13" spans="1:48" ht="11.25" customHeight="1" x14ac:dyDescent="0.25">
      <c r="A13" s="4" t="s">
        <v>54</v>
      </c>
      <c r="B13" s="4" t="s">
        <v>57</v>
      </c>
      <c r="C13" s="4" t="s">
        <v>58</v>
      </c>
      <c r="D13" s="4" t="s">
        <v>25</v>
      </c>
      <c r="E13" s="4" t="s">
        <v>25</v>
      </c>
      <c r="F13" s="4" t="s">
        <v>25</v>
      </c>
      <c r="G13" s="4" t="s">
        <v>59</v>
      </c>
      <c r="H13" s="4" t="s">
        <v>25</v>
      </c>
      <c r="I13" s="5">
        <v>44866</v>
      </c>
      <c r="J13" s="6">
        <v>77720</v>
      </c>
      <c r="K13" s="6">
        <v>77720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783</v>
      </c>
      <c r="S13" s="6">
        <v>1</v>
      </c>
      <c r="T13" s="6">
        <v>0</v>
      </c>
      <c r="U13" s="6">
        <v>0</v>
      </c>
      <c r="V13" s="6">
        <f>IF(ISERROR(VLOOKUP($S$13,'TAR FIN'!$A$1:$O$108,15,0)),0,VLOOKUP($S$13,'TAR FIN'!$A$1:$O$108,15,0))</f>
        <v>6.92</v>
      </c>
      <c r="W13" s="6">
        <f>IF(ISERROR(VLOOKUP($T$13,'TAR FIN'!$A$1:$O$108,15,0)),0,VLOOKUP($T$13,'TAR FIN'!$A$1:$O$108,15,0))</f>
        <v>0</v>
      </c>
      <c r="X13" s="6">
        <f>IF(ISERROR(VLOOKUP($U$13,'TAR FIN'!$A$1:$O$108,15,0)),0,VLOOKUP($U$13,'TAR FIN'!$A$1:$O$108,15,0))</f>
        <v>0</v>
      </c>
      <c r="Y13" s="6">
        <f ca="1">('TUSD BE'!$AM$5+'TUSD BF'!$AM$5+'TUSD CVA'!$AM$5)*1</f>
        <v>6.4715135626767397</v>
      </c>
      <c r="Z13" s="6"/>
      <c r="AA13" s="6"/>
      <c r="AB13" s="6">
        <f>$K$13*$V$13</f>
        <v>537822.4</v>
      </c>
      <c r="AC13" s="6">
        <f>$M$13*$W$13</f>
        <v>0</v>
      </c>
      <c r="AD13" s="6">
        <f>$O$13*$X$13</f>
        <v>0</v>
      </c>
      <c r="AE13" s="6">
        <f ca="1">$K$13*$Y$13</f>
        <v>502966.03409123619</v>
      </c>
      <c r="AF13" s="6">
        <f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44531</v>
      </c>
      <c r="J14" s="6">
        <v>10500</v>
      </c>
      <c r="K14" s="6">
        <v>10500</v>
      </c>
      <c r="L14" s="6">
        <v>5845</v>
      </c>
      <c r="M14" s="6">
        <v>5845</v>
      </c>
      <c r="N14" s="6">
        <v>5845</v>
      </c>
      <c r="O14" s="6">
        <v>5845</v>
      </c>
      <c r="P14" s="6">
        <v>0</v>
      </c>
      <c r="Q14" s="4" t="s">
        <v>26</v>
      </c>
      <c r="R14" s="4">
        <v>0</v>
      </c>
      <c r="S14" s="6">
        <v>10</v>
      </c>
      <c r="T14" s="6">
        <v>13</v>
      </c>
      <c r="U14" s="6">
        <v>71</v>
      </c>
      <c r="V14" s="6">
        <f>IF(ISERROR(VLOOKUP($S$14,'TAR FIN'!$A$1:$O$108,15,0)),0,VLOOKUP($S$14,'TAR FIN'!$A$1:$O$108,15,0))</f>
        <v>13.73</v>
      </c>
      <c r="W14" s="6">
        <f>IF(ISERROR(VLOOKUP($T$14,'TAR FIN'!$A$1:$O$108,15,0)),0,VLOOKUP($T$14,'TAR FIN'!$A$1:$O$108,15,0))</f>
        <v>78.44</v>
      </c>
      <c r="X14" s="6">
        <f>IF(ISERROR(VLOOKUP($U$14,'TAR FIN'!$A$1:$O$108,15,0)),0,VLOOKUP($U$14,'TAR FIN'!$A$1:$O$108,15,0))</f>
        <v>103.1</v>
      </c>
      <c r="Y14" s="6">
        <f ca="1">('TUSD BE'!$AM$8+'TUSD BF'!$AM$8+'TUSD CVA'!$AM$8)*1</f>
        <v>15.502370041625372</v>
      </c>
      <c r="Z14" s="6">
        <f ca="1">('TUSD BE'!$AM$9+'TUSD BF'!$AM$9+'TUSD CVA'!$AM$9)*1</f>
        <v>133.61920768547392</v>
      </c>
      <c r="AA14" s="6">
        <f>('TE BE'!$AB$6+'TE BF'!$AB$6+'TE CVA'!$AB$6)*1</f>
        <v>215.60278025898469</v>
      </c>
      <c r="AB14" s="6">
        <f>$K$14*$V$14</f>
        <v>144165</v>
      </c>
      <c r="AC14" s="6">
        <f>$M$14*$W$14</f>
        <v>458481.8</v>
      </c>
      <c r="AD14" s="6">
        <f>$O$14*$X$14</f>
        <v>602619.5</v>
      </c>
      <c r="AE14" s="6">
        <f ca="1">$K$14*$Y$14</f>
        <v>162774.8854370664</v>
      </c>
      <c r="AF14" s="6">
        <f ca="1">$M$14*$Z$14</f>
        <v>781004.26892159507</v>
      </c>
      <c r="AG14" s="6">
        <f>$O$14*$AA$14</f>
        <v>1260198.2506137656</v>
      </c>
    </row>
    <row r="15" spans="1:48" ht="11.25" customHeight="1" x14ac:dyDescent="0.25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44562</v>
      </c>
      <c r="J15" s="6">
        <v>10920</v>
      </c>
      <c r="K15" s="6">
        <v>10920</v>
      </c>
      <c r="L15" s="6">
        <v>6008.0209999999997</v>
      </c>
      <c r="M15" s="6">
        <v>6008.0209999999997</v>
      </c>
      <c r="N15" s="6">
        <v>6008.0209999999997</v>
      </c>
      <c r="O15" s="6">
        <v>6008.0209999999997</v>
      </c>
      <c r="P15" s="6">
        <v>0</v>
      </c>
      <c r="Q15" s="4" t="s">
        <v>26</v>
      </c>
      <c r="R15" s="4">
        <v>0</v>
      </c>
      <c r="S15" s="6">
        <v>10</v>
      </c>
      <c r="T15" s="6">
        <v>13</v>
      </c>
      <c r="U15" s="6">
        <v>71</v>
      </c>
      <c r="V15" s="6">
        <f>IF(ISERROR(VLOOKUP($S$15,'TAR FIN'!$A$1:$O$108,15,0)),0,VLOOKUP($S$15,'TAR FIN'!$A$1:$O$108,15,0))</f>
        <v>13.73</v>
      </c>
      <c r="W15" s="6">
        <f>IF(ISERROR(VLOOKUP($T$15,'TAR FIN'!$A$1:$O$108,15,0)),0,VLOOKUP($T$15,'TAR FIN'!$A$1:$O$108,15,0))</f>
        <v>78.44</v>
      </c>
      <c r="X15" s="6">
        <f>IF(ISERROR(VLOOKUP($U$15,'TAR FIN'!$A$1:$O$108,15,0)),0,VLOOKUP($U$15,'TAR FIN'!$A$1:$O$108,15,0))</f>
        <v>103.1</v>
      </c>
      <c r="Y15" s="6">
        <f ca="1">('TUSD BE'!$AM$8+'TUSD BF'!$AM$8+'TUSD CVA'!$AM$8)*1</f>
        <v>15.502370041625372</v>
      </c>
      <c r="Z15" s="6">
        <f ca="1">('TUSD BE'!$AM$9+'TUSD BF'!$AM$9+'TUSD CVA'!$AM$9)*1</f>
        <v>133.61920768547392</v>
      </c>
      <c r="AA15" s="6">
        <f>('TE BE'!$AB$6+'TE BF'!$AB$6+'TE CVA'!$AB$6)*1</f>
        <v>215.60278025898469</v>
      </c>
      <c r="AB15" s="6">
        <f>$K$15*$V$15</f>
        <v>149931.6</v>
      </c>
      <c r="AC15" s="6">
        <f>$M$15*$W$15</f>
        <v>471269.16723999998</v>
      </c>
      <c r="AD15" s="6">
        <f>$O$15*$X$15</f>
        <v>619426.96509999991</v>
      </c>
      <c r="AE15" s="6">
        <f ca="1">$K$15*$Y$15</f>
        <v>169285.88085454906</v>
      </c>
      <c r="AF15" s="6">
        <f ca="1">$M$15*$Z$15</f>
        <v>802787.0057776887</v>
      </c>
      <c r="AG15" s="6">
        <f>$O$15*$AA$15</f>
        <v>1295346.0314543655</v>
      </c>
    </row>
    <row r="16" spans="1:48" ht="11.25" customHeight="1" x14ac:dyDescent="0.25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44593</v>
      </c>
      <c r="J16" s="6">
        <v>11088</v>
      </c>
      <c r="K16" s="6">
        <v>11088</v>
      </c>
      <c r="L16" s="6">
        <v>5600.4</v>
      </c>
      <c r="M16" s="6">
        <v>5600.4</v>
      </c>
      <c r="N16" s="6">
        <v>5600.4</v>
      </c>
      <c r="O16" s="6">
        <v>5600.4</v>
      </c>
      <c r="P16" s="6">
        <v>0</v>
      </c>
      <c r="Q16" s="4" t="s">
        <v>26</v>
      </c>
      <c r="R16" s="4">
        <v>0</v>
      </c>
      <c r="S16" s="6">
        <v>10</v>
      </c>
      <c r="T16" s="6">
        <v>13</v>
      </c>
      <c r="U16" s="6">
        <v>71</v>
      </c>
      <c r="V16" s="6">
        <f>IF(ISERROR(VLOOKUP($S$16,'TAR FIN'!$A$1:$O$108,15,0)),0,VLOOKUP($S$16,'TAR FIN'!$A$1:$O$108,15,0))</f>
        <v>13.73</v>
      </c>
      <c r="W16" s="6">
        <f>IF(ISERROR(VLOOKUP($T$16,'TAR FIN'!$A$1:$O$108,15,0)),0,VLOOKUP($T$16,'TAR FIN'!$A$1:$O$108,15,0))</f>
        <v>78.44</v>
      </c>
      <c r="X16" s="6">
        <f>IF(ISERROR(VLOOKUP($U$16,'TAR FIN'!$A$1:$O$108,15,0)),0,VLOOKUP($U$16,'TAR FIN'!$A$1:$O$108,15,0))</f>
        <v>103.1</v>
      </c>
      <c r="Y16" s="6">
        <f ca="1">('TUSD BE'!$AM$8+'TUSD BF'!$AM$8+'TUSD CVA'!$AM$8)*1</f>
        <v>15.502370041625372</v>
      </c>
      <c r="Z16" s="6">
        <f ca="1">('TUSD BE'!$AM$9+'TUSD BF'!$AM$9+'TUSD CVA'!$AM$9)*1</f>
        <v>133.61920768547392</v>
      </c>
      <c r="AA16" s="6">
        <f>('TE BE'!$AB$6+'TE BF'!$AB$6+'TE CVA'!$AB$6)*1</f>
        <v>215.60278025898469</v>
      </c>
      <c r="AB16" s="6">
        <f>$K$16*$V$16</f>
        <v>152238.24</v>
      </c>
      <c r="AC16" s="6">
        <f>$M$16*$W$16</f>
        <v>439295.37599999993</v>
      </c>
      <c r="AD16" s="6">
        <f>$O$16*$X$16</f>
        <v>577401.23999999987</v>
      </c>
      <c r="AE16" s="6">
        <f ca="1">$K$16*$Y$16</f>
        <v>171890.27902154214</v>
      </c>
      <c r="AF16" s="6">
        <f ca="1">$M$16*$Z$16</f>
        <v>748321.01072172809</v>
      </c>
      <c r="AG16" s="6">
        <f>$O$16*$AA$16</f>
        <v>1207461.8105624178</v>
      </c>
    </row>
    <row r="17" spans="1:33" ht="11.25" customHeight="1" x14ac:dyDescent="0.25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44621</v>
      </c>
      <c r="J17" s="6">
        <v>10941</v>
      </c>
      <c r="K17" s="6">
        <v>10941</v>
      </c>
      <c r="L17" s="6">
        <v>3532.3310000000001</v>
      </c>
      <c r="M17" s="6">
        <v>3532.3310000000001</v>
      </c>
      <c r="N17" s="6">
        <v>3532.3310000000001</v>
      </c>
      <c r="O17" s="6">
        <v>3532.3310000000001</v>
      </c>
      <c r="P17" s="6">
        <v>0</v>
      </c>
      <c r="Q17" s="4" t="s">
        <v>26</v>
      </c>
      <c r="R17" s="4">
        <v>0</v>
      </c>
      <c r="S17" s="6">
        <v>10</v>
      </c>
      <c r="T17" s="6">
        <v>13</v>
      </c>
      <c r="U17" s="6">
        <v>71</v>
      </c>
      <c r="V17" s="6">
        <f>IF(ISERROR(VLOOKUP($S$17,'TAR FIN'!$A$1:$O$108,15,0)),0,VLOOKUP($S$17,'TAR FIN'!$A$1:$O$108,15,0))</f>
        <v>13.73</v>
      </c>
      <c r="W17" s="6">
        <f>IF(ISERROR(VLOOKUP($T$17,'TAR FIN'!$A$1:$O$108,15,0)),0,VLOOKUP($T$17,'TAR FIN'!$A$1:$O$108,15,0))</f>
        <v>78.44</v>
      </c>
      <c r="X17" s="6">
        <f>IF(ISERROR(VLOOKUP($U$17,'TAR FIN'!$A$1:$O$108,15,0)),0,VLOOKUP($U$17,'TAR FIN'!$A$1:$O$108,15,0))</f>
        <v>103.1</v>
      </c>
      <c r="Y17" s="6">
        <f ca="1">('TUSD BE'!$AM$8+'TUSD BF'!$AM$8+'TUSD CVA'!$AM$8)*1</f>
        <v>15.502370041625372</v>
      </c>
      <c r="Z17" s="6">
        <f ca="1">('TUSD BE'!$AM$9+'TUSD BF'!$AM$9+'TUSD CVA'!$AM$9)*1</f>
        <v>133.61920768547392</v>
      </c>
      <c r="AA17" s="6">
        <f>('TE BE'!$AB$6+'TE BF'!$AB$6+'TE CVA'!$AB$6)*1</f>
        <v>215.60278025898469</v>
      </c>
      <c r="AB17" s="6">
        <f>$K$17*$V$17</f>
        <v>150219.93</v>
      </c>
      <c r="AC17" s="6">
        <f>$M$17*$W$17</f>
        <v>277076.04363999999</v>
      </c>
      <c r="AD17" s="6">
        <f>$O$17*$X$17</f>
        <v>364183.32610000001</v>
      </c>
      <c r="AE17" s="6">
        <f ca="1">$K$17*$Y$17</f>
        <v>169611.43062542321</v>
      </c>
      <c r="AF17" s="6">
        <f ca="1">$M$17*$Z$17</f>
        <v>471987.26950283779</v>
      </c>
      <c r="AG17" s="6">
        <f>$O$17*$AA$17</f>
        <v>761580.38439499971</v>
      </c>
    </row>
    <row r="18" spans="1:33" ht="11.25" customHeight="1" x14ac:dyDescent="0.25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44652</v>
      </c>
      <c r="J18" s="6">
        <v>10983</v>
      </c>
      <c r="K18" s="6">
        <v>10983</v>
      </c>
      <c r="L18" s="6">
        <v>5630.4669999999996</v>
      </c>
      <c r="M18" s="6">
        <v>5630.4669999999996</v>
      </c>
      <c r="N18" s="6">
        <v>5630.4669999999996</v>
      </c>
      <c r="O18" s="6">
        <v>5630.4669999999996</v>
      </c>
      <c r="P18" s="6">
        <v>0</v>
      </c>
      <c r="Q18" s="4" t="s">
        <v>26</v>
      </c>
      <c r="R18" s="4">
        <v>0</v>
      </c>
      <c r="S18" s="6">
        <v>10</v>
      </c>
      <c r="T18" s="6">
        <v>13</v>
      </c>
      <c r="U18" s="6">
        <v>71</v>
      </c>
      <c r="V18" s="6">
        <f>IF(ISERROR(VLOOKUP($S$18,'TAR FIN'!$A$1:$O$108,15,0)),0,VLOOKUP($S$18,'TAR FIN'!$A$1:$O$108,15,0))</f>
        <v>13.73</v>
      </c>
      <c r="W18" s="6">
        <f>IF(ISERROR(VLOOKUP($T$18,'TAR FIN'!$A$1:$O$108,15,0)),0,VLOOKUP($T$18,'TAR FIN'!$A$1:$O$108,15,0))</f>
        <v>78.44</v>
      </c>
      <c r="X18" s="6">
        <f>IF(ISERROR(VLOOKUP($U$18,'TAR FIN'!$A$1:$O$108,15,0)),0,VLOOKUP($U$18,'TAR FIN'!$A$1:$O$108,15,0))</f>
        <v>103.1</v>
      </c>
      <c r="Y18" s="6">
        <f ca="1">('TUSD BE'!$AM$8+'TUSD BF'!$AM$8+'TUSD CVA'!$AM$8)*1</f>
        <v>15.502370041625372</v>
      </c>
      <c r="Z18" s="6">
        <f ca="1">('TUSD BE'!$AM$9+'TUSD BF'!$AM$9+'TUSD CVA'!$AM$9)*1</f>
        <v>133.61920768547392</v>
      </c>
      <c r="AA18" s="6">
        <f>('TE BE'!$AB$6+'TE BF'!$AB$6+'TE CVA'!$AB$6)*1</f>
        <v>215.60278025898469</v>
      </c>
      <c r="AB18" s="6">
        <f>$K$18*$V$18</f>
        <v>150796.59</v>
      </c>
      <c r="AC18" s="6">
        <f>$M$18*$W$18</f>
        <v>441653.83147999994</v>
      </c>
      <c r="AD18" s="6">
        <f>$O$18*$X$18</f>
        <v>580501.14769999997</v>
      </c>
      <c r="AE18" s="6">
        <f ca="1">$K$18*$Y$18</f>
        <v>170262.53016717147</v>
      </c>
      <c r="AF18" s="6">
        <f ca="1">$M$18*$Z$18</f>
        <v>752338.53943920729</v>
      </c>
      <c r="AG18" s="6">
        <f>$O$18*$AA$18</f>
        <v>1213944.3393564648</v>
      </c>
    </row>
    <row r="19" spans="1:33" ht="11.25" customHeight="1" x14ac:dyDescent="0.25">
      <c r="A19" s="4" t="s">
        <v>27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44652</v>
      </c>
      <c r="J19" s="6">
        <v>0</v>
      </c>
      <c r="K19" s="6">
        <v>0</v>
      </c>
      <c r="L19" s="6">
        <v>2744.8049999999998</v>
      </c>
      <c r="M19" s="6">
        <v>2744.8049999999998</v>
      </c>
      <c r="N19" s="6">
        <v>2744.8049999999998</v>
      </c>
      <c r="O19" s="6">
        <v>2744.8049999999998</v>
      </c>
      <c r="P19" s="6">
        <v>0</v>
      </c>
      <c r="Q19" s="4" t="s">
        <v>26</v>
      </c>
      <c r="R19" s="4">
        <v>0</v>
      </c>
      <c r="S19" s="6">
        <v>0</v>
      </c>
      <c r="T19" s="6">
        <v>13</v>
      </c>
      <c r="U19" s="6">
        <v>71</v>
      </c>
      <c r="V19" s="6">
        <f>IF(ISERROR(VLOOKUP($S$19,'TAR FIN'!$A$1:$O$108,15,0)),0,VLOOKUP($S$19,'TAR FIN'!$A$1:$O$108,15,0))</f>
        <v>0</v>
      </c>
      <c r="W19" s="6">
        <f>IF(ISERROR(VLOOKUP($T$19,'TAR FIN'!$A$1:$O$108,15,0)),0,VLOOKUP($T$19,'TAR FIN'!$A$1:$O$108,15,0))</f>
        <v>78.44</v>
      </c>
      <c r="X19" s="6">
        <f>IF(ISERROR(VLOOKUP($U$19,'TAR FIN'!$A$1:$O$108,15,0)),0,VLOOKUP($U$19,'TAR FIN'!$A$1:$O$108,15,0))</f>
        <v>103.1</v>
      </c>
      <c r="Y19" s="6">
        <f ca="1">('TUSD BE'!$AM$8+'TUSD BF'!$AM$8+'TUSD CVA'!$AM$8)*1</f>
        <v>15.502370041625372</v>
      </c>
      <c r="Z19" s="6">
        <f ca="1">('TUSD BE'!$AM$9+'TUSD BF'!$AM$9+'TUSD CVA'!$AM$9)*1</f>
        <v>133.61920768547392</v>
      </c>
      <c r="AA19" s="6">
        <f>('TE BE'!$AB$6+'TE BF'!$AB$6+'TE CVA'!$AB$6)*1</f>
        <v>215.60278025898469</v>
      </c>
      <c r="AB19" s="6">
        <f>$K$19*$V$19</f>
        <v>0</v>
      </c>
      <c r="AC19" s="6">
        <f>$M$19*$W$19</f>
        <v>215302.50419999997</v>
      </c>
      <c r="AD19" s="6">
        <f>$O$19*$X$19</f>
        <v>282989.39549999998</v>
      </c>
      <c r="AE19" s="6">
        <f ca="1">$K$19*$Y$19</f>
        <v>0</v>
      </c>
      <c r="AF19" s="6">
        <f ca="1">$M$19*$Z$19</f>
        <v>366758.66935112723</v>
      </c>
      <c r="AG19" s="6">
        <f>$O$19*$AA$19</f>
        <v>591787.5892687625</v>
      </c>
    </row>
    <row r="20" spans="1:33" ht="11.25" customHeight="1" x14ac:dyDescent="0.25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44682</v>
      </c>
      <c r="J20" s="6">
        <v>11130</v>
      </c>
      <c r="K20" s="6">
        <v>11130</v>
      </c>
      <c r="L20" s="6">
        <v>6445.393</v>
      </c>
      <c r="M20" s="6">
        <v>6445.393</v>
      </c>
      <c r="N20" s="6">
        <v>6445.393</v>
      </c>
      <c r="O20" s="6">
        <v>6445.393</v>
      </c>
      <c r="P20" s="6">
        <v>0</v>
      </c>
      <c r="Q20" s="4" t="s">
        <v>26</v>
      </c>
      <c r="R20" s="4">
        <v>0</v>
      </c>
      <c r="S20" s="6">
        <v>10</v>
      </c>
      <c r="T20" s="6">
        <v>13</v>
      </c>
      <c r="U20" s="6">
        <v>71</v>
      </c>
      <c r="V20" s="6">
        <f>IF(ISERROR(VLOOKUP($S$20,'TAR FIN'!$A$1:$O$108,15,0)),0,VLOOKUP($S$20,'TAR FIN'!$A$1:$O$108,15,0))</f>
        <v>13.73</v>
      </c>
      <c r="W20" s="6">
        <f>IF(ISERROR(VLOOKUP($T$20,'TAR FIN'!$A$1:$O$108,15,0)),0,VLOOKUP($T$20,'TAR FIN'!$A$1:$O$108,15,0))</f>
        <v>78.44</v>
      </c>
      <c r="X20" s="6">
        <f>IF(ISERROR(VLOOKUP($U$20,'TAR FIN'!$A$1:$O$108,15,0)),0,VLOOKUP($U$20,'TAR FIN'!$A$1:$O$108,15,0))</f>
        <v>103.1</v>
      </c>
      <c r="Y20" s="6">
        <f ca="1">('TUSD BE'!$AM$8+'TUSD BF'!$AM$8+'TUSD CVA'!$AM$8)*1</f>
        <v>15.502370041625372</v>
      </c>
      <c r="Z20" s="6">
        <f ca="1">('TUSD BE'!$AM$9+'TUSD BF'!$AM$9+'TUSD CVA'!$AM$9)*1</f>
        <v>133.61920768547392</v>
      </c>
      <c r="AA20" s="6">
        <f>('TE BE'!$AB$6+'TE BF'!$AB$6+'TE CVA'!$AB$6)*1</f>
        <v>215.60278025898469</v>
      </c>
      <c r="AB20" s="6">
        <f>$K$20*$V$20</f>
        <v>152814.9</v>
      </c>
      <c r="AC20" s="6">
        <f>$M$20*$W$20</f>
        <v>505576.62692000001</v>
      </c>
      <c r="AD20" s="6">
        <f>$O$20*$X$20</f>
        <v>664520.0183</v>
      </c>
      <c r="AE20" s="6">
        <f ca="1">$K$20*$Y$20</f>
        <v>172541.3785632904</v>
      </c>
      <c r="AF20" s="6">
        <f ca="1">$M$20*$Z$20</f>
        <v>861228.30588149978</v>
      </c>
      <c r="AG20" s="6">
        <f>$O$20*$AA$20</f>
        <v>1389644.6506617982</v>
      </c>
    </row>
    <row r="21" spans="1:33" ht="11.25" customHeight="1" x14ac:dyDescent="0.25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44713</v>
      </c>
      <c r="J21" s="6">
        <v>11004</v>
      </c>
      <c r="K21" s="6">
        <v>11004</v>
      </c>
      <c r="L21" s="6">
        <v>6118.0709999999999</v>
      </c>
      <c r="M21" s="6">
        <v>6118.0709999999999</v>
      </c>
      <c r="N21" s="6">
        <v>6118.0709999999999</v>
      </c>
      <c r="O21" s="6">
        <v>6118.0709999999999</v>
      </c>
      <c r="P21" s="6">
        <v>0</v>
      </c>
      <c r="Q21" s="4" t="s">
        <v>26</v>
      </c>
      <c r="R21" s="4">
        <v>0</v>
      </c>
      <c r="S21" s="6">
        <v>10</v>
      </c>
      <c r="T21" s="6">
        <v>13</v>
      </c>
      <c r="U21" s="6">
        <v>71</v>
      </c>
      <c r="V21" s="6">
        <f>IF(ISERROR(VLOOKUP($S$21,'TAR FIN'!$A$1:$O$108,15,0)),0,VLOOKUP($S$21,'TAR FIN'!$A$1:$O$108,15,0))</f>
        <v>13.73</v>
      </c>
      <c r="W21" s="6">
        <f>IF(ISERROR(VLOOKUP($T$21,'TAR FIN'!$A$1:$O$108,15,0)),0,VLOOKUP($T$21,'TAR FIN'!$A$1:$O$108,15,0))</f>
        <v>78.44</v>
      </c>
      <c r="X21" s="6">
        <f>IF(ISERROR(VLOOKUP($U$21,'TAR FIN'!$A$1:$O$108,15,0)),0,VLOOKUP($U$21,'TAR FIN'!$A$1:$O$108,15,0))</f>
        <v>103.1</v>
      </c>
      <c r="Y21" s="6">
        <f ca="1">('TUSD BE'!$AM$8+'TUSD BF'!$AM$8+'TUSD CVA'!$AM$8)*1</f>
        <v>15.502370041625372</v>
      </c>
      <c r="Z21" s="6">
        <f ca="1">('TUSD BE'!$AM$9+'TUSD BF'!$AM$9+'TUSD CVA'!$AM$9)*1</f>
        <v>133.61920768547392</v>
      </c>
      <c r="AA21" s="6">
        <f>('TE BE'!$AB$6+'TE BF'!$AB$6+'TE CVA'!$AB$6)*1</f>
        <v>215.60278025898469</v>
      </c>
      <c r="AB21" s="6">
        <f>$K$21*$V$21</f>
        <v>151084.92000000001</v>
      </c>
      <c r="AC21" s="6">
        <f>$M$21*$W$21</f>
        <v>479901.48923999997</v>
      </c>
      <c r="AD21" s="6">
        <f>$O$21*$X$21</f>
        <v>630773.12009999994</v>
      </c>
      <c r="AE21" s="6">
        <f ca="1">$K$21*$Y$21</f>
        <v>170588.07993804559</v>
      </c>
      <c r="AF21" s="6">
        <f ca="1">$M$21*$Z$21</f>
        <v>817491.79958347511</v>
      </c>
      <c r="AG21" s="6">
        <f>$O$21*$AA$21</f>
        <v>1319073.1174218666</v>
      </c>
    </row>
    <row r="22" spans="1:33" ht="11.25" customHeight="1" x14ac:dyDescent="0.25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44743</v>
      </c>
      <c r="J22" s="6">
        <v>10640</v>
      </c>
      <c r="K22" s="6">
        <v>10640</v>
      </c>
      <c r="L22" s="6">
        <v>5872.4219999999996</v>
      </c>
      <c r="M22" s="6">
        <v>5872.4219999999996</v>
      </c>
      <c r="N22" s="6">
        <v>5872.4219999999996</v>
      </c>
      <c r="O22" s="6">
        <v>5872.4219999999996</v>
      </c>
      <c r="P22" s="6">
        <v>0</v>
      </c>
      <c r="Q22" s="4" t="s">
        <v>26</v>
      </c>
      <c r="R22" s="4">
        <v>0</v>
      </c>
      <c r="S22" s="6">
        <v>10</v>
      </c>
      <c r="T22" s="6">
        <v>13</v>
      </c>
      <c r="U22" s="6">
        <v>71</v>
      </c>
      <c r="V22" s="6">
        <f>IF(ISERROR(VLOOKUP($S$22,'TAR FIN'!$A$1:$O$108,15,0)),0,VLOOKUP($S$22,'TAR FIN'!$A$1:$O$108,15,0))</f>
        <v>13.73</v>
      </c>
      <c r="W22" s="6">
        <f>IF(ISERROR(VLOOKUP($T$22,'TAR FIN'!$A$1:$O$108,15,0)),0,VLOOKUP($T$22,'TAR FIN'!$A$1:$O$108,15,0))</f>
        <v>78.44</v>
      </c>
      <c r="X22" s="6">
        <f>IF(ISERROR(VLOOKUP($U$22,'TAR FIN'!$A$1:$O$108,15,0)),0,VLOOKUP($U$22,'TAR FIN'!$A$1:$O$108,15,0))</f>
        <v>103.1</v>
      </c>
      <c r="Y22" s="6">
        <f ca="1">('TUSD BE'!$AM$8+'TUSD BF'!$AM$8+'TUSD CVA'!$AM$8)*1</f>
        <v>15.502370041625372</v>
      </c>
      <c r="Z22" s="6">
        <f ca="1">('TUSD BE'!$AM$9+'TUSD BF'!$AM$9+'TUSD CVA'!$AM$9)*1</f>
        <v>133.61920768547392</v>
      </c>
      <c r="AA22" s="6">
        <f>('TE BE'!$AB$6+'TE BF'!$AB$6+'TE CVA'!$AB$6)*1</f>
        <v>215.60278025898469</v>
      </c>
      <c r="AB22" s="6">
        <f>$K$22*$V$22</f>
        <v>146087.20000000001</v>
      </c>
      <c r="AC22" s="6">
        <f>$M$22*$W$22</f>
        <v>460632.78167999996</v>
      </c>
      <c r="AD22" s="6">
        <f>$O$22*$X$22</f>
        <v>605446.70819999988</v>
      </c>
      <c r="AE22" s="6">
        <f ca="1">$K$22*$Y$22</f>
        <v>164945.21724289397</v>
      </c>
      <c r="AF22" s="6">
        <f ca="1">$M$22*$Z$22</f>
        <v>784668.37483474612</v>
      </c>
      <c r="AG22" s="6">
        <f>$O$22*$AA$22</f>
        <v>1266110.5100540274</v>
      </c>
    </row>
    <row r="23" spans="1:33" ht="11.25" customHeight="1" x14ac:dyDescent="0.25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44774</v>
      </c>
      <c r="J23" s="6">
        <v>10500</v>
      </c>
      <c r="K23" s="6">
        <v>10500</v>
      </c>
      <c r="L23" s="6">
        <v>5692.1369999999997</v>
      </c>
      <c r="M23" s="6">
        <v>5692.1369999999997</v>
      </c>
      <c r="N23" s="6">
        <v>5692.1369999999997</v>
      </c>
      <c r="O23" s="6">
        <v>5692.1369999999997</v>
      </c>
      <c r="P23" s="6">
        <v>0</v>
      </c>
      <c r="Q23" s="4" t="s">
        <v>26</v>
      </c>
      <c r="R23" s="4">
        <v>0</v>
      </c>
      <c r="S23" s="6">
        <v>10</v>
      </c>
      <c r="T23" s="6">
        <v>13</v>
      </c>
      <c r="U23" s="6">
        <v>71</v>
      </c>
      <c r="V23" s="6">
        <f>IF(ISERROR(VLOOKUP($S$23,'TAR FIN'!$A$1:$O$108,15,0)),0,VLOOKUP($S$23,'TAR FIN'!$A$1:$O$108,15,0))</f>
        <v>13.73</v>
      </c>
      <c r="W23" s="6">
        <f>IF(ISERROR(VLOOKUP($T$23,'TAR FIN'!$A$1:$O$108,15,0)),0,VLOOKUP($T$23,'TAR FIN'!$A$1:$O$108,15,0))</f>
        <v>78.44</v>
      </c>
      <c r="X23" s="6">
        <f>IF(ISERROR(VLOOKUP($U$23,'TAR FIN'!$A$1:$O$108,15,0)),0,VLOOKUP($U$23,'TAR FIN'!$A$1:$O$108,15,0))</f>
        <v>103.1</v>
      </c>
      <c r="Y23" s="6">
        <f ca="1">('TUSD BE'!$AM$8+'TUSD BF'!$AM$8+'TUSD CVA'!$AM$8)*1</f>
        <v>15.502370041625372</v>
      </c>
      <c r="Z23" s="6">
        <f ca="1">('TUSD BE'!$AM$9+'TUSD BF'!$AM$9+'TUSD CVA'!$AM$9)*1</f>
        <v>133.61920768547392</v>
      </c>
      <c r="AA23" s="6">
        <f>('TE BE'!$AB$6+'TE BF'!$AB$6+'TE CVA'!$AB$6)*1</f>
        <v>215.60278025898469</v>
      </c>
      <c r="AB23" s="6">
        <f>$K$23*$V$23</f>
        <v>144165</v>
      </c>
      <c r="AC23" s="6">
        <f>$M$23*$W$23</f>
        <v>446491.22627999994</v>
      </c>
      <c r="AD23" s="6">
        <f>$O$23*$X$23</f>
        <v>586859.32469999988</v>
      </c>
      <c r="AE23" s="6">
        <f ca="1">$K$23*$Y$23</f>
        <v>162774.8854370664</v>
      </c>
      <c r="AF23" s="6">
        <f ca="1">$M$23*$Z$23</f>
        <v>760578.8359771705</v>
      </c>
      <c r="AG23" s="6">
        <f>$O$23*$AA$23</f>
        <v>1227240.5628150364</v>
      </c>
    </row>
    <row r="24" spans="1:33" ht="11.25" customHeight="1" x14ac:dyDescent="0.25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44805</v>
      </c>
      <c r="J24" s="6">
        <v>10500</v>
      </c>
      <c r="K24" s="6">
        <v>10500</v>
      </c>
      <c r="L24" s="6">
        <v>2291.52</v>
      </c>
      <c r="M24" s="6">
        <v>2291.52</v>
      </c>
      <c r="N24" s="6">
        <v>2291.52</v>
      </c>
      <c r="O24" s="6">
        <v>2291.52</v>
      </c>
      <c r="P24" s="6">
        <v>0</v>
      </c>
      <c r="Q24" s="4" t="s">
        <v>26</v>
      </c>
      <c r="R24" s="4">
        <v>0</v>
      </c>
      <c r="S24" s="6">
        <v>10</v>
      </c>
      <c r="T24" s="6">
        <v>13</v>
      </c>
      <c r="U24" s="6">
        <v>71</v>
      </c>
      <c r="V24" s="6">
        <f>IF(ISERROR(VLOOKUP($S$24,'TAR FIN'!$A$1:$O$108,15,0)),0,VLOOKUP($S$24,'TAR FIN'!$A$1:$O$108,15,0))</f>
        <v>13.73</v>
      </c>
      <c r="W24" s="6">
        <f>IF(ISERROR(VLOOKUP($T$24,'TAR FIN'!$A$1:$O$108,15,0)),0,VLOOKUP($T$24,'TAR FIN'!$A$1:$O$108,15,0))</f>
        <v>78.44</v>
      </c>
      <c r="X24" s="6">
        <f>IF(ISERROR(VLOOKUP($U$24,'TAR FIN'!$A$1:$O$108,15,0)),0,VLOOKUP($U$24,'TAR FIN'!$A$1:$O$108,15,0))</f>
        <v>103.1</v>
      </c>
      <c r="Y24" s="6">
        <f ca="1">('TUSD BE'!$AM$8+'TUSD BF'!$AM$8+'TUSD CVA'!$AM$8)*1</f>
        <v>15.502370041625372</v>
      </c>
      <c r="Z24" s="6">
        <f ca="1">('TUSD BE'!$AM$9+'TUSD BF'!$AM$9+'TUSD CVA'!$AM$9)*1</f>
        <v>133.61920768547392</v>
      </c>
      <c r="AA24" s="6">
        <f>('TE BE'!$AB$6+'TE BF'!$AB$6+'TE CVA'!$AB$6)*1</f>
        <v>215.60278025898469</v>
      </c>
      <c r="AB24" s="6">
        <f>$K$24*$V$24</f>
        <v>144165</v>
      </c>
      <c r="AC24" s="6">
        <f>$M$24*$W$24</f>
        <v>179746.82879999999</v>
      </c>
      <c r="AD24" s="6">
        <f>$O$24*$X$24</f>
        <v>236255.712</v>
      </c>
      <c r="AE24" s="6">
        <f ca="1">$K$24*$Y$24</f>
        <v>162774.8854370664</v>
      </c>
      <c r="AF24" s="6">
        <f ca="1">$M$24*$Z$24</f>
        <v>306191.08679541718</v>
      </c>
      <c r="AG24" s="6">
        <f>$O$24*$AA$24</f>
        <v>494058.08301906858</v>
      </c>
    </row>
    <row r="25" spans="1:33" ht="11.25" customHeight="1" x14ac:dyDescent="0.25">
      <c r="A25" s="4" t="s">
        <v>21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44835</v>
      </c>
      <c r="J25" s="6">
        <v>10570</v>
      </c>
      <c r="K25" s="6">
        <v>10570</v>
      </c>
      <c r="L25" s="6">
        <v>5468.7669999999998</v>
      </c>
      <c r="M25" s="6">
        <v>5468.7669999999998</v>
      </c>
      <c r="N25" s="6">
        <v>5468.7669999999998</v>
      </c>
      <c r="O25" s="6">
        <v>5468.7669999999998</v>
      </c>
      <c r="P25" s="6">
        <v>0</v>
      </c>
      <c r="Q25" s="4" t="s">
        <v>26</v>
      </c>
      <c r="R25" s="4">
        <v>0</v>
      </c>
      <c r="S25" s="6">
        <v>10</v>
      </c>
      <c r="T25" s="6">
        <v>13</v>
      </c>
      <c r="U25" s="6">
        <v>71</v>
      </c>
      <c r="V25" s="6">
        <f>IF(ISERROR(VLOOKUP($S$25,'TAR FIN'!$A$1:$O$108,15,0)),0,VLOOKUP($S$25,'TAR FIN'!$A$1:$O$108,15,0))</f>
        <v>13.73</v>
      </c>
      <c r="W25" s="6">
        <f>IF(ISERROR(VLOOKUP($T$25,'TAR FIN'!$A$1:$O$108,15,0)),0,VLOOKUP($T$25,'TAR FIN'!$A$1:$O$108,15,0))</f>
        <v>78.44</v>
      </c>
      <c r="X25" s="6">
        <f>IF(ISERROR(VLOOKUP($U$25,'TAR FIN'!$A$1:$O$108,15,0)),0,VLOOKUP($U$25,'TAR FIN'!$A$1:$O$108,15,0))</f>
        <v>103.1</v>
      </c>
      <c r="Y25" s="6">
        <f ca="1">('TUSD BE'!$AM$8+'TUSD BF'!$AM$8+'TUSD CVA'!$AM$8)*1</f>
        <v>15.502370041625372</v>
      </c>
      <c r="Z25" s="6">
        <f ca="1">('TUSD BE'!$AM$9+'TUSD BF'!$AM$9+'TUSD CVA'!$AM$9)*1</f>
        <v>133.61920768547392</v>
      </c>
      <c r="AA25" s="6">
        <f>('TE BE'!$AB$6+'TE BF'!$AB$6+'TE CVA'!$AB$6)*1</f>
        <v>215.60278025898469</v>
      </c>
      <c r="AB25" s="6">
        <f>$K$25*$V$25</f>
        <v>145126.1</v>
      </c>
      <c r="AC25" s="6">
        <f>$M$25*$W$25</f>
        <v>428970.08347999997</v>
      </c>
      <c r="AD25" s="6">
        <f>$O$25*$X$25</f>
        <v>563829.87769999995</v>
      </c>
      <c r="AE25" s="6">
        <f ca="1">$K$25*$Y$25</f>
        <v>163860.05133998019</v>
      </c>
      <c r="AF25" s="6">
        <f ca="1">$M$25*$Z$25</f>
        <v>730732.31355646614</v>
      </c>
      <c r="AG25" s="6">
        <f>$O$25*$AA$25</f>
        <v>1179081.3697885869</v>
      </c>
    </row>
    <row r="26" spans="1:33" ht="11.25" customHeight="1" x14ac:dyDescent="0.25">
      <c r="A26" s="4" t="s">
        <v>54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35</v>
      </c>
      <c r="I26" s="5">
        <v>44866</v>
      </c>
      <c r="J26" s="6">
        <v>10570</v>
      </c>
      <c r="K26" s="6">
        <v>10570</v>
      </c>
      <c r="L26" s="6">
        <v>5468.7669999999998</v>
      </c>
      <c r="M26" s="6">
        <v>5468.7669999999998</v>
      </c>
      <c r="N26" s="6">
        <v>5468.7669999999998</v>
      </c>
      <c r="O26" s="6">
        <v>5468.7669999999998</v>
      </c>
      <c r="P26" s="6">
        <v>0</v>
      </c>
      <c r="Q26" s="4" t="s">
        <v>26</v>
      </c>
      <c r="R26" s="4">
        <v>0</v>
      </c>
      <c r="S26" s="6">
        <v>10</v>
      </c>
      <c r="T26" s="6">
        <v>13</v>
      </c>
      <c r="U26" s="6">
        <v>71</v>
      </c>
      <c r="V26" s="6">
        <f>IF(ISERROR(VLOOKUP($S$26,'TAR FIN'!$A$1:$O$108,15,0)),0,VLOOKUP($S$26,'TAR FIN'!$A$1:$O$108,15,0))</f>
        <v>13.73</v>
      </c>
      <c r="W26" s="6">
        <f>IF(ISERROR(VLOOKUP($T$26,'TAR FIN'!$A$1:$O$108,15,0)),0,VLOOKUP($T$26,'TAR FIN'!$A$1:$O$108,15,0))</f>
        <v>78.44</v>
      </c>
      <c r="X26" s="6">
        <f>IF(ISERROR(VLOOKUP($U$26,'TAR FIN'!$A$1:$O$108,15,0)),0,VLOOKUP($U$26,'TAR FIN'!$A$1:$O$108,15,0))</f>
        <v>103.1</v>
      </c>
      <c r="Y26" s="6">
        <f ca="1">('TUSD BE'!$AM$8+'TUSD BF'!$AM$8+'TUSD CVA'!$AM$8)*1</f>
        <v>15.502370041625372</v>
      </c>
      <c r="Z26" s="6">
        <f ca="1">('TUSD BE'!$AM$9+'TUSD BF'!$AM$9+'TUSD CVA'!$AM$9)*1</f>
        <v>133.61920768547392</v>
      </c>
      <c r="AA26" s="6">
        <f>('TE BE'!$AB$6+'TE BF'!$AB$6+'TE CVA'!$AB$6)*1</f>
        <v>215.60278025898469</v>
      </c>
      <c r="AB26" s="6">
        <f>$K$26*$V$26</f>
        <v>145126.1</v>
      </c>
      <c r="AC26" s="6">
        <f>$M$26*$W$26</f>
        <v>428970.08347999997</v>
      </c>
      <c r="AD26" s="6">
        <f>$O$26*$X$26</f>
        <v>563829.87769999995</v>
      </c>
      <c r="AE26" s="6">
        <f ca="1">$K$26*$Y$26</f>
        <v>163860.05133998019</v>
      </c>
      <c r="AF26" s="6">
        <f ca="1">$M$26*$Z$26</f>
        <v>730732.31355646614</v>
      </c>
      <c r="AG26" s="6">
        <f>$O$26*$AA$26</f>
        <v>1179081.3697885869</v>
      </c>
    </row>
    <row r="27" spans="1:33" ht="11.25" customHeight="1" x14ac:dyDescent="0.25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10500</v>
      </c>
      <c r="K27" s="6">
        <v>10500</v>
      </c>
      <c r="L27" s="6">
        <v>560</v>
      </c>
      <c r="M27" s="6">
        <v>560</v>
      </c>
      <c r="N27" s="6">
        <v>560</v>
      </c>
      <c r="O27" s="6">
        <v>560</v>
      </c>
      <c r="P27" s="6">
        <v>0</v>
      </c>
      <c r="Q27" s="4" t="s">
        <v>26</v>
      </c>
      <c r="R27" s="4">
        <v>0</v>
      </c>
      <c r="S27" s="6">
        <v>9</v>
      </c>
      <c r="T27" s="6">
        <v>13</v>
      </c>
      <c r="U27" s="6">
        <v>70</v>
      </c>
      <c r="V27" s="6">
        <f>IF(ISERROR(VLOOKUP($S$27,'TAR FIN'!$A$1:$O$108,15,0)),0,VLOOKUP($S$27,'TAR FIN'!$A$1:$O$108,15,0))</f>
        <v>47.32</v>
      </c>
      <c r="W27" s="6">
        <f>IF(ISERROR(VLOOKUP($T$27,'TAR FIN'!$A$1:$O$108,15,0)),0,VLOOKUP($T$27,'TAR FIN'!$A$1:$O$108,15,0))</f>
        <v>78.44</v>
      </c>
      <c r="X27" s="6">
        <f>IF(ISERROR(VLOOKUP($U$27,'TAR FIN'!$A$1:$O$108,15,0)),0,VLOOKUP($U$27,'TAR FIN'!$A$1:$O$108,15,0))</f>
        <v>159.43</v>
      </c>
      <c r="Y27" s="6">
        <f ca="1">('TUSD BE'!$AM$7+'TUSD BF'!$AM$7+'TUSD CVA'!$AM$7)*1</f>
        <v>46.362260906941742</v>
      </c>
      <c r="Z27" s="6">
        <f ca="1">('TUSD BE'!$AM$9+'TUSD BF'!$AM$9+'TUSD CVA'!$AM$9)*1</f>
        <v>133.61920768547392</v>
      </c>
      <c r="AA27" s="6">
        <f>('TE BE'!$AB$5+'TE BF'!$AB$5+'TE CVA'!$AB$5)*1</f>
        <v>322.12477389224171</v>
      </c>
      <c r="AB27" s="6">
        <f>$K$27*$V$27</f>
        <v>496860</v>
      </c>
      <c r="AC27" s="6">
        <f>$M$27*$W$27</f>
        <v>43926.400000000001</v>
      </c>
      <c r="AD27" s="6">
        <f>$O$27*$X$27</f>
        <v>89280.8</v>
      </c>
      <c r="AE27" s="6">
        <f ca="1">$K$27*$Y$27</f>
        <v>486803.73952288827</v>
      </c>
      <c r="AF27" s="6">
        <f ca="1">$M$27*$Z$27</f>
        <v>74826.756303865404</v>
      </c>
      <c r="AG27" s="6">
        <f>$O$27*$AA$27</f>
        <v>180389.87337965536</v>
      </c>
    </row>
    <row r="28" spans="1:33" ht="11.25" customHeight="1" x14ac:dyDescent="0.25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10500</v>
      </c>
      <c r="K28" s="6">
        <v>10500</v>
      </c>
      <c r="L28" s="6">
        <v>593.94100000000003</v>
      </c>
      <c r="M28" s="6">
        <v>593.94100000000003</v>
      </c>
      <c r="N28" s="6">
        <v>593.94100000000003</v>
      </c>
      <c r="O28" s="6">
        <v>593.94100000000003</v>
      </c>
      <c r="P28" s="6">
        <v>0</v>
      </c>
      <c r="Q28" s="4" t="s">
        <v>26</v>
      </c>
      <c r="R28" s="4">
        <v>0</v>
      </c>
      <c r="S28" s="6">
        <v>9</v>
      </c>
      <c r="T28" s="6">
        <v>13</v>
      </c>
      <c r="U28" s="6">
        <v>70</v>
      </c>
      <c r="V28" s="6">
        <f>IF(ISERROR(VLOOKUP($S$28,'TAR FIN'!$A$1:$O$108,15,0)),0,VLOOKUP($S$28,'TAR FIN'!$A$1:$O$108,15,0))</f>
        <v>47.32</v>
      </c>
      <c r="W28" s="6">
        <f>IF(ISERROR(VLOOKUP($T$28,'TAR FIN'!$A$1:$O$108,15,0)),0,VLOOKUP($T$28,'TAR FIN'!$A$1:$O$108,15,0))</f>
        <v>78.44</v>
      </c>
      <c r="X28" s="6">
        <f>IF(ISERROR(VLOOKUP($U$28,'TAR FIN'!$A$1:$O$108,15,0)),0,VLOOKUP($U$28,'TAR FIN'!$A$1:$O$108,15,0))</f>
        <v>159.43</v>
      </c>
      <c r="Y28" s="6">
        <f ca="1">('TUSD BE'!$AM$7+'TUSD BF'!$AM$7+'TUSD CVA'!$AM$7)*1</f>
        <v>46.362260906941742</v>
      </c>
      <c r="Z28" s="6">
        <f ca="1">('TUSD BE'!$AM$9+'TUSD BF'!$AM$9+'TUSD CVA'!$AM$9)*1</f>
        <v>133.61920768547392</v>
      </c>
      <c r="AA28" s="6">
        <f>('TE BE'!$AB$5+'TE BF'!$AB$5+'TE CVA'!$AB$5)*1</f>
        <v>322.12477389224171</v>
      </c>
      <c r="AB28" s="6">
        <f>$K$28*$V$28</f>
        <v>496860</v>
      </c>
      <c r="AC28" s="6">
        <f>$M$28*$W$28</f>
        <v>46588.732040000003</v>
      </c>
      <c r="AD28" s="6">
        <f>$O$28*$X$28</f>
        <v>94692.013630000016</v>
      </c>
      <c r="AE28" s="6">
        <f ca="1">$K$28*$Y$28</f>
        <v>486803.73952288827</v>
      </c>
      <c r="AF28" s="6">
        <f ca="1">$M$28*$Z$28</f>
        <v>79361.925831918066</v>
      </c>
      <c r="AG28" s="6">
        <f>$O$28*$AA$28</f>
        <v>191323.11033033195</v>
      </c>
    </row>
    <row r="29" spans="1:33" ht="11.25" customHeight="1" x14ac:dyDescent="0.25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10773</v>
      </c>
      <c r="K29" s="6">
        <v>10773</v>
      </c>
      <c r="L29" s="6">
        <v>564.43799999999999</v>
      </c>
      <c r="M29" s="6">
        <v>564.43799999999999</v>
      </c>
      <c r="N29" s="6">
        <v>564.43799999999999</v>
      </c>
      <c r="O29" s="6">
        <v>564.43799999999999</v>
      </c>
      <c r="P29" s="6">
        <v>0</v>
      </c>
      <c r="Q29" s="4" t="s">
        <v>26</v>
      </c>
      <c r="R29" s="4">
        <v>0</v>
      </c>
      <c r="S29" s="6">
        <v>9</v>
      </c>
      <c r="T29" s="6">
        <v>13</v>
      </c>
      <c r="U29" s="6">
        <v>70</v>
      </c>
      <c r="V29" s="6">
        <f>IF(ISERROR(VLOOKUP($S$29,'TAR FIN'!$A$1:$O$108,15,0)),0,VLOOKUP($S$29,'TAR FIN'!$A$1:$O$108,15,0))</f>
        <v>47.32</v>
      </c>
      <c r="W29" s="6">
        <f>IF(ISERROR(VLOOKUP($T$29,'TAR FIN'!$A$1:$O$108,15,0)),0,VLOOKUP($T$29,'TAR FIN'!$A$1:$O$108,15,0))</f>
        <v>78.44</v>
      </c>
      <c r="X29" s="6">
        <f>IF(ISERROR(VLOOKUP($U$29,'TAR FIN'!$A$1:$O$108,15,0)),0,VLOOKUP($U$29,'TAR FIN'!$A$1:$O$108,15,0))</f>
        <v>159.43</v>
      </c>
      <c r="Y29" s="6">
        <f ca="1">('TUSD BE'!$AM$7+'TUSD BF'!$AM$7+'TUSD CVA'!$AM$7)*1</f>
        <v>46.362260906941742</v>
      </c>
      <c r="Z29" s="6">
        <f ca="1">('TUSD BE'!$AM$9+'TUSD BF'!$AM$9+'TUSD CVA'!$AM$9)*1</f>
        <v>133.61920768547392</v>
      </c>
      <c r="AA29" s="6">
        <f>('TE BE'!$AB$5+'TE BF'!$AB$5+'TE CVA'!$AB$5)*1</f>
        <v>322.12477389224171</v>
      </c>
      <c r="AB29" s="6">
        <f>$K$29*$V$29</f>
        <v>509778.36</v>
      </c>
      <c r="AC29" s="6">
        <f>$M$29*$W$29</f>
        <v>44274.51672</v>
      </c>
      <c r="AD29" s="6">
        <f>$O$29*$X$29</f>
        <v>89988.350340000005</v>
      </c>
      <c r="AE29" s="6">
        <f ca="1">$K$29*$Y$29</f>
        <v>499460.63675048336</v>
      </c>
      <c r="AF29" s="6">
        <f ca="1">$M$29*$Z$29</f>
        <v>75419.75834757353</v>
      </c>
      <c r="AG29" s="6">
        <f>$O$29*$AA$29</f>
        <v>181819.46312618913</v>
      </c>
    </row>
    <row r="30" spans="1:33" ht="11.25" customHeight="1" x14ac:dyDescent="0.25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10500</v>
      </c>
      <c r="K30" s="6">
        <v>10500</v>
      </c>
      <c r="L30" s="6">
        <v>319.24200000000002</v>
      </c>
      <c r="M30" s="6">
        <v>319.24200000000002</v>
      </c>
      <c r="N30" s="6">
        <v>319.24200000000002</v>
      </c>
      <c r="O30" s="6">
        <v>319.24200000000002</v>
      </c>
      <c r="P30" s="6">
        <v>0</v>
      </c>
      <c r="Q30" s="4" t="s">
        <v>26</v>
      </c>
      <c r="R30" s="4">
        <v>0</v>
      </c>
      <c r="S30" s="6">
        <v>9</v>
      </c>
      <c r="T30" s="6">
        <v>13</v>
      </c>
      <c r="U30" s="6">
        <v>70</v>
      </c>
      <c r="V30" s="6">
        <f>IF(ISERROR(VLOOKUP($S$30,'TAR FIN'!$A$1:$O$108,15,0)),0,VLOOKUP($S$30,'TAR FIN'!$A$1:$O$108,15,0))</f>
        <v>47.32</v>
      </c>
      <c r="W30" s="6">
        <f>IF(ISERROR(VLOOKUP($T$30,'TAR FIN'!$A$1:$O$108,15,0)),0,VLOOKUP($T$30,'TAR FIN'!$A$1:$O$108,15,0))</f>
        <v>78.44</v>
      </c>
      <c r="X30" s="6">
        <f>IF(ISERROR(VLOOKUP($U$30,'TAR FIN'!$A$1:$O$108,15,0)),0,VLOOKUP($U$30,'TAR FIN'!$A$1:$O$108,15,0))</f>
        <v>159.43</v>
      </c>
      <c r="Y30" s="6">
        <f ca="1">('TUSD BE'!$AM$7+'TUSD BF'!$AM$7+'TUSD CVA'!$AM$7)*1</f>
        <v>46.362260906941742</v>
      </c>
      <c r="Z30" s="6">
        <f ca="1">('TUSD BE'!$AM$9+'TUSD BF'!$AM$9+'TUSD CVA'!$AM$9)*1</f>
        <v>133.61920768547392</v>
      </c>
      <c r="AA30" s="6">
        <f>('TE BE'!$AB$5+'TE BF'!$AB$5+'TE CVA'!$AB$5)*1</f>
        <v>322.12477389224171</v>
      </c>
      <c r="AB30" s="6">
        <f>$K$30*$V$30</f>
        <v>496860</v>
      </c>
      <c r="AC30" s="6">
        <f>$M$30*$W$30</f>
        <v>25041.342479999999</v>
      </c>
      <c r="AD30" s="6">
        <f>$O$30*$X$30</f>
        <v>50896.752060000006</v>
      </c>
      <c r="AE30" s="6">
        <f ca="1">$K$30*$Y$30</f>
        <v>486803.73952288827</v>
      </c>
      <c r="AF30" s="6">
        <f ca="1">$M$30*$Z$30</f>
        <v>42656.863099926071</v>
      </c>
      <c r="AG30" s="6">
        <f>$O$30*$AA$30</f>
        <v>102835.75706690703</v>
      </c>
    </row>
    <row r="31" spans="1:33" ht="11.25" customHeight="1" x14ac:dyDescent="0.25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10500</v>
      </c>
      <c r="K31" s="6">
        <v>10500</v>
      </c>
      <c r="L31" s="6">
        <v>463.32799999999997</v>
      </c>
      <c r="M31" s="6">
        <v>463.32799999999997</v>
      </c>
      <c r="N31" s="6">
        <v>463.32799999999997</v>
      </c>
      <c r="O31" s="6">
        <v>463.32799999999997</v>
      </c>
      <c r="P31" s="6">
        <v>0</v>
      </c>
      <c r="Q31" s="4" t="s">
        <v>26</v>
      </c>
      <c r="R31" s="4">
        <v>0</v>
      </c>
      <c r="S31" s="6">
        <v>9</v>
      </c>
      <c r="T31" s="6">
        <v>13</v>
      </c>
      <c r="U31" s="6">
        <v>70</v>
      </c>
      <c r="V31" s="6">
        <f>IF(ISERROR(VLOOKUP($S$31,'TAR FIN'!$A$1:$O$108,15,0)),0,VLOOKUP($S$31,'TAR FIN'!$A$1:$O$108,15,0))</f>
        <v>47.32</v>
      </c>
      <c r="W31" s="6">
        <f>IF(ISERROR(VLOOKUP($T$31,'TAR FIN'!$A$1:$O$108,15,0)),0,VLOOKUP($T$31,'TAR FIN'!$A$1:$O$108,15,0))</f>
        <v>78.44</v>
      </c>
      <c r="X31" s="6">
        <f>IF(ISERROR(VLOOKUP($U$31,'TAR FIN'!$A$1:$O$108,15,0)),0,VLOOKUP($U$31,'TAR FIN'!$A$1:$O$108,15,0))</f>
        <v>159.43</v>
      </c>
      <c r="Y31" s="6">
        <f ca="1">('TUSD BE'!$AM$7+'TUSD BF'!$AM$7+'TUSD CVA'!$AM$7)*1</f>
        <v>46.362260906941742</v>
      </c>
      <c r="Z31" s="6">
        <f ca="1">('TUSD BE'!$AM$9+'TUSD BF'!$AM$9+'TUSD CVA'!$AM$9)*1</f>
        <v>133.61920768547392</v>
      </c>
      <c r="AA31" s="6">
        <f>('TE BE'!$AB$5+'TE BF'!$AB$5+'TE CVA'!$AB$5)*1</f>
        <v>322.12477389224171</v>
      </c>
      <c r="AB31" s="6">
        <f>$K$31*$V$31</f>
        <v>496860</v>
      </c>
      <c r="AC31" s="6">
        <f>$M$31*$W$31</f>
        <v>36343.448319999996</v>
      </c>
      <c r="AD31" s="6">
        <f>$O$31*$X$31</f>
        <v>73868.383040000001</v>
      </c>
      <c r="AE31" s="6">
        <f ca="1">$K$31*$Y$31</f>
        <v>486803.73952288827</v>
      </c>
      <c r="AF31" s="6">
        <f ca="1">$M$31*$Z$31</f>
        <v>61909.520258495257</v>
      </c>
      <c r="AG31" s="6">
        <f>$O$31*$AA$31</f>
        <v>149249.42723794456</v>
      </c>
    </row>
    <row r="32" spans="1:33" ht="11.25" customHeight="1" x14ac:dyDescent="0.25">
      <c r="A32" s="4" t="s">
        <v>27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44652</v>
      </c>
      <c r="J32" s="6">
        <v>0</v>
      </c>
      <c r="K32" s="6">
        <v>0</v>
      </c>
      <c r="L32" s="6">
        <v>300.89299999999997</v>
      </c>
      <c r="M32" s="6">
        <v>300.89299999999997</v>
      </c>
      <c r="N32" s="6">
        <v>300.89299999999997</v>
      </c>
      <c r="O32" s="6">
        <v>300.89299999999997</v>
      </c>
      <c r="P32" s="6">
        <v>0</v>
      </c>
      <c r="Q32" s="4" t="s">
        <v>26</v>
      </c>
      <c r="R32" s="4">
        <v>0</v>
      </c>
      <c r="S32" s="6">
        <v>0</v>
      </c>
      <c r="T32" s="6">
        <v>13</v>
      </c>
      <c r="U32" s="6">
        <v>70</v>
      </c>
      <c r="V32" s="6">
        <f>IF(ISERROR(VLOOKUP($S$32,'TAR FIN'!$A$1:$O$108,15,0)),0,VLOOKUP($S$32,'TAR FIN'!$A$1:$O$108,15,0))</f>
        <v>0</v>
      </c>
      <c r="W32" s="6">
        <f>IF(ISERROR(VLOOKUP($T$32,'TAR FIN'!$A$1:$O$108,15,0)),0,VLOOKUP($T$32,'TAR FIN'!$A$1:$O$108,15,0))</f>
        <v>78.44</v>
      </c>
      <c r="X32" s="6">
        <f>IF(ISERROR(VLOOKUP($U$32,'TAR FIN'!$A$1:$O$108,15,0)),0,VLOOKUP($U$32,'TAR FIN'!$A$1:$O$108,15,0))</f>
        <v>159.43</v>
      </c>
      <c r="Y32" s="6">
        <f ca="1">('TUSD BE'!$AM$7+'TUSD BF'!$AM$7+'TUSD CVA'!$AM$7)*1</f>
        <v>46.362260906941742</v>
      </c>
      <c r="Z32" s="6">
        <f ca="1">('TUSD BE'!$AM$9+'TUSD BF'!$AM$9+'TUSD CVA'!$AM$9)*1</f>
        <v>133.61920768547392</v>
      </c>
      <c r="AA32" s="6">
        <f>('TE BE'!$AB$5+'TE BF'!$AB$5+'TE CVA'!$AB$5)*1</f>
        <v>322.12477389224171</v>
      </c>
      <c r="AB32" s="6">
        <f>$K$32*$V$32</f>
        <v>0</v>
      </c>
      <c r="AC32" s="6">
        <f>$M$32*$W$32</f>
        <v>23602.046919999997</v>
      </c>
      <c r="AD32" s="6">
        <f>$O$32*$X$32</f>
        <v>47971.370989999996</v>
      </c>
      <c r="AE32" s="6">
        <f ca="1">$K$32*$Y$32</f>
        <v>0</v>
      </c>
      <c r="AF32" s="6">
        <f ca="1">$M$32*$Z$32</f>
        <v>40205.0842581053</v>
      </c>
      <c r="AG32" s="6">
        <f>$O$32*$AA$32</f>
        <v>96925.089590758274</v>
      </c>
    </row>
    <row r="33" spans="1:33" ht="11.25" customHeight="1" x14ac:dyDescent="0.25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44682</v>
      </c>
      <c r="J33" s="6">
        <v>10605</v>
      </c>
      <c r="K33" s="6">
        <v>10605</v>
      </c>
      <c r="L33" s="6">
        <v>615.19500000000005</v>
      </c>
      <c r="M33" s="6">
        <v>615.19500000000005</v>
      </c>
      <c r="N33" s="6">
        <v>615.19500000000005</v>
      </c>
      <c r="O33" s="6">
        <v>615.19500000000005</v>
      </c>
      <c r="P33" s="6">
        <v>0</v>
      </c>
      <c r="Q33" s="4" t="s">
        <v>26</v>
      </c>
      <c r="R33" s="4">
        <v>0</v>
      </c>
      <c r="S33" s="6">
        <v>9</v>
      </c>
      <c r="T33" s="6">
        <v>13</v>
      </c>
      <c r="U33" s="6">
        <v>70</v>
      </c>
      <c r="V33" s="6">
        <f>IF(ISERROR(VLOOKUP($S$33,'TAR FIN'!$A$1:$O$108,15,0)),0,VLOOKUP($S$33,'TAR FIN'!$A$1:$O$108,15,0))</f>
        <v>47.32</v>
      </c>
      <c r="W33" s="6">
        <f>IF(ISERROR(VLOOKUP($T$33,'TAR FIN'!$A$1:$O$108,15,0)),0,VLOOKUP($T$33,'TAR FIN'!$A$1:$O$108,15,0))</f>
        <v>78.44</v>
      </c>
      <c r="X33" s="6">
        <f>IF(ISERROR(VLOOKUP($U$33,'TAR FIN'!$A$1:$O$108,15,0)),0,VLOOKUP($U$33,'TAR FIN'!$A$1:$O$108,15,0))</f>
        <v>159.43</v>
      </c>
      <c r="Y33" s="6">
        <f ca="1">('TUSD BE'!$AM$7+'TUSD BF'!$AM$7+'TUSD CVA'!$AM$7)*1</f>
        <v>46.362260906941742</v>
      </c>
      <c r="Z33" s="6">
        <f ca="1">('TUSD BE'!$AM$9+'TUSD BF'!$AM$9+'TUSD CVA'!$AM$9)*1</f>
        <v>133.61920768547392</v>
      </c>
      <c r="AA33" s="6">
        <f>('TE BE'!$AB$5+'TE BF'!$AB$5+'TE CVA'!$AB$5)*1</f>
        <v>322.12477389224171</v>
      </c>
      <c r="AB33" s="6">
        <f>$K$33*$V$33</f>
        <v>501828.6</v>
      </c>
      <c r="AC33" s="6">
        <f>$M$33*$W$33</f>
        <v>48255.895800000006</v>
      </c>
      <c r="AD33" s="6">
        <f>$O$33*$X$33</f>
        <v>98080.538850000012</v>
      </c>
      <c r="AE33" s="6">
        <f ca="1">$K$33*$Y$33</f>
        <v>491671.77691811719</v>
      </c>
      <c r="AF33" s="6">
        <f ca="1">$M$33*$Z$33</f>
        <v>82201.868472065136</v>
      </c>
      <c r="AG33" s="6">
        <f>$O$33*$AA$33</f>
        <v>198169.55027463764</v>
      </c>
    </row>
    <row r="34" spans="1:33" ht="11.25" customHeight="1" x14ac:dyDescent="0.25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44713</v>
      </c>
      <c r="J34" s="6">
        <v>10500</v>
      </c>
      <c r="K34" s="6">
        <v>10500</v>
      </c>
      <c r="L34" s="6">
        <v>582.03</v>
      </c>
      <c r="M34" s="6">
        <v>582.03</v>
      </c>
      <c r="N34" s="6">
        <v>582.03</v>
      </c>
      <c r="O34" s="6">
        <v>582.03</v>
      </c>
      <c r="P34" s="6">
        <v>0</v>
      </c>
      <c r="Q34" s="4" t="s">
        <v>26</v>
      </c>
      <c r="R34" s="4">
        <v>0</v>
      </c>
      <c r="S34" s="6">
        <v>9</v>
      </c>
      <c r="T34" s="6">
        <v>13</v>
      </c>
      <c r="U34" s="6">
        <v>70</v>
      </c>
      <c r="V34" s="6">
        <f>IF(ISERROR(VLOOKUP($S$34,'TAR FIN'!$A$1:$O$108,15,0)),0,VLOOKUP($S$34,'TAR FIN'!$A$1:$O$108,15,0))</f>
        <v>47.32</v>
      </c>
      <c r="W34" s="6">
        <f>IF(ISERROR(VLOOKUP($T$34,'TAR FIN'!$A$1:$O$108,15,0)),0,VLOOKUP($T$34,'TAR FIN'!$A$1:$O$108,15,0))</f>
        <v>78.44</v>
      </c>
      <c r="X34" s="6">
        <f>IF(ISERROR(VLOOKUP($U$34,'TAR FIN'!$A$1:$O$108,15,0)),0,VLOOKUP($U$34,'TAR FIN'!$A$1:$O$108,15,0))</f>
        <v>159.43</v>
      </c>
      <c r="Y34" s="6">
        <f ca="1">('TUSD BE'!$AM$7+'TUSD BF'!$AM$7+'TUSD CVA'!$AM$7)*1</f>
        <v>46.362260906941742</v>
      </c>
      <c r="Z34" s="6">
        <f ca="1">('TUSD BE'!$AM$9+'TUSD BF'!$AM$9+'TUSD CVA'!$AM$9)*1</f>
        <v>133.61920768547392</v>
      </c>
      <c r="AA34" s="6">
        <f>('TE BE'!$AB$5+'TE BF'!$AB$5+'TE CVA'!$AB$5)*1</f>
        <v>322.12477389224171</v>
      </c>
      <c r="AB34" s="6">
        <f>$K$34*$V$34</f>
        <v>496860</v>
      </c>
      <c r="AC34" s="6">
        <f>$M$34*$W$34</f>
        <v>45654.433199999999</v>
      </c>
      <c r="AD34" s="6">
        <f>$O$34*$X$34</f>
        <v>92793.0429</v>
      </c>
      <c r="AE34" s="6">
        <f ca="1">$K$34*$Y$34</f>
        <v>486803.73952288827</v>
      </c>
      <c r="AF34" s="6">
        <f ca="1">$M$34*$Z$34</f>
        <v>77770.387449176385</v>
      </c>
      <c r="AG34" s="6">
        <f>$O$34*$AA$34</f>
        <v>187486.28214850143</v>
      </c>
    </row>
    <row r="35" spans="1:33" ht="11.25" customHeight="1" x14ac:dyDescent="0.25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44743</v>
      </c>
      <c r="J35" s="6">
        <v>10500</v>
      </c>
      <c r="K35" s="6">
        <v>10500</v>
      </c>
      <c r="L35" s="6">
        <v>517.55899999999997</v>
      </c>
      <c r="M35" s="6">
        <v>517.55899999999997</v>
      </c>
      <c r="N35" s="6">
        <v>517.55899999999997</v>
      </c>
      <c r="O35" s="6">
        <v>517.55899999999997</v>
      </c>
      <c r="P35" s="6">
        <v>0</v>
      </c>
      <c r="Q35" s="4" t="s">
        <v>26</v>
      </c>
      <c r="R35" s="4">
        <v>0</v>
      </c>
      <c r="S35" s="6">
        <v>9</v>
      </c>
      <c r="T35" s="6">
        <v>13</v>
      </c>
      <c r="U35" s="6">
        <v>70</v>
      </c>
      <c r="V35" s="6">
        <f>IF(ISERROR(VLOOKUP($S$35,'TAR FIN'!$A$1:$O$108,15,0)),0,VLOOKUP($S$35,'TAR FIN'!$A$1:$O$108,15,0))</f>
        <v>47.32</v>
      </c>
      <c r="W35" s="6">
        <f>IF(ISERROR(VLOOKUP($T$35,'TAR FIN'!$A$1:$O$108,15,0)),0,VLOOKUP($T$35,'TAR FIN'!$A$1:$O$108,15,0))</f>
        <v>78.44</v>
      </c>
      <c r="X35" s="6">
        <f>IF(ISERROR(VLOOKUP($U$35,'TAR FIN'!$A$1:$O$108,15,0)),0,VLOOKUP($U$35,'TAR FIN'!$A$1:$O$108,15,0))</f>
        <v>159.43</v>
      </c>
      <c r="Y35" s="6">
        <f ca="1">('TUSD BE'!$AM$7+'TUSD BF'!$AM$7+'TUSD CVA'!$AM$7)*1</f>
        <v>46.362260906941742</v>
      </c>
      <c r="Z35" s="6">
        <f ca="1">('TUSD BE'!$AM$9+'TUSD BF'!$AM$9+'TUSD CVA'!$AM$9)*1</f>
        <v>133.61920768547392</v>
      </c>
      <c r="AA35" s="6">
        <f>('TE BE'!$AB$5+'TE BF'!$AB$5+'TE CVA'!$AB$5)*1</f>
        <v>322.12477389224171</v>
      </c>
      <c r="AB35" s="6">
        <f>$K$35*$V$35</f>
        <v>496860</v>
      </c>
      <c r="AC35" s="6">
        <f>$M$35*$W$35</f>
        <v>40597.327959999995</v>
      </c>
      <c r="AD35" s="6">
        <f>$O$35*$X$35</f>
        <v>82514.431370000006</v>
      </c>
      <c r="AE35" s="6">
        <f ca="1">$K$35*$Y$35</f>
        <v>486803.73952288827</v>
      </c>
      <c r="AF35" s="6">
        <f ca="1">$M$35*$Z$35</f>
        <v>69155.823510486196</v>
      </c>
      <c r="AG35" s="6">
        <f>$O$35*$AA$35</f>
        <v>166718.5758508947</v>
      </c>
    </row>
    <row r="36" spans="1:33" ht="11.25" customHeight="1" x14ac:dyDescent="0.25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44774</v>
      </c>
      <c r="J36" s="6">
        <v>10500</v>
      </c>
      <c r="K36" s="6">
        <v>10500</v>
      </c>
      <c r="L36" s="6">
        <v>603.452</v>
      </c>
      <c r="M36" s="6">
        <v>603.452</v>
      </c>
      <c r="N36" s="6">
        <v>603.452</v>
      </c>
      <c r="O36" s="6">
        <v>603.452</v>
      </c>
      <c r="P36" s="6">
        <v>0</v>
      </c>
      <c r="Q36" s="4" t="s">
        <v>26</v>
      </c>
      <c r="R36" s="4">
        <v>0</v>
      </c>
      <c r="S36" s="6">
        <v>9</v>
      </c>
      <c r="T36" s="6">
        <v>13</v>
      </c>
      <c r="U36" s="6">
        <v>70</v>
      </c>
      <c r="V36" s="6">
        <f>IF(ISERROR(VLOOKUP($S$36,'TAR FIN'!$A$1:$O$108,15,0)),0,VLOOKUP($S$36,'TAR FIN'!$A$1:$O$108,15,0))</f>
        <v>47.32</v>
      </c>
      <c r="W36" s="6">
        <f>IF(ISERROR(VLOOKUP($T$36,'TAR FIN'!$A$1:$O$108,15,0)),0,VLOOKUP($T$36,'TAR FIN'!$A$1:$O$108,15,0))</f>
        <v>78.44</v>
      </c>
      <c r="X36" s="6">
        <f>IF(ISERROR(VLOOKUP($U$36,'TAR FIN'!$A$1:$O$108,15,0)),0,VLOOKUP($U$36,'TAR FIN'!$A$1:$O$108,15,0))</f>
        <v>159.43</v>
      </c>
      <c r="Y36" s="6">
        <f ca="1">('TUSD BE'!$AM$7+'TUSD BF'!$AM$7+'TUSD CVA'!$AM$7)*1</f>
        <v>46.362260906941742</v>
      </c>
      <c r="Z36" s="6">
        <f ca="1">('TUSD BE'!$AM$9+'TUSD BF'!$AM$9+'TUSD CVA'!$AM$9)*1</f>
        <v>133.61920768547392</v>
      </c>
      <c r="AA36" s="6">
        <f>('TE BE'!$AB$5+'TE BF'!$AB$5+'TE CVA'!$AB$5)*1</f>
        <v>322.12477389224171</v>
      </c>
      <c r="AB36" s="6">
        <f>$K$36*$V$36</f>
        <v>496860</v>
      </c>
      <c r="AC36" s="6">
        <f>$M$36*$W$36</f>
        <v>47334.774879999997</v>
      </c>
      <c r="AD36" s="6">
        <f>$O$36*$X$36</f>
        <v>96208.352360000004</v>
      </c>
      <c r="AE36" s="6">
        <f ca="1">$K$36*$Y$36</f>
        <v>486803.73952288827</v>
      </c>
      <c r="AF36" s="6">
        <f ca="1">$M$36*$Z$36</f>
        <v>80632.778116214613</v>
      </c>
      <c r="AG36" s="6">
        <f>$O$36*$AA$36</f>
        <v>194386.83905482103</v>
      </c>
    </row>
    <row r="37" spans="1:33" ht="11.25" customHeight="1" x14ac:dyDescent="0.25">
      <c r="A37" s="4" t="s">
        <v>21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44805</v>
      </c>
      <c r="J37" s="6">
        <v>10500</v>
      </c>
      <c r="K37" s="6">
        <v>10500</v>
      </c>
      <c r="L37" s="6">
        <v>201.11</v>
      </c>
      <c r="M37" s="6">
        <v>201.11</v>
      </c>
      <c r="N37" s="6">
        <v>201.11</v>
      </c>
      <c r="O37" s="6">
        <v>201.11</v>
      </c>
      <c r="P37" s="6">
        <v>0</v>
      </c>
      <c r="Q37" s="4" t="s">
        <v>26</v>
      </c>
      <c r="R37" s="4">
        <v>0</v>
      </c>
      <c r="S37" s="6">
        <v>9</v>
      </c>
      <c r="T37" s="6">
        <v>13</v>
      </c>
      <c r="U37" s="6">
        <v>70</v>
      </c>
      <c r="V37" s="6">
        <f>IF(ISERROR(VLOOKUP($S$37,'TAR FIN'!$A$1:$O$108,15,0)),0,VLOOKUP($S$37,'TAR FIN'!$A$1:$O$108,15,0))</f>
        <v>47.32</v>
      </c>
      <c r="W37" s="6">
        <f>IF(ISERROR(VLOOKUP($T$37,'TAR FIN'!$A$1:$O$108,15,0)),0,VLOOKUP($T$37,'TAR FIN'!$A$1:$O$108,15,0))</f>
        <v>78.44</v>
      </c>
      <c r="X37" s="6">
        <f>IF(ISERROR(VLOOKUP($U$37,'TAR FIN'!$A$1:$O$108,15,0)),0,VLOOKUP($U$37,'TAR FIN'!$A$1:$O$108,15,0))</f>
        <v>159.43</v>
      </c>
      <c r="Y37" s="6">
        <f ca="1">('TUSD BE'!$AM$7+'TUSD BF'!$AM$7+'TUSD CVA'!$AM$7)*1</f>
        <v>46.362260906941742</v>
      </c>
      <c r="Z37" s="6">
        <f ca="1">('TUSD BE'!$AM$9+'TUSD BF'!$AM$9+'TUSD CVA'!$AM$9)*1</f>
        <v>133.61920768547392</v>
      </c>
      <c r="AA37" s="6">
        <f>('TE BE'!$AB$5+'TE BF'!$AB$5+'TE CVA'!$AB$5)*1</f>
        <v>322.12477389224171</v>
      </c>
      <c r="AB37" s="6">
        <f>$K$37*$V$37</f>
        <v>496860</v>
      </c>
      <c r="AC37" s="6">
        <f>$M$37*$W$37</f>
        <v>15775.0684</v>
      </c>
      <c r="AD37" s="6">
        <f>$O$37*$X$37</f>
        <v>32062.967300000004</v>
      </c>
      <c r="AE37" s="6">
        <f ca="1">$K$37*$Y$37</f>
        <v>486803.73952288827</v>
      </c>
      <c r="AF37" s="6">
        <f ca="1">$M$37*$Z$37</f>
        <v>26872.158857625662</v>
      </c>
      <c r="AG37" s="6">
        <f>$O$37*$AA$37</f>
        <v>64782.513277468737</v>
      </c>
    </row>
    <row r="38" spans="1:33" ht="11.25" customHeight="1" x14ac:dyDescent="0.25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34</v>
      </c>
      <c r="I38" s="5">
        <v>44835</v>
      </c>
      <c r="J38" s="6">
        <v>10500</v>
      </c>
      <c r="K38" s="6">
        <v>10500</v>
      </c>
      <c r="L38" s="6">
        <v>547.71500000000003</v>
      </c>
      <c r="M38" s="6">
        <v>547.71500000000003</v>
      </c>
      <c r="N38" s="6">
        <v>547.71500000000003</v>
      </c>
      <c r="O38" s="6">
        <v>547.71500000000003</v>
      </c>
      <c r="P38" s="6">
        <v>0</v>
      </c>
      <c r="Q38" s="4" t="s">
        <v>26</v>
      </c>
      <c r="R38" s="4">
        <v>0</v>
      </c>
      <c r="S38" s="6">
        <v>9</v>
      </c>
      <c r="T38" s="6">
        <v>13</v>
      </c>
      <c r="U38" s="6">
        <v>70</v>
      </c>
      <c r="V38" s="6">
        <f>IF(ISERROR(VLOOKUP($S$38,'TAR FIN'!$A$1:$O$108,15,0)),0,VLOOKUP($S$38,'TAR FIN'!$A$1:$O$108,15,0))</f>
        <v>47.32</v>
      </c>
      <c r="W38" s="6">
        <f>IF(ISERROR(VLOOKUP($T$38,'TAR FIN'!$A$1:$O$108,15,0)),0,VLOOKUP($T$38,'TAR FIN'!$A$1:$O$108,15,0))</f>
        <v>78.44</v>
      </c>
      <c r="X38" s="6">
        <f>IF(ISERROR(VLOOKUP($U$38,'TAR FIN'!$A$1:$O$108,15,0)),0,VLOOKUP($U$38,'TAR FIN'!$A$1:$O$108,15,0))</f>
        <v>159.43</v>
      </c>
      <c r="Y38" s="6">
        <f ca="1">('TUSD BE'!$AM$7+'TUSD BF'!$AM$7+'TUSD CVA'!$AM$7)*1</f>
        <v>46.362260906941742</v>
      </c>
      <c r="Z38" s="6">
        <f ca="1">('TUSD BE'!$AM$9+'TUSD BF'!$AM$9+'TUSD CVA'!$AM$9)*1</f>
        <v>133.61920768547392</v>
      </c>
      <c r="AA38" s="6">
        <f>('TE BE'!$AB$5+'TE BF'!$AB$5+'TE CVA'!$AB$5)*1</f>
        <v>322.12477389224171</v>
      </c>
      <c r="AB38" s="6">
        <f>$K$38*$V$38</f>
        <v>496860</v>
      </c>
      <c r="AC38" s="6">
        <f>$M$38*$W$38</f>
        <v>42962.764600000002</v>
      </c>
      <c r="AD38" s="6">
        <f>$O$38*$X$38</f>
        <v>87322.202450000012</v>
      </c>
      <c r="AE38" s="6">
        <f ca="1">$K$38*$Y$38</f>
        <v>486803.73952288827</v>
      </c>
      <c r="AF38" s="6">
        <f ca="1">$M$38*$Z$38</f>
        <v>73185.24433744936</v>
      </c>
      <c r="AG38" s="6">
        <f>$O$38*$AA$38</f>
        <v>176432.57053238919</v>
      </c>
    </row>
    <row r="39" spans="1:33" ht="11.25" customHeight="1" x14ac:dyDescent="0.25">
      <c r="A39" s="4" t="s">
        <v>54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34</v>
      </c>
      <c r="I39" s="5">
        <v>44866</v>
      </c>
      <c r="J39" s="6">
        <v>10500</v>
      </c>
      <c r="K39" s="6">
        <v>10500</v>
      </c>
      <c r="L39" s="6">
        <v>547.71500000000003</v>
      </c>
      <c r="M39" s="6">
        <v>547.71500000000003</v>
      </c>
      <c r="N39" s="6">
        <v>547.71500000000003</v>
      </c>
      <c r="O39" s="6">
        <v>547.71500000000003</v>
      </c>
      <c r="P39" s="6">
        <v>0</v>
      </c>
      <c r="Q39" s="4" t="s">
        <v>26</v>
      </c>
      <c r="R39" s="4">
        <v>0</v>
      </c>
      <c r="S39" s="6">
        <v>9</v>
      </c>
      <c r="T39" s="6">
        <v>13</v>
      </c>
      <c r="U39" s="6">
        <v>70</v>
      </c>
      <c r="V39" s="6">
        <f>IF(ISERROR(VLOOKUP($S$39,'TAR FIN'!$A$1:$O$108,15,0)),0,VLOOKUP($S$39,'TAR FIN'!$A$1:$O$108,15,0))</f>
        <v>47.32</v>
      </c>
      <c r="W39" s="6">
        <f>IF(ISERROR(VLOOKUP($T$39,'TAR FIN'!$A$1:$O$108,15,0)),0,VLOOKUP($T$39,'TAR FIN'!$A$1:$O$108,15,0))</f>
        <v>78.44</v>
      </c>
      <c r="X39" s="6">
        <f>IF(ISERROR(VLOOKUP($U$39,'TAR FIN'!$A$1:$O$108,15,0)),0,VLOOKUP($U$39,'TAR FIN'!$A$1:$O$108,15,0))</f>
        <v>159.43</v>
      </c>
      <c r="Y39" s="6">
        <f ca="1">('TUSD BE'!$AM$7+'TUSD BF'!$AM$7+'TUSD CVA'!$AM$7)*1</f>
        <v>46.362260906941742</v>
      </c>
      <c r="Z39" s="6">
        <f ca="1">('TUSD BE'!$AM$9+'TUSD BF'!$AM$9+'TUSD CVA'!$AM$9)*1</f>
        <v>133.61920768547392</v>
      </c>
      <c r="AA39" s="6">
        <f>('TE BE'!$AB$5+'TE BF'!$AB$5+'TE CVA'!$AB$5)*1</f>
        <v>322.12477389224171</v>
      </c>
      <c r="AB39" s="6">
        <f>$K$39*$V$39</f>
        <v>496860</v>
      </c>
      <c r="AC39" s="6">
        <f>$M$39*$W$39</f>
        <v>42962.764600000002</v>
      </c>
      <c r="AD39" s="6">
        <f>$O$39*$X$39</f>
        <v>87322.202450000012</v>
      </c>
      <c r="AE39" s="6">
        <f ca="1">$K$39*$Y$39</f>
        <v>486803.73952288827</v>
      </c>
      <c r="AF39" s="6">
        <f ca="1">$M$39*$Z$39</f>
        <v>73185.24433744936</v>
      </c>
      <c r="AG39" s="6">
        <f>$O$39*$AA$39</f>
        <v>176432.57053238919</v>
      </c>
    </row>
    <row r="40" spans="1:33" ht="11.25" customHeight="1" x14ac:dyDescent="0.25">
      <c r="A40" s="4" t="s">
        <v>21</v>
      </c>
      <c r="B40" s="4" t="s">
        <v>42</v>
      </c>
      <c r="C40" s="4" t="s">
        <v>43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35</v>
      </c>
      <c r="I40" s="5">
        <v>44531</v>
      </c>
      <c r="J40" s="6">
        <v>0</v>
      </c>
      <c r="K40" s="6">
        <v>0</v>
      </c>
      <c r="L40" s="6">
        <v>23.1</v>
      </c>
      <c r="M40" s="6">
        <v>23.1</v>
      </c>
      <c r="N40" s="6">
        <v>23.1</v>
      </c>
      <c r="O40" s="6">
        <v>23.1</v>
      </c>
      <c r="P40" s="6">
        <v>0</v>
      </c>
      <c r="Q40" s="4" t="s">
        <v>26</v>
      </c>
      <c r="R40" s="4">
        <v>0</v>
      </c>
      <c r="S40" s="6">
        <v>0</v>
      </c>
      <c r="T40" s="6">
        <v>31</v>
      </c>
      <c r="U40" s="6">
        <v>73</v>
      </c>
      <c r="V40" s="6">
        <f>IF(ISERROR(VLOOKUP($S$40,'TAR FIN'!$A$1:$O$108,15,0)),0,VLOOKUP($S$40,'TAR FIN'!$A$1:$O$108,15,0))</f>
        <v>0</v>
      </c>
      <c r="W40" s="6">
        <f>IF(ISERROR(VLOOKUP($T$40,'TAR FIN'!$A$1:$O$108,15,0)),0,VLOOKUP($T$40,'TAR FIN'!$A$1:$O$108,15,0))</f>
        <v>102.62</v>
      </c>
      <c r="X40" s="6">
        <f>IF(ISERROR(VLOOKUP($U$40,'TAR FIN'!$A$1:$O$108,15,0)),0,VLOOKUP($U$40,'TAR FIN'!$A$1:$O$108,15,0))</f>
        <v>103.1</v>
      </c>
      <c r="Y40" s="6"/>
      <c r="Z40" s="6">
        <f ca="1">('TUSD BE'!$AM$18+'TUSD BF'!$AM$18+'TUSD CVA'!$AM$18)*1</f>
        <v>181.47641369790719</v>
      </c>
      <c r="AA40" s="6">
        <f>('TE BE'!$AB$8+'TE BF'!$AB$8+'TE CVA'!$AB$8)*1</f>
        <v>215.60278025898469</v>
      </c>
      <c r="AB40" s="6">
        <f>$K$40*$V$40</f>
        <v>0</v>
      </c>
      <c r="AC40" s="6">
        <f>$M$40*$W$40</f>
        <v>2370.5220000000004</v>
      </c>
      <c r="AD40" s="6">
        <f>$O$40*$X$40</f>
        <v>2381.61</v>
      </c>
      <c r="AE40" s="6">
        <f>$K$40*$Y$40</f>
        <v>0</v>
      </c>
      <c r="AF40" s="6">
        <f ca="1">$M$40*$Z$40</f>
        <v>4192.1051564216559</v>
      </c>
      <c r="AG40" s="6">
        <f>$O$40*$AA$40</f>
        <v>4980.4242239825471</v>
      </c>
    </row>
    <row r="41" spans="1:33" ht="11.25" customHeight="1" x14ac:dyDescent="0.25">
      <c r="A41" s="4" t="s">
        <v>21</v>
      </c>
      <c r="B41" s="4" t="s">
        <v>42</v>
      </c>
      <c r="C41" s="4" t="s">
        <v>43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35</v>
      </c>
      <c r="I41" s="5">
        <v>44562</v>
      </c>
      <c r="J41" s="6">
        <v>0</v>
      </c>
      <c r="K41" s="6">
        <v>0</v>
      </c>
      <c r="L41" s="6">
        <v>15.75</v>
      </c>
      <c r="M41" s="6">
        <v>15.75</v>
      </c>
      <c r="N41" s="6">
        <v>15.75</v>
      </c>
      <c r="O41" s="6">
        <v>15.75</v>
      </c>
      <c r="P41" s="6">
        <v>0</v>
      </c>
      <c r="Q41" s="4" t="s">
        <v>26</v>
      </c>
      <c r="R41" s="4">
        <v>0</v>
      </c>
      <c r="S41" s="6">
        <v>0</v>
      </c>
      <c r="T41" s="6">
        <v>31</v>
      </c>
      <c r="U41" s="6">
        <v>73</v>
      </c>
      <c r="V41" s="6">
        <f>IF(ISERROR(VLOOKUP($S$41,'TAR FIN'!$A$1:$O$108,15,0)),0,VLOOKUP($S$41,'TAR FIN'!$A$1:$O$108,15,0))</f>
        <v>0</v>
      </c>
      <c r="W41" s="6">
        <f>IF(ISERROR(VLOOKUP($T$41,'TAR FIN'!$A$1:$O$108,15,0)),0,VLOOKUP($T$41,'TAR FIN'!$A$1:$O$108,15,0))</f>
        <v>102.62</v>
      </c>
      <c r="X41" s="6">
        <f>IF(ISERROR(VLOOKUP($U$41,'TAR FIN'!$A$1:$O$108,15,0)),0,VLOOKUP($U$41,'TAR FIN'!$A$1:$O$108,15,0))</f>
        <v>103.1</v>
      </c>
      <c r="Y41" s="6"/>
      <c r="Z41" s="6">
        <f ca="1">('TUSD BE'!$AM$18+'TUSD BF'!$AM$18+'TUSD CVA'!$AM$18)*1</f>
        <v>181.47641369790719</v>
      </c>
      <c r="AA41" s="6">
        <f>('TE BE'!$AB$8+'TE BF'!$AB$8+'TE CVA'!$AB$8)*1</f>
        <v>215.60278025898469</v>
      </c>
      <c r="AB41" s="6">
        <f>$K$41*$V$41</f>
        <v>0</v>
      </c>
      <c r="AC41" s="6">
        <f>$M$41*$W$41</f>
        <v>1616.2650000000001</v>
      </c>
      <c r="AD41" s="6">
        <f>$O$41*$X$41</f>
        <v>1623.8249999999998</v>
      </c>
      <c r="AE41" s="6">
        <f>$K$41*$Y$41</f>
        <v>0</v>
      </c>
      <c r="AF41" s="6">
        <f ca="1">$M$41*$Z$41</f>
        <v>2858.2535157420384</v>
      </c>
      <c r="AG41" s="6">
        <f>$O$41*$AA$41</f>
        <v>3395.7437890790088</v>
      </c>
    </row>
    <row r="42" spans="1:33" ht="11.25" customHeight="1" x14ac:dyDescent="0.25">
      <c r="A42" s="4" t="s">
        <v>21</v>
      </c>
      <c r="B42" s="4" t="s">
        <v>42</v>
      </c>
      <c r="C42" s="4" t="s">
        <v>43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35</v>
      </c>
      <c r="I42" s="5">
        <v>44593</v>
      </c>
      <c r="J42" s="6">
        <v>0</v>
      </c>
      <c r="K42" s="6">
        <v>0</v>
      </c>
      <c r="L42" s="6">
        <v>13.124000000000001</v>
      </c>
      <c r="M42" s="6">
        <v>13.124000000000001</v>
      </c>
      <c r="N42" s="6">
        <v>13.124000000000001</v>
      </c>
      <c r="O42" s="6">
        <v>13.124000000000001</v>
      </c>
      <c r="P42" s="6">
        <v>0</v>
      </c>
      <c r="Q42" s="4" t="s">
        <v>26</v>
      </c>
      <c r="R42" s="4">
        <v>0</v>
      </c>
      <c r="S42" s="6">
        <v>0</v>
      </c>
      <c r="T42" s="6">
        <v>31</v>
      </c>
      <c r="U42" s="6">
        <v>73</v>
      </c>
      <c r="V42" s="6">
        <f>IF(ISERROR(VLOOKUP($S$42,'TAR FIN'!$A$1:$O$108,15,0)),0,VLOOKUP($S$42,'TAR FIN'!$A$1:$O$108,15,0))</f>
        <v>0</v>
      </c>
      <c r="W42" s="6">
        <f>IF(ISERROR(VLOOKUP($T$42,'TAR FIN'!$A$1:$O$108,15,0)),0,VLOOKUP($T$42,'TAR FIN'!$A$1:$O$108,15,0))</f>
        <v>102.62</v>
      </c>
      <c r="X42" s="6">
        <f>IF(ISERROR(VLOOKUP($U$42,'TAR FIN'!$A$1:$O$108,15,0)),0,VLOOKUP($U$42,'TAR FIN'!$A$1:$O$108,15,0))</f>
        <v>103.1</v>
      </c>
      <c r="Y42" s="6"/>
      <c r="Z42" s="6">
        <f ca="1">('TUSD BE'!$AM$18+'TUSD BF'!$AM$18+'TUSD CVA'!$AM$18)*1</f>
        <v>181.47641369790719</v>
      </c>
      <c r="AA42" s="6">
        <f>('TE BE'!$AB$8+'TE BF'!$AB$8+'TE CVA'!$AB$8)*1</f>
        <v>215.60278025898469</v>
      </c>
      <c r="AB42" s="6">
        <f>$K$42*$V$42</f>
        <v>0</v>
      </c>
      <c r="AC42" s="6">
        <f>$M$42*$W$42</f>
        <v>1346.7848800000002</v>
      </c>
      <c r="AD42" s="6">
        <f>$O$42*$X$42</f>
        <v>1353.0844</v>
      </c>
      <c r="AE42" s="6">
        <f>$K$42*$Y$42</f>
        <v>0</v>
      </c>
      <c r="AF42" s="6">
        <f ca="1">$M$42*$Z$42</f>
        <v>2381.696453371334</v>
      </c>
      <c r="AG42" s="6">
        <f>$O$42*$AA$42</f>
        <v>2829.5708881189153</v>
      </c>
    </row>
    <row r="43" spans="1:33" ht="11.25" customHeight="1" x14ac:dyDescent="0.25">
      <c r="A43" s="4" t="s">
        <v>21</v>
      </c>
      <c r="B43" s="4" t="s">
        <v>42</v>
      </c>
      <c r="C43" s="4" t="s">
        <v>43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35</v>
      </c>
      <c r="I43" s="5">
        <v>44621</v>
      </c>
      <c r="J43" s="6">
        <v>0</v>
      </c>
      <c r="K43" s="6">
        <v>0</v>
      </c>
      <c r="L43" s="6">
        <v>15.225</v>
      </c>
      <c r="M43" s="6">
        <v>15.225</v>
      </c>
      <c r="N43" s="6">
        <v>15.225</v>
      </c>
      <c r="O43" s="6">
        <v>15.225</v>
      </c>
      <c r="P43" s="6">
        <v>0</v>
      </c>
      <c r="Q43" s="4" t="s">
        <v>26</v>
      </c>
      <c r="R43" s="4">
        <v>0</v>
      </c>
      <c r="S43" s="6">
        <v>0</v>
      </c>
      <c r="T43" s="6">
        <v>31</v>
      </c>
      <c r="U43" s="6">
        <v>73</v>
      </c>
      <c r="V43" s="6">
        <f>IF(ISERROR(VLOOKUP($S$43,'TAR FIN'!$A$1:$O$108,15,0)),0,VLOOKUP($S$43,'TAR FIN'!$A$1:$O$108,15,0))</f>
        <v>0</v>
      </c>
      <c r="W43" s="6">
        <f>IF(ISERROR(VLOOKUP($T$43,'TAR FIN'!$A$1:$O$108,15,0)),0,VLOOKUP($T$43,'TAR FIN'!$A$1:$O$108,15,0))</f>
        <v>102.62</v>
      </c>
      <c r="X43" s="6">
        <f>IF(ISERROR(VLOOKUP($U$43,'TAR FIN'!$A$1:$O$108,15,0)),0,VLOOKUP($U$43,'TAR FIN'!$A$1:$O$108,15,0))</f>
        <v>103.1</v>
      </c>
      <c r="Y43" s="6"/>
      <c r="Z43" s="6">
        <f ca="1">('TUSD BE'!$AM$18+'TUSD BF'!$AM$18+'TUSD CVA'!$AM$18)*1</f>
        <v>181.47641369790719</v>
      </c>
      <c r="AA43" s="6">
        <f>('TE BE'!$AB$8+'TE BF'!$AB$8+'TE CVA'!$AB$8)*1</f>
        <v>215.60278025898469</v>
      </c>
      <c r="AB43" s="6">
        <f>$K$43*$V$43</f>
        <v>0</v>
      </c>
      <c r="AC43" s="6">
        <f>$M$43*$W$43</f>
        <v>1562.3895</v>
      </c>
      <c r="AD43" s="6">
        <f>$O$43*$X$43</f>
        <v>1569.6974999999998</v>
      </c>
      <c r="AE43" s="6">
        <f>$K$43*$Y$43</f>
        <v>0</v>
      </c>
      <c r="AF43" s="6">
        <f ca="1">$M$43*$Z$43</f>
        <v>2762.9783985506369</v>
      </c>
      <c r="AG43" s="6">
        <f>$O$43*$AA$43</f>
        <v>3282.5523294430418</v>
      </c>
    </row>
    <row r="44" spans="1:33" ht="11.25" customHeight="1" x14ac:dyDescent="0.25">
      <c r="A44" s="4" t="s">
        <v>21</v>
      </c>
      <c r="B44" s="4" t="s">
        <v>42</v>
      </c>
      <c r="C44" s="4" t="s">
        <v>43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35</v>
      </c>
      <c r="I44" s="5">
        <v>44652</v>
      </c>
      <c r="J44" s="6">
        <v>0</v>
      </c>
      <c r="K44" s="6">
        <v>0</v>
      </c>
      <c r="L44" s="6">
        <v>12.074</v>
      </c>
      <c r="M44" s="6">
        <v>12.074</v>
      </c>
      <c r="N44" s="6">
        <v>12.074</v>
      </c>
      <c r="O44" s="6">
        <v>12.074</v>
      </c>
      <c r="P44" s="6">
        <v>0</v>
      </c>
      <c r="Q44" s="4" t="s">
        <v>26</v>
      </c>
      <c r="R44" s="4">
        <v>0</v>
      </c>
      <c r="S44" s="6">
        <v>0</v>
      </c>
      <c r="T44" s="6">
        <v>31</v>
      </c>
      <c r="U44" s="6">
        <v>73</v>
      </c>
      <c r="V44" s="6">
        <f>IF(ISERROR(VLOOKUP($S$44,'TAR FIN'!$A$1:$O$108,15,0)),0,VLOOKUP($S$44,'TAR FIN'!$A$1:$O$108,15,0))</f>
        <v>0</v>
      </c>
      <c r="W44" s="6">
        <f>IF(ISERROR(VLOOKUP($T$44,'TAR FIN'!$A$1:$O$108,15,0)),0,VLOOKUP($T$44,'TAR FIN'!$A$1:$O$108,15,0))</f>
        <v>102.62</v>
      </c>
      <c r="X44" s="6">
        <f>IF(ISERROR(VLOOKUP($U$44,'TAR FIN'!$A$1:$O$108,15,0)),0,VLOOKUP($U$44,'TAR FIN'!$A$1:$O$108,15,0))</f>
        <v>103.1</v>
      </c>
      <c r="Y44" s="6"/>
      <c r="Z44" s="6">
        <f ca="1">('TUSD BE'!$AM$18+'TUSD BF'!$AM$18+'TUSD CVA'!$AM$18)*1</f>
        <v>181.47641369790719</v>
      </c>
      <c r="AA44" s="6">
        <f>('TE BE'!$AB$8+'TE BF'!$AB$8+'TE CVA'!$AB$8)*1</f>
        <v>215.60278025898469</v>
      </c>
      <c r="AB44" s="6">
        <f>$K$44*$V$44</f>
        <v>0</v>
      </c>
      <c r="AC44" s="6">
        <f>$M$44*$W$44</f>
        <v>1239.03388</v>
      </c>
      <c r="AD44" s="6">
        <f>$O$44*$X$44</f>
        <v>1244.8293999999999</v>
      </c>
      <c r="AE44" s="6">
        <f>$K$44*$Y$44</f>
        <v>0</v>
      </c>
      <c r="AF44" s="6">
        <f ca="1">$M$44*$Z$44</f>
        <v>2191.1462189885315</v>
      </c>
      <c r="AG44" s="6">
        <f>$O$44*$AA$44</f>
        <v>2603.1879688469812</v>
      </c>
    </row>
    <row r="45" spans="1:33" ht="11.25" customHeight="1" x14ac:dyDescent="0.25">
      <c r="A45" s="4" t="s">
        <v>21</v>
      </c>
      <c r="B45" s="4" t="s">
        <v>42</v>
      </c>
      <c r="C45" s="4" t="s">
        <v>43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35</v>
      </c>
      <c r="I45" s="5">
        <v>44682</v>
      </c>
      <c r="J45" s="6">
        <v>0</v>
      </c>
      <c r="K45" s="6">
        <v>0</v>
      </c>
      <c r="L45" s="6">
        <v>18.375</v>
      </c>
      <c r="M45" s="6">
        <v>18.375</v>
      </c>
      <c r="N45" s="6">
        <v>18.375</v>
      </c>
      <c r="O45" s="6">
        <v>18.375</v>
      </c>
      <c r="P45" s="6">
        <v>0</v>
      </c>
      <c r="Q45" s="4" t="s">
        <v>26</v>
      </c>
      <c r="R45" s="4">
        <v>0</v>
      </c>
      <c r="S45" s="6">
        <v>0</v>
      </c>
      <c r="T45" s="6">
        <v>31</v>
      </c>
      <c r="U45" s="6">
        <v>73</v>
      </c>
      <c r="V45" s="6">
        <f>IF(ISERROR(VLOOKUP($S$45,'TAR FIN'!$A$1:$O$108,15,0)),0,VLOOKUP($S$45,'TAR FIN'!$A$1:$O$108,15,0))</f>
        <v>0</v>
      </c>
      <c r="W45" s="6">
        <f>IF(ISERROR(VLOOKUP($T$45,'TAR FIN'!$A$1:$O$108,15,0)),0,VLOOKUP($T$45,'TAR FIN'!$A$1:$O$108,15,0))</f>
        <v>102.62</v>
      </c>
      <c r="X45" s="6">
        <f>IF(ISERROR(VLOOKUP($U$45,'TAR FIN'!$A$1:$O$108,15,0)),0,VLOOKUP($U$45,'TAR FIN'!$A$1:$O$108,15,0))</f>
        <v>103.1</v>
      </c>
      <c r="Y45" s="6"/>
      <c r="Z45" s="6">
        <f ca="1">('TUSD BE'!$AM$18+'TUSD BF'!$AM$18+'TUSD CVA'!$AM$18)*1</f>
        <v>181.47641369790719</v>
      </c>
      <c r="AA45" s="6">
        <f>('TE BE'!$AB$8+'TE BF'!$AB$8+'TE CVA'!$AB$8)*1</f>
        <v>215.60278025898469</v>
      </c>
      <c r="AB45" s="6">
        <f>$K$45*$V$45</f>
        <v>0</v>
      </c>
      <c r="AC45" s="6">
        <f>$M$45*$W$45</f>
        <v>1885.6425000000002</v>
      </c>
      <c r="AD45" s="6">
        <f>$O$45*$X$45</f>
        <v>1894.4624999999999</v>
      </c>
      <c r="AE45" s="6">
        <f>$K$45*$Y$45</f>
        <v>0</v>
      </c>
      <c r="AF45" s="6">
        <f ca="1">$M$45*$Z$45</f>
        <v>3334.6291016990444</v>
      </c>
      <c r="AG45" s="6">
        <f>$O$45*$AA$45</f>
        <v>3961.7010872588439</v>
      </c>
    </row>
    <row r="46" spans="1:33" ht="11.25" customHeight="1" x14ac:dyDescent="0.25">
      <c r="A46" s="4" t="s">
        <v>21</v>
      </c>
      <c r="B46" s="4" t="s">
        <v>42</v>
      </c>
      <c r="C46" s="4" t="s">
        <v>43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35</v>
      </c>
      <c r="I46" s="5">
        <v>44713</v>
      </c>
      <c r="J46" s="6">
        <v>0</v>
      </c>
      <c r="K46" s="6">
        <v>0</v>
      </c>
      <c r="L46" s="6">
        <v>15.797000000000001</v>
      </c>
      <c r="M46" s="6">
        <v>15.797000000000001</v>
      </c>
      <c r="N46" s="6">
        <v>15.797000000000001</v>
      </c>
      <c r="O46" s="6">
        <v>15.797000000000001</v>
      </c>
      <c r="P46" s="6">
        <v>0</v>
      </c>
      <c r="Q46" s="4" t="s">
        <v>26</v>
      </c>
      <c r="R46" s="4">
        <v>0</v>
      </c>
      <c r="S46" s="6">
        <v>0</v>
      </c>
      <c r="T46" s="6">
        <v>31</v>
      </c>
      <c r="U46" s="6">
        <v>73</v>
      </c>
      <c r="V46" s="6">
        <f>IF(ISERROR(VLOOKUP($S$46,'TAR FIN'!$A$1:$O$108,15,0)),0,VLOOKUP($S$46,'TAR FIN'!$A$1:$O$108,15,0))</f>
        <v>0</v>
      </c>
      <c r="W46" s="6">
        <f>IF(ISERROR(VLOOKUP($T$46,'TAR FIN'!$A$1:$O$108,15,0)),0,VLOOKUP($T$46,'TAR FIN'!$A$1:$O$108,15,0))</f>
        <v>102.62</v>
      </c>
      <c r="X46" s="6">
        <f>IF(ISERROR(VLOOKUP($U$46,'TAR FIN'!$A$1:$O$108,15,0)),0,VLOOKUP($U$46,'TAR FIN'!$A$1:$O$108,15,0))</f>
        <v>103.1</v>
      </c>
      <c r="Y46" s="6"/>
      <c r="Z46" s="6">
        <f ca="1">('TUSD BE'!$AM$18+'TUSD BF'!$AM$18+'TUSD CVA'!$AM$18)*1</f>
        <v>181.47641369790719</v>
      </c>
      <c r="AA46" s="6">
        <f>('TE BE'!$AB$8+'TE BF'!$AB$8+'TE CVA'!$AB$8)*1</f>
        <v>215.60278025898469</v>
      </c>
      <c r="AB46" s="6">
        <f>$K$46*$V$46</f>
        <v>0</v>
      </c>
      <c r="AC46" s="6">
        <f>$M$46*$W$46</f>
        <v>1621.0881400000001</v>
      </c>
      <c r="AD46" s="6">
        <f>$O$46*$X$46</f>
        <v>1628.6706999999999</v>
      </c>
      <c r="AE46" s="6">
        <f>$K$46*$Y$46</f>
        <v>0</v>
      </c>
      <c r="AF46" s="6">
        <f ca="1">$M$46*$Z$46</f>
        <v>2866.78290718584</v>
      </c>
      <c r="AG46" s="6">
        <f>$O$46*$AA$46</f>
        <v>3405.8771197511815</v>
      </c>
    </row>
    <row r="47" spans="1:33" ht="11.25" customHeight="1" x14ac:dyDescent="0.25">
      <c r="A47" s="4" t="s">
        <v>21</v>
      </c>
      <c r="B47" s="4" t="s">
        <v>42</v>
      </c>
      <c r="C47" s="4" t="s">
        <v>43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35</v>
      </c>
      <c r="I47" s="5">
        <v>44743</v>
      </c>
      <c r="J47" s="6">
        <v>0</v>
      </c>
      <c r="K47" s="6">
        <v>0</v>
      </c>
      <c r="L47" s="6">
        <v>18.327000000000002</v>
      </c>
      <c r="M47" s="6">
        <v>18.327000000000002</v>
      </c>
      <c r="N47" s="6">
        <v>18.327000000000002</v>
      </c>
      <c r="O47" s="6">
        <v>18.327000000000002</v>
      </c>
      <c r="P47" s="6">
        <v>0</v>
      </c>
      <c r="Q47" s="4" t="s">
        <v>26</v>
      </c>
      <c r="R47" s="4">
        <v>0</v>
      </c>
      <c r="S47" s="6">
        <v>0</v>
      </c>
      <c r="T47" s="6">
        <v>31</v>
      </c>
      <c r="U47" s="6">
        <v>73</v>
      </c>
      <c r="V47" s="6">
        <f>IF(ISERROR(VLOOKUP($S$47,'TAR FIN'!$A$1:$O$108,15,0)),0,VLOOKUP($S$47,'TAR FIN'!$A$1:$O$108,15,0))</f>
        <v>0</v>
      </c>
      <c r="W47" s="6">
        <f>IF(ISERROR(VLOOKUP($T$47,'TAR FIN'!$A$1:$O$108,15,0)),0,VLOOKUP($T$47,'TAR FIN'!$A$1:$O$108,15,0))</f>
        <v>102.62</v>
      </c>
      <c r="X47" s="6">
        <f>IF(ISERROR(VLOOKUP($U$47,'TAR FIN'!$A$1:$O$108,15,0)),0,VLOOKUP($U$47,'TAR FIN'!$A$1:$O$108,15,0))</f>
        <v>103.1</v>
      </c>
      <c r="Y47" s="6"/>
      <c r="Z47" s="6">
        <f ca="1">('TUSD BE'!$AM$18+'TUSD BF'!$AM$18+'TUSD CVA'!$AM$18)*1</f>
        <v>181.47641369790719</v>
      </c>
      <c r="AA47" s="6">
        <f>('TE BE'!$AB$8+'TE BF'!$AB$8+'TE CVA'!$AB$8)*1</f>
        <v>215.60278025898469</v>
      </c>
      <c r="AB47" s="6">
        <f>$K$47*$V$47</f>
        <v>0</v>
      </c>
      <c r="AC47" s="6">
        <f>$M$47*$W$47</f>
        <v>1880.7167400000003</v>
      </c>
      <c r="AD47" s="6">
        <f>$O$47*$X$47</f>
        <v>1889.5137</v>
      </c>
      <c r="AE47" s="6">
        <f>$K$47*$Y$47</f>
        <v>0</v>
      </c>
      <c r="AF47" s="6">
        <f ca="1">$M$47*$Z$47</f>
        <v>3325.9182338415453</v>
      </c>
      <c r="AG47" s="6">
        <f>$O$47*$AA$47</f>
        <v>3951.3521538064128</v>
      </c>
    </row>
    <row r="48" spans="1:33" ht="11.25" customHeight="1" x14ac:dyDescent="0.25">
      <c r="A48" s="4" t="s">
        <v>21</v>
      </c>
      <c r="B48" s="4" t="s">
        <v>42</v>
      </c>
      <c r="C48" s="4" t="s">
        <v>43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35</v>
      </c>
      <c r="I48" s="5">
        <v>44774</v>
      </c>
      <c r="J48" s="6">
        <v>0</v>
      </c>
      <c r="K48" s="6">
        <v>0</v>
      </c>
      <c r="L48" s="6">
        <v>17.324999999999999</v>
      </c>
      <c r="M48" s="6">
        <v>17.324999999999999</v>
      </c>
      <c r="N48" s="6">
        <v>17.324999999999999</v>
      </c>
      <c r="O48" s="6">
        <v>17.324999999999999</v>
      </c>
      <c r="P48" s="6">
        <v>0</v>
      </c>
      <c r="Q48" s="4" t="s">
        <v>26</v>
      </c>
      <c r="R48" s="4">
        <v>0</v>
      </c>
      <c r="S48" s="6">
        <v>0</v>
      </c>
      <c r="T48" s="6">
        <v>31</v>
      </c>
      <c r="U48" s="6">
        <v>73</v>
      </c>
      <c r="V48" s="6">
        <f>IF(ISERROR(VLOOKUP($S$48,'TAR FIN'!$A$1:$O$108,15,0)),0,VLOOKUP($S$48,'TAR FIN'!$A$1:$O$108,15,0))</f>
        <v>0</v>
      </c>
      <c r="W48" s="6">
        <f>IF(ISERROR(VLOOKUP($T$48,'TAR FIN'!$A$1:$O$108,15,0)),0,VLOOKUP($T$48,'TAR FIN'!$A$1:$O$108,15,0))</f>
        <v>102.62</v>
      </c>
      <c r="X48" s="6">
        <f>IF(ISERROR(VLOOKUP($U$48,'TAR FIN'!$A$1:$O$108,15,0)),0,VLOOKUP($U$48,'TAR FIN'!$A$1:$O$108,15,0))</f>
        <v>103.1</v>
      </c>
      <c r="Y48" s="6"/>
      <c r="Z48" s="6">
        <f ca="1">('TUSD BE'!$AM$18+'TUSD BF'!$AM$18+'TUSD CVA'!$AM$18)*1</f>
        <v>181.47641369790719</v>
      </c>
      <c r="AA48" s="6">
        <f>('TE BE'!$AB$8+'TE BF'!$AB$8+'TE CVA'!$AB$8)*1</f>
        <v>215.60278025898469</v>
      </c>
      <c r="AB48" s="6">
        <f>$K$48*$V$48</f>
        <v>0</v>
      </c>
      <c r="AC48" s="6">
        <f>$M$48*$W$48</f>
        <v>1777.8915</v>
      </c>
      <c r="AD48" s="6">
        <f>$O$48*$X$48</f>
        <v>1786.2074999999998</v>
      </c>
      <c r="AE48" s="6">
        <f>$K$48*$Y$48</f>
        <v>0</v>
      </c>
      <c r="AF48" s="6">
        <f ca="1">$M$48*$Z$48</f>
        <v>3144.0788673162419</v>
      </c>
      <c r="AG48" s="6">
        <f>$O$48*$AA$48</f>
        <v>3735.3181679869099</v>
      </c>
    </row>
    <row r="49" spans="1:33" ht="11.25" customHeight="1" x14ac:dyDescent="0.25">
      <c r="A49" s="4" t="s">
        <v>21</v>
      </c>
      <c r="B49" s="4" t="s">
        <v>42</v>
      </c>
      <c r="C49" s="4" t="s">
        <v>43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35</v>
      </c>
      <c r="I49" s="5">
        <v>44805</v>
      </c>
      <c r="J49" s="6">
        <v>0</v>
      </c>
      <c r="K49" s="6">
        <v>0</v>
      </c>
      <c r="L49" s="6">
        <v>14.699</v>
      </c>
      <c r="M49" s="6">
        <v>14.699</v>
      </c>
      <c r="N49" s="6">
        <v>14.699</v>
      </c>
      <c r="O49" s="6">
        <v>14.699</v>
      </c>
      <c r="P49" s="6">
        <v>0</v>
      </c>
      <c r="Q49" s="4" t="s">
        <v>26</v>
      </c>
      <c r="R49" s="4">
        <v>0</v>
      </c>
      <c r="S49" s="6">
        <v>0</v>
      </c>
      <c r="T49" s="6">
        <v>31</v>
      </c>
      <c r="U49" s="6">
        <v>73</v>
      </c>
      <c r="V49" s="6">
        <f>IF(ISERROR(VLOOKUP($S$49,'TAR FIN'!$A$1:$O$108,15,0)),0,VLOOKUP($S$49,'TAR FIN'!$A$1:$O$108,15,0))</f>
        <v>0</v>
      </c>
      <c r="W49" s="6">
        <f>IF(ISERROR(VLOOKUP($T$49,'TAR FIN'!$A$1:$O$108,15,0)),0,VLOOKUP($T$49,'TAR FIN'!$A$1:$O$108,15,0))</f>
        <v>102.62</v>
      </c>
      <c r="X49" s="6">
        <f>IF(ISERROR(VLOOKUP($U$49,'TAR FIN'!$A$1:$O$108,15,0)),0,VLOOKUP($U$49,'TAR FIN'!$A$1:$O$108,15,0))</f>
        <v>103.1</v>
      </c>
      <c r="Y49" s="6"/>
      <c r="Z49" s="6">
        <f ca="1">('TUSD BE'!$AM$18+'TUSD BF'!$AM$18+'TUSD CVA'!$AM$18)*1</f>
        <v>181.47641369790719</v>
      </c>
      <c r="AA49" s="6">
        <f>('TE BE'!$AB$8+'TE BF'!$AB$8+'TE CVA'!$AB$8)*1</f>
        <v>215.60278025898469</v>
      </c>
      <c r="AB49" s="6">
        <f>$K$49*$V$49</f>
        <v>0</v>
      </c>
      <c r="AC49" s="6">
        <f>$M$49*$W$49</f>
        <v>1508.41138</v>
      </c>
      <c r="AD49" s="6">
        <f>$O$49*$X$49</f>
        <v>1515.4668999999999</v>
      </c>
      <c r="AE49" s="6">
        <f>$K$49*$Y$49</f>
        <v>0</v>
      </c>
      <c r="AF49" s="6">
        <f ca="1">$M$49*$Z$49</f>
        <v>2667.521804945538</v>
      </c>
      <c r="AG49" s="6">
        <f>$O$49*$AA$49</f>
        <v>3169.1452670268159</v>
      </c>
    </row>
    <row r="50" spans="1:33" ht="11.25" customHeight="1" x14ac:dyDescent="0.25">
      <c r="A50" s="4" t="s">
        <v>21</v>
      </c>
      <c r="B50" s="4" t="s">
        <v>42</v>
      </c>
      <c r="C50" s="4" t="s">
        <v>43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44835</v>
      </c>
      <c r="J50" s="6">
        <v>0</v>
      </c>
      <c r="K50" s="6">
        <v>0</v>
      </c>
      <c r="L50" s="6">
        <v>13.042</v>
      </c>
      <c r="M50" s="6">
        <v>13.042</v>
      </c>
      <c r="N50" s="6">
        <v>13.042</v>
      </c>
      <c r="O50" s="6">
        <v>13.042</v>
      </c>
      <c r="P50" s="6">
        <v>0</v>
      </c>
      <c r="Q50" s="4" t="s">
        <v>26</v>
      </c>
      <c r="R50" s="4">
        <v>0</v>
      </c>
      <c r="S50" s="6">
        <v>0</v>
      </c>
      <c r="T50" s="6">
        <v>31</v>
      </c>
      <c r="U50" s="6">
        <v>73</v>
      </c>
      <c r="V50" s="6">
        <f>IF(ISERROR(VLOOKUP($S$50,'TAR FIN'!$A$1:$O$108,15,0)),0,VLOOKUP($S$50,'TAR FIN'!$A$1:$O$108,15,0))</f>
        <v>0</v>
      </c>
      <c r="W50" s="6">
        <f>IF(ISERROR(VLOOKUP($T$50,'TAR FIN'!$A$1:$O$108,15,0)),0,VLOOKUP($T$50,'TAR FIN'!$A$1:$O$108,15,0))</f>
        <v>102.62</v>
      </c>
      <c r="X50" s="6">
        <f>IF(ISERROR(VLOOKUP($U$50,'TAR FIN'!$A$1:$O$108,15,0)),0,VLOOKUP($U$50,'TAR FIN'!$A$1:$O$108,15,0))</f>
        <v>103.1</v>
      </c>
      <c r="Y50" s="6"/>
      <c r="Z50" s="6">
        <f ca="1">('TUSD BE'!$AM$18+'TUSD BF'!$AM$18+'TUSD CVA'!$AM$18)*1</f>
        <v>181.47641369790719</v>
      </c>
      <c r="AA50" s="6">
        <f>('TE BE'!$AB$8+'TE BF'!$AB$8+'TE CVA'!$AB$8)*1</f>
        <v>215.60278025898469</v>
      </c>
      <c r="AB50" s="6">
        <f>$K$50*$V$50</f>
        <v>0</v>
      </c>
      <c r="AC50" s="6">
        <f>$M$50*$W$50</f>
        <v>1338.37004</v>
      </c>
      <c r="AD50" s="6">
        <f>$O$50*$X$50</f>
        <v>1344.6301999999998</v>
      </c>
      <c r="AE50" s="6">
        <f>$K$50*$Y$50</f>
        <v>0</v>
      </c>
      <c r="AF50" s="6">
        <f ca="1">$M$50*$Z$50</f>
        <v>2366.8153874481054</v>
      </c>
      <c r="AG50" s="6">
        <f>$O$50*$AA$50</f>
        <v>2811.8914601376782</v>
      </c>
    </row>
    <row r="51" spans="1:33" ht="11.25" customHeight="1" x14ac:dyDescent="0.25">
      <c r="A51" s="4" t="s">
        <v>54</v>
      </c>
      <c r="B51" s="4" t="s">
        <v>42</v>
      </c>
      <c r="C51" s="4" t="s">
        <v>43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44866</v>
      </c>
      <c r="J51" s="6">
        <v>0</v>
      </c>
      <c r="K51" s="6">
        <v>0</v>
      </c>
      <c r="L51" s="6">
        <v>13.042</v>
      </c>
      <c r="M51" s="6">
        <v>13.042</v>
      </c>
      <c r="N51" s="6">
        <v>13.042</v>
      </c>
      <c r="O51" s="6">
        <v>13.042</v>
      </c>
      <c r="P51" s="6">
        <v>0</v>
      </c>
      <c r="Q51" s="4" t="s">
        <v>26</v>
      </c>
      <c r="R51" s="4">
        <v>0</v>
      </c>
      <c r="S51" s="6">
        <v>0</v>
      </c>
      <c r="T51" s="6">
        <v>31</v>
      </c>
      <c r="U51" s="6">
        <v>73</v>
      </c>
      <c r="V51" s="6">
        <f>IF(ISERROR(VLOOKUP($S$51,'TAR FIN'!$A$1:$O$108,15,0)),0,VLOOKUP($S$51,'TAR FIN'!$A$1:$O$108,15,0))</f>
        <v>0</v>
      </c>
      <c r="W51" s="6">
        <f>IF(ISERROR(VLOOKUP($T$51,'TAR FIN'!$A$1:$O$108,15,0)),0,VLOOKUP($T$51,'TAR FIN'!$A$1:$O$108,15,0))</f>
        <v>102.62</v>
      </c>
      <c r="X51" s="6">
        <f>IF(ISERROR(VLOOKUP($U$51,'TAR FIN'!$A$1:$O$108,15,0)),0,VLOOKUP($U$51,'TAR FIN'!$A$1:$O$108,15,0))</f>
        <v>103.1</v>
      </c>
      <c r="Y51" s="6"/>
      <c r="Z51" s="6">
        <f ca="1">('TUSD BE'!$AM$18+'TUSD BF'!$AM$18+'TUSD CVA'!$AM$18)*1</f>
        <v>181.47641369790719</v>
      </c>
      <c r="AA51" s="6">
        <f>('TE BE'!$AB$8+'TE BF'!$AB$8+'TE CVA'!$AB$8)*1</f>
        <v>215.60278025898469</v>
      </c>
      <c r="AB51" s="6">
        <f>$K$51*$V$51</f>
        <v>0</v>
      </c>
      <c r="AC51" s="6">
        <f>$M$51*$W$51</f>
        <v>1338.37004</v>
      </c>
      <c r="AD51" s="6">
        <f>$O$51*$X$51</f>
        <v>1344.6301999999998</v>
      </c>
      <c r="AE51" s="6">
        <f>$K$51*$Y$51</f>
        <v>0</v>
      </c>
      <c r="AF51" s="6">
        <f ca="1">$M$51*$Z$51</f>
        <v>2366.8153874481054</v>
      </c>
      <c r="AG51" s="6">
        <f>$O$51*$AA$51</f>
        <v>2811.8914601376782</v>
      </c>
    </row>
    <row r="52" spans="1:33" ht="11.25" customHeight="1" x14ac:dyDescent="0.25">
      <c r="A52" s="4" t="s">
        <v>21</v>
      </c>
      <c r="B52" s="4" t="s">
        <v>42</v>
      </c>
      <c r="C52" s="4" t="s">
        <v>43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44531</v>
      </c>
      <c r="J52" s="6">
        <v>155</v>
      </c>
      <c r="K52" s="6">
        <v>155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26</v>
      </c>
      <c r="R52" s="4">
        <v>0</v>
      </c>
      <c r="S52" s="6">
        <v>27</v>
      </c>
      <c r="T52" s="6">
        <v>0</v>
      </c>
      <c r="U52" s="6">
        <v>0</v>
      </c>
      <c r="V52" s="6">
        <f>IF(ISERROR(VLOOKUP($S$52,'TAR FIN'!$A$1:$O$108,15,0)),0,VLOOKUP($S$52,'TAR FIN'!$A$1:$O$108,15,0))</f>
        <v>21.38</v>
      </c>
      <c r="W52" s="6">
        <f>IF(ISERROR(VLOOKUP($T$52,'TAR FIN'!$A$1:$O$108,15,0)),0,VLOOKUP($T$52,'TAR FIN'!$A$1:$O$108,15,0))</f>
        <v>0</v>
      </c>
      <c r="X52" s="6">
        <f>IF(ISERROR(VLOOKUP($U$52,'TAR FIN'!$A$1:$O$108,15,0)),0,VLOOKUP($U$52,'TAR FIN'!$A$1:$O$108,15,0))</f>
        <v>0</v>
      </c>
      <c r="Y52" s="6">
        <f ca="1">('TUSD BE'!$AM$16+'TUSD BF'!$AM$16+'TUSD CVA'!$AM$16)*1</f>
        <v>21.189390814529755</v>
      </c>
      <c r="Z52" s="6"/>
      <c r="AA52" s="6"/>
      <c r="AB52" s="6">
        <f>$K$52*$V$52</f>
        <v>3313.8999999999996</v>
      </c>
      <c r="AC52" s="6">
        <f>$M$52*$W$52</f>
        <v>0</v>
      </c>
      <c r="AD52" s="6">
        <f>$O$52*$X$52</f>
        <v>0</v>
      </c>
      <c r="AE52" s="6">
        <f ca="1">$K$52*$Y$52</f>
        <v>3284.3555762521119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42</v>
      </c>
      <c r="C53" s="4" t="s">
        <v>43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44562</v>
      </c>
      <c r="J53" s="6">
        <v>155</v>
      </c>
      <c r="K53" s="6">
        <v>155</v>
      </c>
      <c r="L53" s="6">
        <v>0</v>
      </c>
      <c r="M53" s="6">
        <v>0</v>
      </c>
      <c r="N53" s="6">
        <v>0</v>
      </c>
      <c r="O53" s="6">
        <v>0</v>
      </c>
      <c r="P53" s="6">
        <v>1</v>
      </c>
      <c r="Q53" s="4" t="s">
        <v>26</v>
      </c>
      <c r="R53" s="4">
        <v>0</v>
      </c>
      <c r="S53" s="6">
        <v>27</v>
      </c>
      <c r="T53" s="6">
        <v>0</v>
      </c>
      <c r="U53" s="6">
        <v>0</v>
      </c>
      <c r="V53" s="6">
        <f>IF(ISERROR(VLOOKUP($S$53,'TAR FIN'!$A$1:$O$108,15,0)),0,VLOOKUP($S$53,'TAR FIN'!$A$1:$O$108,15,0))</f>
        <v>21.38</v>
      </c>
      <c r="W53" s="6">
        <f>IF(ISERROR(VLOOKUP($T$53,'TAR FIN'!$A$1:$O$108,15,0)),0,VLOOKUP($T$53,'TAR FIN'!$A$1:$O$108,15,0))</f>
        <v>0</v>
      </c>
      <c r="X53" s="6">
        <f>IF(ISERROR(VLOOKUP($U$53,'TAR FIN'!$A$1:$O$108,15,0)),0,VLOOKUP($U$53,'TAR FIN'!$A$1:$O$108,15,0))</f>
        <v>0</v>
      </c>
      <c r="Y53" s="6">
        <f ca="1">('TUSD BE'!$AM$16+'TUSD BF'!$AM$16+'TUSD CVA'!$AM$16)*1</f>
        <v>21.189390814529755</v>
      </c>
      <c r="Z53" s="6"/>
      <c r="AA53" s="6"/>
      <c r="AB53" s="6">
        <f>$K$53*$V$53</f>
        <v>3313.8999999999996</v>
      </c>
      <c r="AC53" s="6">
        <f>$M$53*$W$53</f>
        <v>0</v>
      </c>
      <c r="AD53" s="6">
        <f>$O$53*$X$53</f>
        <v>0</v>
      </c>
      <c r="AE53" s="6">
        <f ca="1">$K$53*$Y$53</f>
        <v>3284.3555762521119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42</v>
      </c>
      <c r="C54" s="4" t="s">
        <v>43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44593</v>
      </c>
      <c r="J54" s="6">
        <v>155</v>
      </c>
      <c r="K54" s="6">
        <v>155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26</v>
      </c>
      <c r="R54" s="4">
        <v>0</v>
      </c>
      <c r="S54" s="6">
        <v>27</v>
      </c>
      <c r="T54" s="6">
        <v>0</v>
      </c>
      <c r="U54" s="6">
        <v>0</v>
      </c>
      <c r="V54" s="6">
        <f>IF(ISERROR(VLOOKUP($S$54,'TAR FIN'!$A$1:$O$108,15,0)),0,VLOOKUP($S$54,'TAR FIN'!$A$1:$O$108,15,0))</f>
        <v>21.38</v>
      </c>
      <c r="W54" s="6">
        <f>IF(ISERROR(VLOOKUP($T$54,'TAR FIN'!$A$1:$O$108,15,0)),0,VLOOKUP($T$54,'TAR FIN'!$A$1:$O$108,15,0))</f>
        <v>0</v>
      </c>
      <c r="X54" s="6">
        <f>IF(ISERROR(VLOOKUP($U$54,'TAR FIN'!$A$1:$O$108,15,0)),0,VLOOKUP($U$54,'TAR FIN'!$A$1:$O$108,15,0))</f>
        <v>0</v>
      </c>
      <c r="Y54" s="6">
        <f ca="1">('TUSD BE'!$AM$16+'TUSD BF'!$AM$16+'TUSD CVA'!$AM$16)*1</f>
        <v>21.189390814529755</v>
      </c>
      <c r="Z54" s="6"/>
      <c r="AA54" s="6"/>
      <c r="AB54" s="6">
        <f>$K$54*$V$54</f>
        <v>3313.8999999999996</v>
      </c>
      <c r="AC54" s="6">
        <f>$M$54*$W$54</f>
        <v>0</v>
      </c>
      <c r="AD54" s="6">
        <f>$O$54*$X$54</f>
        <v>0</v>
      </c>
      <c r="AE54" s="6">
        <f ca="1">$K$54*$Y$54</f>
        <v>3284.3555762521119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42</v>
      </c>
      <c r="C55" s="4" t="s">
        <v>43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44621</v>
      </c>
      <c r="J55" s="6">
        <v>155</v>
      </c>
      <c r="K55" s="6">
        <v>155</v>
      </c>
      <c r="L55" s="6">
        <v>0</v>
      </c>
      <c r="M55" s="6">
        <v>0</v>
      </c>
      <c r="N55" s="6">
        <v>0</v>
      </c>
      <c r="O55" s="6">
        <v>0</v>
      </c>
      <c r="P55" s="6">
        <v>1</v>
      </c>
      <c r="Q55" s="4" t="s">
        <v>26</v>
      </c>
      <c r="R55" s="4">
        <v>0</v>
      </c>
      <c r="S55" s="6">
        <v>27</v>
      </c>
      <c r="T55" s="6">
        <v>0</v>
      </c>
      <c r="U55" s="6">
        <v>0</v>
      </c>
      <c r="V55" s="6">
        <f>IF(ISERROR(VLOOKUP($S$55,'TAR FIN'!$A$1:$O$108,15,0)),0,VLOOKUP($S$55,'TAR FIN'!$A$1:$O$108,15,0))</f>
        <v>21.38</v>
      </c>
      <c r="W55" s="6">
        <f>IF(ISERROR(VLOOKUP($T$55,'TAR FIN'!$A$1:$O$108,15,0)),0,VLOOKUP($T$55,'TAR FIN'!$A$1:$O$108,15,0))</f>
        <v>0</v>
      </c>
      <c r="X55" s="6">
        <f>IF(ISERROR(VLOOKUP($U$55,'TAR FIN'!$A$1:$O$108,15,0)),0,VLOOKUP($U$55,'TAR FIN'!$A$1:$O$108,15,0))</f>
        <v>0</v>
      </c>
      <c r="Y55" s="6">
        <f ca="1">('TUSD BE'!$AM$16+'TUSD BF'!$AM$16+'TUSD CVA'!$AM$16)*1</f>
        <v>21.189390814529755</v>
      </c>
      <c r="Z55" s="6"/>
      <c r="AA55" s="6"/>
      <c r="AB55" s="6">
        <f>$K$55*$V$55</f>
        <v>3313.8999999999996</v>
      </c>
      <c r="AC55" s="6">
        <f>$M$55*$W$55</f>
        <v>0</v>
      </c>
      <c r="AD55" s="6">
        <f>$O$55*$X$55</f>
        <v>0</v>
      </c>
      <c r="AE55" s="6">
        <f ca="1">$K$55*$Y$55</f>
        <v>3284.3555762521119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42</v>
      </c>
      <c r="C56" s="4" t="s">
        <v>43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44652</v>
      </c>
      <c r="J56" s="6">
        <v>155</v>
      </c>
      <c r="K56" s="6">
        <v>155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26</v>
      </c>
      <c r="R56" s="4">
        <v>0</v>
      </c>
      <c r="S56" s="6">
        <v>27</v>
      </c>
      <c r="T56" s="6">
        <v>0</v>
      </c>
      <c r="U56" s="6">
        <v>0</v>
      </c>
      <c r="V56" s="6">
        <f>IF(ISERROR(VLOOKUP($S$56,'TAR FIN'!$A$1:$O$108,15,0)),0,VLOOKUP($S$56,'TAR FIN'!$A$1:$O$108,15,0))</f>
        <v>21.38</v>
      </c>
      <c r="W56" s="6">
        <f>IF(ISERROR(VLOOKUP($T$56,'TAR FIN'!$A$1:$O$108,15,0)),0,VLOOKUP($T$56,'TAR FIN'!$A$1:$O$108,15,0))</f>
        <v>0</v>
      </c>
      <c r="X56" s="6">
        <f>IF(ISERROR(VLOOKUP($U$56,'TAR FIN'!$A$1:$O$108,15,0)),0,VLOOKUP($U$56,'TAR FIN'!$A$1:$O$108,15,0))</f>
        <v>0</v>
      </c>
      <c r="Y56" s="6">
        <f ca="1">('TUSD BE'!$AM$16+'TUSD BF'!$AM$16+'TUSD CVA'!$AM$16)*1</f>
        <v>21.189390814529755</v>
      </c>
      <c r="Z56" s="6"/>
      <c r="AA56" s="6"/>
      <c r="AB56" s="6">
        <f>$K$56*$V$56</f>
        <v>3313.8999999999996</v>
      </c>
      <c r="AC56" s="6">
        <f>$M$56*$W$56</f>
        <v>0</v>
      </c>
      <c r="AD56" s="6">
        <f>$O$56*$X$56</f>
        <v>0</v>
      </c>
      <c r="AE56" s="6">
        <f ca="1">$K$56*$Y$56</f>
        <v>3284.3555762521119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42</v>
      </c>
      <c r="C57" s="4" t="s">
        <v>43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44682</v>
      </c>
      <c r="J57" s="6">
        <v>155</v>
      </c>
      <c r="K57" s="6">
        <v>155</v>
      </c>
      <c r="L57" s="6">
        <v>0</v>
      </c>
      <c r="M57" s="6">
        <v>0</v>
      </c>
      <c r="N57" s="6">
        <v>0</v>
      </c>
      <c r="O57" s="6">
        <v>0</v>
      </c>
      <c r="P57" s="6">
        <v>1</v>
      </c>
      <c r="Q57" s="4" t="s">
        <v>26</v>
      </c>
      <c r="R57" s="4">
        <v>0</v>
      </c>
      <c r="S57" s="6">
        <v>27</v>
      </c>
      <c r="T57" s="6">
        <v>0</v>
      </c>
      <c r="U57" s="6">
        <v>0</v>
      </c>
      <c r="V57" s="6">
        <f>IF(ISERROR(VLOOKUP($S$57,'TAR FIN'!$A$1:$O$108,15,0)),0,VLOOKUP($S$57,'TAR FIN'!$A$1:$O$108,15,0))</f>
        <v>21.38</v>
      </c>
      <c r="W57" s="6">
        <f>IF(ISERROR(VLOOKUP($T$57,'TAR FIN'!$A$1:$O$108,15,0)),0,VLOOKUP($T$57,'TAR FIN'!$A$1:$O$108,15,0))</f>
        <v>0</v>
      </c>
      <c r="X57" s="6">
        <f>IF(ISERROR(VLOOKUP($U$57,'TAR FIN'!$A$1:$O$108,15,0)),0,VLOOKUP($U$57,'TAR FIN'!$A$1:$O$108,15,0))</f>
        <v>0</v>
      </c>
      <c r="Y57" s="6">
        <f ca="1">('TUSD BE'!$AM$16+'TUSD BF'!$AM$16+'TUSD CVA'!$AM$16)*1</f>
        <v>21.189390814529755</v>
      </c>
      <c r="Z57" s="6"/>
      <c r="AA57" s="6"/>
      <c r="AB57" s="6">
        <f>$K$57*$V$57</f>
        <v>3313.8999999999996</v>
      </c>
      <c r="AC57" s="6">
        <f>$M$57*$W$57</f>
        <v>0</v>
      </c>
      <c r="AD57" s="6">
        <f>$O$57*$X$57</f>
        <v>0</v>
      </c>
      <c r="AE57" s="6">
        <f ca="1">$K$57*$Y$57</f>
        <v>3284.3555762521119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42</v>
      </c>
      <c r="C58" s="4" t="s">
        <v>43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44713</v>
      </c>
      <c r="J58" s="6">
        <v>155</v>
      </c>
      <c r="K58" s="6">
        <v>155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26</v>
      </c>
      <c r="R58" s="4">
        <v>0</v>
      </c>
      <c r="S58" s="6">
        <v>27</v>
      </c>
      <c r="T58" s="6">
        <v>0</v>
      </c>
      <c r="U58" s="6">
        <v>0</v>
      </c>
      <c r="V58" s="6">
        <f>IF(ISERROR(VLOOKUP($S$58,'TAR FIN'!$A$1:$O$108,15,0)),0,VLOOKUP($S$58,'TAR FIN'!$A$1:$O$108,15,0))</f>
        <v>21.38</v>
      </c>
      <c r="W58" s="6">
        <f>IF(ISERROR(VLOOKUP($T$58,'TAR FIN'!$A$1:$O$108,15,0)),0,VLOOKUP($T$58,'TAR FIN'!$A$1:$O$108,15,0))</f>
        <v>0</v>
      </c>
      <c r="X58" s="6">
        <f>IF(ISERROR(VLOOKUP($U$58,'TAR FIN'!$A$1:$O$108,15,0)),0,VLOOKUP($U$58,'TAR FIN'!$A$1:$O$108,15,0))</f>
        <v>0</v>
      </c>
      <c r="Y58" s="6">
        <f ca="1">('TUSD BE'!$AM$16+'TUSD BF'!$AM$16+'TUSD CVA'!$AM$16)*1</f>
        <v>21.189390814529755</v>
      </c>
      <c r="Z58" s="6"/>
      <c r="AA58" s="6"/>
      <c r="AB58" s="6">
        <f>$K$58*$V$58</f>
        <v>3313.8999999999996</v>
      </c>
      <c r="AC58" s="6">
        <f>$M$58*$W$58</f>
        <v>0</v>
      </c>
      <c r="AD58" s="6">
        <f>$O$58*$X$58</f>
        <v>0</v>
      </c>
      <c r="AE58" s="6">
        <f ca="1">$K$58*$Y$58</f>
        <v>3284.3555762521119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42</v>
      </c>
      <c r="C59" s="4" t="s">
        <v>43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44743</v>
      </c>
      <c r="J59" s="6">
        <v>155</v>
      </c>
      <c r="K59" s="6">
        <v>155</v>
      </c>
      <c r="L59" s="6">
        <v>0</v>
      </c>
      <c r="M59" s="6">
        <v>0</v>
      </c>
      <c r="N59" s="6">
        <v>0</v>
      </c>
      <c r="O59" s="6">
        <v>0</v>
      </c>
      <c r="P59" s="6">
        <v>1</v>
      </c>
      <c r="Q59" s="4" t="s">
        <v>26</v>
      </c>
      <c r="R59" s="4">
        <v>0</v>
      </c>
      <c r="S59" s="6">
        <v>27</v>
      </c>
      <c r="T59" s="6">
        <v>0</v>
      </c>
      <c r="U59" s="6">
        <v>0</v>
      </c>
      <c r="V59" s="6">
        <f>IF(ISERROR(VLOOKUP($S$59,'TAR FIN'!$A$1:$O$108,15,0)),0,VLOOKUP($S$59,'TAR FIN'!$A$1:$O$108,15,0))</f>
        <v>21.38</v>
      </c>
      <c r="W59" s="6">
        <f>IF(ISERROR(VLOOKUP($T$59,'TAR FIN'!$A$1:$O$108,15,0)),0,VLOOKUP($T$59,'TAR FIN'!$A$1:$O$108,15,0))</f>
        <v>0</v>
      </c>
      <c r="X59" s="6">
        <f>IF(ISERROR(VLOOKUP($U$59,'TAR FIN'!$A$1:$O$108,15,0)),0,VLOOKUP($U$59,'TAR FIN'!$A$1:$O$108,15,0))</f>
        <v>0</v>
      </c>
      <c r="Y59" s="6">
        <f ca="1">('TUSD BE'!$AM$16+'TUSD BF'!$AM$16+'TUSD CVA'!$AM$16)*1</f>
        <v>21.189390814529755</v>
      </c>
      <c r="Z59" s="6"/>
      <c r="AA59" s="6"/>
      <c r="AB59" s="6">
        <f>$K$59*$V$59</f>
        <v>3313.8999999999996</v>
      </c>
      <c r="AC59" s="6">
        <f>$M$59*$W$59</f>
        <v>0</v>
      </c>
      <c r="AD59" s="6">
        <f>$O$59*$X$59</f>
        <v>0</v>
      </c>
      <c r="AE59" s="6">
        <f ca="1">$K$59*$Y$59</f>
        <v>3284.3555762521119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42</v>
      </c>
      <c r="C60" s="4" t="s">
        <v>43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44774</v>
      </c>
      <c r="J60" s="6">
        <v>155</v>
      </c>
      <c r="K60" s="6">
        <v>155</v>
      </c>
      <c r="L60" s="6">
        <v>0</v>
      </c>
      <c r="M60" s="6">
        <v>0</v>
      </c>
      <c r="N60" s="6">
        <v>0</v>
      </c>
      <c r="O60" s="6">
        <v>0</v>
      </c>
      <c r="P60" s="6">
        <v>1</v>
      </c>
      <c r="Q60" s="4" t="s">
        <v>26</v>
      </c>
      <c r="R60" s="4">
        <v>0</v>
      </c>
      <c r="S60" s="6">
        <v>27</v>
      </c>
      <c r="T60" s="6">
        <v>0</v>
      </c>
      <c r="U60" s="6">
        <v>0</v>
      </c>
      <c r="V60" s="6">
        <f>IF(ISERROR(VLOOKUP($S$60,'TAR FIN'!$A$1:$O$108,15,0)),0,VLOOKUP($S$60,'TAR FIN'!$A$1:$O$108,15,0))</f>
        <v>21.38</v>
      </c>
      <c r="W60" s="6">
        <f>IF(ISERROR(VLOOKUP($T$60,'TAR FIN'!$A$1:$O$108,15,0)),0,VLOOKUP($T$60,'TAR FIN'!$A$1:$O$108,15,0))</f>
        <v>0</v>
      </c>
      <c r="X60" s="6">
        <f>IF(ISERROR(VLOOKUP($U$60,'TAR FIN'!$A$1:$O$108,15,0)),0,VLOOKUP($U$60,'TAR FIN'!$A$1:$O$108,15,0))</f>
        <v>0</v>
      </c>
      <c r="Y60" s="6">
        <f ca="1">('TUSD BE'!$AM$16+'TUSD BF'!$AM$16+'TUSD CVA'!$AM$16)*1</f>
        <v>21.189390814529755</v>
      </c>
      <c r="Z60" s="6"/>
      <c r="AA60" s="6"/>
      <c r="AB60" s="6">
        <f>$K$60*$V$60</f>
        <v>3313.8999999999996</v>
      </c>
      <c r="AC60" s="6">
        <f>$M$60*$W$60</f>
        <v>0</v>
      </c>
      <c r="AD60" s="6">
        <f>$O$60*$X$60</f>
        <v>0</v>
      </c>
      <c r="AE60" s="6">
        <f ca="1">$K$60*$Y$60</f>
        <v>3284.3555762521119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21</v>
      </c>
      <c r="B61" s="4" t="s">
        <v>42</v>
      </c>
      <c r="C61" s="4" t="s">
        <v>43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44805</v>
      </c>
      <c r="J61" s="6">
        <v>155</v>
      </c>
      <c r="K61" s="6">
        <v>155</v>
      </c>
      <c r="L61" s="6">
        <v>0</v>
      </c>
      <c r="M61" s="6">
        <v>0</v>
      </c>
      <c r="N61" s="6">
        <v>0</v>
      </c>
      <c r="O61" s="6">
        <v>0</v>
      </c>
      <c r="P61" s="6">
        <v>1</v>
      </c>
      <c r="Q61" s="4" t="s">
        <v>26</v>
      </c>
      <c r="R61" s="4">
        <v>0</v>
      </c>
      <c r="S61" s="6">
        <v>27</v>
      </c>
      <c r="T61" s="6">
        <v>0</v>
      </c>
      <c r="U61" s="6">
        <v>0</v>
      </c>
      <c r="V61" s="6">
        <f>IF(ISERROR(VLOOKUP($S$61,'TAR FIN'!$A$1:$O$108,15,0)),0,VLOOKUP($S$61,'TAR FIN'!$A$1:$O$108,15,0))</f>
        <v>21.38</v>
      </c>
      <c r="W61" s="6">
        <f>IF(ISERROR(VLOOKUP($T$61,'TAR FIN'!$A$1:$O$108,15,0)),0,VLOOKUP($T$61,'TAR FIN'!$A$1:$O$108,15,0))</f>
        <v>0</v>
      </c>
      <c r="X61" s="6">
        <f>IF(ISERROR(VLOOKUP($U$61,'TAR FIN'!$A$1:$O$108,15,0)),0,VLOOKUP($U$61,'TAR FIN'!$A$1:$O$108,15,0))</f>
        <v>0</v>
      </c>
      <c r="Y61" s="6">
        <f ca="1">('TUSD BE'!$AM$16+'TUSD BF'!$AM$16+'TUSD CVA'!$AM$16)*1</f>
        <v>21.189390814529755</v>
      </c>
      <c r="Z61" s="6"/>
      <c r="AA61" s="6"/>
      <c r="AB61" s="6">
        <f>$K$61*$V$61</f>
        <v>3313.8999999999996</v>
      </c>
      <c r="AC61" s="6">
        <f>$M$61*$W$61</f>
        <v>0</v>
      </c>
      <c r="AD61" s="6">
        <f>$O$61*$X$61</f>
        <v>0</v>
      </c>
      <c r="AE61" s="6">
        <f ca="1">$K$61*$Y$61</f>
        <v>3284.3555762521119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42</v>
      </c>
      <c r="C62" s="4" t="s">
        <v>43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44835</v>
      </c>
      <c r="J62" s="6">
        <v>155</v>
      </c>
      <c r="K62" s="6">
        <v>155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26</v>
      </c>
      <c r="R62" s="4">
        <v>0</v>
      </c>
      <c r="S62" s="6">
        <v>27</v>
      </c>
      <c r="T62" s="6">
        <v>0</v>
      </c>
      <c r="U62" s="6">
        <v>0</v>
      </c>
      <c r="V62" s="6">
        <f>IF(ISERROR(VLOOKUP($S$62,'TAR FIN'!$A$1:$O$108,15,0)),0,VLOOKUP($S$62,'TAR FIN'!$A$1:$O$108,15,0))</f>
        <v>21.38</v>
      </c>
      <c r="W62" s="6">
        <f>IF(ISERROR(VLOOKUP($T$62,'TAR FIN'!$A$1:$O$108,15,0)),0,VLOOKUP($T$62,'TAR FIN'!$A$1:$O$108,15,0))</f>
        <v>0</v>
      </c>
      <c r="X62" s="6">
        <f>IF(ISERROR(VLOOKUP($U$62,'TAR FIN'!$A$1:$O$108,15,0)),0,VLOOKUP($U$62,'TAR FIN'!$A$1:$O$108,15,0))</f>
        <v>0</v>
      </c>
      <c r="Y62" s="6">
        <f ca="1">('TUSD BE'!$AM$16+'TUSD BF'!$AM$16+'TUSD CVA'!$AM$16)*1</f>
        <v>21.189390814529755</v>
      </c>
      <c r="Z62" s="6"/>
      <c r="AA62" s="6"/>
      <c r="AB62" s="6">
        <f>$K$62*$V$62</f>
        <v>3313.8999999999996</v>
      </c>
      <c r="AC62" s="6">
        <f>$M$62*$W$62</f>
        <v>0</v>
      </c>
      <c r="AD62" s="6">
        <f>$O$62*$X$62</f>
        <v>0</v>
      </c>
      <c r="AE62" s="6">
        <f ca="1">$K$62*$Y$62</f>
        <v>3284.3555762521119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54</v>
      </c>
      <c r="B63" s="4" t="s">
        <v>42</v>
      </c>
      <c r="C63" s="4" t="s">
        <v>43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44866</v>
      </c>
      <c r="J63" s="6">
        <v>155</v>
      </c>
      <c r="K63" s="6">
        <v>155</v>
      </c>
      <c r="L63" s="6">
        <v>0</v>
      </c>
      <c r="M63" s="6">
        <v>0</v>
      </c>
      <c r="N63" s="6">
        <v>0</v>
      </c>
      <c r="O63" s="6">
        <v>0</v>
      </c>
      <c r="P63" s="6">
        <v>1</v>
      </c>
      <c r="Q63" s="4" t="s">
        <v>26</v>
      </c>
      <c r="R63" s="4">
        <v>0</v>
      </c>
      <c r="S63" s="6">
        <v>27</v>
      </c>
      <c r="T63" s="6">
        <v>0</v>
      </c>
      <c r="U63" s="6">
        <v>0</v>
      </c>
      <c r="V63" s="6">
        <f>IF(ISERROR(VLOOKUP($S$63,'TAR FIN'!$A$1:$O$108,15,0)),0,VLOOKUP($S$63,'TAR FIN'!$A$1:$O$108,15,0))</f>
        <v>21.38</v>
      </c>
      <c r="W63" s="6">
        <f>IF(ISERROR(VLOOKUP($T$63,'TAR FIN'!$A$1:$O$108,15,0)),0,VLOOKUP($T$63,'TAR FIN'!$A$1:$O$108,15,0))</f>
        <v>0</v>
      </c>
      <c r="X63" s="6">
        <f>IF(ISERROR(VLOOKUP($U$63,'TAR FIN'!$A$1:$O$108,15,0)),0,VLOOKUP($U$63,'TAR FIN'!$A$1:$O$108,15,0))</f>
        <v>0</v>
      </c>
      <c r="Y63" s="6">
        <f ca="1">('TUSD BE'!$AM$16+'TUSD BF'!$AM$16+'TUSD CVA'!$AM$16)*1</f>
        <v>21.189390814529755</v>
      </c>
      <c r="Z63" s="6"/>
      <c r="AA63" s="6"/>
      <c r="AB63" s="6">
        <f>$K$63*$V$63</f>
        <v>3313.8999999999996</v>
      </c>
      <c r="AC63" s="6">
        <f>$M$63*$W$63</f>
        <v>0</v>
      </c>
      <c r="AD63" s="6">
        <f>$O$63*$X$63</f>
        <v>0</v>
      </c>
      <c r="AE63" s="6">
        <f ca="1">$K$63*$Y$63</f>
        <v>3284.3555762521119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42</v>
      </c>
      <c r="C64" s="4" t="s">
        <v>43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44531</v>
      </c>
      <c r="J64" s="6">
        <v>0</v>
      </c>
      <c r="K64" s="6">
        <v>0</v>
      </c>
      <c r="L64" s="6">
        <v>3.15</v>
      </c>
      <c r="M64" s="6">
        <v>3.15</v>
      </c>
      <c r="N64" s="6">
        <v>3.15</v>
      </c>
      <c r="O64" s="6">
        <v>3.15</v>
      </c>
      <c r="P64" s="6">
        <v>0</v>
      </c>
      <c r="Q64" s="4" t="s">
        <v>26</v>
      </c>
      <c r="R64" s="4">
        <v>0</v>
      </c>
      <c r="S64" s="6">
        <v>0</v>
      </c>
      <c r="T64" s="6">
        <v>30</v>
      </c>
      <c r="U64" s="6">
        <v>72</v>
      </c>
      <c r="V64" s="6">
        <f>IF(ISERROR(VLOOKUP($S$64,'TAR FIN'!$A$1:$O$108,15,0)),0,VLOOKUP($S$64,'TAR FIN'!$A$1:$O$108,15,0))</f>
        <v>0</v>
      </c>
      <c r="W64" s="6">
        <f>IF(ISERROR(VLOOKUP($T$64,'TAR FIN'!$A$1:$O$108,15,0)),0,VLOOKUP($T$64,'TAR FIN'!$A$1:$O$108,15,0))</f>
        <v>1454.96</v>
      </c>
      <c r="X64" s="6">
        <f>IF(ISERROR(VLOOKUP($U$64,'TAR FIN'!$A$1:$O$108,15,0)),0,VLOOKUP($U$64,'TAR FIN'!$A$1:$O$108,15,0))</f>
        <v>159.43</v>
      </c>
      <c r="Y64" s="6"/>
      <c r="Z64" s="6">
        <f ca="1">('TUSD BE'!$AM$17+'TUSD BF'!$AM$17+'TUSD CVA'!$AM$17)*1</f>
        <v>1497.8900689999518</v>
      </c>
      <c r="AA64" s="6">
        <f>('TE BE'!$AB$7+'TE BF'!$AB$7+'TE CVA'!$AB$7)*1</f>
        <v>322.12477389224171</v>
      </c>
      <c r="AB64" s="6">
        <f>$K$64*$V$64</f>
        <v>0</v>
      </c>
      <c r="AC64" s="6">
        <f>$M$64*$W$64</f>
        <v>4583.1239999999998</v>
      </c>
      <c r="AD64" s="6">
        <f>$O$64*$X$64</f>
        <v>502.2045</v>
      </c>
      <c r="AE64" s="6">
        <f>$K$64*$Y$64</f>
        <v>0</v>
      </c>
      <c r="AF64" s="6">
        <f ca="1">$M$64*$Z$64</f>
        <v>4718.353717349848</v>
      </c>
      <c r="AG64" s="6">
        <f>$O$64*$AA$64</f>
        <v>1014.6930377605613</v>
      </c>
    </row>
    <row r="65" spans="1:33" ht="11.25" customHeight="1" x14ac:dyDescent="0.25">
      <c r="A65" s="4" t="s">
        <v>21</v>
      </c>
      <c r="B65" s="4" t="s">
        <v>42</v>
      </c>
      <c r="C65" s="4" t="s">
        <v>43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44562</v>
      </c>
      <c r="J65" s="6">
        <v>0</v>
      </c>
      <c r="K65" s="6">
        <v>0</v>
      </c>
      <c r="L65" s="6">
        <v>2.625</v>
      </c>
      <c r="M65" s="6">
        <v>2.625</v>
      </c>
      <c r="N65" s="6">
        <v>2.625</v>
      </c>
      <c r="O65" s="6">
        <v>2.625</v>
      </c>
      <c r="P65" s="6">
        <v>0</v>
      </c>
      <c r="Q65" s="4" t="s">
        <v>26</v>
      </c>
      <c r="R65" s="4">
        <v>0</v>
      </c>
      <c r="S65" s="6">
        <v>0</v>
      </c>
      <c r="T65" s="6">
        <v>30</v>
      </c>
      <c r="U65" s="6">
        <v>72</v>
      </c>
      <c r="V65" s="6">
        <f>IF(ISERROR(VLOOKUP($S$65,'TAR FIN'!$A$1:$O$108,15,0)),0,VLOOKUP($S$65,'TAR FIN'!$A$1:$O$108,15,0))</f>
        <v>0</v>
      </c>
      <c r="W65" s="6">
        <f>IF(ISERROR(VLOOKUP($T$65,'TAR FIN'!$A$1:$O$108,15,0)),0,VLOOKUP($T$65,'TAR FIN'!$A$1:$O$108,15,0))</f>
        <v>1454.96</v>
      </c>
      <c r="X65" s="6">
        <f>IF(ISERROR(VLOOKUP($U$65,'TAR FIN'!$A$1:$O$108,15,0)),0,VLOOKUP($U$65,'TAR FIN'!$A$1:$O$108,15,0))</f>
        <v>159.43</v>
      </c>
      <c r="Y65" s="6"/>
      <c r="Z65" s="6">
        <f ca="1">('TUSD BE'!$AM$17+'TUSD BF'!$AM$17+'TUSD CVA'!$AM$17)*1</f>
        <v>1497.8900689999518</v>
      </c>
      <c r="AA65" s="6">
        <f>('TE BE'!$AB$7+'TE BF'!$AB$7+'TE CVA'!$AB$7)*1</f>
        <v>322.12477389224171</v>
      </c>
      <c r="AB65" s="6">
        <f>$K$65*$V$65</f>
        <v>0</v>
      </c>
      <c r="AC65" s="6">
        <f>$M$65*$W$65</f>
        <v>3819.27</v>
      </c>
      <c r="AD65" s="6">
        <f>$O$65*$X$65</f>
        <v>418.50375000000003</v>
      </c>
      <c r="AE65" s="6">
        <f>$K$65*$Y$65</f>
        <v>0</v>
      </c>
      <c r="AF65" s="6">
        <f ca="1">$M$65*$Z$65</f>
        <v>3931.9614311248733</v>
      </c>
      <c r="AG65" s="6">
        <f>$O$65*$AA$65</f>
        <v>845.57753146713446</v>
      </c>
    </row>
    <row r="66" spans="1:33" ht="11.25" customHeight="1" x14ac:dyDescent="0.25">
      <c r="A66" s="4" t="s">
        <v>21</v>
      </c>
      <c r="B66" s="4" t="s">
        <v>42</v>
      </c>
      <c r="C66" s="4" t="s">
        <v>43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44593</v>
      </c>
      <c r="J66" s="6">
        <v>0</v>
      </c>
      <c r="K66" s="6">
        <v>0</v>
      </c>
      <c r="L66" s="6">
        <v>2.6240000000000001</v>
      </c>
      <c r="M66" s="6">
        <v>2.6240000000000001</v>
      </c>
      <c r="N66" s="6">
        <v>2.6240000000000001</v>
      </c>
      <c r="O66" s="6">
        <v>2.6240000000000001</v>
      </c>
      <c r="P66" s="6">
        <v>0</v>
      </c>
      <c r="Q66" s="4" t="s">
        <v>26</v>
      </c>
      <c r="R66" s="4">
        <v>0</v>
      </c>
      <c r="S66" s="6">
        <v>0</v>
      </c>
      <c r="T66" s="6">
        <v>30</v>
      </c>
      <c r="U66" s="6">
        <v>72</v>
      </c>
      <c r="V66" s="6">
        <f>IF(ISERROR(VLOOKUP($S$66,'TAR FIN'!$A$1:$O$108,15,0)),0,VLOOKUP($S$66,'TAR FIN'!$A$1:$O$108,15,0))</f>
        <v>0</v>
      </c>
      <c r="W66" s="6">
        <f>IF(ISERROR(VLOOKUP($T$66,'TAR FIN'!$A$1:$O$108,15,0)),0,VLOOKUP($T$66,'TAR FIN'!$A$1:$O$108,15,0))</f>
        <v>1454.96</v>
      </c>
      <c r="X66" s="6">
        <f>IF(ISERROR(VLOOKUP($U$66,'TAR FIN'!$A$1:$O$108,15,0)),0,VLOOKUP($U$66,'TAR FIN'!$A$1:$O$108,15,0))</f>
        <v>159.43</v>
      </c>
      <c r="Y66" s="6"/>
      <c r="Z66" s="6">
        <f ca="1">('TUSD BE'!$AM$17+'TUSD BF'!$AM$17+'TUSD CVA'!$AM$17)*1</f>
        <v>1497.8900689999518</v>
      </c>
      <c r="AA66" s="6">
        <f>('TE BE'!$AB$7+'TE BF'!$AB$7+'TE CVA'!$AB$7)*1</f>
        <v>322.12477389224171</v>
      </c>
      <c r="AB66" s="6">
        <f>$K$66*$V$66</f>
        <v>0</v>
      </c>
      <c r="AC66" s="6">
        <f>$M$66*$W$66</f>
        <v>3817.8150400000004</v>
      </c>
      <c r="AD66" s="6">
        <f>$O$66*$X$66</f>
        <v>418.34432000000004</v>
      </c>
      <c r="AE66" s="6">
        <f>$K$66*$Y$66</f>
        <v>0</v>
      </c>
      <c r="AF66" s="6">
        <f ca="1">$M$66*$Z$66</f>
        <v>3930.463541055874</v>
      </c>
      <c r="AG66" s="6">
        <f>$O$66*$AA$66</f>
        <v>845.25540669324232</v>
      </c>
    </row>
    <row r="67" spans="1:33" ht="11.25" customHeight="1" x14ac:dyDescent="0.25">
      <c r="A67" s="4" t="s">
        <v>21</v>
      </c>
      <c r="B67" s="4" t="s">
        <v>42</v>
      </c>
      <c r="C67" s="4" t="s">
        <v>43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2.625</v>
      </c>
      <c r="M67" s="6">
        <v>2.625</v>
      </c>
      <c r="N67" s="6">
        <v>2.625</v>
      </c>
      <c r="O67" s="6">
        <v>2.625</v>
      </c>
      <c r="P67" s="6">
        <v>0</v>
      </c>
      <c r="Q67" s="4" t="s">
        <v>26</v>
      </c>
      <c r="R67" s="4">
        <v>0</v>
      </c>
      <c r="S67" s="6">
        <v>0</v>
      </c>
      <c r="T67" s="6">
        <v>30</v>
      </c>
      <c r="U67" s="6">
        <v>72</v>
      </c>
      <c r="V67" s="6">
        <f>IF(ISERROR(VLOOKUP($S$67,'TAR FIN'!$A$1:$O$108,15,0)),0,VLOOKUP($S$67,'TAR FIN'!$A$1:$O$108,15,0))</f>
        <v>0</v>
      </c>
      <c r="W67" s="6">
        <f>IF(ISERROR(VLOOKUP($T$67,'TAR FIN'!$A$1:$O$108,15,0)),0,VLOOKUP($T$67,'TAR FIN'!$A$1:$O$108,15,0))</f>
        <v>1454.96</v>
      </c>
      <c r="X67" s="6">
        <f>IF(ISERROR(VLOOKUP($U$67,'TAR FIN'!$A$1:$O$108,15,0)),0,VLOOKUP($U$67,'TAR FIN'!$A$1:$O$108,15,0))</f>
        <v>159.43</v>
      </c>
      <c r="Y67" s="6"/>
      <c r="Z67" s="6">
        <f ca="1">('TUSD BE'!$AM$17+'TUSD BF'!$AM$17+'TUSD CVA'!$AM$17)*1</f>
        <v>1497.8900689999518</v>
      </c>
      <c r="AA67" s="6">
        <f>('TE BE'!$AB$7+'TE BF'!$AB$7+'TE CVA'!$AB$7)*1</f>
        <v>322.12477389224171</v>
      </c>
      <c r="AB67" s="6">
        <f>$K$67*$V$67</f>
        <v>0</v>
      </c>
      <c r="AC67" s="6">
        <f>$M$67*$W$67</f>
        <v>3819.27</v>
      </c>
      <c r="AD67" s="6">
        <f>$O$67*$X$67</f>
        <v>418.50375000000003</v>
      </c>
      <c r="AE67" s="6">
        <f>$K$67*$Y$67</f>
        <v>0</v>
      </c>
      <c r="AF67" s="6">
        <f ca="1">$M$67*$Z$67</f>
        <v>3931.9614311248733</v>
      </c>
      <c r="AG67" s="6">
        <f>$O$67*$AA$67</f>
        <v>845.57753146713446</v>
      </c>
    </row>
    <row r="68" spans="1:33" ht="11.25" customHeight="1" x14ac:dyDescent="0.25">
      <c r="A68" s="4" t="s">
        <v>21</v>
      </c>
      <c r="B68" s="4" t="s">
        <v>42</v>
      </c>
      <c r="C68" s="4" t="s">
        <v>43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2.0990000000000002</v>
      </c>
      <c r="M68" s="6">
        <v>2.0990000000000002</v>
      </c>
      <c r="N68" s="6">
        <v>2.0990000000000002</v>
      </c>
      <c r="O68" s="6">
        <v>2.0990000000000002</v>
      </c>
      <c r="P68" s="6">
        <v>0</v>
      </c>
      <c r="Q68" s="4" t="s">
        <v>26</v>
      </c>
      <c r="R68" s="4">
        <v>0</v>
      </c>
      <c r="S68" s="6">
        <v>0</v>
      </c>
      <c r="T68" s="6">
        <v>30</v>
      </c>
      <c r="U68" s="6">
        <v>72</v>
      </c>
      <c r="V68" s="6">
        <f>IF(ISERROR(VLOOKUP($S$68,'TAR FIN'!$A$1:$O$108,15,0)),0,VLOOKUP($S$68,'TAR FIN'!$A$1:$O$108,15,0))</f>
        <v>0</v>
      </c>
      <c r="W68" s="6">
        <f>IF(ISERROR(VLOOKUP($T$68,'TAR FIN'!$A$1:$O$108,15,0)),0,VLOOKUP($T$68,'TAR FIN'!$A$1:$O$108,15,0))</f>
        <v>1454.96</v>
      </c>
      <c r="X68" s="6">
        <f>IF(ISERROR(VLOOKUP($U$68,'TAR FIN'!$A$1:$O$108,15,0)),0,VLOOKUP($U$68,'TAR FIN'!$A$1:$O$108,15,0))</f>
        <v>159.43</v>
      </c>
      <c r="Y68" s="6"/>
      <c r="Z68" s="6">
        <f ca="1">('TUSD BE'!$AM$17+'TUSD BF'!$AM$17+'TUSD CVA'!$AM$17)*1</f>
        <v>1497.8900689999518</v>
      </c>
      <c r="AA68" s="6">
        <f>('TE BE'!$AB$7+'TE BF'!$AB$7+'TE CVA'!$AB$7)*1</f>
        <v>322.12477389224171</v>
      </c>
      <c r="AB68" s="6">
        <f>$K$68*$V$68</f>
        <v>0</v>
      </c>
      <c r="AC68" s="6">
        <f>$M$68*$W$68</f>
        <v>3053.9610400000001</v>
      </c>
      <c r="AD68" s="6">
        <f>$O$68*$X$68</f>
        <v>334.64357000000007</v>
      </c>
      <c r="AE68" s="6">
        <f>$K$68*$Y$68</f>
        <v>0</v>
      </c>
      <c r="AF68" s="6">
        <f ca="1">$M$68*$Z$68</f>
        <v>3144.0712548308993</v>
      </c>
      <c r="AG68" s="6">
        <f>$O$68*$AA$68</f>
        <v>676.13990039981536</v>
      </c>
    </row>
    <row r="69" spans="1:33" ht="11.25" customHeight="1" x14ac:dyDescent="0.25">
      <c r="A69" s="4" t="s">
        <v>21</v>
      </c>
      <c r="B69" s="4" t="s">
        <v>42</v>
      </c>
      <c r="C69" s="4" t="s">
        <v>43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44682</v>
      </c>
      <c r="J69" s="6">
        <v>0</v>
      </c>
      <c r="K69" s="6">
        <v>0</v>
      </c>
      <c r="L69" s="6">
        <v>2.625</v>
      </c>
      <c r="M69" s="6">
        <v>2.625</v>
      </c>
      <c r="N69" s="6">
        <v>2.625</v>
      </c>
      <c r="O69" s="6">
        <v>2.625</v>
      </c>
      <c r="P69" s="6">
        <v>0</v>
      </c>
      <c r="Q69" s="4" t="s">
        <v>26</v>
      </c>
      <c r="R69" s="4">
        <v>0</v>
      </c>
      <c r="S69" s="6">
        <v>0</v>
      </c>
      <c r="T69" s="6">
        <v>30</v>
      </c>
      <c r="U69" s="6">
        <v>72</v>
      </c>
      <c r="V69" s="6">
        <f>IF(ISERROR(VLOOKUP($S$69,'TAR FIN'!$A$1:$O$108,15,0)),0,VLOOKUP($S$69,'TAR FIN'!$A$1:$O$108,15,0))</f>
        <v>0</v>
      </c>
      <c r="W69" s="6">
        <f>IF(ISERROR(VLOOKUP($T$69,'TAR FIN'!$A$1:$O$108,15,0)),0,VLOOKUP($T$69,'TAR FIN'!$A$1:$O$108,15,0))</f>
        <v>1454.96</v>
      </c>
      <c r="X69" s="6">
        <f>IF(ISERROR(VLOOKUP($U$69,'TAR FIN'!$A$1:$O$108,15,0)),0,VLOOKUP($U$69,'TAR FIN'!$A$1:$O$108,15,0))</f>
        <v>159.43</v>
      </c>
      <c r="Y69" s="6"/>
      <c r="Z69" s="6">
        <f ca="1">('TUSD BE'!$AM$17+'TUSD BF'!$AM$17+'TUSD CVA'!$AM$17)*1</f>
        <v>1497.8900689999518</v>
      </c>
      <c r="AA69" s="6">
        <f>('TE BE'!$AB$7+'TE BF'!$AB$7+'TE CVA'!$AB$7)*1</f>
        <v>322.12477389224171</v>
      </c>
      <c r="AB69" s="6">
        <f>$K$69*$V$69</f>
        <v>0</v>
      </c>
      <c r="AC69" s="6">
        <f>$M$69*$W$69</f>
        <v>3819.27</v>
      </c>
      <c r="AD69" s="6">
        <f>$O$69*$X$69</f>
        <v>418.50375000000003</v>
      </c>
      <c r="AE69" s="6">
        <f>$K$69*$Y$69</f>
        <v>0</v>
      </c>
      <c r="AF69" s="6">
        <f ca="1">$M$69*$Z$69</f>
        <v>3931.9614311248733</v>
      </c>
      <c r="AG69" s="6">
        <f>$O$69*$AA$69</f>
        <v>845.57753146713446</v>
      </c>
    </row>
    <row r="70" spans="1:33" ht="11.25" customHeight="1" x14ac:dyDescent="0.25">
      <c r="A70" s="4" t="s">
        <v>21</v>
      </c>
      <c r="B70" s="4" t="s">
        <v>42</v>
      </c>
      <c r="C70" s="4" t="s">
        <v>43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44713</v>
      </c>
      <c r="J70" s="6">
        <v>0</v>
      </c>
      <c r="K70" s="6">
        <v>0</v>
      </c>
      <c r="L70" s="6">
        <v>3.15</v>
      </c>
      <c r="M70" s="6">
        <v>3.15</v>
      </c>
      <c r="N70" s="6">
        <v>3.15</v>
      </c>
      <c r="O70" s="6">
        <v>3.15</v>
      </c>
      <c r="P70" s="6">
        <v>0</v>
      </c>
      <c r="Q70" s="4" t="s">
        <v>26</v>
      </c>
      <c r="R70" s="4">
        <v>0</v>
      </c>
      <c r="S70" s="6">
        <v>0</v>
      </c>
      <c r="T70" s="6">
        <v>30</v>
      </c>
      <c r="U70" s="6">
        <v>72</v>
      </c>
      <c r="V70" s="6">
        <f>IF(ISERROR(VLOOKUP($S$70,'TAR FIN'!$A$1:$O$108,15,0)),0,VLOOKUP($S$70,'TAR FIN'!$A$1:$O$108,15,0))</f>
        <v>0</v>
      </c>
      <c r="W70" s="6">
        <f>IF(ISERROR(VLOOKUP($T$70,'TAR FIN'!$A$1:$O$108,15,0)),0,VLOOKUP($T$70,'TAR FIN'!$A$1:$O$108,15,0))</f>
        <v>1454.96</v>
      </c>
      <c r="X70" s="6">
        <f>IF(ISERROR(VLOOKUP($U$70,'TAR FIN'!$A$1:$O$108,15,0)),0,VLOOKUP($U$70,'TAR FIN'!$A$1:$O$108,15,0))</f>
        <v>159.43</v>
      </c>
      <c r="Y70" s="6"/>
      <c r="Z70" s="6">
        <f ca="1">('TUSD BE'!$AM$17+'TUSD BF'!$AM$17+'TUSD CVA'!$AM$17)*1</f>
        <v>1497.8900689999518</v>
      </c>
      <c r="AA70" s="6">
        <f>('TE BE'!$AB$7+'TE BF'!$AB$7+'TE CVA'!$AB$7)*1</f>
        <v>322.12477389224171</v>
      </c>
      <c r="AB70" s="6">
        <f>$K$70*$V$70</f>
        <v>0</v>
      </c>
      <c r="AC70" s="6">
        <f>$M$70*$W$70</f>
        <v>4583.1239999999998</v>
      </c>
      <c r="AD70" s="6">
        <f>$O$70*$X$70</f>
        <v>502.2045</v>
      </c>
      <c r="AE70" s="6">
        <f>$K$70*$Y$70</f>
        <v>0</v>
      </c>
      <c r="AF70" s="6">
        <f ca="1">$M$70*$Z$70</f>
        <v>4718.353717349848</v>
      </c>
      <c r="AG70" s="6">
        <f>$O$70*$AA$70</f>
        <v>1014.6930377605613</v>
      </c>
    </row>
    <row r="71" spans="1:33" ht="11.25" customHeight="1" x14ac:dyDescent="0.25">
      <c r="A71" s="4" t="s">
        <v>21</v>
      </c>
      <c r="B71" s="4" t="s">
        <v>42</v>
      </c>
      <c r="C71" s="4" t="s">
        <v>43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44743</v>
      </c>
      <c r="J71" s="6">
        <v>0</v>
      </c>
      <c r="K71" s="6">
        <v>0</v>
      </c>
      <c r="L71" s="6">
        <v>2.625</v>
      </c>
      <c r="M71" s="6">
        <v>2.625</v>
      </c>
      <c r="N71" s="6">
        <v>2.625</v>
      </c>
      <c r="O71" s="6">
        <v>2.625</v>
      </c>
      <c r="P71" s="6">
        <v>0</v>
      </c>
      <c r="Q71" s="4" t="s">
        <v>26</v>
      </c>
      <c r="R71" s="4">
        <v>0</v>
      </c>
      <c r="S71" s="6">
        <v>0</v>
      </c>
      <c r="T71" s="6">
        <v>30</v>
      </c>
      <c r="U71" s="6">
        <v>72</v>
      </c>
      <c r="V71" s="6">
        <f>IF(ISERROR(VLOOKUP($S$71,'TAR FIN'!$A$1:$O$108,15,0)),0,VLOOKUP($S$71,'TAR FIN'!$A$1:$O$108,15,0))</f>
        <v>0</v>
      </c>
      <c r="W71" s="6">
        <f>IF(ISERROR(VLOOKUP($T$71,'TAR FIN'!$A$1:$O$108,15,0)),0,VLOOKUP($T$71,'TAR FIN'!$A$1:$O$108,15,0))</f>
        <v>1454.96</v>
      </c>
      <c r="X71" s="6">
        <f>IF(ISERROR(VLOOKUP($U$71,'TAR FIN'!$A$1:$O$108,15,0)),0,VLOOKUP($U$71,'TAR FIN'!$A$1:$O$108,15,0))</f>
        <v>159.43</v>
      </c>
      <c r="Y71" s="6"/>
      <c r="Z71" s="6">
        <f ca="1">('TUSD BE'!$AM$17+'TUSD BF'!$AM$17+'TUSD CVA'!$AM$17)*1</f>
        <v>1497.8900689999518</v>
      </c>
      <c r="AA71" s="6">
        <f>('TE BE'!$AB$7+'TE BF'!$AB$7+'TE CVA'!$AB$7)*1</f>
        <v>322.12477389224171</v>
      </c>
      <c r="AB71" s="6">
        <f>$K$71*$V$71</f>
        <v>0</v>
      </c>
      <c r="AC71" s="6">
        <f>$M$71*$W$71</f>
        <v>3819.27</v>
      </c>
      <c r="AD71" s="6">
        <f>$O$71*$X$71</f>
        <v>418.50375000000003</v>
      </c>
      <c r="AE71" s="6">
        <f>$K$71*$Y$71</f>
        <v>0</v>
      </c>
      <c r="AF71" s="6">
        <f ca="1">$M$71*$Z$71</f>
        <v>3931.9614311248733</v>
      </c>
      <c r="AG71" s="6">
        <f>$O$71*$AA$71</f>
        <v>845.57753146713446</v>
      </c>
    </row>
    <row r="72" spans="1:33" ht="11.25" customHeight="1" x14ac:dyDescent="0.25">
      <c r="A72" s="4" t="s">
        <v>21</v>
      </c>
      <c r="B72" s="4" t="s">
        <v>42</v>
      </c>
      <c r="C72" s="4" t="s">
        <v>43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44774</v>
      </c>
      <c r="J72" s="6">
        <v>0</v>
      </c>
      <c r="K72" s="6">
        <v>0</v>
      </c>
      <c r="L72" s="6">
        <v>2.625</v>
      </c>
      <c r="M72" s="6">
        <v>2.625</v>
      </c>
      <c r="N72" s="6">
        <v>2.625</v>
      </c>
      <c r="O72" s="6">
        <v>2.625</v>
      </c>
      <c r="P72" s="6">
        <v>0</v>
      </c>
      <c r="Q72" s="4" t="s">
        <v>26</v>
      </c>
      <c r="R72" s="4">
        <v>0</v>
      </c>
      <c r="S72" s="6">
        <v>0</v>
      </c>
      <c r="T72" s="6">
        <v>30</v>
      </c>
      <c r="U72" s="6">
        <v>72</v>
      </c>
      <c r="V72" s="6">
        <f>IF(ISERROR(VLOOKUP($S$72,'TAR FIN'!$A$1:$O$108,15,0)),0,VLOOKUP($S$72,'TAR FIN'!$A$1:$O$108,15,0))</f>
        <v>0</v>
      </c>
      <c r="W72" s="6">
        <f>IF(ISERROR(VLOOKUP($T$72,'TAR FIN'!$A$1:$O$108,15,0)),0,VLOOKUP($T$72,'TAR FIN'!$A$1:$O$108,15,0))</f>
        <v>1454.96</v>
      </c>
      <c r="X72" s="6">
        <f>IF(ISERROR(VLOOKUP($U$72,'TAR FIN'!$A$1:$O$108,15,0)),0,VLOOKUP($U$72,'TAR FIN'!$A$1:$O$108,15,0))</f>
        <v>159.43</v>
      </c>
      <c r="Y72" s="6"/>
      <c r="Z72" s="6">
        <f ca="1">('TUSD BE'!$AM$17+'TUSD BF'!$AM$17+'TUSD CVA'!$AM$17)*1</f>
        <v>1497.8900689999518</v>
      </c>
      <c r="AA72" s="6">
        <f>('TE BE'!$AB$7+'TE BF'!$AB$7+'TE CVA'!$AB$7)*1</f>
        <v>322.12477389224171</v>
      </c>
      <c r="AB72" s="6">
        <f>$K$72*$V$72</f>
        <v>0</v>
      </c>
      <c r="AC72" s="6">
        <f>$M$72*$W$72</f>
        <v>3819.27</v>
      </c>
      <c r="AD72" s="6">
        <f>$O$72*$X$72</f>
        <v>418.50375000000003</v>
      </c>
      <c r="AE72" s="6">
        <f>$K$72*$Y$72</f>
        <v>0</v>
      </c>
      <c r="AF72" s="6">
        <f ca="1">$M$72*$Z$72</f>
        <v>3931.9614311248733</v>
      </c>
      <c r="AG72" s="6">
        <f>$O$72*$AA$72</f>
        <v>845.57753146713446</v>
      </c>
    </row>
    <row r="73" spans="1:33" ht="11.25" customHeight="1" x14ac:dyDescent="0.25">
      <c r="A73" s="4" t="s">
        <v>21</v>
      </c>
      <c r="B73" s="4" t="s">
        <v>42</v>
      </c>
      <c r="C73" s="4" t="s">
        <v>43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44805</v>
      </c>
      <c r="J73" s="6">
        <v>0</v>
      </c>
      <c r="K73" s="6">
        <v>0</v>
      </c>
      <c r="L73" s="6">
        <v>2.0990000000000002</v>
      </c>
      <c r="M73" s="6">
        <v>2.0990000000000002</v>
      </c>
      <c r="N73" s="6">
        <v>2.0990000000000002</v>
      </c>
      <c r="O73" s="6">
        <v>2.0990000000000002</v>
      </c>
      <c r="P73" s="6">
        <v>0</v>
      </c>
      <c r="Q73" s="4" t="s">
        <v>26</v>
      </c>
      <c r="R73" s="4">
        <v>0</v>
      </c>
      <c r="S73" s="6">
        <v>0</v>
      </c>
      <c r="T73" s="6">
        <v>30</v>
      </c>
      <c r="U73" s="6">
        <v>72</v>
      </c>
      <c r="V73" s="6">
        <f>IF(ISERROR(VLOOKUP($S$73,'TAR FIN'!$A$1:$O$108,15,0)),0,VLOOKUP($S$73,'TAR FIN'!$A$1:$O$108,15,0))</f>
        <v>0</v>
      </c>
      <c r="W73" s="6">
        <f>IF(ISERROR(VLOOKUP($T$73,'TAR FIN'!$A$1:$O$108,15,0)),0,VLOOKUP($T$73,'TAR FIN'!$A$1:$O$108,15,0))</f>
        <v>1454.96</v>
      </c>
      <c r="X73" s="6">
        <f>IF(ISERROR(VLOOKUP($U$73,'TAR FIN'!$A$1:$O$108,15,0)),0,VLOOKUP($U$73,'TAR FIN'!$A$1:$O$108,15,0))</f>
        <v>159.43</v>
      </c>
      <c r="Y73" s="6"/>
      <c r="Z73" s="6">
        <f ca="1">('TUSD BE'!$AM$17+'TUSD BF'!$AM$17+'TUSD CVA'!$AM$17)*1</f>
        <v>1497.8900689999518</v>
      </c>
      <c r="AA73" s="6">
        <f>('TE BE'!$AB$7+'TE BF'!$AB$7+'TE CVA'!$AB$7)*1</f>
        <v>322.12477389224171</v>
      </c>
      <c r="AB73" s="6">
        <f>$K$73*$V$73</f>
        <v>0</v>
      </c>
      <c r="AC73" s="6">
        <f>$M$73*$W$73</f>
        <v>3053.9610400000001</v>
      </c>
      <c r="AD73" s="6">
        <f>$O$73*$X$73</f>
        <v>334.64357000000007</v>
      </c>
      <c r="AE73" s="6">
        <f>$K$73*$Y$73</f>
        <v>0</v>
      </c>
      <c r="AF73" s="6">
        <f ca="1">$M$73*$Z$73</f>
        <v>3144.0712548308993</v>
      </c>
      <c r="AG73" s="6">
        <f>$O$73*$AA$73</f>
        <v>676.13990039981536</v>
      </c>
    </row>
    <row r="74" spans="1:33" ht="11.25" customHeight="1" x14ac:dyDescent="0.25">
      <c r="A74" s="4" t="s">
        <v>21</v>
      </c>
      <c r="B74" s="4" t="s">
        <v>42</v>
      </c>
      <c r="C74" s="4" t="s">
        <v>43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44835</v>
      </c>
      <c r="J74" s="6">
        <v>0</v>
      </c>
      <c r="K74" s="6">
        <v>0</v>
      </c>
      <c r="L74" s="6">
        <v>2.3090000000000002</v>
      </c>
      <c r="M74" s="6">
        <v>2.3090000000000002</v>
      </c>
      <c r="N74" s="6">
        <v>2.3090000000000002</v>
      </c>
      <c r="O74" s="6">
        <v>2.3090000000000002</v>
      </c>
      <c r="P74" s="6">
        <v>0</v>
      </c>
      <c r="Q74" s="4" t="s">
        <v>26</v>
      </c>
      <c r="R74" s="4">
        <v>0</v>
      </c>
      <c r="S74" s="6">
        <v>0</v>
      </c>
      <c r="T74" s="6">
        <v>30</v>
      </c>
      <c r="U74" s="6">
        <v>72</v>
      </c>
      <c r="V74" s="6">
        <f>IF(ISERROR(VLOOKUP($S$74,'TAR FIN'!$A$1:$O$108,15,0)),0,VLOOKUP($S$74,'TAR FIN'!$A$1:$O$108,15,0))</f>
        <v>0</v>
      </c>
      <c r="W74" s="6">
        <f>IF(ISERROR(VLOOKUP($T$74,'TAR FIN'!$A$1:$O$108,15,0)),0,VLOOKUP($T$74,'TAR FIN'!$A$1:$O$108,15,0))</f>
        <v>1454.96</v>
      </c>
      <c r="X74" s="6">
        <f>IF(ISERROR(VLOOKUP($U$74,'TAR FIN'!$A$1:$O$108,15,0)),0,VLOOKUP($U$74,'TAR FIN'!$A$1:$O$108,15,0))</f>
        <v>159.43</v>
      </c>
      <c r="Y74" s="6"/>
      <c r="Z74" s="6">
        <f ca="1">('TUSD BE'!$AM$17+'TUSD BF'!$AM$17+'TUSD CVA'!$AM$17)*1</f>
        <v>1497.8900689999518</v>
      </c>
      <c r="AA74" s="6">
        <f>('TE BE'!$AB$7+'TE BF'!$AB$7+'TE CVA'!$AB$7)*1</f>
        <v>322.12477389224171</v>
      </c>
      <c r="AB74" s="6">
        <f>$K$74*$V$74</f>
        <v>0</v>
      </c>
      <c r="AC74" s="6">
        <f>$M$74*$W$74</f>
        <v>3359.5026400000002</v>
      </c>
      <c r="AD74" s="6">
        <f>$O$74*$X$74</f>
        <v>368.12387000000007</v>
      </c>
      <c r="AE74" s="6">
        <f>$K$74*$Y$74</f>
        <v>0</v>
      </c>
      <c r="AF74" s="6">
        <f ca="1">$M$74*$Z$74</f>
        <v>3458.6281693208889</v>
      </c>
      <c r="AG74" s="6">
        <f>$O$74*$AA$74</f>
        <v>743.7861029171861</v>
      </c>
    </row>
    <row r="75" spans="1:33" ht="11.25" customHeight="1" x14ac:dyDescent="0.25">
      <c r="A75" s="4" t="s">
        <v>54</v>
      </c>
      <c r="B75" s="4" t="s">
        <v>42</v>
      </c>
      <c r="C75" s="4" t="s">
        <v>43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44866</v>
      </c>
      <c r="J75" s="6">
        <v>0</v>
      </c>
      <c r="K75" s="6">
        <v>0</v>
      </c>
      <c r="L75" s="6">
        <v>2.3090000000000002</v>
      </c>
      <c r="M75" s="6">
        <v>2.3090000000000002</v>
      </c>
      <c r="N75" s="6">
        <v>2.3090000000000002</v>
      </c>
      <c r="O75" s="6">
        <v>2.3090000000000002</v>
      </c>
      <c r="P75" s="6">
        <v>0</v>
      </c>
      <c r="Q75" s="4" t="s">
        <v>26</v>
      </c>
      <c r="R75" s="4">
        <v>0</v>
      </c>
      <c r="S75" s="6">
        <v>0</v>
      </c>
      <c r="T75" s="6">
        <v>30</v>
      </c>
      <c r="U75" s="6">
        <v>72</v>
      </c>
      <c r="V75" s="6">
        <f>IF(ISERROR(VLOOKUP($S$75,'TAR FIN'!$A$1:$O$108,15,0)),0,VLOOKUP($S$75,'TAR FIN'!$A$1:$O$108,15,0))</f>
        <v>0</v>
      </c>
      <c r="W75" s="6">
        <f>IF(ISERROR(VLOOKUP($T$75,'TAR FIN'!$A$1:$O$108,15,0)),0,VLOOKUP($T$75,'TAR FIN'!$A$1:$O$108,15,0))</f>
        <v>1454.96</v>
      </c>
      <c r="X75" s="6">
        <f>IF(ISERROR(VLOOKUP($U$75,'TAR FIN'!$A$1:$O$108,15,0)),0,VLOOKUP($U$75,'TAR FIN'!$A$1:$O$108,15,0))</f>
        <v>159.43</v>
      </c>
      <c r="Y75" s="6"/>
      <c r="Z75" s="6">
        <f ca="1">('TUSD BE'!$AM$17+'TUSD BF'!$AM$17+'TUSD CVA'!$AM$17)*1</f>
        <v>1497.8900689999518</v>
      </c>
      <c r="AA75" s="6">
        <f>('TE BE'!$AB$7+'TE BF'!$AB$7+'TE CVA'!$AB$7)*1</f>
        <v>322.12477389224171</v>
      </c>
      <c r="AB75" s="6">
        <f>$K$75*$V$75</f>
        <v>0</v>
      </c>
      <c r="AC75" s="6">
        <f>$M$75*$W$75</f>
        <v>3359.5026400000002</v>
      </c>
      <c r="AD75" s="6">
        <f>$O$75*$X$75</f>
        <v>368.12387000000007</v>
      </c>
      <c r="AE75" s="6">
        <f>$K$75*$Y$75</f>
        <v>0</v>
      </c>
      <c r="AF75" s="6">
        <f ca="1">$M$75*$Z$75</f>
        <v>3458.6281693208889</v>
      </c>
      <c r="AG75" s="6">
        <f>$O$75*$AA$75</f>
        <v>743.7861029171861</v>
      </c>
    </row>
    <row r="76" spans="1:33" ht="11.25" customHeight="1" x14ac:dyDescent="0.25">
      <c r="A76" s="4" t="s">
        <v>21</v>
      </c>
      <c r="B76" s="4" t="s">
        <v>41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44531</v>
      </c>
      <c r="J76" s="6">
        <v>6858</v>
      </c>
      <c r="K76" s="6">
        <v>6858</v>
      </c>
      <c r="L76" s="6">
        <v>1881.0440000000001</v>
      </c>
      <c r="M76" s="6">
        <v>1881.0440000000001</v>
      </c>
      <c r="N76" s="6">
        <v>1881.0440000000001</v>
      </c>
      <c r="O76" s="6">
        <v>1881.0440000000001</v>
      </c>
      <c r="P76" s="6">
        <v>0</v>
      </c>
      <c r="Q76" s="4" t="s">
        <v>26</v>
      </c>
      <c r="R76" s="4">
        <v>0</v>
      </c>
      <c r="S76" s="6">
        <v>43</v>
      </c>
      <c r="T76" s="6">
        <v>46</v>
      </c>
      <c r="U76" s="6">
        <v>76</v>
      </c>
      <c r="V76" s="6">
        <f>IF(ISERROR(VLOOKUP($S$76,'TAR FIN'!$A$1:$O$108,15,0)),0,VLOOKUP($S$76,'TAR FIN'!$A$1:$O$108,15,0))</f>
        <v>21.38</v>
      </c>
      <c r="W76" s="6">
        <f>IF(ISERROR(VLOOKUP($T$76,'TAR FIN'!$A$1:$O$108,15,0)),0,VLOOKUP($T$76,'TAR FIN'!$A$1:$O$108,15,0))</f>
        <v>102.62</v>
      </c>
      <c r="X76" s="6">
        <f>IF(ISERROR(VLOOKUP($U$76,'TAR FIN'!$A$1:$O$108,15,0)),0,VLOOKUP($U$76,'TAR FIN'!$A$1:$O$108,15,0))</f>
        <v>103.1</v>
      </c>
      <c r="Y76" s="6">
        <f ca="1">('TUSD BE'!$AM$22+'TUSD BF'!$AM$22+'TUSD CVA'!$AM$22)*1</f>
        <v>21.189390814529755</v>
      </c>
      <c r="Z76" s="6">
        <f ca="1">('TUSD BE'!$AM$23+'TUSD BF'!$AM$23+'TUSD CVA'!$AM$23)*1</f>
        <v>181.47641369790719</v>
      </c>
      <c r="AA76" s="6">
        <f>('TE BE'!$AB$11+'TE BF'!$AB$11+'TE CVA'!$AB$11)*1</f>
        <v>215.60278025898469</v>
      </c>
      <c r="AB76" s="6">
        <f>$K$76*$V$76</f>
        <v>146624.03999999998</v>
      </c>
      <c r="AC76" s="6">
        <f>$M$76*$W$76</f>
        <v>193032.73528000002</v>
      </c>
      <c r="AD76" s="6">
        <f>$O$76*$X$76</f>
        <v>193935.63639999999</v>
      </c>
      <c r="AE76" s="6">
        <f ca="1">$K$76*$Y$76</f>
        <v>145316.84220604505</v>
      </c>
      <c r="AF76" s="6">
        <f ca="1">$M$76*$Z$76</f>
        <v>341365.11912796617</v>
      </c>
      <c r="AG76" s="6">
        <f>$O$76*$AA$76</f>
        <v>405558.31618948164</v>
      </c>
    </row>
    <row r="77" spans="1:33" ht="11.25" customHeight="1" x14ac:dyDescent="0.25">
      <c r="A77" s="4" t="s">
        <v>21</v>
      </c>
      <c r="B77" s="4" t="s">
        <v>41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44562</v>
      </c>
      <c r="J77" s="6">
        <v>6832</v>
      </c>
      <c r="K77" s="6">
        <v>6832</v>
      </c>
      <c r="L77" s="6">
        <v>1716.9649999999999</v>
      </c>
      <c r="M77" s="6">
        <v>1716.9649999999999</v>
      </c>
      <c r="N77" s="6">
        <v>1716.9649999999999</v>
      </c>
      <c r="O77" s="6">
        <v>1716.9649999999999</v>
      </c>
      <c r="P77" s="6">
        <v>0</v>
      </c>
      <c r="Q77" s="4" t="s">
        <v>26</v>
      </c>
      <c r="R77" s="4">
        <v>0</v>
      </c>
      <c r="S77" s="6">
        <v>43</v>
      </c>
      <c r="T77" s="6">
        <v>46</v>
      </c>
      <c r="U77" s="6">
        <v>76</v>
      </c>
      <c r="V77" s="6">
        <f>IF(ISERROR(VLOOKUP($S$77,'TAR FIN'!$A$1:$O$108,15,0)),0,VLOOKUP($S$77,'TAR FIN'!$A$1:$O$108,15,0))</f>
        <v>21.38</v>
      </c>
      <c r="W77" s="6">
        <f>IF(ISERROR(VLOOKUP($T$77,'TAR FIN'!$A$1:$O$108,15,0)),0,VLOOKUP($T$77,'TAR FIN'!$A$1:$O$108,15,0))</f>
        <v>102.62</v>
      </c>
      <c r="X77" s="6">
        <f>IF(ISERROR(VLOOKUP($U$77,'TAR FIN'!$A$1:$O$108,15,0)),0,VLOOKUP($U$77,'TAR FIN'!$A$1:$O$108,15,0))</f>
        <v>103.1</v>
      </c>
      <c r="Y77" s="6">
        <f ca="1">('TUSD BE'!$AM$22+'TUSD BF'!$AM$22+'TUSD CVA'!$AM$22)*1</f>
        <v>21.189390814529755</v>
      </c>
      <c r="Z77" s="6">
        <f ca="1">('TUSD BE'!$AM$23+'TUSD BF'!$AM$23+'TUSD CVA'!$AM$23)*1</f>
        <v>181.47641369790719</v>
      </c>
      <c r="AA77" s="6">
        <f>('TE BE'!$AB$11+'TE BF'!$AB$11+'TE CVA'!$AB$11)*1</f>
        <v>215.60278025898469</v>
      </c>
      <c r="AB77" s="6">
        <f>$K$77*$V$77</f>
        <v>146068.16</v>
      </c>
      <c r="AC77" s="6">
        <f>$M$77*$W$77</f>
        <v>176194.94829999999</v>
      </c>
      <c r="AD77" s="6">
        <f>$O$77*$X$77</f>
        <v>177019.09149999998</v>
      </c>
      <c r="AE77" s="6">
        <f ca="1">$K$77*$Y$77</f>
        <v>144765.91804486729</v>
      </c>
      <c r="AF77" s="6">
        <f ca="1">$M$77*$Z$77</f>
        <v>311588.65064482723</v>
      </c>
      <c r="AG77" s="6">
        <f>$O$77*$AA$77</f>
        <v>370182.42760736763</v>
      </c>
    </row>
    <row r="78" spans="1:33" ht="11.25" customHeight="1" x14ac:dyDescent="0.25">
      <c r="A78" s="4" t="s">
        <v>21</v>
      </c>
      <c r="B78" s="4" t="s">
        <v>41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44593</v>
      </c>
      <c r="J78" s="6">
        <v>6854</v>
      </c>
      <c r="K78" s="6">
        <v>6854</v>
      </c>
      <c r="L78" s="6">
        <v>1622.1579999999999</v>
      </c>
      <c r="M78" s="6">
        <v>1622.1579999999999</v>
      </c>
      <c r="N78" s="6">
        <v>1622.1579999999999</v>
      </c>
      <c r="O78" s="6">
        <v>1622.1579999999999</v>
      </c>
      <c r="P78" s="6">
        <v>0</v>
      </c>
      <c r="Q78" s="4" t="s">
        <v>26</v>
      </c>
      <c r="R78" s="4">
        <v>0</v>
      </c>
      <c r="S78" s="6">
        <v>43</v>
      </c>
      <c r="T78" s="6">
        <v>46</v>
      </c>
      <c r="U78" s="6">
        <v>76</v>
      </c>
      <c r="V78" s="6">
        <f>IF(ISERROR(VLOOKUP($S$78,'TAR FIN'!$A$1:$O$108,15,0)),0,VLOOKUP($S$78,'TAR FIN'!$A$1:$O$108,15,0))</f>
        <v>21.38</v>
      </c>
      <c r="W78" s="6">
        <f>IF(ISERROR(VLOOKUP($T$78,'TAR FIN'!$A$1:$O$108,15,0)),0,VLOOKUP($T$78,'TAR FIN'!$A$1:$O$108,15,0))</f>
        <v>102.62</v>
      </c>
      <c r="X78" s="6">
        <f>IF(ISERROR(VLOOKUP($U$78,'TAR FIN'!$A$1:$O$108,15,0)),0,VLOOKUP($U$78,'TAR FIN'!$A$1:$O$108,15,0))</f>
        <v>103.1</v>
      </c>
      <c r="Y78" s="6">
        <f ca="1">('TUSD BE'!$AM$22+'TUSD BF'!$AM$22+'TUSD CVA'!$AM$22)*1</f>
        <v>21.189390814529755</v>
      </c>
      <c r="Z78" s="6">
        <f ca="1">('TUSD BE'!$AM$23+'TUSD BF'!$AM$23+'TUSD CVA'!$AM$23)*1</f>
        <v>181.47641369790719</v>
      </c>
      <c r="AA78" s="6">
        <f>('TE BE'!$AB$11+'TE BF'!$AB$11+'TE CVA'!$AB$11)*1</f>
        <v>215.60278025898469</v>
      </c>
      <c r="AB78" s="6">
        <f>$K$78*$V$78</f>
        <v>146538.51999999999</v>
      </c>
      <c r="AC78" s="6">
        <f>$M$78*$W$78</f>
        <v>166465.85396000001</v>
      </c>
      <c r="AD78" s="6">
        <f>$O$78*$X$78</f>
        <v>167244.48979999998</v>
      </c>
      <c r="AE78" s="6">
        <f ca="1">$K$78*$Y$78</f>
        <v>145232.08464278694</v>
      </c>
      <c r="AF78" s="6">
        <f ca="1">$M$78*$Z$78</f>
        <v>294383.41629136971</v>
      </c>
      <c r="AG78" s="6">
        <f>$O$78*$AA$78</f>
        <v>349741.77481935406</v>
      </c>
    </row>
    <row r="79" spans="1:33" ht="11.25" customHeight="1" x14ac:dyDescent="0.25">
      <c r="A79" s="4" t="s">
        <v>21</v>
      </c>
      <c r="B79" s="4" t="s">
        <v>41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44621</v>
      </c>
      <c r="J79" s="6">
        <v>6888</v>
      </c>
      <c r="K79" s="6">
        <v>6888</v>
      </c>
      <c r="L79" s="6">
        <v>1732.5830000000001</v>
      </c>
      <c r="M79" s="6">
        <v>1732.5830000000001</v>
      </c>
      <c r="N79" s="6">
        <v>1732.5830000000001</v>
      </c>
      <c r="O79" s="6">
        <v>1732.5830000000001</v>
      </c>
      <c r="P79" s="6">
        <v>0</v>
      </c>
      <c r="Q79" s="4" t="s">
        <v>26</v>
      </c>
      <c r="R79" s="4">
        <v>0</v>
      </c>
      <c r="S79" s="6">
        <v>43</v>
      </c>
      <c r="T79" s="6">
        <v>46</v>
      </c>
      <c r="U79" s="6">
        <v>76</v>
      </c>
      <c r="V79" s="6">
        <f>IF(ISERROR(VLOOKUP($S$79,'TAR FIN'!$A$1:$O$108,15,0)),0,VLOOKUP($S$79,'TAR FIN'!$A$1:$O$108,15,0))</f>
        <v>21.38</v>
      </c>
      <c r="W79" s="6">
        <f>IF(ISERROR(VLOOKUP($T$79,'TAR FIN'!$A$1:$O$108,15,0)),0,VLOOKUP($T$79,'TAR FIN'!$A$1:$O$108,15,0))</f>
        <v>102.62</v>
      </c>
      <c r="X79" s="6">
        <f>IF(ISERROR(VLOOKUP($U$79,'TAR FIN'!$A$1:$O$108,15,0)),0,VLOOKUP($U$79,'TAR FIN'!$A$1:$O$108,15,0))</f>
        <v>103.1</v>
      </c>
      <c r="Y79" s="6">
        <f ca="1">('TUSD BE'!$AM$22+'TUSD BF'!$AM$22+'TUSD CVA'!$AM$22)*1</f>
        <v>21.189390814529755</v>
      </c>
      <c r="Z79" s="6">
        <f ca="1">('TUSD BE'!$AM$23+'TUSD BF'!$AM$23+'TUSD CVA'!$AM$23)*1</f>
        <v>181.47641369790719</v>
      </c>
      <c r="AA79" s="6">
        <f>('TE BE'!$AB$11+'TE BF'!$AB$11+'TE CVA'!$AB$11)*1</f>
        <v>215.60278025898469</v>
      </c>
      <c r="AB79" s="6">
        <f>$K$79*$V$79</f>
        <v>147265.44</v>
      </c>
      <c r="AC79" s="6">
        <f>$M$79*$W$79</f>
        <v>177797.66746000003</v>
      </c>
      <c r="AD79" s="6">
        <f>$O$79*$X$79</f>
        <v>178629.30729999999</v>
      </c>
      <c r="AE79" s="6">
        <f ca="1">$K$79*$Y$79</f>
        <v>145952.52393048097</v>
      </c>
      <c r="AF79" s="6">
        <f ca="1">$M$79*$Z$79</f>
        <v>314422.94927396113</v>
      </c>
      <c r="AG79" s="6">
        <f>$O$79*$AA$79</f>
        <v>373549.71182945248</v>
      </c>
    </row>
    <row r="80" spans="1:33" ht="11.25" customHeight="1" x14ac:dyDescent="0.25">
      <c r="A80" s="4" t="s">
        <v>21</v>
      </c>
      <c r="B80" s="4" t="s">
        <v>41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44652</v>
      </c>
      <c r="J80" s="6">
        <v>6877</v>
      </c>
      <c r="K80" s="6">
        <v>6877</v>
      </c>
      <c r="L80" s="6">
        <v>1705.7470000000001</v>
      </c>
      <c r="M80" s="6">
        <v>1705.7470000000001</v>
      </c>
      <c r="N80" s="6">
        <v>1705.7470000000001</v>
      </c>
      <c r="O80" s="6">
        <v>1705.7470000000001</v>
      </c>
      <c r="P80" s="6">
        <v>0</v>
      </c>
      <c r="Q80" s="4" t="s">
        <v>26</v>
      </c>
      <c r="R80" s="4">
        <v>0</v>
      </c>
      <c r="S80" s="6">
        <v>43</v>
      </c>
      <c r="T80" s="6">
        <v>46</v>
      </c>
      <c r="U80" s="6">
        <v>76</v>
      </c>
      <c r="V80" s="6">
        <f>IF(ISERROR(VLOOKUP($S$80,'TAR FIN'!$A$1:$O$108,15,0)),0,VLOOKUP($S$80,'TAR FIN'!$A$1:$O$108,15,0))</f>
        <v>21.38</v>
      </c>
      <c r="W80" s="6">
        <f>IF(ISERROR(VLOOKUP($T$80,'TAR FIN'!$A$1:$O$108,15,0)),0,VLOOKUP($T$80,'TAR FIN'!$A$1:$O$108,15,0))</f>
        <v>102.62</v>
      </c>
      <c r="X80" s="6">
        <f>IF(ISERROR(VLOOKUP($U$80,'TAR FIN'!$A$1:$O$108,15,0)),0,VLOOKUP($U$80,'TAR FIN'!$A$1:$O$108,15,0))</f>
        <v>103.1</v>
      </c>
      <c r="Y80" s="6">
        <f ca="1">('TUSD BE'!$AM$22+'TUSD BF'!$AM$22+'TUSD CVA'!$AM$22)*1</f>
        <v>21.189390814529755</v>
      </c>
      <c r="Z80" s="6">
        <f ca="1">('TUSD BE'!$AM$23+'TUSD BF'!$AM$23+'TUSD CVA'!$AM$23)*1</f>
        <v>181.47641369790719</v>
      </c>
      <c r="AA80" s="6">
        <f>('TE BE'!$AB$11+'TE BF'!$AB$11+'TE CVA'!$AB$11)*1</f>
        <v>215.60278025898469</v>
      </c>
      <c r="AB80" s="6">
        <f>$K$80*$V$80</f>
        <v>147030.25999999998</v>
      </c>
      <c r="AC80" s="6">
        <f>$M$80*$W$80</f>
        <v>175043.75714</v>
      </c>
      <c r="AD80" s="6">
        <f>$O$80*$X$80</f>
        <v>175862.51569999999</v>
      </c>
      <c r="AE80" s="6">
        <f ca="1">$K$80*$Y$80</f>
        <v>145719.44063152114</v>
      </c>
      <c r="AF80" s="6">
        <f ca="1">$M$80*$Z$80</f>
        <v>309552.84823596413</v>
      </c>
      <c r="AG80" s="6">
        <f>$O$80*$AA$80</f>
        <v>367763.79561842239</v>
      </c>
    </row>
    <row r="81" spans="1:33" ht="11.25" customHeight="1" x14ac:dyDescent="0.25">
      <c r="A81" s="4" t="s">
        <v>21</v>
      </c>
      <c r="B81" s="4" t="s">
        <v>41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44682</v>
      </c>
      <c r="J81" s="6">
        <v>6905</v>
      </c>
      <c r="K81" s="6">
        <v>6905</v>
      </c>
      <c r="L81" s="6">
        <v>1773.489</v>
      </c>
      <c r="M81" s="6">
        <v>1773.489</v>
      </c>
      <c r="N81" s="6">
        <v>1773.489</v>
      </c>
      <c r="O81" s="6">
        <v>1773.489</v>
      </c>
      <c r="P81" s="6">
        <v>0</v>
      </c>
      <c r="Q81" s="4" t="s">
        <v>26</v>
      </c>
      <c r="R81" s="4">
        <v>0</v>
      </c>
      <c r="S81" s="6">
        <v>43</v>
      </c>
      <c r="T81" s="6">
        <v>46</v>
      </c>
      <c r="U81" s="6">
        <v>76</v>
      </c>
      <c r="V81" s="6">
        <f>IF(ISERROR(VLOOKUP($S$81,'TAR FIN'!$A$1:$O$108,15,0)),0,VLOOKUP($S$81,'TAR FIN'!$A$1:$O$108,15,0))</f>
        <v>21.38</v>
      </c>
      <c r="W81" s="6">
        <f>IF(ISERROR(VLOOKUP($T$81,'TAR FIN'!$A$1:$O$108,15,0)),0,VLOOKUP($T$81,'TAR FIN'!$A$1:$O$108,15,0))</f>
        <v>102.62</v>
      </c>
      <c r="X81" s="6">
        <f>IF(ISERROR(VLOOKUP($U$81,'TAR FIN'!$A$1:$O$108,15,0)),0,VLOOKUP($U$81,'TAR FIN'!$A$1:$O$108,15,0))</f>
        <v>103.1</v>
      </c>
      <c r="Y81" s="6">
        <f ca="1">('TUSD BE'!$AM$22+'TUSD BF'!$AM$22+'TUSD CVA'!$AM$22)*1</f>
        <v>21.189390814529755</v>
      </c>
      <c r="Z81" s="6">
        <f ca="1">('TUSD BE'!$AM$23+'TUSD BF'!$AM$23+'TUSD CVA'!$AM$23)*1</f>
        <v>181.47641369790719</v>
      </c>
      <c r="AA81" s="6">
        <f>('TE BE'!$AB$11+'TE BF'!$AB$11+'TE CVA'!$AB$11)*1</f>
        <v>215.60278025898469</v>
      </c>
      <c r="AB81" s="6">
        <f>$K$81*$V$81</f>
        <v>147628.9</v>
      </c>
      <c r="AC81" s="6">
        <f>$M$81*$W$81</f>
        <v>181995.44118000002</v>
      </c>
      <c r="AD81" s="6">
        <f>$O$81*$X$81</f>
        <v>182846.71589999998</v>
      </c>
      <c r="AE81" s="6">
        <f ca="1">$K$81*$Y$81</f>
        <v>146312.74357432796</v>
      </c>
      <c r="AF81" s="6">
        <f ca="1">$M$81*$Z$81</f>
        <v>321846.42345268774</v>
      </c>
      <c r="AG81" s="6">
        <f>$O$81*$AA$81</f>
        <v>382369.15915872651</v>
      </c>
    </row>
    <row r="82" spans="1:33" ht="11.25" customHeight="1" x14ac:dyDescent="0.25">
      <c r="A82" s="4" t="s">
        <v>21</v>
      </c>
      <c r="B82" s="4" t="s">
        <v>41</v>
      </c>
      <c r="C82" s="4" t="s">
        <v>40</v>
      </c>
      <c r="D82" s="4" t="s">
        <v>44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44713</v>
      </c>
      <c r="J82" s="6">
        <v>6900</v>
      </c>
      <c r="K82" s="6">
        <v>6900</v>
      </c>
      <c r="L82" s="6">
        <v>1809.3530000000001</v>
      </c>
      <c r="M82" s="6">
        <v>1809.3530000000001</v>
      </c>
      <c r="N82" s="6">
        <v>1809.3530000000001</v>
      </c>
      <c r="O82" s="6">
        <v>1809.3530000000001</v>
      </c>
      <c r="P82" s="6">
        <v>0</v>
      </c>
      <c r="Q82" s="4" t="s">
        <v>26</v>
      </c>
      <c r="R82" s="4">
        <v>0</v>
      </c>
      <c r="S82" s="6">
        <v>43</v>
      </c>
      <c r="T82" s="6">
        <v>46</v>
      </c>
      <c r="U82" s="6">
        <v>76</v>
      </c>
      <c r="V82" s="6">
        <f>IF(ISERROR(VLOOKUP($S$82,'TAR FIN'!$A$1:$O$108,15,0)),0,VLOOKUP($S$82,'TAR FIN'!$A$1:$O$108,15,0))</f>
        <v>21.38</v>
      </c>
      <c r="W82" s="6">
        <f>IF(ISERROR(VLOOKUP($T$82,'TAR FIN'!$A$1:$O$108,15,0)),0,VLOOKUP($T$82,'TAR FIN'!$A$1:$O$108,15,0))</f>
        <v>102.62</v>
      </c>
      <c r="X82" s="6">
        <f>IF(ISERROR(VLOOKUP($U$82,'TAR FIN'!$A$1:$O$108,15,0)),0,VLOOKUP($U$82,'TAR FIN'!$A$1:$O$108,15,0))</f>
        <v>103.1</v>
      </c>
      <c r="Y82" s="6">
        <f ca="1">('TUSD BE'!$AM$22+'TUSD BF'!$AM$22+'TUSD CVA'!$AM$22)*1</f>
        <v>21.189390814529755</v>
      </c>
      <c r="Z82" s="6">
        <f ca="1">('TUSD BE'!$AM$23+'TUSD BF'!$AM$23+'TUSD CVA'!$AM$23)*1</f>
        <v>181.47641369790719</v>
      </c>
      <c r="AA82" s="6">
        <f>('TE BE'!$AB$11+'TE BF'!$AB$11+'TE CVA'!$AB$11)*1</f>
        <v>215.60278025898469</v>
      </c>
      <c r="AB82" s="6">
        <f>$K$82*$V$82</f>
        <v>147522</v>
      </c>
      <c r="AC82" s="6">
        <f>$M$82*$W$82</f>
        <v>185675.80486</v>
      </c>
      <c r="AD82" s="6">
        <f>$O$82*$X$82</f>
        <v>186544.29430000001</v>
      </c>
      <c r="AE82" s="6">
        <f ca="1">$K$82*$Y$82</f>
        <v>146206.79662025531</v>
      </c>
      <c r="AF82" s="6">
        <f ca="1">$M$82*$Z$82</f>
        <v>328354.89355354948</v>
      </c>
      <c r="AG82" s="6">
        <f>$O$82*$AA$82</f>
        <v>390101.53726993472</v>
      </c>
    </row>
    <row r="83" spans="1:33" ht="11.25" customHeight="1" x14ac:dyDescent="0.25">
      <c r="A83" s="4" t="s">
        <v>27</v>
      </c>
      <c r="B83" s="4" t="s">
        <v>41</v>
      </c>
      <c r="C83" s="4" t="s">
        <v>40</v>
      </c>
      <c r="D83" s="4" t="s">
        <v>44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44713</v>
      </c>
      <c r="J83" s="6">
        <v>0</v>
      </c>
      <c r="K83" s="6">
        <v>0</v>
      </c>
      <c r="L83" s="6">
        <v>-7.5549999999999997</v>
      </c>
      <c r="M83" s="6">
        <v>-7.5549999999999997</v>
      </c>
      <c r="N83" s="6">
        <v>-7.5549999999999997</v>
      </c>
      <c r="O83" s="6">
        <v>-7.5549999999999997</v>
      </c>
      <c r="P83" s="6">
        <v>0</v>
      </c>
      <c r="Q83" s="4" t="s">
        <v>26</v>
      </c>
      <c r="R83" s="4">
        <v>0</v>
      </c>
      <c r="S83" s="6">
        <v>0</v>
      </c>
      <c r="T83" s="6">
        <v>46</v>
      </c>
      <c r="U83" s="6">
        <v>76</v>
      </c>
      <c r="V83" s="6">
        <f>IF(ISERROR(VLOOKUP($S$83,'TAR FIN'!$A$1:$O$108,15,0)),0,VLOOKUP($S$83,'TAR FIN'!$A$1:$O$108,15,0))</f>
        <v>0</v>
      </c>
      <c r="W83" s="6">
        <f>IF(ISERROR(VLOOKUP($T$83,'TAR FIN'!$A$1:$O$108,15,0)),0,VLOOKUP($T$83,'TAR FIN'!$A$1:$O$108,15,0))</f>
        <v>102.62</v>
      </c>
      <c r="X83" s="6">
        <f>IF(ISERROR(VLOOKUP($U$83,'TAR FIN'!$A$1:$O$108,15,0)),0,VLOOKUP($U$83,'TAR FIN'!$A$1:$O$108,15,0))</f>
        <v>103.1</v>
      </c>
      <c r="Y83" s="6">
        <f ca="1">('TUSD BE'!$AM$22+'TUSD BF'!$AM$22+'TUSD CVA'!$AM$22)*1</f>
        <v>21.189390814529755</v>
      </c>
      <c r="Z83" s="6">
        <f ca="1">('TUSD BE'!$AM$23+'TUSD BF'!$AM$23+'TUSD CVA'!$AM$23)*1</f>
        <v>181.47641369790719</v>
      </c>
      <c r="AA83" s="6">
        <f>('TE BE'!$AB$11+'TE BF'!$AB$11+'TE CVA'!$AB$11)*1</f>
        <v>215.60278025898469</v>
      </c>
      <c r="AB83" s="6">
        <f>$K$83*$V$83</f>
        <v>0</v>
      </c>
      <c r="AC83" s="6">
        <f>$M$83*$W$83</f>
        <v>-775.29409999999996</v>
      </c>
      <c r="AD83" s="6">
        <f>$O$83*$X$83</f>
        <v>-778.92049999999995</v>
      </c>
      <c r="AE83" s="6">
        <f ca="1">$K$83*$Y$83</f>
        <v>0</v>
      </c>
      <c r="AF83" s="6">
        <f ca="1">$M$83*$Z$83</f>
        <v>-1371.0543054876887</v>
      </c>
      <c r="AG83" s="6">
        <f>$O$83*$AA$83</f>
        <v>-1628.8790048566293</v>
      </c>
    </row>
    <row r="84" spans="1:33" ht="11.25" customHeight="1" x14ac:dyDescent="0.25">
      <c r="A84" s="4" t="s">
        <v>21</v>
      </c>
      <c r="B84" s="4" t="s">
        <v>41</v>
      </c>
      <c r="C84" s="4" t="s">
        <v>40</v>
      </c>
      <c r="D84" s="4" t="s">
        <v>44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44743</v>
      </c>
      <c r="J84" s="6">
        <v>7559</v>
      </c>
      <c r="K84" s="6">
        <v>7559</v>
      </c>
      <c r="L84" s="6">
        <v>1933.979</v>
      </c>
      <c r="M84" s="6">
        <v>1933.979</v>
      </c>
      <c r="N84" s="6">
        <v>1933.979</v>
      </c>
      <c r="O84" s="6">
        <v>1933.979</v>
      </c>
      <c r="P84" s="6">
        <v>0</v>
      </c>
      <c r="Q84" s="4" t="s">
        <v>26</v>
      </c>
      <c r="R84" s="4">
        <v>0</v>
      </c>
      <c r="S84" s="6">
        <v>43</v>
      </c>
      <c r="T84" s="6">
        <v>46</v>
      </c>
      <c r="U84" s="6">
        <v>76</v>
      </c>
      <c r="V84" s="6">
        <f>IF(ISERROR(VLOOKUP($S$84,'TAR FIN'!$A$1:$O$108,15,0)),0,VLOOKUP($S$84,'TAR FIN'!$A$1:$O$108,15,0))</f>
        <v>21.38</v>
      </c>
      <c r="W84" s="6">
        <f>IF(ISERROR(VLOOKUP($T$84,'TAR FIN'!$A$1:$O$108,15,0)),0,VLOOKUP($T$84,'TAR FIN'!$A$1:$O$108,15,0))</f>
        <v>102.62</v>
      </c>
      <c r="X84" s="6">
        <f>IF(ISERROR(VLOOKUP($U$84,'TAR FIN'!$A$1:$O$108,15,0)),0,VLOOKUP($U$84,'TAR FIN'!$A$1:$O$108,15,0))</f>
        <v>103.1</v>
      </c>
      <c r="Y84" s="6">
        <f ca="1">('TUSD BE'!$AM$22+'TUSD BF'!$AM$22+'TUSD CVA'!$AM$22)*1</f>
        <v>21.189390814529755</v>
      </c>
      <c r="Z84" s="6">
        <f ca="1">('TUSD BE'!$AM$23+'TUSD BF'!$AM$23+'TUSD CVA'!$AM$23)*1</f>
        <v>181.47641369790719</v>
      </c>
      <c r="AA84" s="6">
        <f>('TE BE'!$AB$11+'TE BF'!$AB$11+'TE CVA'!$AB$11)*1</f>
        <v>215.60278025898469</v>
      </c>
      <c r="AB84" s="6">
        <f>$K$84*$V$84</f>
        <v>161611.41999999998</v>
      </c>
      <c r="AC84" s="6">
        <f>$M$84*$W$84</f>
        <v>198464.92498000001</v>
      </c>
      <c r="AD84" s="6">
        <f>$O$84*$X$84</f>
        <v>199393.23489999998</v>
      </c>
      <c r="AE84" s="6">
        <f ca="1">$K$84*$Y$84</f>
        <v>160170.60516703042</v>
      </c>
      <c r="AF84" s="6">
        <f ca="1">$M$84*$Z$84</f>
        <v>350971.57308706484</v>
      </c>
      <c r="AG84" s="6">
        <f>$O$84*$AA$84</f>
        <v>416971.24936249095</v>
      </c>
    </row>
    <row r="85" spans="1:33" ht="11.25" customHeight="1" x14ac:dyDescent="0.25">
      <c r="A85" s="4" t="s">
        <v>21</v>
      </c>
      <c r="B85" s="4" t="s">
        <v>41</v>
      </c>
      <c r="C85" s="4" t="s">
        <v>40</v>
      </c>
      <c r="D85" s="4" t="s">
        <v>44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44774</v>
      </c>
      <c r="J85" s="6">
        <v>7342</v>
      </c>
      <c r="K85" s="6">
        <v>7342</v>
      </c>
      <c r="L85" s="6">
        <v>2016.7239999999999</v>
      </c>
      <c r="M85" s="6">
        <v>2016.7239999999999</v>
      </c>
      <c r="N85" s="6">
        <v>2016.7239999999999</v>
      </c>
      <c r="O85" s="6">
        <v>2016.7239999999999</v>
      </c>
      <c r="P85" s="6">
        <v>0</v>
      </c>
      <c r="Q85" s="4" t="s">
        <v>26</v>
      </c>
      <c r="R85" s="4">
        <v>0</v>
      </c>
      <c r="S85" s="6">
        <v>43</v>
      </c>
      <c r="T85" s="6">
        <v>46</v>
      </c>
      <c r="U85" s="6">
        <v>76</v>
      </c>
      <c r="V85" s="6">
        <f>IF(ISERROR(VLOOKUP($S$85,'TAR FIN'!$A$1:$O$108,15,0)),0,VLOOKUP($S$85,'TAR FIN'!$A$1:$O$108,15,0))</f>
        <v>21.38</v>
      </c>
      <c r="W85" s="6">
        <f>IF(ISERROR(VLOOKUP($T$85,'TAR FIN'!$A$1:$O$108,15,0)),0,VLOOKUP($T$85,'TAR FIN'!$A$1:$O$108,15,0))</f>
        <v>102.62</v>
      </c>
      <c r="X85" s="6">
        <f>IF(ISERROR(VLOOKUP($U$85,'TAR FIN'!$A$1:$O$108,15,0)),0,VLOOKUP($U$85,'TAR FIN'!$A$1:$O$108,15,0))</f>
        <v>103.1</v>
      </c>
      <c r="Y85" s="6">
        <f ca="1">('TUSD BE'!$AM$22+'TUSD BF'!$AM$22+'TUSD CVA'!$AM$22)*1</f>
        <v>21.189390814529755</v>
      </c>
      <c r="Z85" s="6">
        <f ca="1">('TUSD BE'!$AM$23+'TUSD BF'!$AM$23+'TUSD CVA'!$AM$23)*1</f>
        <v>181.47641369790719</v>
      </c>
      <c r="AA85" s="6">
        <f>('TE BE'!$AB$11+'TE BF'!$AB$11+'TE CVA'!$AB$11)*1</f>
        <v>215.60278025898469</v>
      </c>
      <c r="AB85" s="6">
        <f>$K$85*$V$85</f>
        <v>156971.96</v>
      </c>
      <c r="AC85" s="6">
        <f>$M$85*$W$85</f>
        <v>206956.21687999999</v>
      </c>
      <c r="AD85" s="6">
        <f>$O$85*$X$85</f>
        <v>207924.2444</v>
      </c>
      <c r="AE85" s="6">
        <f ca="1">$K$85*$Y$85</f>
        <v>155572.50736027746</v>
      </c>
      <c r="AF85" s="6">
        <f ca="1">$M$85*$Z$85</f>
        <v>365987.83893849817</v>
      </c>
      <c r="AG85" s="6">
        <f>$O$85*$AA$85</f>
        <v>434811.30141502066</v>
      </c>
    </row>
    <row r="86" spans="1:33" ht="11.25" customHeight="1" x14ac:dyDescent="0.25">
      <c r="A86" s="4" t="s">
        <v>27</v>
      </c>
      <c r="B86" s="4" t="s">
        <v>41</v>
      </c>
      <c r="C86" s="4" t="s">
        <v>40</v>
      </c>
      <c r="D86" s="4" t="s">
        <v>44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44774</v>
      </c>
      <c r="J86" s="6">
        <v>-281</v>
      </c>
      <c r="K86" s="6">
        <v>-281</v>
      </c>
      <c r="L86" s="6">
        <v>-1E-3</v>
      </c>
      <c r="M86" s="6">
        <v>-1E-3</v>
      </c>
      <c r="N86" s="6">
        <v>-1E-3</v>
      </c>
      <c r="O86" s="6">
        <v>-1E-3</v>
      </c>
      <c r="P86" s="6">
        <v>0</v>
      </c>
      <c r="Q86" s="4" t="s">
        <v>26</v>
      </c>
      <c r="R86" s="4">
        <v>0</v>
      </c>
      <c r="S86" s="6">
        <v>43</v>
      </c>
      <c r="T86" s="6">
        <v>46</v>
      </c>
      <c r="U86" s="6">
        <v>76</v>
      </c>
      <c r="V86" s="6">
        <f>IF(ISERROR(VLOOKUP($S$86,'TAR FIN'!$A$1:$O$108,15,0)),0,VLOOKUP($S$86,'TAR FIN'!$A$1:$O$108,15,0))</f>
        <v>21.38</v>
      </c>
      <c r="W86" s="6">
        <f>IF(ISERROR(VLOOKUP($T$86,'TAR FIN'!$A$1:$O$108,15,0)),0,VLOOKUP($T$86,'TAR FIN'!$A$1:$O$108,15,0))</f>
        <v>102.62</v>
      </c>
      <c r="X86" s="6">
        <f>IF(ISERROR(VLOOKUP($U$86,'TAR FIN'!$A$1:$O$108,15,0)),0,VLOOKUP($U$86,'TAR FIN'!$A$1:$O$108,15,0))</f>
        <v>103.1</v>
      </c>
      <c r="Y86" s="6">
        <f ca="1">('TUSD BE'!$AM$22+'TUSD BF'!$AM$22+'TUSD CVA'!$AM$22)*1</f>
        <v>21.189390814529755</v>
      </c>
      <c r="Z86" s="6">
        <f ca="1">('TUSD BE'!$AM$23+'TUSD BF'!$AM$23+'TUSD CVA'!$AM$23)*1</f>
        <v>181.47641369790719</v>
      </c>
      <c r="AA86" s="6">
        <f>('TE BE'!$AB$11+'TE BF'!$AB$11+'TE CVA'!$AB$11)*1</f>
        <v>215.60278025898469</v>
      </c>
      <c r="AB86" s="6">
        <f>$K$86*$V$86</f>
        <v>-6007.78</v>
      </c>
      <c r="AC86" s="6">
        <f>$M$86*$W$86</f>
        <v>-0.10262</v>
      </c>
      <c r="AD86" s="6">
        <f>$O$86*$X$86</f>
        <v>-0.1031</v>
      </c>
      <c r="AE86" s="6">
        <f ca="1">$K$86*$Y$86</f>
        <v>-5954.2188188828613</v>
      </c>
      <c r="AF86" s="6">
        <f ca="1">$M$86*$Z$86</f>
        <v>-0.18147641369790721</v>
      </c>
      <c r="AG86" s="6">
        <f>$O$86*$AA$86</f>
        <v>-0.21560278025898469</v>
      </c>
    </row>
    <row r="87" spans="1:33" ht="11.25" customHeight="1" x14ac:dyDescent="0.25">
      <c r="A87" s="4" t="s">
        <v>21</v>
      </c>
      <c r="B87" s="4" t="s">
        <v>41</v>
      </c>
      <c r="C87" s="4" t="s">
        <v>40</v>
      </c>
      <c r="D87" s="4" t="s">
        <v>44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44805</v>
      </c>
      <c r="J87" s="6">
        <v>7368</v>
      </c>
      <c r="K87" s="6">
        <v>7368</v>
      </c>
      <c r="L87" s="6">
        <v>2046.203</v>
      </c>
      <c r="M87" s="6">
        <v>2046.203</v>
      </c>
      <c r="N87" s="6">
        <v>2046.203</v>
      </c>
      <c r="O87" s="6">
        <v>2046.203</v>
      </c>
      <c r="P87" s="6">
        <v>0</v>
      </c>
      <c r="Q87" s="4" t="s">
        <v>26</v>
      </c>
      <c r="R87" s="4">
        <v>0</v>
      </c>
      <c r="S87" s="6">
        <v>43</v>
      </c>
      <c r="T87" s="6">
        <v>46</v>
      </c>
      <c r="U87" s="6">
        <v>76</v>
      </c>
      <c r="V87" s="6">
        <f>IF(ISERROR(VLOOKUP($S$87,'TAR FIN'!$A$1:$O$108,15,0)),0,VLOOKUP($S$87,'TAR FIN'!$A$1:$O$108,15,0))</f>
        <v>21.38</v>
      </c>
      <c r="W87" s="6">
        <f>IF(ISERROR(VLOOKUP($T$87,'TAR FIN'!$A$1:$O$108,15,0)),0,VLOOKUP($T$87,'TAR FIN'!$A$1:$O$108,15,0))</f>
        <v>102.62</v>
      </c>
      <c r="X87" s="6">
        <f>IF(ISERROR(VLOOKUP($U$87,'TAR FIN'!$A$1:$O$108,15,0)),0,VLOOKUP($U$87,'TAR FIN'!$A$1:$O$108,15,0))</f>
        <v>103.1</v>
      </c>
      <c r="Y87" s="6">
        <f ca="1">('TUSD BE'!$AM$22+'TUSD BF'!$AM$22+'TUSD CVA'!$AM$22)*1</f>
        <v>21.189390814529755</v>
      </c>
      <c r="Z87" s="6">
        <f ca="1">('TUSD BE'!$AM$23+'TUSD BF'!$AM$23+'TUSD CVA'!$AM$23)*1</f>
        <v>181.47641369790719</v>
      </c>
      <c r="AA87" s="6">
        <f>('TE BE'!$AB$11+'TE BF'!$AB$11+'TE CVA'!$AB$11)*1</f>
        <v>215.60278025898469</v>
      </c>
      <c r="AB87" s="6">
        <f>$K$87*$V$87</f>
        <v>157527.84</v>
      </c>
      <c r="AC87" s="6">
        <f>$M$87*$W$87</f>
        <v>209981.35186</v>
      </c>
      <c r="AD87" s="6">
        <f>$O$87*$X$87</f>
        <v>210963.52929999999</v>
      </c>
      <c r="AE87" s="6">
        <f ca="1">$K$87*$Y$87</f>
        <v>156123.43152145523</v>
      </c>
      <c r="AF87" s="6">
        <f ca="1">$M$87*$Z$87</f>
        <v>371337.58213789877</v>
      </c>
      <c r="AG87" s="6">
        <f>$O$87*$AA$87</f>
        <v>441167.05577427527</v>
      </c>
    </row>
    <row r="88" spans="1:33" ht="11.25" customHeight="1" x14ac:dyDescent="0.25">
      <c r="A88" s="4" t="s">
        <v>27</v>
      </c>
      <c r="B88" s="4" t="s">
        <v>41</v>
      </c>
      <c r="C88" s="4" t="s">
        <v>40</v>
      </c>
      <c r="D88" s="4" t="s">
        <v>44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44805</v>
      </c>
      <c r="J88" s="6">
        <v>-7</v>
      </c>
      <c r="K88" s="6">
        <v>-7</v>
      </c>
      <c r="L88" s="6">
        <v>-18.960999999999999</v>
      </c>
      <c r="M88" s="6">
        <v>-18.960999999999999</v>
      </c>
      <c r="N88" s="6">
        <v>-18.960999999999999</v>
      </c>
      <c r="O88" s="6">
        <v>-18.960999999999999</v>
      </c>
      <c r="P88" s="6">
        <v>0</v>
      </c>
      <c r="Q88" s="4" t="s">
        <v>26</v>
      </c>
      <c r="R88" s="4">
        <v>0</v>
      </c>
      <c r="S88" s="6">
        <v>43</v>
      </c>
      <c r="T88" s="6">
        <v>46</v>
      </c>
      <c r="U88" s="6">
        <v>76</v>
      </c>
      <c r="V88" s="6">
        <f>IF(ISERROR(VLOOKUP($S$88,'TAR FIN'!$A$1:$O$108,15,0)),0,VLOOKUP($S$88,'TAR FIN'!$A$1:$O$108,15,0))</f>
        <v>21.38</v>
      </c>
      <c r="W88" s="6">
        <f>IF(ISERROR(VLOOKUP($T$88,'TAR FIN'!$A$1:$O$108,15,0)),0,VLOOKUP($T$88,'TAR FIN'!$A$1:$O$108,15,0))</f>
        <v>102.62</v>
      </c>
      <c r="X88" s="6">
        <f>IF(ISERROR(VLOOKUP($U$88,'TAR FIN'!$A$1:$O$108,15,0)),0,VLOOKUP($U$88,'TAR FIN'!$A$1:$O$108,15,0))</f>
        <v>103.1</v>
      </c>
      <c r="Y88" s="6">
        <f ca="1">('TUSD BE'!$AM$22+'TUSD BF'!$AM$22+'TUSD CVA'!$AM$22)*1</f>
        <v>21.189390814529755</v>
      </c>
      <c r="Z88" s="6">
        <f ca="1">('TUSD BE'!$AM$23+'TUSD BF'!$AM$23+'TUSD CVA'!$AM$23)*1</f>
        <v>181.47641369790719</v>
      </c>
      <c r="AA88" s="6">
        <f>('TE BE'!$AB$11+'TE BF'!$AB$11+'TE CVA'!$AB$11)*1</f>
        <v>215.60278025898469</v>
      </c>
      <c r="AB88" s="6">
        <f>$K$88*$V$88</f>
        <v>-149.66</v>
      </c>
      <c r="AC88" s="6">
        <f>$M$88*$W$88</f>
        <v>-1945.77782</v>
      </c>
      <c r="AD88" s="6">
        <f>$O$88*$X$88</f>
        <v>-1954.8790999999997</v>
      </c>
      <c r="AE88" s="6">
        <f ca="1">$K$88*$Y$88</f>
        <v>-148.32573570170828</v>
      </c>
      <c r="AF88" s="6">
        <f ca="1">$M$88*$Z$88</f>
        <v>-3440.9742801260181</v>
      </c>
      <c r="AG88" s="6">
        <f>$O$88*$AA$88</f>
        <v>-4088.0443164906083</v>
      </c>
    </row>
    <row r="89" spans="1:33" ht="11.25" customHeight="1" x14ac:dyDescent="0.25">
      <c r="A89" s="4" t="s">
        <v>21</v>
      </c>
      <c r="B89" s="4" t="s">
        <v>41</v>
      </c>
      <c r="C89" s="4" t="s">
        <v>40</v>
      </c>
      <c r="D89" s="4" t="s">
        <v>44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44835</v>
      </c>
      <c r="J89" s="6">
        <v>7289</v>
      </c>
      <c r="K89" s="6">
        <v>7289</v>
      </c>
      <c r="L89" s="6">
        <v>2137.2919999999999</v>
      </c>
      <c r="M89" s="6">
        <v>2137.2919999999999</v>
      </c>
      <c r="N89" s="6">
        <v>2137.2919999999999</v>
      </c>
      <c r="O89" s="6">
        <v>2137.2919999999999</v>
      </c>
      <c r="P89" s="6">
        <v>0</v>
      </c>
      <c r="Q89" s="4" t="s">
        <v>26</v>
      </c>
      <c r="R89" s="4">
        <v>0</v>
      </c>
      <c r="S89" s="6">
        <v>43</v>
      </c>
      <c r="T89" s="6">
        <v>46</v>
      </c>
      <c r="U89" s="6">
        <v>76</v>
      </c>
      <c r="V89" s="6">
        <f>IF(ISERROR(VLOOKUP($S$89,'TAR FIN'!$A$1:$O$108,15,0)),0,VLOOKUP($S$89,'TAR FIN'!$A$1:$O$108,15,0))</f>
        <v>21.38</v>
      </c>
      <c r="W89" s="6">
        <f>IF(ISERROR(VLOOKUP($T$89,'TAR FIN'!$A$1:$O$108,15,0)),0,VLOOKUP($T$89,'TAR FIN'!$A$1:$O$108,15,0))</f>
        <v>102.62</v>
      </c>
      <c r="X89" s="6">
        <f>IF(ISERROR(VLOOKUP($U$89,'TAR FIN'!$A$1:$O$108,15,0)),0,VLOOKUP($U$89,'TAR FIN'!$A$1:$O$108,15,0))</f>
        <v>103.1</v>
      </c>
      <c r="Y89" s="6">
        <f ca="1">('TUSD BE'!$AM$22+'TUSD BF'!$AM$22+'TUSD CVA'!$AM$22)*1</f>
        <v>21.189390814529755</v>
      </c>
      <c r="Z89" s="6">
        <f ca="1">('TUSD BE'!$AM$23+'TUSD BF'!$AM$23+'TUSD CVA'!$AM$23)*1</f>
        <v>181.47641369790719</v>
      </c>
      <c r="AA89" s="6">
        <f>('TE BE'!$AB$11+'TE BF'!$AB$11+'TE CVA'!$AB$11)*1</f>
        <v>215.60278025898469</v>
      </c>
      <c r="AB89" s="6">
        <f>$K$89*$V$89</f>
        <v>155838.82</v>
      </c>
      <c r="AC89" s="6">
        <f>$M$89*$W$89</f>
        <v>219328.90504000001</v>
      </c>
      <c r="AD89" s="6">
        <f>$O$89*$X$89</f>
        <v>220354.80519999997</v>
      </c>
      <c r="AE89" s="6">
        <f ca="1">$K$89*$Y$89</f>
        <v>154449.46964710738</v>
      </c>
      <c r="AF89" s="6">
        <f ca="1">$M$89*$Z$89</f>
        <v>387868.08718522743</v>
      </c>
      <c r="AG89" s="6">
        <f>$O$89*$AA$89</f>
        <v>460806.0974252859</v>
      </c>
    </row>
    <row r="90" spans="1:33" ht="11.25" customHeight="1" x14ac:dyDescent="0.25">
      <c r="A90" s="4" t="s">
        <v>54</v>
      </c>
      <c r="B90" s="4" t="s">
        <v>41</v>
      </c>
      <c r="C90" s="4" t="s">
        <v>40</v>
      </c>
      <c r="D90" s="4" t="s">
        <v>44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44866</v>
      </c>
      <c r="J90" s="6">
        <v>7289</v>
      </c>
      <c r="K90" s="6">
        <v>7289</v>
      </c>
      <c r="L90" s="6">
        <v>2137.2919999999999</v>
      </c>
      <c r="M90" s="6">
        <v>2137.2919999999999</v>
      </c>
      <c r="N90" s="6">
        <v>2137.2919999999999</v>
      </c>
      <c r="O90" s="6">
        <v>2137.2919999999999</v>
      </c>
      <c r="P90" s="6">
        <v>0</v>
      </c>
      <c r="Q90" s="4" t="s">
        <v>26</v>
      </c>
      <c r="R90" s="4">
        <v>0</v>
      </c>
      <c r="S90" s="6">
        <v>43</v>
      </c>
      <c r="T90" s="6">
        <v>46</v>
      </c>
      <c r="U90" s="6">
        <v>76</v>
      </c>
      <c r="V90" s="6">
        <f>IF(ISERROR(VLOOKUP($S$90,'TAR FIN'!$A$1:$O$108,15,0)),0,VLOOKUP($S$90,'TAR FIN'!$A$1:$O$108,15,0))</f>
        <v>21.38</v>
      </c>
      <c r="W90" s="6">
        <f>IF(ISERROR(VLOOKUP($T$90,'TAR FIN'!$A$1:$O$108,15,0)),0,VLOOKUP($T$90,'TAR FIN'!$A$1:$O$108,15,0))</f>
        <v>102.62</v>
      </c>
      <c r="X90" s="6">
        <f>IF(ISERROR(VLOOKUP($U$90,'TAR FIN'!$A$1:$O$108,15,0)),0,VLOOKUP($U$90,'TAR FIN'!$A$1:$O$108,15,0))</f>
        <v>103.1</v>
      </c>
      <c r="Y90" s="6">
        <f ca="1">('TUSD BE'!$AM$22+'TUSD BF'!$AM$22+'TUSD CVA'!$AM$22)*1</f>
        <v>21.189390814529755</v>
      </c>
      <c r="Z90" s="6">
        <f ca="1">('TUSD BE'!$AM$23+'TUSD BF'!$AM$23+'TUSD CVA'!$AM$23)*1</f>
        <v>181.47641369790719</v>
      </c>
      <c r="AA90" s="6">
        <f>('TE BE'!$AB$11+'TE BF'!$AB$11+'TE CVA'!$AB$11)*1</f>
        <v>215.60278025898469</v>
      </c>
      <c r="AB90" s="6">
        <f>$K$90*$V$90</f>
        <v>155838.82</v>
      </c>
      <c r="AC90" s="6">
        <f>$M$90*$W$90</f>
        <v>219328.90504000001</v>
      </c>
      <c r="AD90" s="6">
        <f>$O$90*$X$90</f>
        <v>220354.80519999997</v>
      </c>
      <c r="AE90" s="6">
        <f ca="1">$K$90*$Y$90</f>
        <v>154449.46964710738</v>
      </c>
      <c r="AF90" s="6">
        <f ca="1">$M$90*$Z$90</f>
        <v>387868.08718522743</v>
      </c>
      <c r="AG90" s="6">
        <f>$O$90*$AA$90</f>
        <v>460806.0974252859</v>
      </c>
    </row>
    <row r="91" spans="1:33" ht="11.25" customHeight="1" x14ac:dyDescent="0.25">
      <c r="A91" s="4" t="s">
        <v>21</v>
      </c>
      <c r="B91" s="4" t="s">
        <v>41</v>
      </c>
      <c r="C91" s="4" t="s">
        <v>40</v>
      </c>
      <c r="D91" s="4" t="s">
        <v>44</v>
      </c>
      <c r="E91" s="4" t="s">
        <v>25</v>
      </c>
      <c r="F91" s="4" t="s">
        <v>25</v>
      </c>
      <c r="G91" s="4" t="s">
        <v>25</v>
      </c>
      <c r="H91" s="4" t="s">
        <v>34</v>
      </c>
      <c r="I91" s="5">
        <v>44531</v>
      </c>
      <c r="J91" s="6">
        <v>5619</v>
      </c>
      <c r="K91" s="6">
        <v>5619</v>
      </c>
      <c r="L91" s="6">
        <v>250.221</v>
      </c>
      <c r="M91" s="6">
        <v>250.221</v>
      </c>
      <c r="N91" s="6">
        <v>250.221</v>
      </c>
      <c r="O91" s="6">
        <v>250.221</v>
      </c>
      <c r="P91" s="6">
        <v>0</v>
      </c>
      <c r="Q91" s="4" t="s">
        <v>26</v>
      </c>
      <c r="R91" s="4">
        <v>0</v>
      </c>
      <c r="S91" s="6">
        <v>42</v>
      </c>
      <c r="T91" s="6">
        <v>46</v>
      </c>
      <c r="U91" s="6">
        <v>75</v>
      </c>
      <c r="V91" s="6">
        <f>IF(ISERROR(VLOOKUP($S$91,'TAR FIN'!$A$1:$O$108,15,0)),0,VLOOKUP($S$91,'TAR FIN'!$A$1:$O$108,15,0))</f>
        <v>55.8</v>
      </c>
      <c r="W91" s="6">
        <f>IF(ISERROR(VLOOKUP($T$91,'TAR FIN'!$A$1:$O$108,15,0)),0,VLOOKUP($T$91,'TAR FIN'!$A$1:$O$108,15,0))</f>
        <v>102.62</v>
      </c>
      <c r="X91" s="6">
        <f>IF(ISERROR(VLOOKUP($U$91,'TAR FIN'!$A$1:$O$108,15,0)),0,VLOOKUP($U$91,'TAR FIN'!$A$1:$O$108,15,0))</f>
        <v>159.43</v>
      </c>
      <c r="Y91" s="6">
        <f ca="1">('TUSD BE'!$AM$21+'TUSD BF'!$AM$21+'TUSD CVA'!$AM$21)*1</f>
        <v>54.248421540039665</v>
      </c>
      <c r="Z91" s="6">
        <f ca="1">('TUSD BE'!$AM$23+'TUSD BF'!$AM$23+'TUSD CVA'!$AM$23)*1</f>
        <v>181.47641369790719</v>
      </c>
      <c r="AA91" s="6">
        <f>('TE BE'!$AB$10+'TE BF'!$AB$10+'TE CVA'!$AB$10)*1</f>
        <v>322.12477389224171</v>
      </c>
      <c r="AB91" s="6">
        <f>$K$91*$V$91</f>
        <v>313540.2</v>
      </c>
      <c r="AC91" s="6">
        <f>$M$91*$W$91</f>
        <v>25677.679020000003</v>
      </c>
      <c r="AD91" s="6">
        <f>$O$91*$X$91</f>
        <v>39892.73403</v>
      </c>
      <c r="AE91" s="6">
        <f ca="1">$K$91*$Y$91</f>
        <v>304821.88063348288</v>
      </c>
      <c r="AF91" s="6">
        <f ca="1">$M$91*$Z$91</f>
        <v>45409.209711904034</v>
      </c>
      <c r="AG91" s="6">
        <f>$O$91*$AA$91</f>
        <v>80602.383048090618</v>
      </c>
    </row>
    <row r="92" spans="1:33" ht="11.25" customHeight="1" x14ac:dyDescent="0.25">
      <c r="A92" s="4" t="s">
        <v>21</v>
      </c>
      <c r="B92" s="4" t="s">
        <v>41</v>
      </c>
      <c r="C92" s="4" t="s">
        <v>40</v>
      </c>
      <c r="D92" s="4" t="s">
        <v>44</v>
      </c>
      <c r="E92" s="4" t="s">
        <v>25</v>
      </c>
      <c r="F92" s="4" t="s">
        <v>25</v>
      </c>
      <c r="G92" s="4" t="s">
        <v>25</v>
      </c>
      <c r="H92" s="4" t="s">
        <v>34</v>
      </c>
      <c r="I92" s="5">
        <v>44562</v>
      </c>
      <c r="J92" s="6">
        <v>5587</v>
      </c>
      <c r="K92" s="6">
        <v>5587</v>
      </c>
      <c r="L92" s="6">
        <v>215.37200000000001</v>
      </c>
      <c r="M92" s="6">
        <v>215.37200000000001</v>
      </c>
      <c r="N92" s="6">
        <v>215.37200000000001</v>
      </c>
      <c r="O92" s="6">
        <v>215.37200000000001</v>
      </c>
      <c r="P92" s="6">
        <v>0</v>
      </c>
      <c r="Q92" s="4" t="s">
        <v>26</v>
      </c>
      <c r="R92" s="4">
        <v>0</v>
      </c>
      <c r="S92" s="6">
        <v>42</v>
      </c>
      <c r="T92" s="6">
        <v>46</v>
      </c>
      <c r="U92" s="6">
        <v>75</v>
      </c>
      <c r="V92" s="6">
        <f>IF(ISERROR(VLOOKUP($S$92,'TAR FIN'!$A$1:$O$108,15,0)),0,VLOOKUP($S$92,'TAR FIN'!$A$1:$O$108,15,0))</f>
        <v>55.8</v>
      </c>
      <c r="W92" s="6">
        <f>IF(ISERROR(VLOOKUP($T$92,'TAR FIN'!$A$1:$O$108,15,0)),0,VLOOKUP($T$92,'TAR FIN'!$A$1:$O$108,15,0))</f>
        <v>102.62</v>
      </c>
      <c r="X92" s="6">
        <f>IF(ISERROR(VLOOKUP($U$92,'TAR FIN'!$A$1:$O$108,15,0)),0,VLOOKUP($U$92,'TAR FIN'!$A$1:$O$108,15,0))</f>
        <v>159.43</v>
      </c>
      <c r="Y92" s="6">
        <f ca="1">('TUSD BE'!$AM$21+'TUSD BF'!$AM$21+'TUSD CVA'!$AM$21)*1</f>
        <v>54.248421540039665</v>
      </c>
      <c r="Z92" s="6">
        <f ca="1">('TUSD BE'!$AM$23+'TUSD BF'!$AM$23+'TUSD CVA'!$AM$23)*1</f>
        <v>181.47641369790719</v>
      </c>
      <c r="AA92" s="6">
        <f>('TE BE'!$AB$10+'TE BF'!$AB$10+'TE CVA'!$AB$10)*1</f>
        <v>322.12477389224171</v>
      </c>
      <c r="AB92" s="6">
        <f>$K$92*$V$92</f>
        <v>311754.59999999998</v>
      </c>
      <c r="AC92" s="6">
        <f>$M$92*$W$92</f>
        <v>22101.474640000004</v>
      </c>
      <c r="AD92" s="6">
        <f>$O$92*$X$92</f>
        <v>34336.757960000003</v>
      </c>
      <c r="AE92" s="6">
        <f ca="1">$K$92*$Y$92</f>
        <v>303085.9311442016</v>
      </c>
      <c r="AF92" s="6">
        <f ca="1">$M$92*$Z$92</f>
        <v>39084.938170945672</v>
      </c>
      <c r="AG92" s="6">
        <f>$O$92*$AA$92</f>
        <v>69376.656802719881</v>
      </c>
    </row>
    <row r="93" spans="1:33" ht="11.25" customHeight="1" x14ac:dyDescent="0.25">
      <c r="A93" s="4" t="s">
        <v>21</v>
      </c>
      <c r="B93" s="4" t="s">
        <v>41</v>
      </c>
      <c r="C93" s="4" t="s">
        <v>40</v>
      </c>
      <c r="D93" s="4" t="s">
        <v>44</v>
      </c>
      <c r="E93" s="4" t="s">
        <v>25</v>
      </c>
      <c r="F93" s="4" t="s">
        <v>25</v>
      </c>
      <c r="G93" s="4" t="s">
        <v>25</v>
      </c>
      <c r="H93" s="4" t="s">
        <v>34</v>
      </c>
      <c r="I93" s="5">
        <v>44593</v>
      </c>
      <c r="J93" s="6">
        <v>5609</v>
      </c>
      <c r="K93" s="6">
        <v>5609</v>
      </c>
      <c r="L93" s="6">
        <v>206.74299999999999</v>
      </c>
      <c r="M93" s="6">
        <v>206.74299999999999</v>
      </c>
      <c r="N93" s="6">
        <v>206.74299999999999</v>
      </c>
      <c r="O93" s="6">
        <v>206.74299999999999</v>
      </c>
      <c r="P93" s="6">
        <v>0</v>
      </c>
      <c r="Q93" s="4" t="s">
        <v>26</v>
      </c>
      <c r="R93" s="4">
        <v>0</v>
      </c>
      <c r="S93" s="6">
        <v>42</v>
      </c>
      <c r="T93" s="6">
        <v>46</v>
      </c>
      <c r="U93" s="6">
        <v>75</v>
      </c>
      <c r="V93" s="6">
        <f>IF(ISERROR(VLOOKUP($S$93,'TAR FIN'!$A$1:$O$108,15,0)),0,VLOOKUP($S$93,'TAR FIN'!$A$1:$O$108,15,0))</f>
        <v>55.8</v>
      </c>
      <c r="W93" s="6">
        <f>IF(ISERROR(VLOOKUP($T$93,'TAR FIN'!$A$1:$O$108,15,0)),0,VLOOKUP($T$93,'TAR FIN'!$A$1:$O$108,15,0))</f>
        <v>102.62</v>
      </c>
      <c r="X93" s="6">
        <f>IF(ISERROR(VLOOKUP($U$93,'TAR FIN'!$A$1:$O$108,15,0)),0,VLOOKUP($U$93,'TAR FIN'!$A$1:$O$108,15,0))</f>
        <v>159.43</v>
      </c>
      <c r="Y93" s="6">
        <f ca="1">('TUSD BE'!$AM$21+'TUSD BF'!$AM$21+'TUSD CVA'!$AM$21)*1</f>
        <v>54.248421540039665</v>
      </c>
      <c r="Z93" s="6">
        <f ca="1">('TUSD BE'!$AM$23+'TUSD BF'!$AM$23+'TUSD CVA'!$AM$23)*1</f>
        <v>181.47641369790719</v>
      </c>
      <c r="AA93" s="6">
        <f>('TE BE'!$AB$10+'TE BF'!$AB$10+'TE CVA'!$AB$10)*1</f>
        <v>322.12477389224171</v>
      </c>
      <c r="AB93" s="6">
        <f>$K$93*$V$93</f>
        <v>312982.2</v>
      </c>
      <c r="AC93" s="6">
        <f>$M$93*$W$93</f>
        <v>21215.966660000002</v>
      </c>
      <c r="AD93" s="6">
        <f>$O$93*$X$93</f>
        <v>32961.036489999999</v>
      </c>
      <c r="AE93" s="6">
        <f ca="1">$K$93*$Y$93</f>
        <v>304279.39641808247</v>
      </c>
      <c r="AF93" s="6">
        <f ca="1">$M$93*$Z$93</f>
        <v>37518.978197146425</v>
      </c>
      <c r="AG93" s="6">
        <f>$O$93*$AA$93</f>
        <v>66597.042128803732</v>
      </c>
    </row>
    <row r="94" spans="1:33" ht="11.25" customHeight="1" x14ac:dyDescent="0.25">
      <c r="A94" s="4" t="s">
        <v>21</v>
      </c>
      <c r="B94" s="4" t="s">
        <v>41</v>
      </c>
      <c r="C94" s="4" t="s">
        <v>40</v>
      </c>
      <c r="D94" s="4" t="s">
        <v>44</v>
      </c>
      <c r="E94" s="4" t="s">
        <v>25</v>
      </c>
      <c r="F94" s="4" t="s">
        <v>25</v>
      </c>
      <c r="G94" s="4" t="s">
        <v>25</v>
      </c>
      <c r="H94" s="4" t="s">
        <v>34</v>
      </c>
      <c r="I94" s="5">
        <v>44621</v>
      </c>
      <c r="J94" s="6">
        <v>5597</v>
      </c>
      <c r="K94" s="6">
        <v>5597</v>
      </c>
      <c r="L94" s="6">
        <v>220.89099999999999</v>
      </c>
      <c r="M94" s="6">
        <v>220.89099999999999</v>
      </c>
      <c r="N94" s="6">
        <v>220.89099999999999</v>
      </c>
      <c r="O94" s="6">
        <v>220.89099999999999</v>
      </c>
      <c r="P94" s="6">
        <v>0</v>
      </c>
      <c r="Q94" s="4" t="s">
        <v>26</v>
      </c>
      <c r="R94" s="4">
        <v>0</v>
      </c>
      <c r="S94" s="6">
        <v>42</v>
      </c>
      <c r="T94" s="6">
        <v>46</v>
      </c>
      <c r="U94" s="6">
        <v>75</v>
      </c>
      <c r="V94" s="6">
        <f>IF(ISERROR(VLOOKUP($S$94,'TAR FIN'!$A$1:$O$108,15,0)),0,VLOOKUP($S$94,'TAR FIN'!$A$1:$O$108,15,0))</f>
        <v>55.8</v>
      </c>
      <c r="W94" s="6">
        <f>IF(ISERROR(VLOOKUP($T$94,'TAR FIN'!$A$1:$O$108,15,0)),0,VLOOKUP($T$94,'TAR FIN'!$A$1:$O$108,15,0))</f>
        <v>102.62</v>
      </c>
      <c r="X94" s="6">
        <f>IF(ISERROR(VLOOKUP($U$94,'TAR FIN'!$A$1:$O$108,15,0)),0,VLOOKUP($U$94,'TAR FIN'!$A$1:$O$108,15,0))</f>
        <v>159.43</v>
      </c>
      <c r="Y94" s="6">
        <f ca="1">('TUSD BE'!$AM$21+'TUSD BF'!$AM$21+'TUSD CVA'!$AM$21)*1</f>
        <v>54.248421540039665</v>
      </c>
      <c r="Z94" s="6">
        <f ca="1">('TUSD BE'!$AM$23+'TUSD BF'!$AM$23+'TUSD CVA'!$AM$23)*1</f>
        <v>181.47641369790719</v>
      </c>
      <c r="AA94" s="6">
        <f>('TE BE'!$AB$10+'TE BF'!$AB$10+'TE CVA'!$AB$10)*1</f>
        <v>322.12477389224171</v>
      </c>
      <c r="AB94" s="6">
        <f>$K$94*$V$94</f>
        <v>312312.59999999998</v>
      </c>
      <c r="AC94" s="6">
        <f>$M$94*$W$94</f>
        <v>22667.834419999999</v>
      </c>
      <c r="AD94" s="6">
        <f>$O$94*$X$94</f>
        <v>35216.652130000002</v>
      </c>
      <c r="AE94" s="6">
        <f ca="1">$K$94*$Y$94</f>
        <v>303628.41535960202</v>
      </c>
      <c r="AF94" s="6">
        <f ca="1">$M$94*$Z$94</f>
        <v>40086.506498144416</v>
      </c>
      <c r="AG94" s="6">
        <f>$O$94*$AA$94</f>
        <v>71154.463429831158</v>
      </c>
    </row>
    <row r="95" spans="1:33" ht="11.25" customHeight="1" x14ac:dyDescent="0.25">
      <c r="A95" s="4" t="s">
        <v>21</v>
      </c>
      <c r="B95" s="4" t="s">
        <v>41</v>
      </c>
      <c r="C95" s="4" t="s">
        <v>40</v>
      </c>
      <c r="D95" s="4" t="s">
        <v>44</v>
      </c>
      <c r="E95" s="4" t="s">
        <v>25</v>
      </c>
      <c r="F95" s="4" t="s">
        <v>25</v>
      </c>
      <c r="G95" s="4" t="s">
        <v>25</v>
      </c>
      <c r="H95" s="4" t="s">
        <v>34</v>
      </c>
      <c r="I95" s="5">
        <v>44652</v>
      </c>
      <c r="J95" s="6">
        <v>5601</v>
      </c>
      <c r="K95" s="6">
        <v>5601</v>
      </c>
      <c r="L95" s="6">
        <v>199.571</v>
      </c>
      <c r="M95" s="6">
        <v>199.571</v>
      </c>
      <c r="N95" s="6">
        <v>199.571</v>
      </c>
      <c r="O95" s="6">
        <v>199.571</v>
      </c>
      <c r="P95" s="6">
        <v>0</v>
      </c>
      <c r="Q95" s="4" t="s">
        <v>26</v>
      </c>
      <c r="R95" s="4">
        <v>0</v>
      </c>
      <c r="S95" s="6">
        <v>42</v>
      </c>
      <c r="T95" s="6">
        <v>46</v>
      </c>
      <c r="U95" s="6">
        <v>75</v>
      </c>
      <c r="V95" s="6">
        <f>IF(ISERROR(VLOOKUP($S$95,'TAR FIN'!$A$1:$O$108,15,0)),0,VLOOKUP($S$95,'TAR FIN'!$A$1:$O$108,15,0))</f>
        <v>55.8</v>
      </c>
      <c r="W95" s="6">
        <f>IF(ISERROR(VLOOKUP($T$95,'TAR FIN'!$A$1:$O$108,15,0)),0,VLOOKUP($T$95,'TAR FIN'!$A$1:$O$108,15,0))</f>
        <v>102.62</v>
      </c>
      <c r="X95" s="6">
        <f>IF(ISERROR(VLOOKUP($U$95,'TAR FIN'!$A$1:$O$108,15,0)),0,VLOOKUP($U$95,'TAR FIN'!$A$1:$O$108,15,0))</f>
        <v>159.43</v>
      </c>
      <c r="Y95" s="6">
        <f ca="1">('TUSD BE'!$AM$21+'TUSD BF'!$AM$21+'TUSD CVA'!$AM$21)*1</f>
        <v>54.248421540039665</v>
      </c>
      <c r="Z95" s="6">
        <f ca="1">('TUSD BE'!$AM$23+'TUSD BF'!$AM$23+'TUSD CVA'!$AM$23)*1</f>
        <v>181.47641369790719</v>
      </c>
      <c r="AA95" s="6">
        <f>('TE BE'!$AB$10+'TE BF'!$AB$10+'TE CVA'!$AB$10)*1</f>
        <v>322.12477389224171</v>
      </c>
      <c r="AB95" s="6">
        <f>$K$95*$V$95</f>
        <v>312535.8</v>
      </c>
      <c r="AC95" s="6">
        <f>$M$95*$W$95</f>
        <v>20479.976020000002</v>
      </c>
      <c r="AD95" s="6">
        <f>$O$95*$X$95</f>
        <v>31817.604530000001</v>
      </c>
      <c r="AE95" s="6">
        <f ca="1">$K$95*$Y$95</f>
        <v>303845.40904576215</v>
      </c>
      <c r="AF95" s="6">
        <f ca="1">$M$95*$Z$95</f>
        <v>36217.429358105037</v>
      </c>
      <c r="AG95" s="6">
        <f>$O$95*$AA$95</f>
        <v>64286.763250448566</v>
      </c>
    </row>
    <row r="96" spans="1:33" ht="11.25" customHeight="1" x14ac:dyDescent="0.25">
      <c r="A96" s="4" t="s">
        <v>21</v>
      </c>
      <c r="B96" s="4" t="s">
        <v>41</v>
      </c>
      <c r="C96" s="4" t="s">
        <v>40</v>
      </c>
      <c r="D96" s="4" t="s">
        <v>44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44682</v>
      </c>
      <c r="J96" s="6">
        <v>5616</v>
      </c>
      <c r="K96" s="6">
        <v>5616</v>
      </c>
      <c r="L96" s="6">
        <v>221.392</v>
      </c>
      <c r="M96" s="6">
        <v>221.392</v>
      </c>
      <c r="N96" s="6">
        <v>221.392</v>
      </c>
      <c r="O96" s="6">
        <v>221.392</v>
      </c>
      <c r="P96" s="6">
        <v>0</v>
      </c>
      <c r="Q96" s="4" t="s">
        <v>26</v>
      </c>
      <c r="R96" s="4">
        <v>0</v>
      </c>
      <c r="S96" s="6">
        <v>42</v>
      </c>
      <c r="T96" s="6">
        <v>46</v>
      </c>
      <c r="U96" s="6">
        <v>75</v>
      </c>
      <c r="V96" s="6">
        <f>IF(ISERROR(VLOOKUP($S$96,'TAR FIN'!$A$1:$O$108,15,0)),0,VLOOKUP($S$96,'TAR FIN'!$A$1:$O$108,15,0))</f>
        <v>55.8</v>
      </c>
      <c r="W96" s="6">
        <f>IF(ISERROR(VLOOKUP($T$96,'TAR FIN'!$A$1:$O$108,15,0)),0,VLOOKUP($T$96,'TAR FIN'!$A$1:$O$108,15,0))</f>
        <v>102.62</v>
      </c>
      <c r="X96" s="6">
        <f>IF(ISERROR(VLOOKUP($U$96,'TAR FIN'!$A$1:$O$108,15,0)),0,VLOOKUP($U$96,'TAR FIN'!$A$1:$O$108,15,0))</f>
        <v>159.43</v>
      </c>
      <c r="Y96" s="6">
        <f ca="1">('TUSD BE'!$AM$21+'TUSD BF'!$AM$21+'TUSD CVA'!$AM$21)*1</f>
        <v>54.248421540039665</v>
      </c>
      <c r="Z96" s="6">
        <f ca="1">('TUSD BE'!$AM$23+'TUSD BF'!$AM$23+'TUSD CVA'!$AM$23)*1</f>
        <v>181.47641369790719</v>
      </c>
      <c r="AA96" s="6">
        <f>('TE BE'!$AB$10+'TE BF'!$AB$10+'TE CVA'!$AB$10)*1</f>
        <v>322.12477389224171</v>
      </c>
      <c r="AB96" s="6">
        <f>$K$96*$V$96</f>
        <v>313372.79999999999</v>
      </c>
      <c r="AC96" s="6">
        <f>$M$96*$W$96</f>
        <v>22719.247040000002</v>
      </c>
      <c r="AD96" s="6">
        <f>$O$96*$X$96</f>
        <v>35296.526559999998</v>
      </c>
      <c r="AE96" s="6">
        <f ca="1">$K$96*$Y$96</f>
        <v>304659.13536886277</v>
      </c>
      <c r="AF96" s="6">
        <f ca="1">$M$96*$Z$96</f>
        <v>40177.426181407071</v>
      </c>
      <c r="AG96" s="6">
        <f>$O$96*$AA$96</f>
        <v>71315.847941551168</v>
      </c>
    </row>
    <row r="97" spans="1:33" ht="11.25" customHeight="1" x14ac:dyDescent="0.25">
      <c r="A97" s="4" t="s">
        <v>21</v>
      </c>
      <c r="B97" s="4" t="s">
        <v>41</v>
      </c>
      <c r="C97" s="4" t="s">
        <v>40</v>
      </c>
      <c r="D97" s="4" t="s">
        <v>44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44713</v>
      </c>
      <c r="J97" s="6">
        <v>5617</v>
      </c>
      <c r="K97" s="6">
        <v>5617</v>
      </c>
      <c r="L97" s="6">
        <v>224.91399999999999</v>
      </c>
      <c r="M97" s="6">
        <v>224.91399999999999</v>
      </c>
      <c r="N97" s="6">
        <v>224.91399999999999</v>
      </c>
      <c r="O97" s="6">
        <v>224.91399999999999</v>
      </c>
      <c r="P97" s="6">
        <v>0</v>
      </c>
      <c r="Q97" s="4" t="s">
        <v>26</v>
      </c>
      <c r="R97" s="4">
        <v>0</v>
      </c>
      <c r="S97" s="6">
        <v>42</v>
      </c>
      <c r="T97" s="6">
        <v>46</v>
      </c>
      <c r="U97" s="6">
        <v>75</v>
      </c>
      <c r="V97" s="6">
        <f>IF(ISERROR(VLOOKUP($S$97,'TAR FIN'!$A$1:$O$108,15,0)),0,VLOOKUP($S$97,'TAR FIN'!$A$1:$O$108,15,0))</f>
        <v>55.8</v>
      </c>
      <c r="W97" s="6">
        <f>IF(ISERROR(VLOOKUP($T$97,'TAR FIN'!$A$1:$O$108,15,0)),0,VLOOKUP($T$97,'TAR FIN'!$A$1:$O$108,15,0))</f>
        <v>102.62</v>
      </c>
      <c r="X97" s="6">
        <f>IF(ISERROR(VLOOKUP($U$97,'TAR FIN'!$A$1:$O$108,15,0)),0,VLOOKUP($U$97,'TAR FIN'!$A$1:$O$108,15,0))</f>
        <v>159.43</v>
      </c>
      <c r="Y97" s="6">
        <f ca="1">('TUSD BE'!$AM$21+'TUSD BF'!$AM$21+'TUSD CVA'!$AM$21)*1</f>
        <v>54.248421540039665</v>
      </c>
      <c r="Z97" s="6">
        <f ca="1">('TUSD BE'!$AM$23+'TUSD BF'!$AM$23+'TUSD CVA'!$AM$23)*1</f>
        <v>181.47641369790719</v>
      </c>
      <c r="AA97" s="6">
        <f>('TE BE'!$AB$10+'TE BF'!$AB$10+'TE CVA'!$AB$10)*1</f>
        <v>322.12477389224171</v>
      </c>
      <c r="AB97" s="6">
        <f>$K$97*$V$97</f>
        <v>313428.59999999998</v>
      </c>
      <c r="AC97" s="6">
        <f>$M$97*$W$97</f>
        <v>23080.67468</v>
      </c>
      <c r="AD97" s="6">
        <f>$O$97*$X$97</f>
        <v>35858.039019999997</v>
      </c>
      <c r="AE97" s="6">
        <f ca="1">$K$97*$Y$97</f>
        <v>304713.38379040279</v>
      </c>
      <c r="AF97" s="6">
        <f ca="1">$M$97*$Z$97</f>
        <v>40816.586110451099</v>
      </c>
      <c r="AG97" s="6">
        <f>$O$97*$AA$97</f>
        <v>72450.371395199647</v>
      </c>
    </row>
    <row r="98" spans="1:33" ht="11.25" customHeight="1" x14ac:dyDescent="0.25">
      <c r="A98" s="4" t="s">
        <v>21</v>
      </c>
      <c r="B98" s="4" t="s">
        <v>41</v>
      </c>
      <c r="C98" s="4" t="s">
        <v>40</v>
      </c>
      <c r="D98" s="4" t="s">
        <v>44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44743</v>
      </c>
      <c r="J98" s="6">
        <v>6056</v>
      </c>
      <c r="K98" s="6">
        <v>6056</v>
      </c>
      <c r="L98" s="6">
        <v>231.04400000000001</v>
      </c>
      <c r="M98" s="6">
        <v>231.04400000000001</v>
      </c>
      <c r="N98" s="6">
        <v>231.04400000000001</v>
      </c>
      <c r="O98" s="6">
        <v>231.04400000000001</v>
      </c>
      <c r="P98" s="6">
        <v>0</v>
      </c>
      <c r="Q98" s="4" t="s">
        <v>26</v>
      </c>
      <c r="R98" s="4">
        <v>0</v>
      </c>
      <c r="S98" s="6">
        <v>42</v>
      </c>
      <c r="T98" s="6">
        <v>46</v>
      </c>
      <c r="U98" s="6">
        <v>75</v>
      </c>
      <c r="V98" s="6">
        <f>IF(ISERROR(VLOOKUP($S$98,'TAR FIN'!$A$1:$O$108,15,0)),0,VLOOKUP($S$98,'TAR FIN'!$A$1:$O$108,15,0))</f>
        <v>55.8</v>
      </c>
      <c r="W98" s="6">
        <f>IF(ISERROR(VLOOKUP($T$98,'TAR FIN'!$A$1:$O$108,15,0)),0,VLOOKUP($T$98,'TAR FIN'!$A$1:$O$108,15,0))</f>
        <v>102.62</v>
      </c>
      <c r="X98" s="6">
        <f>IF(ISERROR(VLOOKUP($U$98,'TAR FIN'!$A$1:$O$108,15,0)),0,VLOOKUP($U$98,'TAR FIN'!$A$1:$O$108,15,0))</f>
        <v>159.43</v>
      </c>
      <c r="Y98" s="6">
        <f ca="1">('TUSD BE'!$AM$21+'TUSD BF'!$AM$21+'TUSD CVA'!$AM$21)*1</f>
        <v>54.248421540039665</v>
      </c>
      <c r="Z98" s="6">
        <f ca="1">('TUSD BE'!$AM$23+'TUSD BF'!$AM$23+'TUSD CVA'!$AM$23)*1</f>
        <v>181.47641369790719</v>
      </c>
      <c r="AA98" s="6">
        <f>('TE BE'!$AB$10+'TE BF'!$AB$10+'TE CVA'!$AB$10)*1</f>
        <v>322.12477389224171</v>
      </c>
      <c r="AB98" s="6">
        <f>$K$98*$V$98</f>
        <v>337924.8</v>
      </c>
      <c r="AC98" s="6">
        <f>$M$98*$W$98</f>
        <v>23709.735280000001</v>
      </c>
      <c r="AD98" s="6">
        <f>$O$98*$X$98</f>
        <v>36835.344920000003</v>
      </c>
      <c r="AE98" s="6">
        <f ca="1">$K$98*$Y$98</f>
        <v>328528.4408464802</v>
      </c>
      <c r="AF98" s="6">
        <f ca="1">$M$98*$Z$98</f>
        <v>41929.036526419273</v>
      </c>
      <c r="AG98" s="6">
        <f>$O$98*$AA$98</f>
        <v>74424.996259159103</v>
      </c>
    </row>
    <row r="99" spans="1:33" ht="11.25" customHeight="1" x14ac:dyDescent="0.25">
      <c r="A99" s="4" t="s">
        <v>21</v>
      </c>
      <c r="B99" s="4" t="s">
        <v>41</v>
      </c>
      <c r="C99" s="4" t="s">
        <v>40</v>
      </c>
      <c r="D99" s="4" t="s">
        <v>44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44774</v>
      </c>
      <c r="J99" s="6">
        <v>6004</v>
      </c>
      <c r="K99" s="6">
        <v>6004</v>
      </c>
      <c r="L99" s="6">
        <v>263.37200000000001</v>
      </c>
      <c r="M99" s="6">
        <v>263.37200000000001</v>
      </c>
      <c r="N99" s="6">
        <v>263.37200000000001</v>
      </c>
      <c r="O99" s="6">
        <v>263.37200000000001</v>
      </c>
      <c r="P99" s="6">
        <v>0</v>
      </c>
      <c r="Q99" s="4" t="s">
        <v>26</v>
      </c>
      <c r="R99" s="4">
        <v>0</v>
      </c>
      <c r="S99" s="6">
        <v>42</v>
      </c>
      <c r="T99" s="6">
        <v>46</v>
      </c>
      <c r="U99" s="6">
        <v>75</v>
      </c>
      <c r="V99" s="6">
        <f>IF(ISERROR(VLOOKUP($S$99,'TAR FIN'!$A$1:$O$108,15,0)),0,VLOOKUP($S$99,'TAR FIN'!$A$1:$O$108,15,0))</f>
        <v>55.8</v>
      </c>
      <c r="W99" s="6">
        <f>IF(ISERROR(VLOOKUP($T$99,'TAR FIN'!$A$1:$O$108,15,0)),0,VLOOKUP($T$99,'TAR FIN'!$A$1:$O$108,15,0))</f>
        <v>102.62</v>
      </c>
      <c r="X99" s="6">
        <f>IF(ISERROR(VLOOKUP($U$99,'TAR FIN'!$A$1:$O$108,15,0)),0,VLOOKUP($U$99,'TAR FIN'!$A$1:$O$108,15,0))</f>
        <v>159.43</v>
      </c>
      <c r="Y99" s="6">
        <f ca="1">('TUSD BE'!$AM$21+'TUSD BF'!$AM$21+'TUSD CVA'!$AM$21)*1</f>
        <v>54.248421540039665</v>
      </c>
      <c r="Z99" s="6">
        <f ca="1">('TUSD BE'!$AM$23+'TUSD BF'!$AM$23+'TUSD CVA'!$AM$23)*1</f>
        <v>181.47641369790719</v>
      </c>
      <c r="AA99" s="6">
        <f>('TE BE'!$AB$10+'TE BF'!$AB$10+'TE CVA'!$AB$10)*1</f>
        <v>322.12477389224171</v>
      </c>
      <c r="AB99" s="6">
        <f>$K$99*$V$99</f>
        <v>335023.2</v>
      </c>
      <c r="AC99" s="6">
        <f>$M$99*$W$99</f>
        <v>27027.234640000002</v>
      </c>
      <c r="AD99" s="6">
        <f>$O$99*$X$99</f>
        <v>41989.397960000002</v>
      </c>
      <c r="AE99" s="6">
        <f ca="1">$K$99*$Y$99</f>
        <v>325707.52292639815</v>
      </c>
      <c r="AF99" s="6">
        <f ca="1">$M$99*$Z$99</f>
        <v>47795.806028445215</v>
      </c>
      <c r="AG99" s="6">
        <f>$O$99*$AA$99</f>
        <v>84838.645949547485</v>
      </c>
    </row>
    <row r="100" spans="1:33" ht="11.25" customHeight="1" x14ac:dyDescent="0.25">
      <c r="A100" s="4" t="s">
        <v>27</v>
      </c>
      <c r="B100" s="4" t="s">
        <v>41</v>
      </c>
      <c r="C100" s="4" t="s">
        <v>40</v>
      </c>
      <c r="D100" s="4" t="s">
        <v>44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44774</v>
      </c>
      <c r="J100" s="6">
        <v>-64</v>
      </c>
      <c r="K100" s="6">
        <v>-64</v>
      </c>
      <c r="L100" s="6">
        <v>-1E-3</v>
      </c>
      <c r="M100" s="6">
        <v>-1E-3</v>
      </c>
      <c r="N100" s="6">
        <v>-1E-3</v>
      </c>
      <c r="O100" s="6">
        <v>-1E-3</v>
      </c>
      <c r="P100" s="6">
        <v>0</v>
      </c>
      <c r="Q100" s="4" t="s">
        <v>26</v>
      </c>
      <c r="R100" s="4">
        <v>0</v>
      </c>
      <c r="S100" s="6">
        <v>42</v>
      </c>
      <c r="T100" s="6">
        <v>46</v>
      </c>
      <c r="U100" s="6">
        <v>75</v>
      </c>
      <c r="V100" s="6">
        <f>IF(ISERROR(VLOOKUP($S$100,'TAR FIN'!$A$1:$O$108,15,0)),0,VLOOKUP($S$100,'TAR FIN'!$A$1:$O$108,15,0))</f>
        <v>55.8</v>
      </c>
      <c r="W100" s="6">
        <f>IF(ISERROR(VLOOKUP($T$100,'TAR FIN'!$A$1:$O$108,15,0)),0,VLOOKUP($T$100,'TAR FIN'!$A$1:$O$108,15,0))</f>
        <v>102.62</v>
      </c>
      <c r="X100" s="6">
        <f>IF(ISERROR(VLOOKUP($U$100,'TAR FIN'!$A$1:$O$108,15,0)),0,VLOOKUP($U$100,'TAR FIN'!$A$1:$O$108,15,0))</f>
        <v>159.43</v>
      </c>
      <c r="Y100" s="6">
        <f ca="1">('TUSD BE'!$AM$21+'TUSD BF'!$AM$21+'TUSD CVA'!$AM$21)*1</f>
        <v>54.248421540039665</v>
      </c>
      <c r="Z100" s="6">
        <f ca="1">('TUSD BE'!$AM$23+'TUSD BF'!$AM$23+'TUSD CVA'!$AM$23)*1</f>
        <v>181.47641369790719</v>
      </c>
      <c r="AA100" s="6">
        <f>('TE BE'!$AB$10+'TE BF'!$AB$10+'TE CVA'!$AB$10)*1</f>
        <v>322.12477389224171</v>
      </c>
      <c r="AB100" s="6">
        <f>$K$100*$V$100</f>
        <v>-3571.2</v>
      </c>
      <c r="AC100" s="6">
        <f>$M$100*$W$100</f>
        <v>-0.10262</v>
      </c>
      <c r="AD100" s="6">
        <f>$O$100*$X$100</f>
        <v>-0.15943000000000002</v>
      </c>
      <c r="AE100" s="6">
        <f ca="1">$K$100*$Y$100</f>
        <v>-3471.8989785625386</v>
      </c>
      <c r="AF100" s="6">
        <f ca="1">$M$100*$Z$100</f>
        <v>-0.18147641369790721</v>
      </c>
      <c r="AG100" s="6">
        <f>$O$100*$AA$100</f>
        <v>-0.3221247738922417</v>
      </c>
    </row>
    <row r="101" spans="1:33" ht="11.25" customHeight="1" x14ac:dyDescent="0.25">
      <c r="A101" s="4" t="s">
        <v>21</v>
      </c>
      <c r="B101" s="4" t="s">
        <v>41</v>
      </c>
      <c r="C101" s="4" t="s">
        <v>40</v>
      </c>
      <c r="D101" s="4" t="s">
        <v>44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44805</v>
      </c>
      <c r="J101" s="6">
        <v>6005</v>
      </c>
      <c r="K101" s="6">
        <v>6005</v>
      </c>
      <c r="L101" s="6">
        <v>258.09500000000003</v>
      </c>
      <c r="M101" s="6">
        <v>258.09500000000003</v>
      </c>
      <c r="N101" s="6">
        <v>258.09500000000003</v>
      </c>
      <c r="O101" s="6">
        <v>258.09500000000003</v>
      </c>
      <c r="P101" s="6">
        <v>0</v>
      </c>
      <c r="Q101" s="4" t="s">
        <v>26</v>
      </c>
      <c r="R101" s="4">
        <v>0</v>
      </c>
      <c r="S101" s="6">
        <v>42</v>
      </c>
      <c r="T101" s="6">
        <v>46</v>
      </c>
      <c r="U101" s="6">
        <v>75</v>
      </c>
      <c r="V101" s="6">
        <f>IF(ISERROR(VLOOKUP($S$101,'TAR FIN'!$A$1:$O$108,15,0)),0,VLOOKUP($S$101,'TAR FIN'!$A$1:$O$108,15,0))</f>
        <v>55.8</v>
      </c>
      <c r="W101" s="6">
        <f>IF(ISERROR(VLOOKUP($T$101,'TAR FIN'!$A$1:$O$108,15,0)),0,VLOOKUP($T$101,'TAR FIN'!$A$1:$O$108,15,0))</f>
        <v>102.62</v>
      </c>
      <c r="X101" s="6">
        <f>IF(ISERROR(VLOOKUP($U$101,'TAR FIN'!$A$1:$O$108,15,0)),0,VLOOKUP($U$101,'TAR FIN'!$A$1:$O$108,15,0))</f>
        <v>159.43</v>
      </c>
      <c r="Y101" s="6">
        <f ca="1">('TUSD BE'!$AM$21+'TUSD BF'!$AM$21+'TUSD CVA'!$AM$21)*1</f>
        <v>54.248421540039665</v>
      </c>
      <c r="Z101" s="6">
        <f ca="1">('TUSD BE'!$AM$23+'TUSD BF'!$AM$23+'TUSD CVA'!$AM$23)*1</f>
        <v>181.47641369790719</v>
      </c>
      <c r="AA101" s="6">
        <f>('TE BE'!$AB$10+'TE BF'!$AB$10+'TE CVA'!$AB$10)*1</f>
        <v>322.12477389224171</v>
      </c>
      <c r="AB101" s="6">
        <f>$K$101*$V$101</f>
        <v>335079</v>
      </c>
      <c r="AC101" s="6">
        <f>$M$101*$W$101</f>
        <v>26485.708900000005</v>
      </c>
      <c r="AD101" s="6">
        <f>$O$101*$X$101</f>
        <v>41148.085850000003</v>
      </c>
      <c r="AE101" s="6">
        <f ca="1">$K$101*$Y$101</f>
        <v>325761.77134793816</v>
      </c>
      <c r="AF101" s="6">
        <f ca="1">$M$101*$Z$101</f>
        <v>46838.154993361364</v>
      </c>
      <c r="AG101" s="6">
        <f>$O$101*$AA$101</f>
        <v>83138.793517718135</v>
      </c>
    </row>
    <row r="102" spans="1:33" ht="11.25" customHeight="1" x14ac:dyDescent="0.25">
      <c r="A102" s="4" t="s">
        <v>27</v>
      </c>
      <c r="B102" s="4" t="s">
        <v>41</v>
      </c>
      <c r="C102" s="4" t="s">
        <v>40</v>
      </c>
      <c r="D102" s="4" t="s">
        <v>44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44805</v>
      </c>
      <c r="J102" s="6">
        <v>-2</v>
      </c>
      <c r="K102" s="6">
        <v>-2</v>
      </c>
      <c r="L102" s="6">
        <v>-1.2</v>
      </c>
      <c r="M102" s="6">
        <v>-1.2</v>
      </c>
      <c r="N102" s="6">
        <v>-1.2</v>
      </c>
      <c r="O102" s="6">
        <v>-1.2</v>
      </c>
      <c r="P102" s="6">
        <v>0</v>
      </c>
      <c r="Q102" s="4" t="s">
        <v>26</v>
      </c>
      <c r="R102" s="4">
        <v>0</v>
      </c>
      <c r="S102" s="6">
        <v>42</v>
      </c>
      <c r="T102" s="6">
        <v>46</v>
      </c>
      <c r="U102" s="6">
        <v>75</v>
      </c>
      <c r="V102" s="6">
        <f>IF(ISERROR(VLOOKUP($S$102,'TAR FIN'!$A$1:$O$108,15,0)),0,VLOOKUP($S$102,'TAR FIN'!$A$1:$O$108,15,0))</f>
        <v>55.8</v>
      </c>
      <c r="W102" s="6">
        <f>IF(ISERROR(VLOOKUP($T$102,'TAR FIN'!$A$1:$O$108,15,0)),0,VLOOKUP($T$102,'TAR FIN'!$A$1:$O$108,15,0))</f>
        <v>102.62</v>
      </c>
      <c r="X102" s="6">
        <f>IF(ISERROR(VLOOKUP($U$102,'TAR FIN'!$A$1:$O$108,15,0)),0,VLOOKUP($U$102,'TAR FIN'!$A$1:$O$108,15,0))</f>
        <v>159.43</v>
      </c>
      <c r="Y102" s="6">
        <f ca="1">('TUSD BE'!$AM$21+'TUSD BF'!$AM$21+'TUSD CVA'!$AM$21)*1</f>
        <v>54.248421540039665</v>
      </c>
      <c r="Z102" s="6">
        <f ca="1">('TUSD BE'!$AM$23+'TUSD BF'!$AM$23+'TUSD CVA'!$AM$23)*1</f>
        <v>181.47641369790719</v>
      </c>
      <c r="AA102" s="6">
        <f>('TE BE'!$AB$10+'TE BF'!$AB$10+'TE CVA'!$AB$10)*1</f>
        <v>322.12477389224171</v>
      </c>
      <c r="AB102" s="6">
        <f>$K$102*$V$102</f>
        <v>-111.6</v>
      </c>
      <c r="AC102" s="6">
        <f>$M$102*$W$102</f>
        <v>-123.14400000000001</v>
      </c>
      <c r="AD102" s="6">
        <f>$O$102*$X$102</f>
        <v>-191.316</v>
      </c>
      <c r="AE102" s="6">
        <f ca="1">$K$102*$Y$102</f>
        <v>-108.49684308007933</v>
      </c>
      <c r="AF102" s="6">
        <f ca="1">$M$102*$Z$102</f>
        <v>-217.77169643748863</v>
      </c>
      <c r="AG102" s="6">
        <f>$O$102*$AA$102</f>
        <v>-386.54972867069006</v>
      </c>
    </row>
    <row r="103" spans="1:33" ht="11.25" customHeight="1" x14ac:dyDescent="0.25">
      <c r="A103" s="4" t="s">
        <v>21</v>
      </c>
      <c r="B103" s="4" t="s">
        <v>41</v>
      </c>
      <c r="C103" s="4" t="s">
        <v>40</v>
      </c>
      <c r="D103" s="4" t="s">
        <v>44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44835</v>
      </c>
      <c r="J103" s="6">
        <v>5938</v>
      </c>
      <c r="K103" s="6">
        <v>5938</v>
      </c>
      <c r="L103" s="6">
        <v>248.38200000000001</v>
      </c>
      <c r="M103" s="6">
        <v>248.38200000000001</v>
      </c>
      <c r="N103" s="6">
        <v>248.38200000000001</v>
      </c>
      <c r="O103" s="6">
        <v>248.38200000000001</v>
      </c>
      <c r="P103" s="6">
        <v>0</v>
      </c>
      <c r="Q103" s="4" t="s">
        <v>26</v>
      </c>
      <c r="R103" s="4">
        <v>0</v>
      </c>
      <c r="S103" s="6">
        <v>42</v>
      </c>
      <c r="T103" s="6">
        <v>46</v>
      </c>
      <c r="U103" s="6">
        <v>75</v>
      </c>
      <c r="V103" s="6">
        <f>IF(ISERROR(VLOOKUP($S$103,'TAR FIN'!$A$1:$O$108,15,0)),0,VLOOKUP($S$103,'TAR FIN'!$A$1:$O$108,15,0))</f>
        <v>55.8</v>
      </c>
      <c r="W103" s="6">
        <f>IF(ISERROR(VLOOKUP($T$103,'TAR FIN'!$A$1:$O$108,15,0)),0,VLOOKUP($T$103,'TAR FIN'!$A$1:$O$108,15,0))</f>
        <v>102.62</v>
      </c>
      <c r="X103" s="6">
        <f>IF(ISERROR(VLOOKUP($U$103,'TAR FIN'!$A$1:$O$108,15,0)),0,VLOOKUP($U$103,'TAR FIN'!$A$1:$O$108,15,0))</f>
        <v>159.43</v>
      </c>
      <c r="Y103" s="6">
        <f ca="1">('TUSD BE'!$AM$21+'TUSD BF'!$AM$21+'TUSD CVA'!$AM$21)*1</f>
        <v>54.248421540039665</v>
      </c>
      <c r="Z103" s="6">
        <f ca="1">('TUSD BE'!$AM$23+'TUSD BF'!$AM$23+'TUSD CVA'!$AM$23)*1</f>
        <v>181.47641369790719</v>
      </c>
      <c r="AA103" s="6">
        <f>('TE BE'!$AB$10+'TE BF'!$AB$10+'TE CVA'!$AB$10)*1</f>
        <v>322.12477389224171</v>
      </c>
      <c r="AB103" s="6">
        <f>$K$103*$V$103</f>
        <v>331340.39999999997</v>
      </c>
      <c r="AC103" s="6">
        <f>$M$103*$W$103</f>
        <v>25488.960840000003</v>
      </c>
      <c r="AD103" s="6">
        <f>$O$103*$X$103</f>
        <v>39599.542260000002</v>
      </c>
      <c r="AE103" s="6">
        <f ca="1">$K$103*$Y$103</f>
        <v>322127.12710475555</v>
      </c>
      <c r="AF103" s="6">
        <f ca="1">$M$103*$Z$103</f>
        <v>45075.474587113582</v>
      </c>
      <c r="AG103" s="6">
        <f>$O$103*$AA$103</f>
        <v>80009.995588902777</v>
      </c>
    </row>
    <row r="104" spans="1:33" ht="11.25" customHeight="1" x14ac:dyDescent="0.25">
      <c r="A104" s="4" t="s">
        <v>54</v>
      </c>
      <c r="B104" s="4" t="s">
        <v>41</v>
      </c>
      <c r="C104" s="4" t="s">
        <v>40</v>
      </c>
      <c r="D104" s="4" t="s">
        <v>44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44866</v>
      </c>
      <c r="J104" s="6">
        <v>5938</v>
      </c>
      <c r="K104" s="6">
        <v>5938</v>
      </c>
      <c r="L104" s="6">
        <v>248.38200000000001</v>
      </c>
      <c r="M104" s="6">
        <v>248.38200000000001</v>
      </c>
      <c r="N104" s="6">
        <v>248.38200000000001</v>
      </c>
      <c r="O104" s="6">
        <v>248.38200000000001</v>
      </c>
      <c r="P104" s="6">
        <v>0</v>
      </c>
      <c r="Q104" s="4" t="s">
        <v>26</v>
      </c>
      <c r="R104" s="4">
        <v>0</v>
      </c>
      <c r="S104" s="6">
        <v>42</v>
      </c>
      <c r="T104" s="6">
        <v>46</v>
      </c>
      <c r="U104" s="6">
        <v>75</v>
      </c>
      <c r="V104" s="6">
        <f>IF(ISERROR(VLOOKUP($S$104,'TAR FIN'!$A$1:$O$108,15,0)),0,VLOOKUP($S$104,'TAR FIN'!$A$1:$O$108,15,0))</f>
        <v>55.8</v>
      </c>
      <c r="W104" s="6">
        <f>IF(ISERROR(VLOOKUP($T$104,'TAR FIN'!$A$1:$O$108,15,0)),0,VLOOKUP($T$104,'TAR FIN'!$A$1:$O$108,15,0))</f>
        <v>102.62</v>
      </c>
      <c r="X104" s="6">
        <f>IF(ISERROR(VLOOKUP($U$104,'TAR FIN'!$A$1:$O$108,15,0)),0,VLOOKUP($U$104,'TAR FIN'!$A$1:$O$108,15,0))</f>
        <v>159.43</v>
      </c>
      <c r="Y104" s="6">
        <f ca="1">('TUSD BE'!$AM$21+'TUSD BF'!$AM$21+'TUSD CVA'!$AM$21)*1</f>
        <v>54.248421540039665</v>
      </c>
      <c r="Z104" s="6">
        <f ca="1">('TUSD BE'!$AM$23+'TUSD BF'!$AM$23+'TUSD CVA'!$AM$23)*1</f>
        <v>181.47641369790719</v>
      </c>
      <c r="AA104" s="6">
        <f>('TE BE'!$AB$10+'TE BF'!$AB$10+'TE CVA'!$AB$10)*1</f>
        <v>322.12477389224171</v>
      </c>
      <c r="AB104" s="6">
        <f>$K$104*$V$104</f>
        <v>331340.39999999997</v>
      </c>
      <c r="AC104" s="6">
        <f>$M$104*$W$104</f>
        <v>25488.960840000003</v>
      </c>
      <c r="AD104" s="6">
        <f>$O$104*$X$104</f>
        <v>39599.542260000002</v>
      </c>
      <c r="AE104" s="6">
        <f ca="1">$K$104*$Y$104</f>
        <v>322127.12710475555</v>
      </c>
      <c r="AF104" s="6">
        <f ca="1">$M$104*$Z$104</f>
        <v>45075.474587113582</v>
      </c>
      <c r="AG104" s="6">
        <f>$O$104*$AA$104</f>
        <v>80009.995588902777</v>
      </c>
    </row>
    <row r="105" spans="1:33" ht="11.25" customHeight="1" x14ac:dyDescent="0.25">
      <c r="A105" s="4" t="s">
        <v>21</v>
      </c>
      <c r="B105" s="4" t="s">
        <v>41</v>
      </c>
      <c r="C105" s="4" t="s">
        <v>40</v>
      </c>
      <c r="D105" s="4" t="s">
        <v>38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2410</v>
      </c>
      <c r="K105" s="6">
        <v>2410</v>
      </c>
      <c r="L105" s="6">
        <v>688.51</v>
      </c>
      <c r="M105" s="6">
        <v>688.51</v>
      </c>
      <c r="N105" s="6">
        <v>688.51</v>
      </c>
      <c r="O105" s="6">
        <v>688.51</v>
      </c>
      <c r="P105" s="6">
        <v>0</v>
      </c>
      <c r="Q105" s="4" t="s">
        <v>26</v>
      </c>
      <c r="R105" s="4">
        <v>0</v>
      </c>
      <c r="S105" s="6">
        <v>43</v>
      </c>
      <c r="T105" s="6">
        <v>46</v>
      </c>
      <c r="U105" s="6">
        <v>76</v>
      </c>
      <c r="V105" s="6">
        <f>IF(ISERROR(VLOOKUP($S$105,'TAR FIN'!$A$1:$O$108,15,0)),0,VLOOKUP($S$105,'TAR FIN'!$A$1:$O$108,15,0))</f>
        <v>21.38</v>
      </c>
      <c r="W105" s="6">
        <f>IF(ISERROR(VLOOKUP($T$105,'TAR FIN'!$A$1:$O$108,15,0)),0,VLOOKUP($T$105,'TAR FIN'!$A$1:$O$108,15,0))</f>
        <v>102.62</v>
      </c>
      <c r="X105" s="6">
        <f>IF(ISERROR(VLOOKUP($U$105,'TAR FIN'!$A$1:$O$108,15,0)),0,VLOOKUP($U$105,'TAR FIN'!$A$1:$O$108,15,0))</f>
        <v>103.1</v>
      </c>
      <c r="Y105" s="6">
        <f ca="1">('TUSD BE'!$AM$22+'TUSD BF'!$AM$22+'TUSD CVA'!$AM$22)*1</f>
        <v>21.189390814529755</v>
      </c>
      <c r="Z105" s="6">
        <f ca="1">('TUSD BE'!$AM$23+'TUSD BF'!$AM$23+'TUSD CVA'!$AM$23)*1</f>
        <v>181.47641369790719</v>
      </c>
      <c r="AA105" s="6">
        <f>('TE BE'!$AB$11+'TE BF'!$AB$11+'TE CVA'!$AB$11)*1</f>
        <v>215.60278025898469</v>
      </c>
      <c r="AB105" s="6">
        <f>$K$105*$V$105</f>
        <v>51525.799999999996</v>
      </c>
      <c r="AC105" s="6">
        <f>$M$105*$W$105</f>
        <v>70654.896200000003</v>
      </c>
      <c r="AD105" s="6">
        <f>$O$105*$X$105</f>
        <v>70985.380999999994</v>
      </c>
      <c r="AE105" s="6">
        <f ca="1">$K$105*$Y$105</f>
        <v>51066.431863016711</v>
      </c>
      <c r="AF105" s="6">
        <f ca="1">$M$105*$Z$105</f>
        <v>124948.32559514607</v>
      </c>
      <c r="AG105" s="6">
        <f>$O$105*$AA$105</f>
        <v>148444.67023611354</v>
      </c>
    </row>
    <row r="106" spans="1:33" ht="11.25" customHeight="1" x14ac:dyDescent="0.25">
      <c r="A106" s="4" t="s">
        <v>21</v>
      </c>
      <c r="B106" s="4" t="s">
        <v>41</v>
      </c>
      <c r="C106" s="4" t="s">
        <v>40</v>
      </c>
      <c r="D106" s="4" t="s">
        <v>38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44562</v>
      </c>
      <c r="J106" s="6">
        <v>2410</v>
      </c>
      <c r="K106" s="6">
        <v>2410</v>
      </c>
      <c r="L106" s="6">
        <v>677.81700000000001</v>
      </c>
      <c r="M106" s="6">
        <v>677.81700000000001</v>
      </c>
      <c r="N106" s="6">
        <v>677.81700000000001</v>
      </c>
      <c r="O106" s="6">
        <v>677.81700000000001</v>
      </c>
      <c r="P106" s="6">
        <v>0</v>
      </c>
      <c r="Q106" s="4" t="s">
        <v>26</v>
      </c>
      <c r="R106" s="4">
        <v>0</v>
      </c>
      <c r="S106" s="6">
        <v>43</v>
      </c>
      <c r="T106" s="6">
        <v>46</v>
      </c>
      <c r="U106" s="6">
        <v>76</v>
      </c>
      <c r="V106" s="6">
        <f>IF(ISERROR(VLOOKUP($S$106,'TAR FIN'!$A$1:$O$108,15,0)),0,VLOOKUP($S$106,'TAR FIN'!$A$1:$O$108,15,0))</f>
        <v>21.38</v>
      </c>
      <c r="W106" s="6">
        <f>IF(ISERROR(VLOOKUP($T$106,'TAR FIN'!$A$1:$O$108,15,0)),0,VLOOKUP($T$106,'TAR FIN'!$A$1:$O$108,15,0))</f>
        <v>102.62</v>
      </c>
      <c r="X106" s="6">
        <f>IF(ISERROR(VLOOKUP($U$106,'TAR FIN'!$A$1:$O$108,15,0)),0,VLOOKUP($U$106,'TAR FIN'!$A$1:$O$108,15,0))</f>
        <v>103.1</v>
      </c>
      <c r="Y106" s="6">
        <f ca="1">('TUSD BE'!$AM$22+'TUSD BF'!$AM$22+'TUSD CVA'!$AM$22)*1</f>
        <v>21.189390814529755</v>
      </c>
      <c r="Z106" s="6">
        <f ca="1">('TUSD BE'!$AM$23+'TUSD BF'!$AM$23+'TUSD CVA'!$AM$23)*1</f>
        <v>181.47641369790719</v>
      </c>
      <c r="AA106" s="6">
        <f>('TE BE'!$AB$11+'TE BF'!$AB$11+'TE CVA'!$AB$11)*1</f>
        <v>215.60278025898469</v>
      </c>
      <c r="AB106" s="6">
        <f>$K$106*$V$106</f>
        <v>51525.799999999996</v>
      </c>
      <c r="AC106" s="6">
        <f>$M$106*$W$106</f>
        <v>69557.58054000001</v>
      </c>
      <c r="AD106" s="6">
        <f>$O$106*$X$106</f>
        <v>69882.93269999999</v>
      </c>
      <c r="AE106" s="6">
        <f ca="1">$K$106*$Y$106</f>
        <v>51066.431863016711</v>
      </c>
      <c r="AF106" s="6">
        <f ca="1">$M$106*$Z$106</f>
        <v>123007.79830347437</v>
      </c>
      <c r="AG106" s="6">
        <f>$O$106*$AA$106</f>
        <v>146139.22970680424</v>
      </c>
    </row>
    <row r="107" spans="1:33" ht="11.25" customHeight="1" x14ac:dyDescent="0.25">
      <c r="A107" s="4" t="s">
        <v>21</v>
      </c>
      <c r="B107" s="4" t="s">
        <v>41</v>
      </c>
      <c r="C107" s="4" t="s">
        <v>40</v>
      </c>
      <c r="D107" s="4" t="s">
        <v>38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44593</v>
      </c>
      <c r="J107" s="6">
        <v>2412</v>
      </c>
      <c r="K107" s="6">
        <v>2412</v>
      </c>
      <c r="L107" s="6">
        <v>605.72199999999998</v>
      </c>
      <c r="M107" s="6">
        <v>605.72199999999998</v>
      </c>
      <c r="N107" s="6">
        <v>605.72199999999998</v>
      </c>
      <c r="O107" s="6">
        <v>605.72199999999998</v>
      </c>
      <c r="P107" s="6">
        <v>0</v>
      </c>
      <c r="Q107" s="4" t="s">
        <v>26</v>
      </c>
      <c r="R107" s="4">
        <v>0</v>
      </c>
      <c r="S107" s="6">
        <v>43</v>
      </c>
      <c r="T107" s="6">
        <v>46</v>
      </c>
      <c r="U107" s="6">
        <v>76</v>
      </c>
      <c r="V107" s="6">
        <f>IF(ISERROR(VLOOKUP($S$107,'TAR FIN'!$A$1:$O$108,15,0)),0,VLOOKUP($S$107,'TAR FIN'!$A$1:$O$108,15,0))</f>
        <v>21.38</v>
      </c>
      <c r="W107" s="6">
        <f>IF(ISERROR(VLOOKUP($T$107,'TAR FIN'!$A$1:$O$108,15,0)),0,VLOOKUP($T$107,'TAR FIN'!$A$1:$O$108,15,0))</f>
        <v>102.62</v>
      </c>
      <c r="X107" s="6">
        <f>IF(ISERROR(VLOOKUP($U$107,'TAR FIN'!$A$1:$O$108,15,0)),0,VLOOKUP($U$107,'TAR FIN'!$A$1:$O$108,15,0))</f>
        <v>103.1</v>
      </c>
      <c r="Y107" s="6">
        <f ca="1">('TUSD BE'!$AM$22+'TUSD BF'!$AM$22+'TUSD CVA'!$AM$22)*1</f>
        <v>21.189390814529755</v>
      </c>
      <c r="Z107" s="6">
        <f ca="1">('TUSD BE'!$AM$23+'TUSD BF'!$AM$23+'TUSD CVA'!$AM$23)*1</f>
        <v>181.47641369790719</v>
      </c>
      <c r="AA107" s="6">
        <f>('TE BE'!$AB$11+'TE BF'!$AB$11+'TE CVA'!$AB$11)*1</f>
        <v>215.60278025898469</v>
      </c>
      <c r="AB107" s="6">
        <f>$K$107*$V$107</f>
        <v>51568.56</v>
      </c>
      <c r="AC107" s="6">
        <f>$M$107*$W$107</f>
        <v>62159.191639999997</v>
      </c>
      <c r="AD107" s="6">
        <f>$O$107*$X$107</f>
        <v>62449.938199999997</v>
      </c>
      <c r="AE107" s="6">
        <f ca="1">$K$107*$Y$107</f>
        <v>51108.810644645768</v>
      </c>
      <c r="AF107" s="6">
        <f ca="1">$M$107*$Z$107</f>
        <v>109924.25625792374</v>
      </c>
      <c r="AG107" s="6">
        <f>$O$107*$AA$107</f>
        <v>130595.34726403272</v>
      </c>
    </row>
    <row r="108" spans="1:33" ht="11.25" customHeight="1" x14ac:dyDescent="0.25">
      <c r="A108" s="4" t="s">
        <v>21</v>
      </c>
      <c r="B108" s="4" t="s">
        <v>41</v>
      </c>
      <c r="C108" s="4" t="s">
        <v>40</v>
      </c>
      <c r="D108" s="4" t="s">
        <v>38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44621</v>
      </c>
      <c r="J108" s="6">
        <v>2470</v>
      </c>
      <c r="K108" s="6">
        <v>2470</v>
      </c>
      <c r="L108" s="6">
        <v>741.66700000000003</v>
      </c>
      <c r="M108" s="6">
        <v>741.66700000000003</v>
      </c>
      <c r="N108" s="6">
        <v>741.66700000000003</v>
      </c>
      <c r="O108" s="6">
        <v>741.66700000000003</v>
      </c>
      <c r="P108" s="6">
        <v>0</v>
      </c>
      <c r="Q108" s="4" t="s">
        <v>26</v>
      </c>
      <c r="R108" s="4">
        <v>0</v>
      </c>
      <c r="S108" s="6">
        <v>43</v>
      </c>
      <c r="T108" s="6">
        <v>46</v>
      </c>
      <c r="U108" s="6">
        <v>76</v>
      </c>
      <c r="V108" s="6">
        <f>IF(ISERROR(VLOOKUP($S$108,'TAR FIN'!$A$1:$O$108,15,0)),0,VLOOKUP($S$108,'TAR FIN'!$A$1:$O$108,15,0))</f>
        <v>21.38</v>
      </c>
      <c r="W108" s="6">
        <f>IF(ISERROR(VLOOKUP($T$108,'TAR FIN'!$A$1:$O$108,15,0)),0,VLOOKUP($T$108,'TAR FIN'!$A$1:$O$108,15,0))</f>
        <v>102.62</v>
      </c>
      <c r="X108" s="6">
        <f>IF(ISERROR(VLOOKUP($U$108,'TAR FIN'!$A$1:$O$108,15,0)),0,VLOOKUP($U$108,'TAR FIN'!$A$1:$O$108,15,0))</f>
        <v>103.1</v>
      </c>
      <c r="Y108" s="6">
        <f ca="1">('TUSD BE'!$AM$22+'TUSD BF'!$AM$22+'TUSD CVA'!$AM$22)*1</f>
        <v>21.189390814529755</v>
      </c>
      <c r="Z108" s="6">
        <f ca="1">('TUSD BE'!$AM$23+'TUSD BF'!$AM$23+'TUSD CVA'!$AM$23)*1</f>
        <v>181.47641369790719</v>
      </c>
      <c r="AA108" s="6">
        <f>('TE BE'!$AB$11+'TE BF'!$AB$11+'TE CVA'!$AB$11)*1</f>
        <v>215.60278025898469</v>
      </c>
      <c r="AB108" s="6">
        <f>$K$108*$V$108</f>
        <v>52808.6</v>
      </c>
      <c r="AC108" s="6">
        <f>$M$108*$W$108</f>
        <v>76109.867540000007</v>
      </c>
      <c r="AD108" s="6">
        <f>$O$108*$X$108</f>
        <v>76465.867700000003</v>
      </c>
      <c r="AE108" s="6">
        <f ca="1">$K$108*$Y$108</f>
        <v>52337.795311888498</v>
      </c>
      <c r="AF108" s="6">
        <f ca="1">$M$108*$Z$108</f>
        <v>134595.06731808573</v>
      </c>
      <c r="AG108" s="6">
        <f>$O$108*$AA$108</f>
        <v>159905.46722634041</v>
      </c>
    </row>
    <row r="109" spans="1:33" ht="11.25" customHeight="1" x14ac:dyDescent="0.25">
      <c r="A109" s="4" t="s">
        <v>21</v>
      </c>
      <c r="B109" s="4" t="s">
        <v>41</v>
      </c>
      <c r="C109" s="4" t="s">
        <v>40</v>
      </c>
      <c r="D109" s="4" t="s">
        <v>38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44652</v>
      </c>
      <c r="J109" s="6">
        <v>2418</v>
      </c>
      <c r="K109" s="6">
        <v>2418</v>
      </c>
      <c r="L109" s="6">
        <v>513.02499999999998</v>
      </c>
      <c r="M109" s="6">
        <v>513.02499999999998</v>
      </c>
      <c r="N109" s="6">
        <v>513.02499999999998</v>
      </c>
      <c r="O109" s="6">
        <v>513.02499999999998</v>
      </c>
      <c r="P109" s="6">
        <v>0</v>
      </c>
      <c r="Q109" s="4" t="s">
        <v>26</v>
      </c>
      <c r="R109" s="4">
        <v>0</v>
      </c>
      <c r="S109" s="6">
        <v>43</v>
      </c>
      <c r="T109" s="6">
        <v>46</v>
      </c>
      <c r="U109" s="6">
        <v>76</v>
      </c>
      <c r="V109" s="6">
        <f>IF(ISERROR(VLOOKUP($S$109,'TAR FIN'!$A$1:$O$108,15,0)),0,VLOOKUP($S$109,'TAR FIN'!$A$1:$O$108,15,0))</f>
        <v>21.38</v>
      </c>
      <c r="W109" s="6">
        <f>IF(ISERROR(VLOOKUP($T$109,'TAR FIN'!$A$1:$O$108,15,0)),0,VLOOKUP($T$109,'TAR FIN'!$A$1:$O$108,15,0))</f>
        <v>102.62</v>
      </c>
      <c r="X109" s="6">
        <f>IF(ISERROR(VLOOKUP($U$109,'TAR FIN'!$A$1:$O$108,15,0)),0,VLOOKUP($U$109,'TAR FIN'!$A$1:$O$108,15,0))</f>
        <v>103.1</v>
      </c>
      <c r="Y109" s="6">
        <f ca="1">('TUSD BE'!$AM$22+'TUSD BF'!$AM$22+'TUSD CVA'!$AM$22)*1</f>
        <v>21.189390814529755</v>
      </c>
      <c r="Z109" s="6">
        <f ca="1">('TUSD BE'!$AM$23+'TUSD BF'!$AM$23+'TUSD CVA'!$AM$23)*1</f>
        <v>181.47641369790719</v>
      </c>
      <c r="AA109" s="6">
        <f>('TE BE'!$AB$11+'TE BF'!$AB$11+'TE CVA'!$AB$11)*1</f>
        <v>215.60278025898469</v>
      </c>
      <c r="AB109" s="6">
        <f>$K$109*$V$109</f>
        <v>51696.84</v>
      </c>
      <c r="AC109" s="6">
        <f>$M$109*$W$109</f>
        <v>52646.625500000002</v>
      </c>
      <c r="AD109" s="6">
        <f>$O$109*$X$109</f>
        <v>52892.877499999995</v>
      </c>
      <c r="AE109" s="6">
        <f ca="1">$K$109*$Y$109</f>
        <v>51235.946989532946</v>
      </c>
      <c r="AF109" s="6">
        <f ca="1">$M$109*$Z$109</f>
        <v>93101.937137368834</v>
      </c>
      <c r="AG109" s="6">
        <f>$O$109*$AA$109</f>
        <v>110609.61634236561</v>
      </c>
    </row>
    <row r="110" spans="1:33" ht="11.25" customHeight="1" x14ac:dyDescent="0.25">
      <c r="A110" s="4" t="s">
        <v>21</v>
      </c>
      <c r="B110" s="4" t="s">
        <v>41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44682</v>
      </c>
      <c r="J110" s="6">
        <v>2216</v>
      </c>
      <c r="K110" s="6">
        <v>2216</v>
      </c>
      <c r="L110" s="6">
        <v>606.37099999999998</v>
      </c>
      <c r="M110" s="6">
        <v>606.37099999999998</v>
      </c>
      <c r="N110" s="6">
        <v>606.37099999999998</v>
      </c>
      <c r="O110" s="6">
        <v>606.37099999999998</v>
      </c>
      <c r="P110" s="6">
        <v>0</v>
      </c>
      <c r="Q110" s="4" t="s">
        <v>26</v>
      </c>
      <c r="R110" s="4">
        <v>0</v>
      </c>
      <c r="S110" s="6">
        <v>43</v>
      </c>
      <c r="T110" s="6">
        <v>46</v>
      </c>
      <c r="U110" s="6">
        <v>76</v>
      </c>
      <c r="V110" s="6">
        <f>IF(ISERROR(VLOOKUP($S$110,'TAR FIN'!$A$1:$O$108,15,0)),0,VLOOKUP($S$110,'TAR FIN'!$A$1:$O$108,15,0))</f>
        <v>21.38</v>
      </c>
      <c r="W110" s="6">
        <f>IF(ISERROR(VLOOKUP($T$110,'TAR FIN'!$A$1:$O$108,15,0)),0,VLOOKUP($T$110,'TAR FIN'!$A$1:$O$108,15,0))</f>
        <v>102.62</v>
      </c>
      <c r="X110" s="6">
        <f>IF(ISERROR(VLOOKUP($U$110,'TAR FIN'!$A$1:$O$108,15,0)),0,VLOOKUP($U$110,'TAR FIN'!$A$1:$O$108,15,0))</f>
        <v>103.1</v>
      </c>
      <c r="Y110" s="6">
        <f ca="1">('TUSD BE'!$AM$22+'TUSD BF'!$AM$22+'TUSD CVA'!$AM$22)*1</f>
        <v>21.189390814529755</v>
      </c>
      <c r="Z110" s="6">
        <f ca="1">('TUSD BE'!$AM$23+'TUSD BF'!$AM$23+'TUSD CVA'!$AM$23)*1</f>
        <v>181.47641369790719</v>
      </c>
      <c r="AA110" s="6">
        <f>('TE BE'!$AB$11+'TE BF'!$AB$11+'TE CVA'!$AB$11)*1</f>
        <v>215.60278025898469</v>
      </c>
      <c r="AB110" s="6">
        <f>$K$110*$V$110</f>
        <v>47378.079999999994</v>
      </c>
      <c r="AC110" s="6">
        <f>$M$110*$W$110</f>
        <v>62225.792020000001</v>
      </c>
      <c r="AD110" s="6">
        <f>$O$110*$X$110</f>
        <v>62516.850099999996</v>
      </c>
      <c r="AE110" s="6">
        <f ca="1">$K$110*$Y$110</f>
        <v>46955.690044997937</v>
      </c>
      <c r="AF110" s="6">
        <f ca="1">$M$110*$Z$110</f>
        <v>110042.03445041367</v>
      </c>
      <c r="AG110" s="6">
        <f>$O$110*$AA$110</f>
        <v>130735.2734684208</v>
      </c>
    </row>
    <row r="111" spans="1:33" ht="11.25" customHeight="1" x14ac:dyDescent="0.25">
      <c r="A111" s="4" t="s">
        <v>21</v>
      </c>
      <c r="B111" s="4" t="s">
        <v>41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44713</v>
      </c>
      <c r="J111" s="6">
        <v>2236</v>
      </c>
      <c r="K111" s="6">
        <v>2236</v>
      </c>
      <c r="L111" s="6">
        <v>618.26400000000001</v>
      </c>
      <c r="M111" s="6">
        <v>618.26400000000001</v>
      </c>
      <c r="N111" s="6">
        <v>618.26400000000001</v>
      </c>
      <c r="O111" s="6">
        <v>618.26400000000001</v>
      </c>
      <c r="P111" s="6">
        <v>0</v>
      </c>
      <c r="Q111" s="4" t="s">
        <v>26</v>
      </c>
      <c r="R111" s="4">
        <v>0</v>
      </c>
      <c r="S111" s="6">
        <v>43</v>
      </c>
      <c r="T111" s="6">
        <v>46</v>
      </c>
      <c r="U111" s="6">
        <v>76</v>
      </c>
      <c r="V111" s="6">
        <f>IF(ISERROR(VLOOKUP($S$111,'TAR FIN'!$A$1:$O$108,15,0)),0,VLOOKUP($S$111,'TAR FIN'!$A$1:$O$108,15,0))</f>
        <v>21.38</v>
      </c>
      <c r="W111" s="6">
        <f>IF(ISERROR(VLOOKUP($T$111,'TAR FIN'!$A$1:$O$108,15,0)),0,VLOOKUP($T$111,'TAR FIN'!$A$1:$O$108,15,0))</f>
        <v>102.62</v>
      </c>
      <c r="X111" s="6">
        <f>IF(ISERROR(VLOOKUP($U$111,'TAR FIN'!$A$1:$O$108,15,0)),0,VLOOKUP($U$111,'TAR FIN'!$A$1:$O$108,15,0))</f>
        <v>103.1</v>
      </c>
      <c r="Y111" s="6">
        <f ca="1">('TUSD BE'!$AM$22+'TUSD BF'!$AM$22+'TUSD CVA'!$AM$22)*1</f>
        <v>21.189390814529755</v>
      </c>
      <c r="Z111" s="6">
        <f ca="1">('TUSD BE'!$AM$23+'TUSD BF'!$AM$23+'TUSD CVA'!$AM$23)*1</f>
        <v>181.47641369790719</v>
      </c>
      <c r="AA111" s="6">
        <f>('TE BE'!$AB$11+'TE BF'!$AB$11+'TE CVA'!$AB$11)*1</f>
        <v>215.60278025898469</v>
      </c>
      <c r="AB111" s="6">
        <f>$K$111*$V$111</f>
        <v>47805.68</v>
      </c>
      <c r="AC111" s="6">
        <f>$M$111*$W$111</f>
        <v>63446.251680000001</v>
      </c>
      <c r="AD111" s="6">
        <f>$O$111*$X$111</f>
        <v>63743.018400000001</v>
      </c>
      <c r="AE111" s="6">
        <f ca="1">$K$111*$Y$111</f>
        <v>47379.477861288535</v>
      </c>
      <c r="AF111" s="6">
        <f ca="1">$M$111*$Z$111</f>
        <v>112200.3334385229</v>
      </c>
      <c r="AG111" s="6">
        <f>$O$111*$AA$111</f>
        <v>133299.43733404091</v>
      </c>
    </row>
    <row r="112" spans="1:33" ht="11.25" customHeight="1" x14ac:dyDescent="0.25">
      <c r="A112" s="4" t="s">
        <v>21</v>
      </c>
      <c r="B112" s="4" t="s">
        <v>41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44743</v>
      </c>
      <c r="J112" s="6">
        <v>3249</v>
      </c>
      <c r="K112" s="6">
        <v>3249</v>
      </c>
      <c r="L112" s="6">
        <v>584.62</v>
      </c>
      <c r="M112" s="6">
        <v>584.62</v>
      </c>
      <c r="N112" s="6">
        <v>584.62</v>
      </c>
      <c r="O112" s="6">
        <v>584.62</v>
      </c>
      <c r="P112" s="6">
        <v>0</v>
      </c>
      <c r="Q112" s="4" t="s">
        <v>26</v>
      </c>
      <c r="R112" s="4">
        <v>0</v>
      </c>
      <c r="S112" s="6">
        <v>43</v>
      </c>
      <c r="T112" s="6">
        <v>46</v>
      </c>
      <c r="U112" s="6">
        <v>76</v>
      </c>
      <c r="V112" s="6">
        <f>IF(ISERROR(VLOOKUP($S$112,'TAR FIN'!$A$1:$O$108,15,0)),0,VLOOKUP($S$112,'TAR FIN'!$A$1:$O$108,15,0))</f>
        <v>21.38</v>
      </c>
      <c r="W112" s="6">
        <f>IF(ISERROR(VLOOKUP($T$112,'TAR FIN'!$A$1:$O$108,15,0)),0,VLOOKUP($T$112,'TAR FIN'!$A$1:$O$108,15,0))</f>
        <v>102.62</v>
      </c>
      <c r="X112" s="6">
        <f>IF(ISERROR(VLOOKUP($U$112,'TAR FIN'!$A$1:$O$108,15,0)),0,VLOOKUP($U$112,'TAR FIN'!$A$1:$O$108,15,0))</f>
        <v>103.1</v>
      </c>
      <c r="Y112" s="6">
        <f ca="1">('TUSD BE'!$AM$22+'TUSD BF'!$AM$22+'TUSD CVA'!$AM$22)*1</f>
        <v>21.189390814529755</v>
      </c>
      <c r="Z112" s="6">
        <f ca="1">('TUSD BE'!$AM$23+'TUSD BF'!$AM$23+'TUSD CVA'!$AM$23)*1</f>
        <v>181.47641369790719</v>
      </c>
      <c r="AA112" s="6">
        <f>('TE BE'!$AB$11+'TE BF'!$AB$11+'TE CVA'!$AB$11)*1</f>
        <v>215.60278025898469</v>
      </c>
      <c r="AB112" s="6">
        <f>$K$112*$V$112</f>
        <v>69463.62</v>
      </c>
      <c r="AC112" s="6">
        <f>$M$112*$W$112</f>
        <v>59993.704400000002</v>
      </c>
      <c r="AD112" s="6">
        <f>$O$112*$X$112</f>
        <v>60274.322</v>
      </c>
      <c r="AE112" s="6">
        <f ca="1">$K$112*$Y$112</f>
        <v>68844.330756407173</v>
      </c>
      <c r="AF112" s="6">
        <f ca="1">$M$112*$Z$112</f>
        <v>106094.7409760705</v>
      </c>
      <c r="AG112" s="6">
        <f>$O$112*$AA$112</f>
        <v>126045.69739500764</v>
      </c>
    </row>
    <row r="113" spans="1:33" ht="11.25" customHeight="1" x14ac:dyDescent="0.25">
      <c r="A113" s="4" t="s">
        <v>21</v>
      </c>
      <c r="B113" s="4" t="s">
        <v>41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44774</v>
      </c>
      <c r="J113" s="6">
        <v>2121</v>
      </c>
      <c r="K113" s="6">
        <v>2121</v>
      </c>
      <c r="L113" s="6">
        <v>567.95899999999995</v>
      </c>
      <c r="M113" s="6">
        <v>567.95899999999995</v>
      </c>
      <c r="N113" s="6">
        <v>567.95899999999995</v>
      </c>
      <c r="O113" s="6">
        <v>567.95899999999995</v>
      </c>
      <c r="P113" s="6">
        <v>0</v>
      </c>
      <c r="Q113" s="4" t="s">
        <v>26</v>
      </c>
      <c r="R113" s="4">
        <v>0</v>
      </c>
      <c r="S113" s="6">
        <v>43</v>
      </c>
      <c r="T113" s="6">
        <v>46</v>
      </c>
      <c r="U113" s="6">
        <v>76</v>
      </c>
      <c r="V113" s="6">
        <f>IF(ISERROR(VLOOKUP($S$113,'TAR FIN'!$A$1:$O$108,15,0)),0,VLOOKUP($S$113,'TAR FIN'!$A$1:$O$108,15,0))</f>
        <v>21.38</v>
      </c>
      <c r="W113" s="6">
        <f>IF(ISERROR(VLOOKUP($T$113,'TAR FIN'!$A$1:$O$108,15,0)),0,VLOOKUP($T$113,'TAR FIN'!$A$1:$O$108,15,0))</f>
        <v>102.62</v>
      </c>
      <c r="X113" s="6">
        <f>IF(ISERROR(VLOOKUP($U$113,'TAR FIN'!$A$1:$O$108,15,0)),0,VLOOKUP($U$113,'TAR FIN'!$A$1:$O$108,15,0))</f>
        <v>103.1</v>
      </c>
      <c r="Y113" s="6">
        <f ca="1">('TUSD BE'!$AM$22+'TUSD BF'!$AM$22+'TUSD CVA'!$AM$22)*1</f>
        <v>21.189390814529755</v>
      </c>
      <c r="Z113" s="6">
        <f ca="1">('TUSD BE'!$AM$23+'TUSD BF'!$AM$23+'TUSD CVA'!$AM$23)*1</f>
        <v>181.47641369790719</v>
      </c>
      <c r="AA113" s="6">
        <f>('TE BE'!$AB$11+'TE BF'!$AB$11+'TE CVA'!$AB$11)*1</f>
        <v>215.60278025898469</v>
      </c>
      <c r="AB113" s="6">
        <f>$K$113*$V$113</f>
        <v>45346.979999999996</v>
      </c>
      <c r="AC113" s="6">
        <f>$M$113*$W$113</f>
        <v>58283.952579999997</v>
      </c>
      <c r="AD113" s="6">
        <f>$O$113*$X$113</f>
        <v>58556.572899999992</v>
      </c>
      <c r="AE113" s="6">
        <f ca="1">$K$113*$Y$113</f>
        <v>44942.69791761761</v>
      </c>
      <c r="AF113" s="6">
        <f ca="1">$M$113*$Z$113</f>
        <v>103071.16244744966</v>
      </c>
      <c r="AG113" s="6">
        <f>$O$113*$AA$113</f>
        <v>122453.53947311267</v>
      </c>
    </row>
    <row r="114" spans="1:33" ht="11.25" customHeight="1" x14ac:dyDescent="0.25">
      <c r="A114" s="4" t="s">
        <v>27</v>
      </c>
      <c r="B114" s="4" t="s">
        <v>41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44774</v>
      </c>
      <c r="J114" s="6">
        <v>-1169</v>
      </c>
      <c r="K114" s="6">
        <v>-1169</v>
      </c>
      <c r="L114" s="6">
        <v>1E-3</v>
      </c>
      <c r="M114" s="6">
        <v>1E-3</v>
      </c>
      <c r="N114" s="6">
        <v>1E-3</v>
      </c>
      <c r="O114" s="6">
        <v>1E-3</v>
      </c>
      <c r="P114" s="6">
        <v>0</v>
      </c>
      <c r="Q114" s="4" t="s">
        <v>26</v>
      </c>
      <c r="R114" s="4">
        <v>0</v>
      </c>
      <c r="S114" s="6">
        <v>43</v>
      </c>
      <c r="T114" s="6">
        <v>46</v>
      </c>
      <c r="U114" s="6">
        <v>76</v>
      </c>
      <c r="V114" s="6">
        <f>IF(ISERROR(VLOOKUP($S$114,'TAR FIN'!$A$1:$O$108,15,0)),0,VLOOKUP($S$114,'TAR FIN'!$A$1:$O$108,15,0))</f>
        <v>21.38</v>
      </c>
      <c r="W114" s="6">
        <f>IF(ISERROR(VLOOKUP($T$114,'TAR FIN'!$A$1:$O$108,15,0)),0,VLOOKUP($T$114,'TAR FIN'!$A$1:$O$108,15,0))</f>
        <v>102.62</v>
      </c>
      <c r="X114" s="6">
        <f>IF(ISERROR(VLOOKUP($U$114,'TAR FIN'!$A$1:$O$108,15,0)),0,VLOOKUP($U$114,'TAR FIN'!$A$1:$O$108,15,0))</f>
        <v>103.1</v>
      </c>
      <c r="Y114" s="6">
        <f ca="1">('TUSD BE'!$AM$22+'TUSD BF'!$AM$22+'TUSD CVA'!$AM$22)*1</f>
        <v>21.189390814529755</v>
      </c>
      <c r="Z114" s="6">
        <f ca="1">('TUSD BE'!$AM$23+'TUSD BF'!$AM$23+'TUSD CVA'!$AM$23)*1</f>
        <v>181.47641369790719</v>
      </c>
      <c r="AA114" s="6">
        <f>('TE BE'!$AB$11+'TE BF'!$AB$11+'TE CVA'!$AB$11)*1</f>
        <v>215.60278025898469</v>
      </c>
      <c r="AB114" s="6">
        <f>$K$114*$V$114</f>
        <v>-24993.219999999998</v>
      </c>
      <c r="AC114" s="6">
        <f>$M$114*$W$114</f>
        <v>0.10262</v>
      </c>
      <c r="AD114" s="6">
        <f>$O$114*$X$114</f>
        <v>0.1031</v>
      </c>
      <c r="AE114" s="6">
        <f ca="1">$K$114*$Y$114</f>
        <v>-24770.397862185284</v>
      </c>
      <c r="AF114" s="6">
        <f ca="1">$M$114*$Z$114</f>
        <v>0.18147641369790721</v>
      </c>
      <c r="AG114" s="6">
        <f>$O$114*$AA$114</f>
        <v>0.21560278025898469</v>
      </c>
    </row>
    <row r="115" spans="1:33" ht="11.25" customHeight="1" x14ac:dyDescent="0.25">
      <c r="A115" s="4" t="s">
        <v>21</v>
      </c>
      <c r="B115" s="4" t="s">
        <v>41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44805</v>
      </c>
      <c r="J115" s="6">
        <v>2124</v>
      </c>
      <c r="K115" s="6">
        <v>2124</v>
      </c>
      <c r="L115" s="6">
        <v>658.255</v>
      </c>
      <c r="M115" s="6">
        <v>658.255</v>
      </c>
      <c r="N115" s="6">
        <v>658.255</v>
      </c>
      <c r="O115" s="6">
        <v>658.255</v>
      </c>
      <c r="P115" s="6">
        <v>0</v>
      </c>
      <c r="Q115" s="4" t="s">
        <v>26</v>
      </c>
      <c r="R115" s="4">
        <v>0</v>
      </c>
      <c r="S115" s="6">
        <v>43</v>
      </c>
      <c r="T115" s="6">
        <v>46</v>
      </c>
      <c r="U115" s="6">
        <v>76</v>
      </c>
      <c r="V115" s="6">
        <f>IF(ISERROR(VLOOKUP($S$115,'TAR FIN'!$A$1:$O$108,15,0)),0,VLOOKUP($S$115,'TAR FIN'!$A$1:$O$108,15,0))</f>
        <v>21.38</v>
      </c>
      <c r="W115" s="6">
        <f>IF(ISERROR(VLOOKUP($T$115,'TAR FIN'!$A$1:$O$108,15,0)),0,VLOOKUP($T$115,'TAR FIN'!$A$1:$O$108,15,0))</f>
        <v>102.62</v>
      </c>
      <c r="X115" s="6">
        <f>IF(ISERROR(VLOOKUP($U$115,'TAR FIN'!$A$1:$O$108,15,0)),0,VLOOKUP($U$115,'TAR FIN'!$A$1:$O$108,15,0))</f>
        <v>103.1</v>
      </c>
      <c r="Y115" s="6">
        <f ca="1">('TUSD BE'!$AM$22+'TUSD BF'!$AM$22+'TUSD CVA'!$AM$22)*1</f>
        <v>21.189390814529755</v>
      </c>
      <c r="Z115" s="6">
        <f ca="1">('TUSD BE'!$AM$23+'TUSD BF'!$AM$23+'TUSD CVA'!$AM$23)*1</f>
        <v>181.47641369790719</v>
      </c>
      <c r="AA115" s="6">
        <f>('TE BE'!$AB$11+'TE BF'!$AB$11+'TE CVA'!$AB$11)*1</f>
        <v>215.60278025898469</v>
      </c>
      <c r="AB115" s="6">
        <f>$K$115*$V$115</f>
        <v>45411.119999999995</v>
      </c>
      <c r="AC115" s="6">
        <f>$M$115*$W$115</f>
        <v>67550.128100000002</v>
      </c>
      <c r="AD115" s="6">
        <f>$O$115*$X$115</f>
        <v>67866.090499999991</v>
      </c>
      <c r="AE115" s="6">
        <f ca="1">$K$115*$Y$115</f>
        <v>45006.266090061203</v>
      </c>
      <c r="AF115" s="6">
        <f ca="1">$M$115*$Z$115</f>
        <v>119457.75669871589</v>
      </c>
      <c r="AG115" s="6">
        <f>$O$115*$AA$115</f>
        <v>141921.60811937798</v>
      </c>
    </row>
    <row r="116" spans="1:33" ht="11.25" customHeight="1" x14ac:dyDescent="0.25">
      <c r="A116" s="4" t="s">
        <v>21</v>
      </c>
      <c r="B116" s="4" t="s">
        <v>41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44835</v>
      </c>
      <c r="J116" s="6">
        <v>2253</v>
      </c>
      <c r="K116" s="6">
        <v>2253</v>
      </c>
      <c r="L116" s="6">
        <v>632.38499999999999</v>
      </c>
      <c r="M116" s="6">
        <v>632.38499999999999</v>
      </c>
      <c r="N116" s="6">
        <v>632.38499999999999</v>
      </c>
      <c r="O116" s="6">
        <v>632.38499999999999</v>
      </c>
      <c r="P116" s="6">
        <v>0</v>
      </c>
      <c r="Q116" s="4" t="s">
        <v>26</v>
      </c>
      <c r="R116" s="4">
        <v>0</v>
      </c>
      <c r="S116" s="6">
        <v>43</v>
      </c>
      <c r="T116" s="6">
        <v>46</v>
      </c>
      <c r="U116" s="6">
        <v>76</v>
      </c>
      <c r="V116" s="6">
        <f>IF(ISERROR(VLOOKUP($S$116,'TAR FIN'!$A$1:$O$108,15,0)),0,VLOOKUP($S$116,'TAR FIN'!$A$1:$O$108,15,0))</f>
        <v>21.38</v>
      </c>
      <c r="W116" s="6">
        <f>IF(ISERROR(VLOOKUP($T$116,'TAR FIN'!$A$1:$O$108,15,0)),0,VLOOKUP($T$116,'TAR FIN'!$A$1:$O$108,15,0))</f>
        <v>102.62</v>
      </c>
      <c r="X116" s="6">
        <f>IF(ISERROR(VLOOKUP($U$116,'TAR FIN'!$A$1:$O$108,15,0)),0,VLOOKUP($U$116,'TAR FIN'!$A$1:$O$108,15,0))</f>
        <v>103.1</v>
      </c>
      <c r="Y116" s="6">
        <f ca="1">('TUSD BE'!$AM$22+'TUSD BF'!$AM$22+'TUSD CVA'!$AM$22)*1</f>
        <v>21.189390814529755</v>
      </c>
      <c r="Z116" s="6">
        <f ca="1">('TUSD BE'!$AM$23+'TUSD BF'!$AM$23+'TUSD CVA'!$AM$23)*1</f>
        <v>181.47641369790719</v>
      </c>
      <c r="AA116" s="6">
        <f>('TE BE'!$AB$11+'TE BF'!$AB$11+'TE CVA'!$AB$11)*1</f>
        <v>215.60278025898469</v>
      </c>
      <c r="AB116" s="6">
        <f>$K$116*$V$116</f>
        <v>48169.14</v>
      </c>
      <c r="AC116" s="6">
        <f>$M$116*$W$116</f>
        <v>64895.348700000002</v>
      </c>
      <c r="AD116" s="6">
        <f>$O$116*$X$116</f>
        <v>65198.893499999998</v>
      </c>
      <c r="AE116" s="6">
        <f ca="1">$K$116*$Y$116</f>
        <v>47739.69750513554</v>
      </c>
      <c r="AF116" s="6">
        <f ca="1">$M$116*$Z$116</f>
        <v>114762.96187635104</v>
      </c>
      <c r="AG116" s="6">
        <f>$O$116*$AA$116</f>
        <v>136343.96419407803</v>
      </c>
    </row>
    <row r="117" spans="1:33" ht="11.25" customHeight="1" x14ac:dyDescent="0.25">
      <c r="A117" s="4" t="s">
        <v>27</v>
      </c>
      <c r="B117" s="4" t="s">
        <v>41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44835</v>
      </c>
      <c r="J117" s="6">
        <v>0</v>
      </c>
      <c r="K117" s="6">
        <v>0</v>
      </c>
      <c r="L117" s="6">
        <v>4.8550000000000004</v>
      </c>
      <c r="M117" s="6">
        <v>4.8550000000000004</v>
      </c>
      <c r="N117" s="6">
        <v>4.8550000000000004</v>
      </c>
      <c r="O117" s="6">
        <v>4.8550000000000004</v>
      </c>
      <c r="P117" s="6">
        <v>0</v>
      </c>
      <c r="Q117" s="4" t="s">
        <v>26</v>
      </c>
      <c r="R117" s="4">
        <v>0</v>
      </c>
      <c r="S117" s="6">
        <v>0</v>
      </c>
      <c r="T117" s="6">
        <v>46</v>
      </c>
      <c r="U117" s="6">
        <v>76</v>
      </c>
      <c r="V117" s="6">
        <f>IF(ISERROR(VLOOKUP($S$117,'TAR FIN'!$A$1:$O$108,15,0)),0,VLOOKUP($S$117,'TAR FIN'!$A$1:$O$108,15,0))</f>
        <v>0</v>
      </c>
      <c r="W117" s="6">
        <f>IF(ISERROR(VLOOKUP($T$117,'TAR FIN'!$A$1:$O$108,15,0)),0,VLOOKUP($T$117,'TAR FIN'!$A$1:$O$108,15,0))</f>
        <v>102.62</v>
      </c>
      <c r="X117" s="6">
        <f>IF(ISERROR(VLOOKUP($U$117,'TAR FIN'!$A$1:$O$108,15,0)),0,VLOOKUP($U$117,'TAR FIN'!$A$1:$O$108,15,0))</f>
        <v>103.1</v>
      </c>
      <c r="Y117" s="6">
        <f ca="1">('TUSD BE'!$AM$22+'TUSD BF'!$AM$22+'TUSD CVA'!$AM$22)*1</f>
        <v>21.189390814529755</v>
      </c>
      <c r="Z117" s="6">
        <f ca="1">('TUSD BE'!$AM$23+'TUSD BF'!$AM$23+'TUSD CVA'!$AM$23)*1</f>
        <v>181.47641369790719</v>
      </c>
      <c r="AA117" s="6">
        <f>('TE BE'!$AB$11+'TE BF'!$AB$11+'TE CVA'!$AB$11)*1</f>
        <v>215.60278025898469</v>
      </c>
      <c r="AB117" s="6">
        <f>$K$117*$V$117</f>
        <v>0</v>
      </c>
      <c r="AC117" s="6">
        <f>$M$117*$W$117</f>
        <v>498.22010000000006</v>
      </c>
      <c r="AD117" s="6">
        <f>$O$117*$X$117</f>
        <v>500.5505</v>
      </c>
      <c r="AE117" s="6">
        <f ca="1">$K$117*$Y$117</f>
        <v>0</v>
      </c>
      <c r="AF117" s="6">
        <f ca="1">$M$117*$Z$117</f>
        <v>881.06798850333951</v>
      </c>
      <c r="AG117" s="6">
        <f>$O$117*$AA$117</f>
        <v>1046.7514981573709</v>
      </c>
    </row>
    <row r="118" spans="1:33" ht="11.25" customHeight="1" x14ac:dyDescent="0.25">
      <c r="A118" s="4" t="s">
        <v>54</v>
      </c>
      <c r="B118" s="4" t="s">
        <v>41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44866</v>
      </c>
      <c r="J118" s="6">
        <v>2253</v>
      </c>
      <c r="K118" s="6">
        <v>2253</v>
      </c>
      <c r="L118" s="6">
        <v>632.38499999999999</v>
      </c>
      <c r="M118" s="6">
        <v>632.38499999999999</v>
      </c>
      <c r="N118" s="6">
        <v>632.38499999999999</v>
      </c>
      <c r="O118" s="6">
        <v>632.38499999999999</v>
      </c>
      <c r="P118" s="6">
        <v>0</v>
      </c>
      <c r="Q118" s="4" t="s">
        <v>26</v>
      </c>
      <c r="R118" s="4">
        <v>0</v>
      </c>
      <c r="S118" s="6">
        <v>43</v>
      </c>
      <c r="T118" s="6">
        <v>46</v>
      </c>
      <c r="U118" s="6">
        <v>76</v>
      </c>
      <c r="V118" s="6">
        <f>IF(ISERROR(VLOOKUP($S$118,'TAR FIN'!$A$1:$O$108,15,0)),0,VLOOKUP($S$118,'TAR FIN'!$A$1:$O$108,15,0))</f>
        <v>21.38</v>
      </c>
      <c r="W118" s="6">
        <f>IF(ISERROR(VLOOKUP($T$118,'TAR FIN'!$A$1:$O$108,15,0)),0,VLOOKUP($T$118,'TAR FIN'!$A$1:$O$108,15,0))</f>
        <v>102.62</v>
      </c>
      <c r="X118" s="6">
        <f>IF(ISERROR(VLOOKUP($U$118,'TAR FIN'!$A$1:$O$108,15,0)),0,VLOOKUP($U$118,'TAR FIN'!$A$1:$O$108,15,0))</f>
        <v>103.1</v>
      </c>
      <c r="Y118" s="6">
        <f ca="1">('TUSD BE'!$AM$22+'TUSD BF'!$AM$22+'TUSD CVA'!$AM$22)*1</f>
        <v>21.189390814529755</v>
      </c>
      <c r="Z118" s="6">
        <f ca="1">('TUSD BE'!$AM$23+'TUSD BF'!$AM$23+'TUSD CVA'!$AM$23)*1</f>
        <v>181.47641369790719</v>
      </c>
      <c r="AA118" s="6">
        <f>('TE BE'!$AB$11+'TE BF'!$AB$11+'TE CVA'!$AB$11)*1</f>
        <v>215.60278025898469</v>
      </c>
      <c r="AB118" s="6">
        <f>$K$118*$V$118</f>
        <v>48169.14</v>
      </c>
      <c r="AC118" s="6">
        <f>$M$118*$W$118</f>
        <v>64895.348700000002</v>
      </c>
      <c r="AD118" s="6">
        <f>$O$118*$X$118</f>
        <v>65198.893499999998</v>
      </c>
      <c r="AE118" s="6">
        <f ca="1">$K$118*$Y$118</f>
        <v>47739.69750513554</v>
      </c>
      <c r="AF118" s="6">
        <f ca="1">$M$118*$Z$118</f>
        <v>114762.96187635104</v>
      </c>
      <c r="AG118" s="6">
        <f>$O$118*$AA$118</f>
        <v>136343.96419407803</v>
      </c>
    </row>
    <row r="119" spans="1:33" ht="11.25" customHeight="1" x14ac:dyDescent="0.25">
      <c r="A119" s="4" t="s">
        <v>54</v>
      </c>
      <c r="B119" s="4" t="s">
        <v>41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44866</v>
      </c>
      <c r="J119" s="6">
        <v>0</v>
      </c>
      <c r="K119" s="6">
        <v>0</v>
      </c>
      <c r="L119" s="6">
        <v>4.8550000000000004</v>
      </c>
      <c r="M119" s="6">
        <v>4.8550000000000004</v>
      </c>
      <c r="N119" s="6">
        <v>4.8550000000000004</v>
      </c>
      <c r="O119" s="6">
        <v>4.8550000000000004</v>
      </c>
      <c r="P119" s="6">
        <v>0</v>
      </c>
      <c r="Q119" s="4" t="s">
        <v>26</v>
      </c>
      <c r="R119" s="4">
        <v>0</v>
      </c>
      <c r="S119" s="6">
        <v>0</v>
      </c>
      <c r="T119" s="6">
        <v>46</v>
      </c>
      <c r="U119" s="6">
        <v>76</v>
      </c>
      <c r="V119" s="6">
        <f>IF(ISERROR(VLOOKUP($S$119,'TAR FIN'!$A$1:$O$108,15,0)),0,VLOOKUP($S$119,'TAR FIN'!$A$1:$O$108,15,0))</f>
        <v>0</v>
      </c>
      <c r="W119" s="6">
        <f>IF(ISERROR(VLOOKUP($T$119,'TAR FIN'!$A$1:$O$108,15,0)),0,VLOOKUP($T$119,'TAR FIN'!$A$1:$O$108,15,0))</f>
        <v>102.62</v>
      </c>
      <c r="X119" s="6">
        <f>IF(ISERROR(VLOOKUP($U$119,'TAR FIN'!$A$1:$O$108,15,0)),0,VLOOKUP($U$119,'TAR FIN'!$A$1:$O$108,15,0))</f>
        <v>103.1</v>
      </c>
      <c r="Y119" s="6">
        <f ca="1">('TUSD BE'!$AM$22+'TUSD BF'!$AM$22+'TUSD CVA'!$AM$22)*1</f>
        <v>21.189390814529755</v>
      </c>
      <c r="Z119" s="6">
        <f ca="1">('TUSD BE'!$AM$23+'TUSD BF'!$AM$23+'TUSD CVA'!$AM$23)*1</f>
        <v>181.47641369790719</v>
      </c>
      <c r="AA119" s="6">
        <f>('TE BE'!$AB$11+'TE BF'!$AB$11+'TE CVA'!$AB$11)*1</f>
        <v>215.60278025898469</v>
      </c>
      <c r="AB119" s="6">
        <f>$K$119*$V$119</f>
        <v>0</v>
      </c>
      <c r="AC119" s="6">
        <f>$M$119*$W$119</f>
        <v>498.22010000000006</v>
      </c>
      <c r="AD119" s="6">
        <f>$O$119*$X$119</f>
        <v>500.5505</v>
      </c>
      <c r="AE119" s="6">
        <f ca="1">$K$119*$Y$119</f>
        <v>0</v>
      </c>
      <c r="AF119" s="6">
        <f ca="1">$M$119*$Z$119</f>
        <v>881.06798850333951</v>
      </c>
      <c r="AG119" s="6">
        <f>$O$119*$AA$119</f>
        <v>1046.7514981573709</v>
      </c>
    </row>
    <row r="120" spans="1:33" ht="11.25" customHeight="1" x14ac:dyDescent="0.25">
      <c r="A120" s="4" t="s">
        <v>21</v>
      </c>
      <c r="B120" s="4" t="s">
        <v>41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722</v>
      </c>
      <c r="K120" s="6">
        <v>722</v>
      </c>
      <c r="L120" s="6">
        <v>30.855</v>
      </c>
      <c r="M120" s="6">
        <v>30.855</v>
      </c>
      <c r="N120" s="6">
        <v>30.855</v>
      </c>
      <c r="O120" s="6">
        <v>30.855</v>
      </c>
      <c r="P120" s="6">
        <v>0</v>
      </c>
      <c r="Q120" s="4" t="s">
        <v>26</v>
      </c>
      <c r="R120" s="4">
        <v>0</v>
      </c>
      <c r="S120" s="6">
        <v>42</v>
      </c>
      <c r="T120" s="6">
        <v>46</v>
      </c>
      <c r="U120" s="6">
        <v>75</v>
      </c>
      <c r="V120" s="6">
        <f>IF(ISERROR(VLOOKUP($S$120,'TAR FIN'!$A$1:$O$108,15,0)),0,VLOOKUP($S$120,'TAR FIN'!$A$1:$O$108,15,0))</f>
        <v>55.8</v>
      </c>
      <c r="W120" s="6">
        <f>IF(ISERROR(VLOOKUP($T$120,'TAR FIN'!$A$1:$O$108,15,0)),0,VLOOKUP($T$120,'TAR FIN'!$A$1:$O$108,15,0))</f>
        <v>102.62</v>
      </c>
      <c r="X120" s="6">
        <f>IF(ISERROR(VLOOKUP($U$120,'TAR FIN'!$A$1:$O$108,15,0)),0,VLOOKUP($U$120,'TAR FIN'!$A$1:$O$108,15,0))</f>
        <v>159.43</v>
      </c>
      <c r="Y120" s="6">
        <f ca="1">('TUSD BE'!$AM$21+'TUSD BF'!$AM$21+'TUSD CVA'!$AM$21)*1</f>
        <v>54.248421540039665</v>
      </c>
      <c r="Z120" s="6">
        <f ca="1">('TUSD BE'!$AM$23+'TUSD BF'!$AM$23+'TUSD CVA'!$AM$23)*1</f>
        <v>181.47641369790719</v>
      </c>
      <c r="AA120" s="6">
        <f>('TE BE'!$AB$10+'TE BF'!$AB$10+'TE CVA'!$AB$10)*1</f>
        <v>322.12477389224171</v>
      </c>
      <c r="AB120" s="6">
        <f>$K$120*$V$120</f>
        <v>40287.599999999999</v>
      </c>
      <c r="AC120" s="6">
        <f>$M$120*$W$120</f>
        <v>3166.3401000000003</v>
      </c>
      <c r="AD120" s="6">
        <f>$O$120*$X$120</f>
        <v>4919.2126500000004</v>
      </c>
      <c r="AE120" s="6">
        <f ca="1">$K$120*$Y$120</f>
        <v>39167.360351908639</v>
      </c>
      <c r="AF120" s="6">
        <f ca="1">$M$120*$Z$120</f>
        <v>5599.4547446489269</v>
      </c>
      <c r="AG120" s="6">
        <f>$O$120*$AA$120</f>
        <v>9939.1598984451175</v>
      </c>
    </row>
    <row r="121" spans="1:33" ht="11.25" customHeight="1" x14ac:dyDescent="0.25">
      <c r="A121" s="4" t="s">
        <v>21</v>
      </c>
      <c r="B121" s="4" t="s">
        <v>41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44562</v>
      </c>
      <c r="J121" s="6">
        <v>727</v>
      </c>
      <c r="K121" s="6">
        <v>727</v>
      </c>
      <c r="L121" s="6">
        <v>29.178000000000001</v>
      </c>
      <c r="M121" s="6">
        <v>29.178000000000001</v>
      </c>
      <c r="N121" s="6">
        <v>29.178000000000001</v>
      </c>
      <c r="O121" s="6">
        <v>29.178000000000001</v>
      </c>
      <c r="P121" s="6">
        <v>0</v>
      </c>
      <c r="Q121" s="4" t="s">
        <v>26</v>
      </c>
      <c r="R121" s="4">
        <v>0</v>
      </c>
      <c r="S121" s="6">
        <v>42</v>
      </c>
      <c r="T121" s="6">
        <v>46</v>
      </c>
      <c r="U121" s="6">
        <v>75</v>
      </c>
      <c r="V121" s="6">
        <f>IF(ISERROR(VLOOKUP($S$121,'TAR FIN'!$A$1:$O$108,15,0)),0,VLOOKUP($S$121,'TAR FIN'!$A$1:$O$108,15,0))</f>
        <v>55.8</v>
      </c>
      <c r="W121" s="6">
        <f>IF(ISERROR(VLOOKUP($T$121,'TAR FIN'!$A$1:$O$108,15,0)),0,VLOOKUP($T$121,'TAR FIN'!$A$1:$O$108,15,0))</f>
        <v>102.62</v>
      </c>
      <c r="X121" s="6">
        <f>IF(ISERROR(VLOOKUP($U$121,'TAR FIN'!$A$1:$O$108,15,0)),0,VLOOKUP($U$121,'TAR FIN'!$A$1:$O$108,15,0))</f>
        <v>159.43</v>
      </c>
      <c r="Y121" s="6">
        <f ca="1">('TUSD BE'!$AM$21+'TUSD BF'!$AM$21+'TUSD CVA'!$AM$21)*1</f>
        <v>54.248421540039665</v>
      </c>
      <c r="Z121" s="6">
        <f ca="1">('TUSD BE'!$AM$23+'TUSD BF'!$AM$23+'TUSD CVA'!$AM$23)*1</f>
        <v>181.47641369790719</v>
      </c>
      <c r="AA121" s="6">
        <f>('TE BE'!$AB$10+'TE BF'!$AB$10+'TE CVA'!$AB$10)*1</f>
        <v>322.12477389224171</v>
      </c>
      <c r="AB121" s="6">
        <f>$K$121*$V$121</f>
        <v>40566.6</v>
      </c>
      <c r="AC121" s="6">
        <f>$M$121*$W$121</f>
        <v>2994.2463600000001</v>
      </c>
      <c r="AD121" s="6">
        <f>$O$121*$X$121</f>
        <v>4651.84854</v>
      </c>
      <c r="AE121" s="6">
        <f ca="1">$K$121*$Y$121</f>
        <v>39438.602459608839</v>
      </c>
      <c r="AF121" s="6">
        <f ca="1">$M$121*$Z$121</f>
        <v>5295.1187988775364</v>
      </c>
      <c r="AG121" s="6">
        <f>$O$121*$AA$121</f>
        <v>9398.9566526278286</v>
      </c>
    </row>
    <row r="122" spans="1:33" ht="11.25" customHeight="1" x14ac:dyDescent="0.25">
      <c r="A122" s="4" t="s">
        <v>21</v>
      </c>
      <c r="B122" s="4" t="s">
        <v>41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44593</v>
      </c>
      <c r="J122" s="6">
        <v>729</v>
      </c>
      <c r="K122" s="6">
        <v>729</v>
      </c>
      <c r="L122" s="6">
        <v>26.395</v>
      </c>
      <c r="M122" s="6">
        <v>26.395</v>
      </c>
      <c r="N122" s="6">
        <v>26.395</v>
      </c>
      <c r="O122" s="6">
        <v>26.395</v>
      </c>
      <c r="P122" s="6">
        <v>0</v>
      </c>
      <c r="Q122" s="4" t="s">
        <v>26</v>
      </c>
      <c r="R122" s="4">
        <v>0</v>
      </c>
      <c r="S122" s="6">
        <v>42</v>
      </c>
      <c r="T122" s="6">
        <v>46</v>
      </c>
      <c r="U122" s="6">
        <v>75</v>
      </c>
      <c r="V122" s="6">
        <f>IF(ISERROR(VLOOKUP($S$122,'TAR FIN'!$A$1:$O$108,15,0)),0,VLOOKUP($S$122,'TAR FIN'!$A$1:$O$108,15,0))</f>
        <v>55.8</v>
      </c>
      <c r="W122" s="6">
        <f>IF(ISERROR(VLOOKUP($T$122,'TAR FIN'!$A$1:$O$108,15,0)),0,VLOOKUP($T$122,'TAR FIN'!$A$1:$O$108,15,0))</f>
        <v>102.62</v>
      </c>
      <c r="X122" s="6">
        <f>IF(ISERROR(VLOOKUP($U$122,'TAR FIN'!$A$1:$O$108,15,0)),0,VLOOKUP($U$122,'TAR FIN'!$A$1:$O$108,15,0))</f>
        <v>159.43</v>
      </c>
      <c r="Y122" s="6">
        <f ca="1">('TUSD BE'!$AM$21+'TUSD BF'!$AM$21+'TUSD CVA'!$AM$21)*1</f>
        <v>54.248421540039665</v>
      </c>
      <c r="Z122" s="6">
        <f ca="1">('TUSD BE'!$AM$23+'TUSD BF'!$AM$23+'TUSD CVA'!$AM$23)*1</f>
        <v>181.47641369790719</v>
      </c>
      <c r="AA122" s="6">
        <f>('TE BE'!$AB$10+'TE BF'!$AB$10+'TE CVA'!$AB$10)*1</f>
        <v>322.12477389224171</v>
      </c>
      <c r="AB122" s="6">
        <f>$K$122*$V$122</f>
        <v>40678.199999999997</v>
      </c>
      <c r="AC122" s="6">
        <f>$M$122*$W$122</f>
        <v>2708.6549</v>
      </c>
      <c r="AD122" s="6">
        <f>$O$122*$X$122</f>
        <v>4208.1548499999999</v>
      </c>
      <c r="AE122" s="6">
        <f ca="1">$K$122*$Y$122</f>
        <v>39547.099302688919</v>
      </c>
      <c r="AF122" s="6">
        <f ca="1">$M$122*$Z$122</f>
        <v>4790.0699395562606</v>
      </c>
      <c r="AG122" s="6">
        <f>$O$122*$AA$122</f>
        <v>8502.4834068857199</v>
      </c>
    </row>
    <row r="123" spans="1:33" ht="11.25" customHeight="1" x14ac:dyDescent="0.25">
      <c r="A123" s="4" t="s">
        <v>21</v>
      </c>
      <c r="B123" s="4" t="s">
        <v>41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44621</v>
      </c>
      <c r="J123" s="6">
        <v>865</v>
      </c>
      <c r="K123" s="6">
        <v>865</v>
      </c>
      <c r="L123" s="6">
        <v>31.888999999999999</v>
      </c>
      <c r="M123" s="6">
        <v>31.888999999999999</v>
      </c>
      <c r="N123" s="6">
        <v>31.888999999999999</v>
      </c>
      <c r="O123" s="6">
        <v>31.888999999999999</v>
      </c>
      <c r="P123" s="6">
        <v>0</v>
      </c>
      <c r="Q123" s="4" t="s">
        <v>26</v>
      </c>
      <c r="R123" s="4">
        <v>0</v>
      </c>
      <c r="S123" s="6">
        <v>42</v>
      </c>
      <c r="T123" s="6">
        <v>46</v>
      </c>
      <c r="U123" s="6">
        <v>75</v>
      </c>
      <c r="V123" s="6">
        <f>IF(ISERROR(VLOOKUP($S$123,'TAR FIN'!$A$1:$O$108,15,0)),0,VLOOKUP($S$123,'TAR FIN'!$A$1:$O$108,15,0))</f>
        <v>55.8</v>
      </c>
      <c r="W123" s="6">
        <f>IF(ISERROR(VLOOKUP($T$123,'TAR FIN'!$A$1:$O$108,15,0)),0,VLOOKUP($T$123,'TAR FIN'!$A$1:$O$108,15,0))</f>
        <v>102.62</v>
      </c>
      <c r="X123" s="6">
        <f>IF(ISERROR(VLOOKUP($U$123,'TAR FIN'!$A$1:$O$108,15,0)),0,VLOOKUP($U$123,'TAR FIN'!$A$1:$O$108,15,0))</f>
        <v>159.43</v>
      </c>
      <c r="Y123" s="6">
        <f ca="1">('TUSD BE'!$AM$21+'TUSD BF'!$AM$21+'TUSD CVA'!$AM$21)*1</f>
        <v>54.248421540039665</v>
      </c>
      <c r="Z123" s="6">
        <f ca="1">('TUSD BE'!$AM$23+'TUSD BF'!$AM$23+'TUSD CVA'!$AM$23)*1</f>
        <v>181.47641369790719</v>
      </c>
      <c r="AA123" s="6">
        <f>('TE BE'!$AB$10+'TE BF'!$AB$10+'TE CVA'!$AB$10)*1</f>
        <v>322.12477389224171</v>
      </c>
      <c r="AB123" s="6">
        <f>$K$123*$V$123</f>
        <v>48267</v>
      </c>
      <c r="AC123" s="6">
        <f>$M$123*$W$123</f>
        <v>3272.4491800000001</v>
      </c>
      <c r="AD123" s="6">
        <f>$O$123*$X$123</f>
        <v>5084.0632700000006</v>
      </c>
      <c r="AE123" s="6">
        <f ca="1">$K$123*$Y$123</f>
        <v>46924.884632134308</v>
      </c>
      <c r="AF123" s="6">
        <f ca="1">$M$123*$Z$123</f>
        <v>5787.1013564125624</v>
      </c>
      <c r="AG123" s="6">
        <f>$O$123*$AA$123</f>
        <v>10272.236914649695</v>
      </c>
    </row>
    <row r="124" spans="1:33" ht="11.25" customHeight="1" x14ac:dyDescent="0.25">
      <c r="A124" s="4" t="s">
        <v>21</v>
      </c>
      <c r="B124" s="4" t="s">
        <v>41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44652</v>
      </c>
      <c r="J124" s="6">
        <v>853</v>
      </c>
      <c r="K124" s="6">
        <v>853</v>
      </c>
      <c r="L124" s="6">
        <v>20.617000000000001</v>
      </c>
      <c r="M124" s="6">
        <v>20.617000000000001</v>
      </c>
      <c r="N124" s="6">
        <v>20.617000000000001</v>
      </c>
      <c r="O124" s="6">
        <v>20.617000000000001</v>
      </c>
      <c r="P124" s="6">
        <v>0</v>
      </c>
      <c r="Q124" s="4" t="s">
        <v>26</v>
      </c>
      <c r="R124" s="4">
        <v>0</v>
      </c>
      <c r="S124" s="6">
        <v>42</v>
      </c>
      <c r="T124" s="6">
        <v>46</v>
      </c>
      <c r="U124" s="6">
        <v>75</v>
      </c>
      <c r="V124" s="6">
        <f>IF(ISERROR(VLOOKUP($S$124,'TAR FIN'!$A$1:$O$108,15,0)),0,VLOOKUP($S$124,'TAR FIN'!$A$1:$O$108,15,0))</f>
        <v>55.8</v>
      </c>
      <c r="W124" s="6">
        <f>IF(ISERROR(VLOOKUP($T$124,'TAR FIN'!$A$1:$O$108,15,0)),0,VLOOKUP($T$124,'TAR FIN'!$A$1:$O$108,15,0))</f>
        <v>102.62</v>
      </c>
      <c r="X124" s="6">
        <f>IF(ISERROR(VLOOKUP($U$124,'TAR FIN'!$A$1:$O$108,15,0)),0,VLOOKUP($U$124,'TAR FIN'!$A$1:$O$108,15,0))</f>
        <v>159.43</v>
      </c>
      <c r="Y124" s="6">
        <f ca="1">('TUSD BE'!$AM$21+'TUSD BF'!$AM$21+'TUSD CVA'!$AM$21)*1</f>
        <v>54.248421540039665</v>
      </c>
      <c r="Z124" s="6">
        <f ca="1">('TUSD BE'!$AM$23+'TUSD BF'!$AM$23+'TUSD CVA'!$AM$23)*1</f>
        <v>181.47641369790719</v>
      </c>
      <c r="AA124" s="6">
        <f>('TE BE'!$AB$10+'TE BF'!$AB$10+'TE CVA'!$AB$10)*1</f>
        <v>322.12477389224171</v>
      </c>
      <c r="AB124" s="6">
        <f>$K$124*$V$124</f>
        <v>47597.399999999994</v>
      </c>
      <c r="AC124" s="6">
        <f>$M$124*$W$124</f>
        <v>2115.7165400000004</v>
      </c>
      <c r="AD124" s="6">
        <f>$O$124*$X$124</f>
        <v>3286.9683100000002</v>
      </c>
      <c r="AE124" s="6">
        <f ca="1">$K$124*$Y$124</f>
        <v>46273.903573653835</v>
      </c>
      <c r="AF124" s="6">
        <f ca="1">$M$124*$Z$124</f>
        <v>3741.4992212097527</v>
      </c>
      <c r="AG124" s="6">
        <f>$O$124*$AA$124</f>
        <v>6641.2464633363479</v>
      </c>
    </row>
    <row r="125" spans="1:33" ht="11.25" customHeight="1" x14ac:dyDescent="0.25">
      <c r="A125" s="4" t="s">
        <v>21</v>
      </c>
      <c r="B125" s="4" t="s">
        <v>41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44682</v>
      </c>
      <c r="J125" s="6">
        <v>694</v>
      </c>
      <c r="K125" s="6">
        <v>694</v>
      </c>
      <c r="L125" s="6">
        <v>25.818000000000001</v>
      </c>
      <c r="M125" s="6">
        <v>25.818000000000001</v>
      </c>
      <c r="N125" s="6">
        <v>25.818000000000001</v>
      </c>
      <c r="O125" s="6">
        <v>25.818000000000001</v>
      </c>
      <c r="P125" s="6">
        <v>0</v>
      </c>
      <c r="Q125" s="4" t="s">
        <v>26</v>
      </c>
      <c r="R125" s="4">
        <v>0</v>
      </c>
      <c r="S125" s="6">
        <v>42</v>
      </c>
      <c r="T125" s="6">
        <v>46</v>
      </c>
      <c r="U125" s="6">
        <v>75</v>
      </c>
      <c r="V125" s="6">
        <f>IF(ISERROR(VLOOKUP($S$125,'TAR FIN'!$A$1:$O$108,15,0)),0,VLOOKUP($S$125,'TAR FIN'!$A$1:$O$108,15,0))</f>
        <v>55.8</v>
      </c>
      <c r="W125" s="6">
        <f>IF(ISERROR(VLOOKUP($T$125,'TAR FIN'!$A$1:$O$108,15,0)),0,VLOOKUP($T$125,'TAR FIN'!$A$1:$O$108,15,0))</f>
        <v>102.62</v>
      </c>
      <c r="X125" s="6">
        <f>IF(ISERROR(VLOOKUP($U$125,'TAR FIN'!$A$1:$O$108,15,0)),0,VLOOKUP($U$125,'TAR FIN'!$A$1:$O$108,15,0))</f>
        <v>159.43</v>
      </c>
      <c r="Y125" s="6">
        <f ca="1">('TUSD BE'!$AM$21+'TUSD BF'!$AM$21+'TUSD CVA'!$AM$21)*1</f>
        <v>54.248421540039665</v>
      </c>
      <c r="Z125" s="6">
        <f ca="1">('TUSD BE'!$AM$23+'TUSD BF'!$AM$23+'TUSD CVA'!$AM$23)*1</f>
        <v>181.47641369790719</v>
      </c>
      <c r="AA125" s="6">
        <f>('TE BE'!$AB$10+'TE BF'!$AB$10+'TE CVA'!$AB$10)*1</f>
        <v>322.12477389224171</v>
      </c>
      <c r="AB125" s="6">
        <f>$K$125*$V$125</f>
        <v>38725.199999999997</v>
      </c>
      <c r="AC125" s="6">
        <f>$M$125*$W$125</f>
        <v>2649.4431600000003</v>
      </c>
      <c r="AD125" s="6">
        <f>$O$125*$X$125</f>
        <v>4116.16374</v>
      </c>
      <c r="AE125" s="6">
        <f ca="1">$K$125*$Y$125</f>
        <v>37648.404548787526</v>
      </c>
      <c r="AF125" s="6">
        <f ca="1">$M$125*$Z$125</f>
        <v>4685.3580488525677</v>
      </c>
      <c r="AG125" s="6">
        <f>$O$125*$AA$125</f>
        <v>8316.6174123498968</v>
      </c>
    </row>
    <row r="126" spans="1:33" ht="11.25" customHeight="1" x14ac:dyDescent="0.25">
      <c r="A126" s="4" t="s">
        <v>21</v>
      </c>
      <c r="B126" s="4" t="s">
        <v>41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44713</v>
      </c>
      <c r="J126" s="6">
        <v>767</v>
      </c>
      <c r="K126" s="6">
        <v>767</v>
      </c>
      <c r="L126" s="6">
        <v>25.221</v>
      </c>
      <c r="M126" s="6">
        <v>25.221</v>
      </c>
      <c r="N126" s="6">
        <v>25.221</v>
      </c>
      <c r="O126" s="6">
        <v>25.221</v>
      </c>
      <c r="P126" s="6">
        <v>0</v>
      </c>
      <c r="Q126" s="4" t="s">
        <v>26</v>
      </c>
      <c r="R126" s="4">
        <v>0</v>
      </c>
      <c r="S126" s="6">
        <v>42</v>
      </c>
      <c r="T126" s="6">
        <v>46</v>
      </c>
      <c r="U126" s="6">
        <v>75</v>
      </c>
      <c r="V126" s="6">
        <f>IF(ISERROR(VLOOKUP($S$126,'TAR FIN'!$A$1:$O$108,15,0)),0,VLOOKUP($S$126,'TAR FIN'!$A$1:$O$108,15,0))</f>
        <v>55.8</v>
      </c>
      <c r="W126" s="6">
        <f>IF(ISERROR(VLOOKUP($T$126,'TAR FIN'!$A$1:$O$108,15,0)),0,VLOOKUP($T$126,'TAR FIN'!$A$1:$O$108,15,0))</f>
        <v>102.62</v>
      </c>
      <c r="X126" s="6">
        <f>IF(ISERROR(VLOOKUP($U$126,'TAR FIN'!$A$1:$O$108,15,0)),0,VLOOKUP($U$126,'TAR FIN'!$A$1:$O$108,15,0))</f>
        <v>159.43</v>
      </c>
      <c r="Y126" s="6">
        <f ca="1">('TUSD BE'!$AM$21+'TUSD BF'!$AM$21+'TUSD CVA'!$AM$21)*1</f>
        <v>54.248421540039665</v>
      </c>
      <c r="Z126" s="6">
        <f ca="1">('TUSD BE'!$AM$23+'TUSD BF'!$AM$23+'TUSD CVA'!$AM$23)*1</f>
        <v>181.47641369790719</v>
      </c>
      <c r="AA126" s="6">
        <f>('TE BE'!$AB$10+'TE BF'!$AB$10+'TE CVA'!$AB$10)*1</f>
        <v>322.12477389224171</v>
      </c>
      <c r="AB126" s="6">
        <f>$K$126*$V$126</f>
        <v>42798.6</v>
      </c>
      <c r="AC126" s="6">
        <f>$M$126*$W$126</f>
        <v>2588.17902</v>
      </c>
      <c r="AD126" s="6">
        <f>$O$126*$X$126</f>
        <v>4020.9840300000001</v>
      </c>
      <c r="AE126" s="6">
        <f ca="1">$K$126*$Y$126</f>
        <v>41608.539321210425</v>
      </c>
      <c r="AF126" s="6">
        <f ca="1">$M$126*$Z$126</f>
        <v>4577.0166298749173</v>
      </c>
      <c r="AG126" s="6">
        <f>$O$126*$AA$126</f>
        <v>8124.3089223362285</v>
      </c>
    </row>
    <row r="127" spans="1:33" ht="11.25" customHeight="1" x14ac:dyDescent="0.25">
      <c r="A127" s="4" t="s">
        <v>21</v>
      </c>
      <c r="B127" s="4" t="s">
        <v>41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44743</v>
      </c>
      <c r="J127" s="6">
        <v>1713</v>
      </c>
      <c r="K127" s="6">
        <v>1713</v>
      </c>
      <c r="L127" s="6">
        <v>24.952999999999999</v>
      </c>
      <c r="M127" s="6">
        <v>24.952999999999999</v>
      </c>
      <c r="N127" s="6">
        <v>24.952999999999999</v>
      </c>
      <c r="O127" s="6">
        <v>24.952999999999999</v>
      </c>
      <c r="P127" s="6">
        <v>0</v>
      </c>
      <c r="Q127" s="4" t="s">
        <v>26</v>
      </c>
      <c r="R127" s="4">
        <v>0</v>
      </c>
      <c r="S127" s="6">
        <v>42</v>
      </c>
      <c r="T127" s="6">
        <v>46</v>
      </c>
      <c r="U127" s="6">
        <v>75</v>
      </c>
      <c r="V127" s="6">
        <f>IF(ISERROR(VLOOKUP($S$127,'TAR FIN'!$A$1:$O$108,15,0)),0,VLOOKUP($S$127,'TAR FIN'!$A$1:$O$108,15,0))</f>
        <v>55.8</v>
      </c>
      <c r="W127" s="6">
        <f>IF(ISERROR(VLOOKUP($T$127,'TAR FIN'!$A$1:$O$108,15,0)),0,VLOOKUP($T$127,'TAR FIN'!$A$1:$O$108,15,0))</f>
        <v>102.62</v>
      </c>
      <c r="X127" s="6">
        <f>IF(ISERROR(VLOOKUP($U$127,'TAR FIN'!$A$1:$O$108,15,0)),0,VLOOKUP($U$127,'TAR FIN'!$A$1:$O$108,15,0))</f>
        <v>159.43</v>
      </c>
      <c r="Y127" s="6">
        <f ca="1">('TUSD BE'!$AM$21+'TUSD BF'!$AM$21+'TUSD CVA'!$AM$21)*1</f>
        <v>54.248421540039665</v>
      </c>
      <c r="Z127" s="6">
        <f ca="1">('TUSD BE'!$AM$23+'TUSD BF'!$AM$23+'TUSD CVA'!$AM$23)*1</f>
        <v>181.47641369790719</v>
      </c>
      <c r="AA127" s="6">
        <f>('TE BE'!$AB$10+'TE BF'!$AB$10+'TE CVA'!$AB$10)*1</f>
        <v>322.12477389224171</v>
      </c>
      <c r="AB127" s="6">
        <f>$K$127*$V$127</f>
        <v>95585.4</v>
      </c>
      <c r="AC127" s="6">
        <f>$M$127*$W$127</f>
        <v>2560.67686</v>
      </c>
      <c r="AD127" s="6">
        <f>$O$127*$X$127</f>
        <v>3978.2567899999999</v>
      </c>
      <c r="AE127" s="6">
        <f ca="1">$K$127*$Y$127</f>
        <v>92927.546098087943</v>
      </c>
      <c r="AF127" s="6">
        <f ca="1">$M$127*$Z$127</f>
        <v>4528.3809510038782</v>
      </c>
      <c r="AG127" s="6">
        <f>$O$127*$AA$127</f>
        <v>8037.9794829331067</v>
      </c>
    </row>
    <row r="128" spans="1:33" ht="11.25" customHeight="1" x14ac:dyDescent="0.25">
      <c r="A128" s="4" t="s">
        <v>21</v>
      </c>
      <c r="B128" s="4" t="s">
        <v>41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44774</v>
      </c>
      <c r="J128" s="6">
        <v>888</v>
      </c>
      <c r="K128" s="6">
        <v>888</v>
      </c>
      <c r="L128" s="6">
        <v>28.64</v>
      </c>
      <c r="M128" s="6">
        <v>28.64</v>
      </c>
      <c r="N128" s="6">
        <v>28.64</v>
      </c>
      <c r="O128" s="6">
        <v>28.64</v>
      </c>
      <c r="P128" s="6">
        <v>0</v>
      </c>
      <c r="Q128" s="4" t="s">
        <v>26</v>
      </c>
      <c r="R128" s="4">
        <v>0</v>
      </c>
      <c r="S128" s="6">
        <v>42</v>
      </c>
      <c r="T128" s="6">
        <v>46</v>
      </c>
      <c r="U128" s="6">
        <v>75</v>
      </c>
      <c r="V128" s="6">
        <f>IF(ISERROR(VLOOKUP($S$128,'TAR FIN'!$A$1:$O$108,15,0)),0,VLOOKUP($S$128,'TAR FIN'!$A$1:$O$108,15,0))</f>
        <v>55.8</v>
      </c>
      <c r="W128" s="6">
        <f>IF(ISERROR(VLOOKUP($T$128,'TAR FIN'!$A$1:$O$108,15,0)),0,VLOOKUP($T$128,'TAR FIN'!$A$1:$O$108,15,0))</f>
        <v>102.62</v>
      </c>
      <c r="X128" s="6">
        <f>IF(ISERROR(VLOOKUP($U$128,'TAR FIN'!$A$1:$O$108,15,0)),0,VLOOKUP($U$128,'TAR FIN'!$A$1:$O$108,15,0))</f>
        <v>159.43</v>
      </c>
      <c r="Y128" s="6">
        <f ca="1">('TUSD BE'!$AM$21+'TUSD BF'!$AM$21+'TUSD CVA'!$AM$21)*1</f>
        <v>54.248421540039665</v>
      </c>
      <c r="Z128" s="6">
        <f ca="1">('TUSD BE'!$AM$23+'TUSD BF'!$AM$23+'TUSD CVA'!$AM$23)*1</f>
        <v>181.47641369790719</v>
      </c>
      <c r="AA128" s="6">
        <f>('TE BE'!$AB$10+'TE BF'!$AB$10+'TE CVA'!$AB$10)*1</f>
        <v>322.12477389224171</v>
      </c>
      <c r="AB128" s="6">
        <f>$K$128*$V$128</f>
        <v>49550.399999999994</v>
      </c>
      <c r="AC128" s="6">
        <f>$M$128*$W$128</f>
        <v>2939.0368000000003</v>
      </c>
      <c r="AD128" s="6">
        <f>$O$128*$X$128</f>
        <v>4566.0752000000002</v>
      </c>
      <c r="AE128" s="6">
        <f ca="1">$K$128*$Y$128</f>
        <v>48172.598327555221</v>
      </c>
      <c r="AF128" s="6">
        <f ca="1">$M$128*$Z$128</f>
        <v>5197.4844883080623</v>
      </c>
      <c r="AG128" s="6">
        <f>$O$128*$AA$128</f>
        <v>9225.6535242738028</v>
      </c>
    </row>
    <row r="129" spans="1:33" ht="11.25" customHeight="1" x14ac:dyDescent="0.25">
      <c r="A129" s="4" t="s">
        <v>27</v>
      </c>
      <c r="B129" s="4" t="s">
        <v>41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44774</v>
      </c>
      <c r="J129" s="6">
        <v>-890</v>
      </c>
      <c r="K129" s="6">
        <v>-890</v>
      </c>
      <c r="L129" s="6">
        <v>1E-3</v>
      </c>
      <c r="M129" s="6">
        <v>1E-3</v>
      </c>
      <c r="N129" s="6">
        <v>1E-3</v>
      </c>
      <c r="O129" s="6">
        <v>1E-3</v>
      </c>
      <c r="P129" s="6">
        <v>0</v>
      </c>
      <c r="Q129" s="4" t="s">
        <v>26</v>
      </c>
      <c r="R129" s="4">
        <v>0</v>
      </c>
      <c r="S129" s="6">
        <v>42</v>
      </c>
      <c r="T129" s="6">
        <v>46</v>
      </c>
      <c r="U129" s="6">
        <v>75</v>
      </c>
      <c r="V129" s="6">
        <f>IF(ISERROR(VLOOKUP($S$129,'TAR FIN'!$A$1:$O$108,15,0)),0,VLOOKUP($S$129,'TAR FIN'!$A$1:$O$108,15,0))</f>
        <v>55.8</v>
      </c>
      <c r="W129" s="6">
        <f>IF(ISERROR(VLOOKUP($T$129,'TAR FIN'!$A$1:$O$108,15,0)),0,VLOOKUP($T$129,'TAR FIN'!$A$1:$O$108,15,0))</f>
        <v>102.62</v>
      </c>
      <c r="X129" s="6">
        <f>IF(ISERROR(VLOOKUP($U$129,'TAR FIN'!$A$1:$O$108,15,0)),0,VLOOKUP($U$129,'TAR FIN'!$A$1:$O$108,15,0))</f>
        <v>159.43</v>
      </c>
      <c r="Y129" s="6">
        <f ca="1">('TUSD BE'!$AM$21+'TUSD BF'!$AM$21+'TUSD CVA'!$AM$21)*1</f>
        <v>54.248421540039665</v>
      </c>
      <c r="Z129" s="6">
        <f ca="1">('TUSD BE'!$AM$23+'TUSD BF'!$AM$23+'TUSD CVA'!$AM$23)*1</f>
        <v>181.47641369790719</v>
      </c>
      <c r="AA129" s="6">
        <f>('TE BE'!$AB$10+'TE BF'!$AB$10+'TE CVA'!$AB$10)*1</f>
        <v>322.12477389224171</v>
      </c>
      <c r="AB129" s="6">
        <f>$K$129*$V$129</f>
        <v>-49662</v>
      </c>
      <c r="AC129" s="6">
        <f>$M$129*$W$129</f>
        <v>0.10262</v>
      </c>
      <c r="AD129" s="6">
        <f>$O$129*$X$129</f>
        <v>0.15943000000000002</v>
      </c>
      <c r="AE129" s="6">
        <f ca="1">$K$129*$Y$129</f>
        <v>-48281.095170635301</v>
      </c>
      <c r="AF129" s="6">
        <f ca="1">$M$129*$Z$129</f>
        <v>0.18147641369790721</v>
      </c>
      <c r="AG129" s="6">
        <f>$O$129*$AA$129</f>
        <v>0.3221247738922417</v>
      </c>
    </row>
    <row r="130" spans="1:33" ht="11.25" customHeight="1" x14ac:dyDescent="0.25">
      <c r="A130" s="4" t="s">
        <v>21</v>
      </c>
      <c r="B130" s="4" t="s">
        <v>41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44805</v>
      </c>
      <c r="J130" s="6">
        <v>654</v>
      </c>
      <c r="K130" s="6">
        <v>654</v>
      </c>
      <c r="L130" s="6">
        <v>24.792000000000002</v>
      </c>
      <c r="M130" s="6">
        <v>24.792000000000002</v>
      </c>
      <c r="N130" s="6">
        <v>24.792000000000002</v>
      </c>
      <c r="O130" s="6">
        <v>24.792000000000002</v>
      </c>
      <c r="P130" s="6">
        <v>0</v>
      </c>
      <c r="Q130" s="4" t="s">
        <v>26</v>
      </c>
      <c r="R130" s="4">
        <v>0</v>
      </c>
      <c r="S130" s="6">
        <v>42</v>
      </c>
      <c r="T130" s="6">
        <v>46</v>
      </c>
      <c r="U130" s="6">
        <v>75</v>
      </c>
      <c r="V130" s="6">
        <f>IF(ISERROR(VLOOKUP($S$130,'TAR FIN'!$A$1:$O$108,15,0)),0,VLOOKUP($S$130,'TAR FIN'!$A$1:$O$108,15,0))</f>
        <v>55.8</v>
      </c>
      <c r="W130" s="6">
        <f>IF(ISERROR(VLOOKUP($T$130,'TAR FIN'!$A$1:$O$108,15,0)),0,VLOOKUP($T$130,'TAR FIN'!$A$1:$O$108,15,0))</f>
        <v>102.62</v>
      </c>
      <c r="X130" s="6">
        <f>IF(ISERROR(VLOOKUP($U$130,'TAR FIN'!$A$1:$O$108,15,0)),0,VLOOKUP($U$130,'TAR FIN'!$A$1:$O$108,15,0))</f>
        <v>159.43</v>
      </c>
      <c r="Y130" s="6">
        <f ca="1">('TUSD BE'!$AM$21+'TUSD BF'!$AM$21+'TUSD CVA'!$AM$21)*1</f>
        <v>54.248421540039665</v>
      </c>
      <c r="Z130" s="6">
        <f ca="1">('TUSD BE'!$AM$23+'TUSD BF'!$AM$23+'TUSD CVA'!$AM$23)*1</f>
        <v>181.47641369790719</v>
      </c>
      <c r="AA130" s="6">
        <f>('TE BE'!$AB$10+'TE BF'!$AB$10+'TE CVA'!$AB$10)*1</f>
        <v>322.12477389224171</v>
      </c>
      <c r="AB130" s="6">
        <f>$K$130*$V$130</f>
        <v>36493.199999999997</v>
      </c>
      <c r="AC130" s="6">
        <f>$M$130*$W$130</f>
        <v>2544.1550400000001</v>
      </c>
      <c r="AD130" s="6">
        <f>$O$130*$X$130</f>
        <v>3952.5885600000006</v>
      </c>
      <c r="AE130" s="6">
        <f ca="1">$K$130*$Y$130</f>
        <v>35478.467687185941</v>
      </c>
      <c r="AF130" s="6">
        <f ca="1">$M$130*$Z$130</f>
        <v>4499.163248398515</v>
      </c>
      <c r="AG130" s="6">
        <f>$O$130*$AA$130</f>
        <v>7986.1173943364565</v>
      </c>
    </row>
    <row r="131" spans="1:33" ht="11.25" customHeight="1" x14ac:dyDescent="0.25">
      <c r="A131" s="4" t="s">
        <v>21</v>
      </c>
      <c r="B131" s="4" t="s">
        <v>41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44835</v>
      </c>
      <c r="J131" s="6">
        <v>813</v>
      </c>
      <c r="K131" s="6">
        <v>813</v>
      </c>
      <c r="L131" s="6">
        <v>22.390999999999998</v>
      </c>
      <c r="M131" s="6">
        <v>22.390999999999998</v>
      </c>
      <c r="N131" s="6">
        <v>22.390999999999998</v>
      </c>
      <c r="O131" s="6">
        <v>22.390999999999998</v>
      </c>
      <c r="P131" s="6">
        <v>0</v>
      </c>
      <c r="Q131" s="4" t="s">
        <v>26</v>
      </c>
      <c r="R131" s="4">
        <v>0</v>
      </c>
      <c r="S131" s="6">
        <v>42</v>
      </c>
      <c r="T131" s="6">
        <v>46</v>
      </c>
      <c r="U131" s="6">
        <v>75</v>
      </c>
      <c r="V131" s="6">
        <f>IF(ISERROR(VLOOKUP($S$131,'TAR FIN'!$A$1:$O$108,15,0)),0,VLOOKUP($S$131,'TAR FIN'!$A$1:$O$108,15,0))</f>
        <v>55.8</v>
      </c>
      <c r="W131" s="6">
        <f>IF(ISERROR(VLOOKUP($T$131,'TAR FIN'!$A$1:$O$108,15,0)),0,VLOOKUP($T$131,'TAR FIN'!$A$1:$O$108,15,0))</f>
        <v>102.62</v>
      </c>
      <c r="X131" s="6">
        <f>IF(ISERROR(VLOOKUP($U$131,'TAR FIN'!$A$1:$O$108,15,0)),0,VLOOKUP($U$131,'TAR FIN'!$A$1:$O$108,15,0))</f>
        <v>159.43</v>
      </c>
      <c r="Y131" s="6">
        <f ca="1">('TUSD BE'!$AM$21+'TUSD BF'!$AM$21+'TUSD CVA'!$AM$21)*1</f>
        <v>54.248421540039665</v>
      </c>
      <c r="Z131" s="6">
        <f ca="1">('TUSD BE'!$AM$23+'TUSD BF'!$AM$23+'TUSD CVA'!$AM$23)*1</f>
        <v>181.47641369790719</v>
      </c>
      <c r="AA131" s="6">
        <f>('TE BE'!$AB$10+'TE BF'!$AB$10+'TE CVA'!$AB$10)*1</f>
        <v>322.12477389224171</v>
      </c>
      <c r="AB131" s="6">
        <f>$K$131*$V$131</f>
        <v>45365.399999999994</v>
      </c>
      <c r="AC131" s="6">
        <f>$M$131*$W$131</f>
        <v>2297.76442</v>
      </c>
      <c r="AD131" s="6">
        <f>$O$131*$X$131</f>
        <v>3569.7971299999999</v>
      </c>
      <c r="AE131" s="6">
        <f ca="1">$K$131*$Y$131</f>
        <v>44103.96671205225</v>
      </c>
      <c r="AF131" s="6">
        <f ca="1">$M$131*$Z$131</f>
        <v>4063.4383791098394</v>
      </c>
      <c r="AG131" s="6">
        <f>$O$131*$AA$131</f>
        <v>7212.6958122211836</v>
      </c>
    </row>
    <row r="132" spans="1:33" ht="11.25" customHeight="1" x14ac:dyDescent="0.25">
      <c r="A132" s="4" t="s">
        <v>27</v>
      </c>
      <c r="B132" s="4" t="s">
        <v>41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44835</v>
      </c>
      <c r="J132" s="6">
        <v>-430</v>
      </c>
      <c r="K132" s="6">
        <v>-430</v>
      </c>
      <c r="L132" s="6">
        <v>-4.9459999999999997</v>
      </c>
      <c r="M132" s="6">
        <v>-4.9459999999999997</v>
      </c>
      <c r="N132" s="6">
        <v>-4.9459999999999997</v>
      </c>
      <c r="O132" s="6">
        <v>-4.9459999999999997</v>
      </c>
      <c r="P132" s="6">
        <v>0</v>
      </c>
      <c r="Q132" s="4" t="s">
        <v>26</v>
      </c>
      <c r="R132" s="4">
        <v>0</v>
      </c>
      <c r="S132" s="6">
        <v>42</v>
      </c>
      <c r="T132" s="6">
        <v>46</v>
      </c>
      <c r="U132" s="6">
        <v>75</v>
      </c>
      <c r="V132" s="6">
        <f>IF(ISERROR(VLOOKUP($S$132,'TAR FIN'!$A$1:$O$108,15,0)),0,VLOOKUP($S$132,'TAR FIN'!$A$1:$O$108,15,0))</f>
        <v>55.8</v>
      </c>
      <c r="W132" s="6">
        <f>IF(ISERROR(VLOOKUP($T$132,'TAR FIN'!$A$1:$O$108,15,0)),0,VLOOKUP($T$132,'TAR FIN'!$A$1:$O$108,15,0))</f>
        <v>102.62</v>
      </c>
      <c r="X132" s="6">
        <f>IF(ISERROR(VLOOKUP($U$132,'TAR FIN'!$A$1:$O$108,15,0)),0,VLOOKUP($U$132,'TAR FIN'!$A$1:$O$108,15,0))</f>
        <v>159.43</v>
      </c>
      <c r="Y132" s="6">
        <f ca="1">('TUSD BE'!$AM$21+'TUSD BF'!$AM$21+'TUSD CVA'!$AM$21)*1</f>
        <v>54.248421540039665</v>
      </c>
      <c r="Z132" s="6">
        <f ca="1">('TUSD BE'!$AM$23+'TUSD BF'!$AM$23+'TUSD CVA'!$AM$23)*1</f>
        <v>181.47641369790719</v>
      </c>
      <c r="AA132" s="6">
        <f>('TE BE'!$AB$10+'TE BF'!$AB$10+'TE CVA'!$AB$10)*1</f>
        <v>322.12477389224171</v>
      </c>
      <c r="AB132" s="6">
        <f>$K$132*$V$132</f>
        <v>-23994</v>
      </c>
      <c r="AC132" s="6">
        <f>$M$132*$W$132</f>
        <v>-507.55851999999999</v>
      </c>
      <c r="AD132" s="6">
        <f>$O$132*$X$132</f>
        <v>-788.54078000000004</v>
      </c>
      <c r="AE132" s="6">
        <f ca="1">$K$132*$Y$132</f>
        <v>-23326.821262217058</v>
      </c>
      <c r="AF132" s="6">
        <f ca="1">$M$132*$Z$132</f>
        <v>-897.58234214984896</v>
      </c>
      <c r="AG132" s="6">
        <f>$O$132*$AA$132</f>
        <v>-1593.2291316710273</v>
      </c>
    </row>
    <row r="133" spans="1:33" ht="11.25" customHeight="1" x14ac:dyDescent="0.25">
      <c r="A133" s="4" t="s">
        <v>54</v>
      </c>
      <c r="B133" s="4" t="s">
        <v>41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44866</v>
      </c>
      <c r="J133" s="6">
        <v>813</v>
      </c>
      <c r="K133" s="6">
        <v>813</v>
      </c>
      <c r="L133" s="6">
        <v>22.390999999999998</v>
      </c>
      <c r="M133" s="6">
        <v>22.390999999999998</v>
      </c>
      <c r="N133" s="6">
        <v>22.390999999999998</v>
      </c>
      <c r="O133" s="6">
        <v>22.390999999999998</v>
      </c>
      <c r="P133" s="6">
        <v>0</v>
      </c>
      <c r="Q133" s="4" t="s">
        <v>26</v>
      </c>
      <c r="R133" s="4">
        <v>0</v>
      </c>
      <c r="S133" s="6">
        <v>42</v>
      </c>
      <c r="T133" s="6">
        <v>46</v>
      </c>
      <c r="U133" s="6">
        <v>75</v>
      </c>
      <c r="V133" s="6">
        <f>IF(ISERROR(VLOOKUP($S$133,'TAR FIN'!$A$1:$O$108,15,0)),0,VLOOKUP($S$133,'TAR FIN'!$A$1:$O$108,15,0))</f>
        <v>55.8</v>
      </c>
      <c r="W133" s="6">
        <f>IF(ISERROR(VLOOKUP($T$133,'TAR FIN'!$A$1:$O$108,15,0)),0,VLOOKUP($T$133,'TAR FIN'!$A$1:$O$108,15,0))</f>
        <v>102.62</v>
      </c>
      <c r="X133" s="6">
        <f>IF(ISERROR(VLOOKUP($U$133,'TAR FIN'!$A$1:$O$108,15,0)),0,VLOOKUP($U$133,'TAR FIN'!$A$1:$O$108,15,0))</f>
        <v>159.43</v>
      </c>
      <c r="Y133" s="6">
        <f ca="1">('TUSD BE'!$AM$21+'TUSD BF'!$AM$21+'TUSD CVA'!$AM$21)*1</f>
        <v>54.248421540039665</v>
      </c>
      <c r="Z133" s="6">
        <f ca="1">('TUSD BE'!$AM$23+'TUSD BF'!$AM$23+'TUSD CVA'!$AM$23)*1</f>
        <v>181.47641369790719</v>
      </c>
      <c r="AA133" s="6">
        <f>('TE BE'!$AB$10+'TE BF'!$AB$10+'TE CVA'!$AB$10)*1</f>
        <v>322.12477389224171</v>
      </c>
      <c r="AB133" s="6">
        <f>$K$133*$V$133</f>
        <v>45365.399999999994</v>
      </c>
      <c r="AC133" s="6">
        <f>$M$133*$W$133</f>
        <v>2297.76442</v>
      </c>
      <c r="AD133" s="6">
        <f>$O$133*$X$133</f>
        <v>3569.7971299999999</v>
      </c>
      <c r="AE133" s="6">
        <f ca="1">$K$133*$Y$133</f>
        <v>44103.96671205225</v>
      </c>
      <c r="AF133" s="6">
        <f ca="1">$M$133*$Z$133</f>
        <v>4063.4383791098394</v>
      </c>
      <c r="AG133" s="6">
        <f>$O$133*$AA$133</f>
        <v>7212.6958122211836</v>
      </c>
    </row>
    <row r="134" spans="1:33" ht="11.25" customHeight="1" x14ac:dyDescent="0.25">
      <c r="A134" s="4" t="s">
        <v>54</v>
      </c>
      <c r="B134" s="4" t="s">
        <v>41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44866</v>
      </c>
      <c r="J134" s="6">
        <v>-430</v>
      </c>
      <c r="K134" s="6">
        <v>-430</v>
      </c>
      <c r="L134" s="6">
        <v>-4.9459999999999997</v>
      </c>
      <c r="M134" s="6">
        <v>-4.9459999999999997</v>
      </c>
      <c r="N134" s="6">
        <v>-4.9459999999999997</v>
      </c>
      <c r="O134" s="6">
        <v>-4.9459999999999997</v>
      </c>
      <c r="P134" s="6">
        <v>0</v>
      </c>
      <c r="Q134" s="4" t="s">
        <v>26</v>
      </c>
      <c r="R134" s="4">
        <v>0</v>
      </c>
      <c r="S134" s="6">
        <v>42</v>
      </c>
      <c r="T134" s="6">
        <v>46</v>
      </c>
      <c r="U134" s="6">
        <v>75</v>
      </c>
      <c r="V134" s="6">
        <f>IF(ISERROR(VLOOKUP($S$134,'TAR FIN'!$A$1:$O$108,15,0)),0,VLOOKUP($S$134,'TAR FIN'!$A$1:$O$108,15,0))</f>
        <v>55.8</v>
      </c>
      <c r="W134" s="6">
        <f>IF(ISERROR(VLOOKUP($T$134,'TAR FIN'!$A$1:$O$108,15,0)),0,VLOOKUP($T$134,'TAR FIN'!$A$1:$O$108,15,0))</f>
        <v>102.62</v>
      </c>
      <c r="X134" s="6">
        <f>IF(ISERROR(VLOOKUP($U$134,'TAR FIN'!$A$1:$O$108,15,0)),0,VLOOKUP($U$134,'TAR FIN'!$A$1:$O$108,15,0))</f>
        <v>159.43</v>
      </c>
      <c r="Y134" s="6">
        <f ca="1">('TUSD BE'!$AM$21+'TUSD BF'!$AM$21+'TUSD CVA'!$AM$21)*1</f>
        <v>54.248421540039665</v>
      </c>
      <c r="Z134" s="6">
        <f ca="1">('TUSD BE'!$AM$23+'TUSD BF'!$AM$23+'TUSD CVA'!$AM$23)*1</f>
        <v>181.47641369790719</v>
      </c>
      <c r="AA134" s="6">
        <f>('TE BE'!$AB$10+'TE BF'!$AB$10+'TE CVA'!$AB$10)*1</f>
        <v>322.12477389224171</v>
      </c>
      <c r="AB134" s="6">
        <f>$K$134*$V$134</f>
        <v>-23994</v>
      </c>
      <c r="AC134" s="6">
        <f>$M$134*$W$134</f>
        <v>-507.55851999999999</v>
      </c>
      <c r="AD134" s="6">
        <f>$O$134*$X$134</f>
        <v>-788.54078000000004</v>
      </c>
      <c r="AE134" s="6">
        <f ca="1">$K$134*$Y$134</f>
        <v>-23326.821262217058</v>
      </c>
      <c r="AF134" s="6">
        <f ca="1">$M$134*$Z$134</f>
        <v>-897.58234214984896</v>
      </c>
      <c r="AG134" s="6">
        <f>$O$134*$AA$134</f>
        <v>-1593.2291316710273</v>
      </c>
    </row>
    <row r="135" spans="1:33" ht="11.25" customHeight="1" x14ac:dyDescent="0.25">
      <c r="A135" s="4" t="s">
        <v>21</v>
      </c>
      <c r="B135" s="4" t="s">
        <v>41</v>
      </c>
      <c r="C135" s="4" t="s">
        <v>40</v>
      </c>
      <c r="D135" s="4" t="s">
        <v>47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44531</v>
      </c>
      <c r="J135" s="6">
        <v>3142</v>
      </c>
      <c r="K135" s="6">
        <v>3142</v>
      </c>
      <c r="L135" s="6">
        <v>707.06</v>
      </c>
      <c r="M135" s="6">
        <v>707.06</v>
      </c>
      <c r="N135" s="6">
        <v>707.06</v>
      </c>
      <c r="O135" s="6">
        <v>707.06</v>
      </c>
      <c r="P135" s="6">
        <v>0</v>
      </c>
      <c r="Q135" s="4" t="s">
        <v>26</v>
      </c>
      <c r="R135" s="4">
        <v>0</v>
      </c>
      <c r="S135" s="6">
        <v>43</v>
      </c>
      <c r="T135" s="6">
        <v>46</v>
      </c>
      <c r="U135" s="6">
        <v>76</v>
      </c>
      <c r="V135" s="6">
        <f>IF(ISERROR(VLOOKUP($S$135,'TAR FIN'!$A$1:$O$108,15,0)),0,VLOOKUP($S$135,'TAR FIN'!$A$1:$O$108,15,0))</f>
        <v>21.38</v>
      </c>
      <c r="W135" s="6">
        <f>IF(ISERROR(VLOOKUP($T$135,'TAR FIN'!$A$1:$O$108,15,0)),0,VLOOKUP($T$135,'TAR FIN'!$A$1:$O$108,15,0))</f>
        <v>102.62</v>
      </c>
      <c r="X135" s="6">
        <f>IF(ISERROR(VLOOKUP($U$135,'TAR FIN'!$A$1:$O$108,15,0)),0,VLOOKUP($U$135,'TAR FIN'!$A$1:$O$108,15,0))</f>
        <v>103.1</v>
      </c>
      <c r="Y135" s="6">
        <f ca="1">('TUSD BE'!$AM$22+'TUSD BF'!$AM$22+'TUSD CVA'!$AM$22)*1</f>
        <v>21.189390814529755</v>
      </c>
      <c r="Z135" s="6">
        <f ca="1">('TUSD BE'!$AM$23+'TUSD BF'!$AM$23+'TUSD CVA'!$AM$23)*1</f>
        <v>181.47641369790719</v>
      </c>
      <c r="AA135" s="6">
        <f>('TE BE'!$AB$11+'TE BF'!$AB$11+'TE CVA'!$AB$11)*1</f>
        <v>215.60278025898469</v>
      </c>
      <c r="AB135" s="6">
        <f>$K$135*$V$135</f>
        <v>67175.959999999992</v>
      </c>
      <c r="AC135" s="6">
        <f>$M$135*$W$135</f>
        <v>72558.497199999998</v>
      </c>
      <c r="AD135" s="6">
        <f>$O$135*$X$135</f>
        <v>72897.885999999984</v>
      </c>
      <c r="AE135" s="6">
        <f ca="1">$K$135*$Y$135</f>
        <v>66577.065939252498</v>
      </c>
      <c r="AF135" s="6">
        <f ca="1">$M$135*$Z$135</f>
        <v>128314.71306924225</v>
      </c>
      <c r="AG135" s="6">
        <f>$O$135*$AA$135</f>
        <v>152444.10180991772</v>
      </c>
    </row>
    <row r="136" spans="1:33" ht="11.25" customHeight="1" x14ac:dyDescent="0.25">
      <c r="A136" s="4" t="s">
        <v>28</v>
      </c>
      <c r="B136" s="4" t="s">
        <v>41</v>
      </c>
      <c r="C136" s="4" t="s">
        <v>40</v>
      </c>
      <c r="D136" s="4" t="s">
        <v>47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44531</v>
      </c>
      <c r="J136" s="6">
        <v>356</v>
      </c>
      <c r="K136" s="6">
        <v>356</v>
      </c>
      <c r="L136" s="6">
        <v>6.2439999999999998</v>
      </c>
      <c r="M136" s="6">
        <v>6.2439999999999998</v>
      </c>
      <c r="N136" s="6">
        <v>6.2439999999999998</v>
      </c>
      <c r="O136" s="6">
        <v>6.2439999999999998</v>
      </c>
      <c r="P136" s="6">
        <v>0</v>
      </c>
      <c r="Q136" s="4" t="s">
        <v>26</v>
      </c>
      <c r="R136" s="4">
        <v>0</v>
      </c>
      <c r="S136" s="6">
        <v>43</v>
      </c>
      <c r="T136" s="6">
        <v>46</v>
      </c>
      <c r="U136" s="6">
        <v>76</v>
      </c>
      <c r="V136" s="6">
        <f>IF(ISERROR(VLOOKUP($S$136,'TAR FIN'!$A$1:$O$108,15,0)),0,VLOOKUP($S$136,'TAR FIN'!$A$1:$O$108,15,0))</f>
        <v>21.38</v>
      </c>
      <c r="W136" s="6">
        <f>IF(ISERROR(VLOOKUP($T$136,'TAR FIN'!$A$1:$O$108,15,0)),0,VLOOKUP($T$136,'TAR FIN'!$A$1:$O$108,15,0))</f>
        <v>102.62</v>
      </c>
      <c r="X136" s="6">
        <f>IF(ISERROR(VLOOKUP($U$136,'TAR FIN'!$A$1:$O$108,15,0)),0,VLOOKUP($U$136,'TAR FIN'!$A$1:$O$108,15,0))</f>
        <v>103.1</v>
      </c>
      <c r="Y136" s="6">
        <f ca="1">('TUSD BE'!$AM$22+'TUSD BF'!$AM$22+'TUSD CVA'!$AM$22)*1</f>
        <v>21.189390814529755</v>
      </c>
      <c r="Z136" s="6">
        <f ca="1">('TUSD BE'!$AM$23+'TUSD BF'!$AM$23+'TUSD CVA'!$AM$23)*1</f>
        <v>181.47641369790719</v>
      </c>
      <c r="AA136" s="6">
        <f>('TE BE'!$AB$11+'TE BF'!$AB$11+'TE CVA'!$AB$11)*1</f>
        <v>215.60278025898469</v>
      </c>
      <c r="AB136" s="6">
        <f>$K$136*$V$136</f>
        <v>7611.28</v>
      </c>
      <c r="AC136" s="6">
        <f>$M$136*$W$136</f>
        <v>640.75927999999999</v>
      </c>
      <c r="AD136" s="6">
        <f>$O$136*$X$136</f>
        <v>643.75639999999999</v>
      </c>
      <c r="AE136" s="6">
        <f ca="1">$K$136*$Y$136</f>
        <v>7543.4231299725925</v>
      </c>
      <c r="AF136" s="6">
        <f ca="1">$M$136*$Z$136</f>
        <v>1133.1387271297324</v>
      </c>
      <c r="AG136" s="6">
        <f>$O$136*$AA$136</f>
        <v>1346.2237599371003</v>
      </c>
    </row>
    <row r="137" spans="1:33" ht="11.25" customHeight="1" x14ac:dyDescent="0.25">
      <c r="A137" s="4" t="s">
        <v>21</v>
      </c>
      <c r="B137" s="4" t="s">
        <v>41</v>
      </c>
      <c r="C137" s="4" t="s">
        <v>40</v>
      </c>
      <c r="D137" s="4" t="s">
        <v>47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44562</v>
      </c>
      <c r="J137" s="6">
        <v>3032</v>
      </c>
      <c r="K137" s="6">
        <v>3032</v>
      </c>
      <c r="L137" s="6">
        <v>641.07899999999995</v>
      </c>
      <c r="M137" s="6">
        <v>641.07899999999995</v>
      </c>
      <c r="N137" s="6">
        <v>641.07899999999995</v>
      </c>
      <c r="O137" s="6">
        <v>641.07899999999995</v>
      </c>
      <c r="P137" s="6">
        <v>0</v>
      </c>
      <c r="Q137" s="4" t="s">
        <v>26</v>
      </c>
      <c r="R137" s="4">
        <v>0</v>
      </c>
      <c r="S137" s="6">
        <v>43</v>
      </c>
      <c r="T137" s="6">
        <v>46</v>
      </c>
      <c r="U137" s="6">
        <v>76</v>
      </c>
      <c r="V137" s="6">
        <f>IF(ISERROR(VLOOKUP($S$137,'TAR FIN'!$A$1:$O$108,15,0)),0,VLOOKUP($S$137,'TAR FIN'!$A$1:$O$108,15,0))</f>
        <v>21.38</v>
      </c>
      <c r="W137" s="6">
        <f>IF(ISERROR(VLOOKUP($T$137,'TAR FIN'!$A$1:$O$108,15,0)),0,VLOOKUP($T$137,'TAR FIN'!$A$1:$O$108,15,0))</f>
        <v>102.62</v>
      </c>
      <c r="X137" s="6">
        <f>IF(ISERROR(VLOOKUP($U$137,'TAR FIN'!$A$1:$O$108,15,0)),0,VLOOKUP($U$137,'TAR FIN'!$A$1:$O$108,15,0))</f>
        <v>103.1</v>
      </c>
      <c r="Y137" s="6">
        <f ca="1">('TUSD BE'!$AM$22+'TUSD BF'!$AM$22+'TUSD CVA'!$AM$22)*1</f>
        <v>21.189390814529755</v>
      </c>
      <c r="Z137" s="6">
        <f ca="1">('TUSD BE'!$AM$23+'TUSD BF'!$AM$23+'TUSD CVA'!$AM$23)*1</f>
        <v>181.47641369790719</v>
      </c>
      <c r="AA137" s="6">
        <f>('TE BE'!$AB$11+'TE BF'!$AB$11+'TE CVA'!$AB$11)*1</f>
        <v>215.60278025898469</v>
      </c>
      <c r="AB137" s="6">
        <f>$K$137*$V$137</f>
        <v>64824.159999999996</v>
      </c>
      <c r="AC137" s="6">
        <f>$M$137*$W$137</f>
        <v>65787.526979999995</v>
      </c>
      <c r="AD137" s="6">
        <f>$O$137*$X$137</f>
        <v>66095.244899999991</v>
      </c>
      <c r="AE137" s="6">
        <f ca="1">$K$137*$Y$137</f>
        <v>64246.232949654215</v>
      </c>
      <c r="AF137" s="6">
        <f ca="1">$M$137*$Z$137</f>
        <v>116340.71781704064</v>
      </c>
      <c r="AG137" s="6">
        <f>$O$137*$AA$137</f>
        <v>138218.41476564965</v>
      </c>
    </row>
    <row r="138" spans="1:33" ht="11.25" customHeight="1" x14ac:dyDescent="0.25">
      <c r="A138" s="4" t="s">
        <v>28</v>
      </c>
      <c r="B138" s="4" t="s">
        <v>41</v>
      </c>
      <c r="C138" s="4" t="s">
        <v>40</v>
      </c>
      <c r="D138" s="4" t="s">
        <v>47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44562</v>
      </c>
      <c r="J138" s="6">
        <v>356</v>
      </c>
      <c r="K138" s="6">
        <v>356</v>
      </c>
      <c r="L138" s="6">
        <v>6.952</v>
      </c>
      <c r="M138" s="6">
        <v>6.952</v>
      </c>
      <c r="N138" s="6">
        <v>6.952</v>
      </c>
      <c r="O138" s="6">
        <v>6.952</v>
      </c>
      <c r="P138" s="6">
        <v>0</v>
      </c>
      <c r="Q138" s="4" t="s">
        <v>26</v>
      </c>
      <c r="R138" s="4">
        <v>0</v>
      </c>
      <c r="S138" s="6">
        <v>43</v>
      </c>
      <c r="T138" s="6">
        <v>46</v>
      </c>
      <c r="U138" s="6">
        <v>76</v>
      </c>
      <c r="V138" s="6">
        <f>IF(ISERROR(VLOOKUP($S$138,'TAR FIN'!$A$1:$O$108,15,0)),0,VLOOKUP($S$138,'TAR FIN'!$A$1:$O$108,15,0))</f>
        <v>21.38</v>
      </c>
      <c r="W138" s="6">
        <f>IF(ISERROR(VLOOKUP($T$138,'TAR FIN'!$A$1:$O$108,15,0)),0,VLOOKUP($T$138,'TAR FIN'!$A$1:$O$108,15,0))</f>
        <v>102.62</v>
      </c>
      <c r="X138" s="6">
        <f>IF(ISERROR(VLOOKUP($U$138,'TAR FIN'!$A$1:$O$108,15,0)),0,VLOOKUP($U$138,'TAR FIN'!$A$1:$O$108,15,0))</f>
        <v>103.1</v>
      </c>
      <c r="Y138" s="6">
        <f ca="1">('TUSD BE'!$AM$22+'TUSD BF'!$AM$22+'TUSD CVA'!$AM$22)*1</f>
        <v>21.189390814529755</v>
      </c>
      <c r="Z138" s="6">
        <f ca="1">('TUSD BE'!$AM$23+'TUSD BF'!$AM$23+'TUSD CVA'!$AM$23)*1</f>
        <v>181.47641369790719</v>
      </c>
      <c r="AA138" s="6">
        <f>('TE BE'!$AB$11+'TE BF'!$AB$11+'TE CVA'!$AB$11)*1</f>
        <v>215.60278025898469</v>
      </c>
      <c r="AB138" s="6">
        <f>$K$138*$V$138</f>
        <v>7611.28</v>
      </c>
      <c r="AC138" s="6">
        <f>$M$138*$W$138</f>
        <v>713.41424000000006</v>
      </c>
      <c r="AD138" s="6">
        <f>$O$138*$X$138</f>
        <v>716.75119999999993</v>
      </c>
      <c r="AE138" s="6">
        <f ca="1">$K$138*$Y$138</f>
        <v>7543.4231299725925</v>
      </c>
      <c r="AF138" s="6">
        <f ca="1">$M$138*$Z$138</f>
        <v>1261.6240280278507</v>
      </c>
      <c r="AG138" s="6">
        <f>$O$138*$AA$138</f>
        <v>1498.8705283604615</v>
      </c>
    </row>
    <row r="139" spans="1:33" ht="11.25" customHeight="1" x14ac:dyDescent="0.25">
      <c r="A139" s="4" t="s">
        <v>21</v>
      </c>
      <c r="B139" s="4" t="s">
        <v>41</v>
      </c>
      <c r="C139" s="4" t="s">
        <v>40</v>
      </c>
      <c r="D139" s="4" t="s">
        <v>47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3052</v>
      </c>
      <c r="K139" s="6">
        <v>3052</v>
      </c>
      <c r="L139" s="6">
        <v>592.10599999999999</v>
      </c>
      <c r="M139" s="6">
        <v>592.10599999999999</v>
      </c>
      <c r="N139" s="6">
        <v>592.10599999999999</v>
      </c>
      <c r="O139" s="6">
        <v>592.10599999999999</v>
      </c>
      <c r="P139" s="6">
        <v>0</v>
      </c>
      <c r="Q139" s="4" t="s">
        <v>26</v>
      </c>
      <c r="R139" s="4">
        <v>0</v>
      </c>
      <c r="S139" s="6">
        <v>43</v>
      </c>
      <c r="T139" s="6">
        <v>46</v>
      </c>
      <c r="U139" s="6">
        <v>76</v>
      </c>
      <c r="V139" s="6">
        <f>IF(ISERROR(VLOOKUP($S$139,'TAR FIN'!$A$1:$O$108,15,0)),0,VLOOKUP($S$139,'TAR FIN'!$A$1:$O$108,15,0))</f>
        <v>21.38</v>
      </c>
      <c r="W139" s="6">
        <f>IF(ISERROR(VLOOKUP($T$139,'TAR FIN'!$A$1:$O$108,15,0)),0,VLOOKUP($T$139,'TAR FIN'!$A$1:$O$108,15,0))</f>
        <v>102.62</v>
      </c>
      <c r="X139" s="6">
        <f>IF(ISERROR(VLOOKUP($U$139,'TAR FIN'!$A$1:$O$108,15,0)),0,VLOOKUP($U$139,'TAR FIN'!$A$1:$O$108,15,0))</f>
        <v>103.1</v>
      </c>
      <c r="Y139" s="6">
        <f ca="1">('TUSD BE'!$AM$22+'TUSD BF'!$AM$22+'TUSD CVA'!$AM$22)*1</f>
        <v>21.189390814529755</v>
      </c>
      <c r="Z139" s="6">
        <f ca="1">('TUSD BE'!$AM$23+'TUSD BF'!$AM$23+'TUSD CVA'!$AM$23)*1</f>
        <v>181.47641369790719</v>
      </c>
      <c r="AA139" s="6">
        <f>('TE BE'!$AB$11+'TE BF'!$AB$11+'TE CVA'!$AB$11)*1</f>
        <v>215.60278025898469</v>
      </c>
      <c r="AB139" s="6">
        <f>$K$139*$V$139</f>
        <v>65251.759999999995</v>
      </c>
      <c r="AC139" s="6">
        <f>$M$139*$W$139</f>
        <v>60761.917720000005</v>
      </c>
      <c r="AD139" s="6">
        <f>$O$139*$X$139</f>
        <v>61046.128599999996</v>
      </c>
      <c r="AE139" s="6">
        <f ca="1">$K$139*$Y$139</f>
        <v>64670.020765944813</v>
      </c>
      <c r="AF139" s="6">
        <f ca="1">$M$139*$Z$139</f>
        <v>107453.27340901304</v>
      </c>
      <c r="AG139" s="6">
        <f>$O$139*$AA$139</f>
        <v>127659.69980802639</v>
      </c>
    </row>
    <row r="140" spans="1:33" ht="11.25" customHeight="1" x14ac:dyDescent="0.25">
      <c r="A140" s="4" t="s">
        <v>28</v>
      </c>
      <c r="B140" s="4" t="s">
        <v>41</v>
      </c>
      <c r="C140" s="4" t="s">
        <v>40</v>
      </c>
      <c r="D140" s="4" t="s">
        <v>47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44593</v>
      </c>
      <c r="J140" s="6">
        <v>356</v>
      </c>
      <c r="K140" s="6">
        <v>356</v>
      </c>
      <c r="L140" s="6">
        <v>8.8140000000000001</v>
      </c>
      <c r="M140" s="6">
        <v>8.8140000000000001</v>
      </c>
      <c r="N140" s="6">
        <v>8.8140000000000001</v>
      </c>
      <c r="O140" s="6">
        <v>8.8140000000000001</v>
      </c>
      <c r="P140" s="6">
        <v>0</v>
      </c>
      <c r="Q140" s="4" t="s">
        <v>26</v>
      </c>
      <c r="R140" s="4">
        <v>0</v>
      </c>
      <c r="S140" s="6">
        <v>43</v>
      </c>
      <c r="T140" s="6">
        <v>46</v>
      </c>
      <c r="U140" s="6">
        <v>76</v>
      </c>
      <c r="V140" s="6">
        <f>IF(ISERROR(VLOOKUP($S$140,'TAR FIN'!$A$1:$O$108,15,0)),0,VLOOKUP($S$140,'TAR FIN'!$A$1:$O$108,15,0))</f>
        <v>21.38</v>
      </c>
      <c r="W140" s="6">
        <f>IF(ISERROR(VLOOKUP($T$140,'TAR FIN'!$A$1:$O$108,15,0)),0,VLOOKUP($T$140,'TAR FIN'!$A$1:$O$108,15,0))</f>
        <v>102.62</v>
      </c>
      <c r="X140" s="6">
        <f>IF(ISERROR(VLOOKUP($U$140,'TAR FIN'!$A$1:$O$108,15,0)),0,VLOOKUP($U$140,'TAR FIN'!$A$1:$O$108,15,0))</f>
        <v>103.1</v>
      </c>
      <c r="Y140" s="6">
        <f ca="1">('TUSD BE'!$AM$22+'TUSD BF'!$AM$22+'TUSD CVA'!$AM$22)*1</f>
        <v>21.189390814529755</v>
      </c>
      <c r="Z140" s="6">
        <f ca="1">('TUSD BE'!$AM$23+'TUSD BF'!$AM$23+'TUSD CVA'!$AM$23)*1</f>
        <v>181.47641369790719</v>
      </c>
      <c r="AA140" s="6">
        <f>('TE BE'!$AB$11+'TE BF'!$AB$11+'TE CVA'!$AB$11)*1</f>
        <v>215.60278025898469</v>
      </c>
      <c r="AB140" s="6">
        <f>$K$140*$V$140</f>
        <v>7611.28</v>
      </c>
      <c r="AC140" s="6">
        <f>$M$140*$W$140</f>
        <v>904.49268000000006</v>
      </c>
      <c r="AD140" s="6">
        <f>$O$140*$X$140</f>
        <v>908.72339999999997</v>
      </c>
      <c r="AE140" s="6">
        <f ca="1">$K$140*$Y$140</f>
        <v>7543.4231299725925</v>
      </c>
      <c r="AF140" s="6">
        <f ca="1">$M$140*$Z$140</f>
        <v>1599.533110333354</v>
      </c>
      <c r="AG140" s="6">
        <f>$O$140*$AA$140</f>
        <v>1900.3229052026911</v>
      </c>
    </row>
    <row r="141" spans="1:33" ht="11.25" customHeight="1" x14ac:dyDescent="0.25">
      <c r="A141" s="4" t="s">
        <v>21</v>
      </c>
      <c r="B141" s="4" t="s">
        <v>41</v>
      </c>
      <c r="C141" s="4" t="s">
        <v>40</v>
      </c>
      <c r="D141" s="4" t="s">
        <v>47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44621</v>
      </c>
      <c r="J141" s="6">
        <v>3050</v>
      </c>
      <c r="K141" s="6">
        <v>3050</v>
      </c>
      <c r="L141" s="6">
        <v>654.10299999999995</v>
      </c>
      <c r="M141" s="6">
        <v>654.10299999999995</v>
      </c>
      <c r="N141" s="6">
        <v>654.10299999999995</v>
      </c>
      <c r="O141" s="6">
        <v>654.10299999999995</v>
      </c>
      <c r="P141" s="6">
        <v>0</v>
      </c>
      <c r="Q141" s="4" t="s">
        <v>26</v>
      </c>
      <c r="R141" s="4">
        <v>0</v>
      </c>
      <c r="S141" s="6">
        <v>43</v>
      </c>
      <c r="T141" s="6">
        <v>46</v>
      </c>
      <c r="U141" s="6">
        <v>76</v>
      </c>
      <c r="V141" s="6">
        <f>IF(ISERROR(VLOOKUP($S$141,'TAR FIN'!$A$1:$O$108,15,0)),0,VLOOKUP($S$141,'TAR FIN'!$A$1:$O$108,15,0))</f>
        <v>21.38</v>
      </c>
      <c r="W141" s="6">
        <f>IF(ISERROR(VLOOKUP($T$141,'TAR FIN'!$A$1:$O$108,15,0)),0,VLOOKUP($T$141,'TAR FIN'!$A$1:$O$108,15,0))</f>
        <v>102.62</v>
      </c>
      <c r="X141" s="6">
        <f>IF(ISERROR(VLOOKUP($U$141,'TAR FIN'!$A$1:$O$108,15,0)),0,VLOOKUP($U$141,'TAR FIN'!$A$1:$O$108,15,0))</f>
        <v>103.1</v>
      </c>
      <c r="Y141" s="6">
        <f ca="1">('TUSD BE'!$AM$22+'TUSD BF'!$AM$22+'TUSD CVA'!$AM$22)*1</f>
        <v>21.189390814529755</v>
      </c>
      <c r="Z141" s="6">
        <f ca="1">('TUSD BE'!$AM$23+'TUSD BF'!$AM$23+'TUSD CVA'!$AM$23)*1</f>
        <v>181.47641369790719</v>
      </c>
      <c r="AA141" s="6">
        <f>('TE BE'!$AB$11+'TE BF'!$AB$11+'TE CVA'!$AB$11)*1</f>
        <v>215.60278025898469</v>
      </c>
      <c r="AB141" s="6">
        <f>$K$141*$V$141</f>
        <v>65209</v>
      </c>
      <c r="AC141" s="6">
        <f>$M$141*$W$141</f>
        <v>67124.049859999999</v>
      </c>
      <c r="AD141" s="6">
        <f>$O$141*$X$141</f>
        <v>67438.019299999985</v>
      </c>
      <c r="AE141" s="6">
        <f ca="1">$K$141*$Y$141</f>
        <v>64627.641984315756</v>
      </c>
      <c r="AF141" s="6">
        <f ca="1">$M$141*$Z$141</f>
        <v>118704.26662904218</v>
      </c>
      <c r="AG141" s="6">
        <f>$O$141*$AA$141</f>
        <v>141026.42537574266</v>
      </c>
    </row>
    <row r="142" spans="1:33" ht="11.25" customHeight="1" x14ac:dyDescent="0.25">
      <c r="A142" s="4" t="s">
        <v>28</v>
      </c>
      <c r="B142" s="4" t="s">
        <v>41</v>
      </c>
      <c r="C142" s="4" t="s">
        <v>40</v>
      </c>
      <c r="D142" s="4" t="s">
        <v>47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44621</v>
      </c>
      <c r="J142" s="6">
        <v>356</v>
      </c>
      <c r="K142" s="6">
        <v>356</v>
      </c>
      <c r="L142" s="6">
        <v>12.58</v>
      </c>
      <c r="M142" s="6">
        <v>12.58</v>
      </c>
      <c r="N142" s="6">
        <v>12.58</v>
      </c>
      <c r="O142" s="6">
        <v>12.58</v>
      </c>
      <c r="P142" s="6">
        <v>0</v>
      </c>
      <c r="Q142" s="4" t="s">
        <v>26</v>
      </c>
      <c r="R142" s="4">
        <v>0</v>
      </c>
      <c r="S142" s="6">
        <v>43</v>
      </c>
      <c r="T142" s="6">
        <v>46</v>
      </c>
      <c r="U142" s="6">
        <v>76</v>
      </c>
      <c r="V142" s="6">
        <f>IF(ISERROR(VLOOKUP($S$142,'TAR FIN'!$A$1:$O$108,15,0)),0,VLOOKUP($S$142,'TAR FIN'!$A$1:$O$108,15,0))</f>
        <v>21.38</v>
      </c>
      <c r="W142" s="6">
        <f>IF(ISERROR(VLOOKUP($T$142,'TAR FIN'!$A$1:$O$108,15,0)),0,VLOOKUP($T$142,'TAR FIN'!$A$1:$O$108,15,0))</f>
        <v>102.62</v>
      </c>
      <c r="X142" s="6">
        <f>IF(ISERROR(VLOOKUP($U$142,'TAR FIN'!$A$1:$O$108,15,0)),0,VLOOKUP($U$142,'TAR FIN'!$A$1:$O$108,15,0))</f>
        <v>103.1</v>
      </c>
      <c r="Y142" s="6">
        <f ca="1">('TUSD BE'!$AM$22+'TUSD BF'!$AM$22+'TUSD CVA'!$AM$22)*1</f>
        <v>21.189390814529755</v>
      </c>
      <c r="Z142" s="6">
        <f ca="1">('TUSD BE'!$AM$23+'TUSD BF'!$AM$23+'TUSD CVA'!$AM$23)*1</f>
        <v>181.47641369790719</v>
      </c>
      <c r="AA142" s="6">
        <f>('TE BE'!$AB$11+'TE BF'!$AB$11+'TE CVA'!$AB$11)*1</f>
        <v>215.60278025898469</v>
      </c>
      <c r="AB142" s="6">
        <f>$K$142*$V$142</f>
        <v>7611.28</v>
      </c>
      <c r="AC142" s="6">
        <f>$M$142*$W$142</f>
        <v>1290.9596000000001</v>
      </c>
      <c r="AD142" s="6">
        <f>$O$142*$X$142</f>
        <v>1296.998</v>
      </c>
      <c r="AE142" s="6">
        <f ca="1">$K$142*$Y$142</f>
        <v>7543.4231299725925</v>
      </c>
      <c r="AF142" s="6">
        <f ca="1">$M$142*$Z$142</f>
        <v>2282.9732843196725</v>
      </c>
      <c r="AG142" s="6">
        <f>$O$142*$AA$142</f>
        <v>2712.2829756580277</v>
      </c>
    </row>
    <row r="143" spans="1:33" ht="11.25" customHeight="1" x14ac:dyDescent="0.25">
      <c r="A143" s="4" t="s">
        <v>21</v>
      </c>
      <c r="B143" s="4" t="s">
        <v>41</v>
      </c>
      <c r="C143" s="4" t="s">
        <v>40</v>
      </c>
      <c r="D143" s="4" t="s">
        <v>47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44652</v>
      </c>
      <c r="J143" s="6">
        <v>3077</v>
      </c>
      <c r="K143" s="6">
        <v>3077</v>
      </c>
      <c r="L143" s="6">
        <v>682.10199999999998</v>
      </c>
      <c r="M143" s="6">
        <v>682.10199999999998</v>
      </c>
      <c r="N143" s="6">
        <v>682.10199999999998</v>
      </c>
      <c r="O143" s="6">
        <v>682.10199999999998</v>
      </c>
      <c r="P143" s="6">
        <v>0</v>
      </c>
      <c r="Q143" s="4" t="s">
        <v>26</v>
      </c>
      <c r="R143" s="4">
        <v>0</v>
      </c>
      <c r="S143" s="6">
        <v>43</v>
      </c>
      <c r="T143" s="6">
        <v>46</v>
      </c>
      <c r="U143" s="6">
        <v>76</v>
      </c>
      <c r="V143" s="6">
        <f>IF(ISERROR(VLOOKUP($S$143,'TAR FIN'!$A$1:$O$108,15,0)),0,VLOOKUP($S$143,'TAR FIN'!$A$1:$O$108,15,0))</f>
        <v>21.38</v>
      </c>
      <c r="W143" s="6">
        <f>IF(ISERROR(VLOOKUP($T$143,'TAR FIN'!$A$1:$O$108,15,0)),0,VLOOKUP($T$143,'TAR FIN'!$A$1:$O$108,15,0))</f>
        <v>102.62</v>
      </c>
      <c r="X143" s="6">
        <f>IF(ISERROR(VLOOKUP($U$143,'TAR FIN'!$A$1:$O$108,15,0)),0,VLOOKUP($U$143,'TAR FIN'!$A$1:$O$108,15,0))</f>
        <v>103.1</v>
      </c>
      <c r="Y143" s="6">
        <f ca="1">('TUSD BE'!$AM$22+'TUSD BF'!$AM$22+'TUSD CVA'!$AM$22)*1</f>
        <v>21.189390814529755</v>
      </c>
      <c r="Z143" s="6">
        <f ca="1">('TUSD BE'!$AM$23+'TUSD BF'!$AM$23+'TUSD CVA'!$AM$23)*1</f>
        <v>181.47641369790719</v>
      </c>
      <c r="AA143" s="6">
        <f>('TE BE'!$AB$11+'TE BF'!$AB$11+'TE CVA'!$AB$11)*1</f>
        <v>215.60278025898469</v>
      </c>
      <c r="AB143" s="6">
        <f>$K$143*$V$143</f>
        <v>65786.259999999995</v>
      </c>
      <c r="AC143" s="6">
        <f>$M$143*$W$143</f>
        <v>69997.307239999995</v>
      </c>
      <c r="AD143" s="6">
        <f>$O$143*$X$143</f>
        <v>70324.716199999995</v>
      </c>
      <c r="AE143" s="6">
        <f ca="1">$K$143*$Y$143</f>
        <v>65199.755536308054</v>
      </c>
      <c r="AF143" s="6">
        <f ca="1">$M$143*$Z$143</f>
        <v>123785.42473616988</v>
      </c>
      <c r="AG143" s="6">
        <f>$O$143*$AA$143</f>
        <v>147063.08762021398</v>
      </c>
    </row>
    <row r="144" spans="1:33" ht="11.25" customHeight="1" x14ac:dyDescent="0.25">
      <c r="A144" s="4" t="s">
        <v>28</v>
      </c>
      <c r="B144" s="4" t="s">
        <v>41</v>
      </c>
      <c r="C144" s="4" t="s">
        <v>40</v>
      </c>
      <c r="D144" s="4" t="s">
        <v>47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44652</v>
      </c>
      <c r="J144" s="6">
        <v>356</v>
      </c>
      <c r="K144" s="6">
        <v>356</v>
      </c>
      <c r="L144" s="6">
        <v>11.393000000000001</v>
      </c>
      <c r="M144" s="6">
        <v>11.393000000000001</v>
      </c>
      <c r="N144" s="6">
        <v>11.393000000000001</v>
      </c>
      <c r="O144" s="6">
        <v>11.393000000000001</v>
      </c>
      <c r="P144" s="6">
        <v>0</v>
      </c>
      <c r="Q144" s="4" t="s">
        <v>26</v>
      </c>
      <c r="R144" s="4">
        <v>0</v>
      </c>
      <c r="S144" s="6">
        <v>43</v>
      </c>
      <c r="T144" s="6">
        <v>46</v>
      </c>
      <c r="U144" s="6">
        <v>76</v>
      </c>
      <c r="V144" s="6">
        <f>IF(ISERROR(VLOOKUP($S$144,'TAR FIN'!$A$1:$O$108,15,0)),0,VLOOKUP($S$144,'TAR FIN'!$A$1:$O$108,15,0))</f>
        <v>21.38</v>
      </c>
      <c r="W144" s="6">
        <f>IF(ISERROR(VLOOKUP($T$144,'TAR FIN'!$A$1:$O$108,15,0)),0,VLOOKUP($T$144,'TAR FIN'!$A$1:$O$108,15,0))</f>
        <v>102.62</v>
      </c>
      <c r="X144" s="6">
        <f>IF(ISERROR(VLOOKUP($U$144,'TAR FIN'!$A$1:$O$108,15,0)),0,VLOOKUP($U$144,'TAR FIN'!$A$1:$O$108,15,0))</f>
        <v>103.1</v>
      </c>
      <c r="Y144" s="6">
        <f ca="1">('TUSD BE'!$AM$22+'TUSD BF'!$AM$22+'TUSD CVA'!$AM$22)*1</f>
        <v>21.189390814529755</v>
      </c>
      <c r="Z144" s="6">
        <f ca="1">('TUSD BE'!$AM$23+'TUSD BF'!$AM$23+'TUSD CVA'!$AM$23)*1</f>
        <v>181.47641369790719</v>
      </c>
      <c r="AA144" s="6">
        <f>('TE BE'!$AB$11+'TE BF'!$AB$11+'TE CVA'!$AB$11)*1</f>
        <v>215.60278025898469</v>
      </c>
      <c r="AB144" s="6">
        <f>$K$144*$V$144</f>
        <v>7611.28</v>
      </c>
      <c r="AC144" s="6">
        <f>$M$144*$W$144</f>
        <v>1169.14966</v>
      </c>
      <c r="AD144" s="6">
        <f>$O$144*$X$144</f>
        <v>1174.6183000000001</v>
      </c>
      <c r="AE144" s="6">
        <f ca="1">$K$144*$Y$144</f>
        <v>7543.4231299725925</v>
      </c>
      <c r="AF144" s="6">
        <f ca="1">$M$144*$Z$144</f>
        <v>2067.5607812602566</v>
      </c>
      <c r="AG144" s="6">
        <f>$O$144*$AA$144</f>
        <v>2456.3624754906127</v>
      </c>
    </row>
    <row r="145" spans="1:33" ht="11.25" customHeight="1" x14ac:dyDescent="0.25">
      <c r="A145" s="4" t="s">
        <v>21</v>
      </c>
      <c r="B145" s="4" t="s">
        <v>41</v>
      </c>
      <c r="C145" s="4" t="s">
        <v>40</v>
      </c>
      <c r="D145" s="4" t="s">
        <v>47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3085</v>
      </c>
      <c r="K145" s="6">
        <v>3085</v>
      </c>
      <c r="L145" s="6">
        <v>741.96600000000001</v>
      </c>
      <c r="M145" s="6">
        <v>741.96600000000001</v>
      </c>
      <c r="N145" s="6">
        <v>741.96600000000001</v>
      </c>
      <c r="O145" s="6">
        <v>741.96600000000001</v>
      </c>
      <c r="P145" s="6">
        <v>0</v>
      </c>
      <c r="Q145" s="4" t="s">
        <v>26</v>
      </c>
      <c r="R145" s="4">
        <v>0</v>
      </c>
      <c r="S145" s="6">
        <v>43</v>
      </c>
      <c r="T145" s="6">
        <v>46</v>
      </c>
      <c r="U145" s="6">
        <v>76</v>
      </c>
      <c r="V145" s="6">
        <f>IF(ISERROR(VLOOKUP($S$145,'TAR FIN'!$A$1:$O$108,15,0)),0,VLOOKUP($S$145,'TAR FIN'!$A$1:$O$108,15,0))</f>
        <v>21.38</v>
      </c>
      <c r="W145" s="6">
        <f>IF(ISERROR(VLOOKUP($T$145,'TAR FIN'!$A$1:$O$108,15,0)),0,VLOOKUP($T$145,'TAR FIN'!$A$1:$O$108,15,0))</f>
        <v>102.62</v>
      </c>
      <c r="X145" s="6">
        <f>IF(ISERROR(VLOOKUP($U$145,'TAR FIN'!$A$1:$O$108,15,0)),0,VLOOKUP($U$145,'TAR FIN'!$A$1:$O$108,15,0))</f>
        <v>103.1</v>
      </c>
      <c r="Y145" s="6">
        <f ca="1">('TUSD BE'!$AM$22+'TUSD BF'!$AM$22+'TUSD CVA'!$AM$22)*1</f>
        <v>21.189390814529755</v>
      </c>
      <c r="Z145" s="6">
        <f ca="1">('TUSD BE'!$AM$23+'TUSD BF'!$AM$23+'TUSD CVA'!$AM$23)*1</f>
        <v>181.47641369790719</v>
      </c>
      <c r="AA145" s="6">
        <f>('TE BE'!$AB$11+'TE BF'!$AB$11+'TE CVA'!$AB$11)*1</f>
        <v>215.60278025898469</v>
      </c>
      <c r="AB145" s="6">
        <f>$K$145*$V$145</f>
        <v>65957.3</v>
      </c>
      <c r="AC145" s="6">
        <f>$M$145*$W$145</f>
        <v>76140.550920000009</v>
      </c>
      <c r="AD145" s="6">
        <f>$O$145*$X$145</f>
        <v>76496.694600000003</v>
      </c>
      <c r="AE145" s="6">
        <f ca="1">$K$145*$Y$145</f>
        <v>65369.270662824296</v>
      </c>
      <c r="AF145" s="6">
        <f ca="1">$M$145*$Z$145</f>
        <v>134649.32876578142</v>
      </c>
      <c r="AG145" s="6">
        <f>$O$145*$AA$145</f>
        <v>159969.93245763783</v>
      </c>
    </row>
    <row r="146" spans="1:33" ht="11.25" customHeight="1" x14ac:dyDescent="0.25">
      <c r="A146" s="4" t="s">
        <v>28</v>
      </c>
      <c r="B146" s="4" t="s">
        <v>41</v>
      </c>
      <c r="C146" s="4" t="s">
        <v>40</v>
      </c>
      <c r="D146" s="4" t="s">
        <v>47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44682</v>
      </c>
      <c r="J146" s="6">
        <v>356</v>
      </c>
      <c r="K146" s="6">
        <v>356</v>
      </c>
      <c r="L146" s="6">
        <v>15.393000000000001</v>
      </c>
      <c r="M146" s="6">
        <v>15.393000000000001</v>
      </c>
      <c r="N146" s="6">
        <v>15.393000000000001</v>
      </c>
      <c r="O146" s="6">
        <v>15.393000000000001</v>
      </c>
      <c r="P146" s="6">
        <v>0</v>
      </c>
      <c r="Q146" s="4" t="s">
        <v>26</v>
      </c>
      <c r="R146" s="4">
        <v>0</v>
      </c>
      <c r="S146" s="6">
        <v>43</v>
      </c>
      <c r="T146" s="6">
        <v>46</v>
      </c>
      <c r="U146" s="6">
        <v>76</v>
      </c>
      <c r="V146" s="6">
        <f>IF(ISERROR(VLOOKUP($S$146,'TAR FIN'!$A$1:$O$108,15,0)),0,VLOOKUP($S$146,'TAR FIN'!$A$1:$O$108,15,0))</f>
        <v>21.38</v>
      </c>
      <c r="W146" s="6">
        <f>IF(ISERROR(VLOOKUP($T$146,'TAR FIN'!$A$1:$O$108,15,0)),0,VLOOKUP($T$146,'TAR FIN'!$A$1:$O$108,15,0))</f>
        <v>102.62</v>
      </c>
      <c r="X146" s="6">
        <f>IF(ISERROR(VLOOKUP($U$146,'TAR FIN'!$A$1:$O$108,15,0)),0,VLOOKUP($U$146,'TAR FIN'!$A$1:$O$108,15,0))</f>
        <v>103.1</v>
      </c>
      <c r="Y146" s="6">
        <f ca="1">('TUSD BE'!$AM$22+'TUSD BF'!$AM$22+'TUSD CVA'!$AM$22)*1</f>
        <v>21.189390814529755</v>
      </c>
      <c r="Z146" s="6">
        <f ca="1">('TUSD BE'!$AM$23+'TUSD BF'!$AM$23+'TUSD CVA'!$AM$23)*1</f>
        <v>181.47641369790719</v>
      </c>
      <c r="AA146" s="6">
        <f>('TE BE'!$AB$11+'TE BF'!$AB$11+'TE CVA'!$AB$11)*1</f>
        <v>215.60278025898469</v>
      </c>
      <c r="AB146" s="6">
        <f>$K$146*$V$146</f>
        <v>7611.28</v>
      </c>
      <c r="AC146" s="6">
        <f>$M$146*$W$146</f>
        <v>1579.6296600000001</v>
      </c>
      <c r="AD146" s="6">
        <f>$O$146*$X$146</f>
        <v>1587.0183</v>
      </c>
      <c r="AE146" s="6">
        <f ca="1">$K$146*$Y$146</f>
        <v>7543.4231299725925</v>
      </c>
      <c r="AF146" s="6">
        <f ca="1">$M$146*$Z$146</f>
        <v>2793.4664360518855</v>
      </c>
      <c r="AG146" s="6">
        <f>$O$146*$AA$146</f>
        <v>3318.7735965265515</v>
      </c>
    </row>
    <row r="147" spans="1:33" ht="11.25" customHeight="1" x14ac:dyDescent="0.25">
      <c r="A147" s="4" t="s">
        <v>21</v>
      </c>
      <c r="B147" s="4" t="s">
        <v>41</v>
      </c>
      <c r="C147" s="4" t="s">
        <v>40</v>
      </c>
      <c r="D147" s="4" t="s">
        <v>47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44713</v>
      </c>
      <c r="J147" s="6">
        <v>3144</v>
      </c>
      <c r="K147" s="6">
        <v>3144</v>
      </c>
      <c r="L147" s="6">
        <v>774.99900000000002</v>
      </c>
      <c r="M147" s="6">
        <v>774.99900000000002</v>
      </c>
      <c r="N147" s="6">
        <v>774.99900000000002</v>
      </c>
      <c r="O147" s="6">
        <v>774.99900000000002</v>
      </c>
      <c r="P147" s="6">
        <v>0</v>
      </c>
      <c r="Q147" s="4" t="s">
        <v>26</v>
      </c>
      <c r="R147" s="4">
        <v>0</v>
      </c>
      <c r="S147" s="6">
        <v>43</v>
      </c>
      <c r="T147" s="6">
        <v>46</v>
      </c>
      <c r="U147" s="6">
        <v>76</v>
      </c>
      <c r="V147" s="6">
        <f>IF(ISERROR(VLOOKUP($S$147,'TAR FIN'!$A$1:$O$108,15,0)),0,VLOOKUP($S$147,'TAR FIN'!$A$1:$O$108,15,0))</f>
        <v>21.38</v>
      </c>
      <c r="W147" s="6">
        <f>IF(ISERROR(VLOOKUP($T$147,'TAR FIN'!$A$1:$O$108,15,0)),0,VLOOKUP($T$147,'TAR FIN'!$A$1:$O$108,15,0))</f>
        <v>102.62</v>
      </c>
      <c r="X147" s="6">
        <f>IF(ISERROR(VLOOKUP($U$147,'TAR FIN'!$A$1:$O$108,15,0)),0,VLOOKUP($U$147,'TAR FIN'!$A$1:$O$108,15,0))</f>
        <v>103.1</v>
      </c>
      <c r="Y147" s="6">
        <f ca="1">('TUSD BE'!$AM$22+'TUSD BF'!$AM$22+'TUSD CVA'!$AM$22)*1</f>
        <v>21.189390814529755</v>
      </c>
      <c r="Z147" s="6">
        <f ca="1">('TUSD BE'!$AM$23+'TUSD BF'!$AM$23+'TUSD CVA'!$AM$23)*1</f>
        <v>181.47641369790719</v>
      </c>
      <c r="AA147" s="6">
        <f>('TE BE'!$AB$11+'TE BF'!$AB$11+'TE CVA'!$AB$11)*1</f>
        <v>215.60278025898469</v>
      </c>
      <c r="AB147" s="6">
        <f>$K$147*$V$147</f>
        <v>67218.720000000001</v>
      </c>
      <c r="AC147" s="6">
        <f>$M$147*$W$147</f>
        <v>79530.397380000009</v>
      </c>
      <c r="AD147" s="6">
        <f>$O$147*$X$147</f>
        <v>79902.396899999992</v>
      </c>
      <c r="AE147" s="6">
        <f ca="1">$K$147*$Y$147</f>
        <v>66619.444720881555</v>
      </c>
      <c r="AF147" s="6">
        <f ca="1">$M$147*$Z$147</f>
        <v>140644.03913946438</v>
      </c>
      <c r="AG147" s="6">
        <f>$O$147*$AA$147</f>
        <v>167091.93909793289</v>
      </c>
    </row>
    <row r="148" spans="1:33" ht="11.25" customHeight="1" x14ac:dyDescent="0.25">
      <c r="A148" s="4" t="s">
        <v>28</v>
      </c>
      <c r="B148" s="4" t="s">
        <v>41</v>
      </c>
      <c r="C148" s="4" t="s">
        <v>40</v>
      </c>
      <c r="D148" s="4" t="s">
        <v>47</v>
      </c>
      <c r="E148" s="4" t="s">
        <v>25</v>
      </c>
      <c r="F148" s="4" t="s">
        <v>25</v>
      </c>
      <c r="G148" s="4" t="s">
        <v>25</v>
      </c>
      <c r="H148" s="4" t="s">
        <v>35</v>
      </c>
      <c r="I148" s="5">
        <v>44713</v>
      </c>
      <c r="J148" s="6">
        <v>299</v>
      </c>
      <c r="K148" s="6">
        <v>299</v>
      </c>
      <c r="L148" s="6">
        <v>7.8929999999999998</v>
      </c>
      <c r="M148" s="6">
        <v>7.8929999999999998</v>
      </c>
      <c r="N148" s="6">
        <v>7.8929999999999998</v>
      </c>
      <c r="O148" s="6">
        <v>7.8929999999999998</v>
      </c>
      <c r="P148" s="6">
        <v>0</v>
      </c>
      <c r="Q148" s="4" t="s">
        <v>26</v>
      </c>
      <c r="R148" s="4">
        <v>0</v>
      </c>
      <c r="S148" s="6">
        <v>43</v>
      </c>
      <c r="T148" s="6">
        <v>46</v>
      </c>
      <c r="U148" s="6">
        <v>76</v>
      </c>
      <c r="V148" s="6">
        <f>IF(ISERROR(VLOOKUP($S$148,'TAR FIN'!$A$1:$O$108,15,0)),0,VLOOKUP($S$148,'TAR FIN'!$A$1:$O$108,15,0))</f>
        <v>21.38</v>
      </c>
      <c r="W148" s="6">
        <f>IF(ISERROR(VLOOKUP($T$148,'TAR FIN'!$A$1:$O$108,15,0)),0,VLOOKUP($T$148,'TAR FIN'!$A$1:$O$108,15,0))</f>
        <v>102.62</v>
      </c>
      <c r="X148" s="6">
        <f>IF(ISERROR(VLOOKUP($U$148,'TAR FIN'!$A$1:$O$108,15,0)),0,VLOOKUP($U$148,'TAR FIN'!$A$1:$O$108,15,0))</f>
        <v>103.1</v>
      </c>
      <c r="Y148" s="6">
        <f ca="1">('TUSD BE'!$AM$22+'TUSD BF'!$AM$22+'TUSD CVA'!$AM$22)*1</f>
        <v>21.189390814529755</v>
      </c>
      <c r="Z148" s="6">
        <f ca="1">('TUSD BE'!$AM$23+'TUSD BF'!$AM$23+'TUSD CVA'!$AM$23)*1</f>
        <v>181.47641369790719</v>
      </c>
      <c r="AA148" s="6">
        <f>('TE BE'!$AB$11+'TE BF'!$AB$11+'TE CVA'!$AB$11)*1</f>
        <v>215.60278025898469</v>
      </c>
      <c r="AB148" s="6">
        <f>$K$148*$V$148</f>
        <v>6392.62</v>
      </c>
      <c r="AC148" s="6">
        <f>$M$148*$W$148</f>
        <v>809.97965999999997</v>
      </c>
      <c r="AD148" s="6">
        <f>$O$148*$X$148</f>
        <v>813.76829999999995</v>
      </c>
      <c r="AE148" s="6">
        <f ca="1">$K$148*$Y$148</f>
        <v>6335.6278535443971</v>
      </c>
      <c r="AF148" s="6">
        <f ca="1">$M$148*$Z$148</f>
        <v>1432.3933333175814</v>
      </c>
      <c r="AG148" s="6">
        <f>$O$148*$AA$148</f>
        <v>1701.7527445841661</v>
      </c>
    </row>
    <row r="149" spans="1:33" ht="11.25" customHeight="1" x14ac:dyDescent="0.25">
      <c r="A149" s="4" t="s">
        <v>21</v>
      </c>
      <c r="B149" s="4" t="s">
        <v>41</v>
      </c>
      <c r="C149" s="4" t="s">
        <v>40</v>
      </c>
      <c r="D149" s="4" t="s">
        <v>47</v>
      </c>
      <c r="E149" s="4" t="s">
        <v>25</v>
      </c>
      <c r="F149" s="4" t="s">
        <v>25</v>
      </c>
      <c r="G149" s="4" t="s">
        <v>25</v>
      </c>
      <c r="H149" s="4" t="s">
        <v>35</v>
      </c>
      <c r="I149" s="5">
        <v>44743</v>
      </c>
      <c r="J149" s="6">
        <v>2981</v>
      </c>
      <c r="K149" s="6">
        <v>2981</v>
      </c>
      <c r="L149" s="6">
        <v>700.17100000000005</v>
      </c>
      <c r="M149" s="6">
        <v>700.17100000000005</v>
      </c>
      <c r="N149" s="6">
        <v>700.17100000000005</v>
      </c>
      <c r="O149" s="6">
        <v>700.17100000000005</v>
      </c>
      <c r="P149" s="6">
        <v>0</v>
      </c>
      <c r="Q149" s="4" t="s">
        <v>26</v>
      </c>
      <c r="R149" s="4">
        <v>0</v>
      </c>
      <c r="S149" s="6">
        <v>43</v>
      </c>
      <c r="T149" s="6">
        <v>46</v>
      </c>
      <c r="U149" s="6">
        <v>76</v>
      </c>
      <c r="V149" s="6">
        <f>IF(ISERROR(VLOOKUP($S$149,'TAR FIN'!$A$1:$O$108,15,0)),0,VLOOKUP($S$149,'TAR FIN'!$A$1:$O$108,15,0))</f>
        <v>21.38</v>
      </c>
      <c r="W149" s="6">
        <f>IF(ISERROR(VLOOKUP($T$149,'TAR FIN'!$A$1:$O$108,15,0)),0,VLOOKUP($T$149,'TAR FIN'!$A$1:$O$108,15,0))</f>
        <v>102.62</v>
      </c>
      <c r="X149" s="6">
        <f>IF(ISERROR(VLOOKUP($U$149,'TAR FIN'!$A$1:$O$108,15,0)),0,VLOOKUP($U$149,'TAR FIN'!$A$1:$O$108,15,0))</f>
        <v>103.1</v>
      </c>
      <c r="Y149" s="6">
        <f ca="1">('TUSD BE'!$AM$22+'TUSD BF'!$AM$22+'TUSD CVA'!$AM$22)*1</f>
        <v>21.189390814529755</v>
      </c>
      <c r="Z149" s="6">
        <f ca="1">('TUSD BE'!$AM$23+'TUSD BF'!$AM$23+'TUSD CVA'!$AM$23)*1</f>
        <v>181.47641369790719</v>
      </c>
      <c r="AA149" s="6">
        <f>('TE BE'!$AB$11+'TE BF'!$AB$11+'TE CVA'!$AB$11)*1</f>
        <v>215.60278025898469</v>
      </c>
      <c r="AB149" s="6">
        <f>$K$149*$V$149</f>
        <v>63733.78</v>
      </c>
      <c r="AC149" s="6">
        <f>$M$149*$W$149</f>
        <v>71851.548020000002</v>
      </c>
      <c r="AD149" s="6">
        <f>$O$149*$X$149</f>
        <v>72187.630099999995</v>
      </c>
      <c r="AE149" s="6">
        <f ca="1">$K$149*$Y$149</f>
        <v>63165.574018113199</v>
      </c>
      <c r="AF149" s="6">
        <f ca="1">$M$149*$Z$149</f>
        <v>127064.52205527738</v>
      </c>
      <c r="AG149" s="6">
        <f>$O$149*$AA$149</f>
        <v>150958.81425671358</v>
      </c>
    </row>
    <row r="150" spans="1:33" ht="11.25" customHeight="1" x14ac:dyDescent="0.25">
      <c r="A150" s="4" t="s">
        <v>28</v>
      </c>
      <c r="B150" s="4" t="s">
        <v>41</v>
      </c>
      <c r="C150" s="4" t="s">
        <v>40</v>
      </c>
      <c r="D150" s="4" t="s">
        <v>47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44743</v>
      </c>
      <c r="J150" s="6">
        <v>404</v>
      </c>
      <c r="K150" s="6">
        <v>404</v>
      </c>
      <c r="L150" s="6">
        <v>6.2919999999999998</v>
      </c>
      <c r="M150" s="6">
        <v>6.2919999999999998</v>
      </c>
      <c r="N150" s="6">
        <v>6.2919999999999998</v>
      </c>
      <c r="O150" s="6">
        <v>6.2919999999999998</v>
      </c>
      <c r="P150" s="6">
        <v>0</v>
      </c>
      <c r="Q150" s="4" t="s">
        <v>26</v>
      </c>
      <c r="R150" s="4">
        <v>0</v>
      </c>
      <c r="S150" s="6">
        <v>43</v>
      </c>
      <c r="T150" s="6">
        <v>46</v>
      </c>
      <c r="U150" s="6">
        <v>76</v>
      </c>
      <c r="V150" s="6">
        <f>IF(ISERROR(VLOOKUP($S$150,'TAR FIN'!$A$1:$O$108,15,0)),0,VLOOKUP($S$150,'TAR FIN'!$A$1:$O$108,15,0))</f>
        <v>21.38</v>
      </c>
      <c r="W150" s="6">
        <f>IF(ISERROR(VLOOKUP($T$150,'TAR FIN'!$A$1:$O$108,15,0)),0,VLOOKUP($T$150,'TAR FIN'!$A$1:$O$108,15,0))</f>
        <v>102.62</v>
      </c>
      <c r="X150" s="6">
        <f>IF(ISERROR(VLOOKUP($U$150,'TAR FIN'!$A$1:$O$108,15,0)),0,VLOOKUP($U$150,'TAR FIN'!$A$1:$O$108,15,0))</f>
        <v>103.1</v>
      </c>
      <c r="Y150" s="6">
        <f ca="1">('TUSD BE'!$AM$22+'TUSD BF'!$AM$22+'TUSD CVA'!$AM$22)*1</f>
        <v>21.189390814529755</v>
      </c>
      <c r="Z150" s="6">
        <f ca="1">('TUSD BE'!$AM$23+'TUSD BF'!$AM$23+'TUSD CVA'!$AM$23)*1</f>
        <v>181.47641369790719</v>
      </c>
      <c r="AA150" s="6">
        <f>('TE BE'!$AB$11+'TE BF'!$AB$11+'TE CVA'!$AB$11)*1</f>
        <v>215.60278025898469</v>
      </c>
      <c r="AB150" s="6">
        <f>$K$150*$V$150</f>
        <v>8637.52</v>
      </c>
      <c r="AC150" s="6">
        <f>$M$150*$W$150</f>
        <v>645.68503999999996</v>
      </c>
      <c r="AD150" s="6">
        <f>$O$150*$X$150</f>
        <v>648.70519999999999</v>
      </c>
      <c r="AE150" s="6">
        <f ca="1">$K$150*$Y$150</f>
        <v>8560.5138890700218</v>
      </c>
      <c r="AF150" s="6">
        <f ca="1">$M$150*$Z$150</f>
        <v>1141.849594987232</v>
      </c>
      <c r="AG150" s="6">
        <f>$O$150*$AA$150</f>
        <v>1356.5726933895317</v>
      </c>
    </row>
    <row r="151" spans="1:33" ht="11.25" customHeight="1" x14ac:dyDescent="0.25">
      <c r="A151" s="4" t="s">
        <v>28</v>
      </c>
      <c r="B151" s="4" t="s">
        <v>41</v>
      </c>
      <c r="C151" s="4" t="s">
        <v>40</v>
      </c>
      <c r="D151" s="4" t="s">
        <v>47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44743</v>
      </c>
      <c r="J151" s="6">
        <v>0</v>
      </c>
      <c r="K151" s="6">
        <v>0</v>
      </c>
      <c r="L151" s="6">
        <v>2.6429999999999998</v>
      </c>
      <c r="M151" s="6">
        <v>2.6429999999999998</v>
      </c>
      <c r="N151" s="6">
        <v>2.6429999999999998</v>
      </c>
      <c r="O151" s="6">
        <v>2.6429999999999998</v>
      </c>
      <c r="P151" s="6">
        <v>0</v>
      </c>
      <c r="Q151" s="4" t="s">
        <v>26</v>
      </c>
      <c r="R151" s="4">
        <v>0</v>
      </c>
      <c r="S151" s="6">
        <v>0</v>
      </c>
      <c r="T151" s="6">
        <v>46</v>
      </c>
      <c r="U151" s="6">
        <v>76</v>
      </c>
      <c r="V151" s="6">
        <f>IF(ISERROR(VLOOKUP($S$151,'TAR FIN'!$A$1:$O$108,15,0)),0,VLOOKUP($S$151,'TAR FIN'!$A$1:$O$108,15,0))</f>
        <v>0</v>
      </c>
      <c r="W151" s="6">
        <f>IF(ISERROR(VLOOKUP($T$151,'TAR FIN'!$A$1:$O$108,15,0)),0,VLOOKUP($T$151,'TAR FIN'!$A$1:$O$108,15,0))</f>
        <v>102.62</v>
      </c>
      <c r="X151" s="6">
        <f>IF(ISERROR(VLOOKUP($U$151,'TAR FIN'!$A$1:$O$108,15,0)),0,VLOOKUP($U$151,'TAR FIN'!$A$1:$O$108,15,0))</f>
        <v>103.1</v>
      </c>
      <c r="Y151" s="6">
        <f ca="1">('TUSD BE'!$AM$22+'TUSD BF'!$AM$22+'TUSD CVA'!$AM$22)*1</f>
        <v>21.189390814529755</v>
      </c>
      <c r="Z151" s="6">
        <f ca="1">('TUSD BE'!$AM$23+'TUSD BF'!$AM$23+'TUSD CVA'!$AM$23)*1</f>
        <v>181.47641369790719</v>
      </c>
      <c r="AA151" s="6">
        <f>('TE BE'!$AB$11+'TE BF'!$AB$11+'TE CVA'!$AB$11)*1</f>
        <v>215.60278025898469</v>
      </c>
      <c r="AB151" s="6">
        <f>$K$151*$V$151</f>
        <v>0</v>
      </c>
      <c r="AC151" s="6">
        <f>$M$151*$W$151</f>
        <v>271.22465999999997</v>
      </c>
      <c r="AD151" s="6">
        <f>$O$151*$X$151</f>
        <v>272.49329999999998</v>
      </c>
      <c r="AE151" s="6">
        <f ca="1">$K$151*$Y$151</f>
        <v>0</v>
      </c>
      <c r="AF151" s="6">
        <f ca="1">$M$151*$Z$151</f>
        <v>479.64216140356865</v>
      </c>
      <c r="AG151" s="6">
        <f>$O$151*$AA$151</f>
        <v>569.83814822449654</v>
      </c>
    </row>
    <row r="152" spans="1:33" ht="11.25" customHeight="1" x14ac:dyDescent="0.25">
      <c r="A152" s="4" t="s">
        <v>21</v>
      </c>
      <c r="B152" s="4" t="s">
        <v>41</v>
      </c>
      <c r="C152" s="4" t="s">
        <v>40</v>
      </c>
      <c r="D152" s="4" t="s">
        <v>47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44774</v>
      </c>
      <c r="J152" s="6">
        <v>2993</v>
      </c>
      <c r="K152" s="6">
        <v>2993</v>
      </c>
      <c r="L152" s="6">
        <v>841.69100000000003</v>
      </c>
      <c r="M152" s="6">
        <v>841.69100000000003</v>
      </c>
      <c r="N152" s="6">
        <v>841.69100000000003</v>
      </c>
      <c r="O152" s="6">
        <v>841.69100000000003</v>
      </c>
      <c r="P152" s="6">
        <v>0</v>
      </c>
      <c r="Q152" s="4" t="s">
        <v>26</v>
      </c>
      <c r="R152" s="4">
        <v>0</v>
      </c>
      <c r="S152" s="6">
        <v>43</v>
      </c>
      <c r="T152" s="6">
        <v>46</v>
      </c>
      <c r="U152" s="6">
        <v>76</v>
      </c>
      <c r="V152" s="6">
        <f>IF(ISERROR(VLOOKUP($S$152,'TAR FIN'!$A$1:$O$108,15,0)),0,VLOOKUP($S$152,'TAR FIN'!$A$1:$O$108,15,0))</f>
        <v>21.38</v>
      </c>
      <c r="W152" s="6">
        <f>IF(ISERROR(VLOOKUP($T$152,'TAR FIN'!$A$1:$O$108,15,0)),0,VLOOKUP($T$152,'TAR FIN'!$A$1:$O$108,15,0))</f>
        <v>102.62</v>
      </c>
      <c r="X152" s="6">
        <f>IF(ISERROR(VLOOKUP($U$152,'TAR FIN'!$A$1:$O$108,15,0)),0,VLOOKUP($U$152,'TAR FIN'!$A$1:$O$108,15,0))</f>
        <v>103.1</v>
      </c>
      <c r="Y152" s="6">
        <f ca="1">('TUSD BE'!$AM$22+'TUSD BF'!$AM$22+'TUSD CVA'!$AM$22)*1</f>
        <v>21.189390814529755</v>
      </c>
      <c r="Z152" s="6">
        <f ca="1">('TUSD BE'!$AM$23+'TUSD BF'!$AM$23+'TUSD CVA'!$AM$23)*1</f>
        <v>181.47641369790719</v>
      </c>
      <c r="AA152" s="6">
        <f>('TE BE'!$AB$11+'TE BF'!$AB$11+'TE CVA'!$AB$11)*1</f>
        <v>215.60278025898469</v>
      </c>
      <c r="AB152" s="6">
        <f>$K$152*$V$152</f>
        <v>63990.34</v>
      </c>
      <c r="AC152" s="6">
        <f>$M$152*$W$152</f>
        <v>86374.330420000013</v>
      </c>
      <c r="AD152" s="6">
        <f>$O$152*$X$152</f>
        <v>86778.342099999994</v>
      </c>
      <c r="AE152" s="6">
        <f ca="1">$K$152*$Y$152</f>
        <v>63419.846707887555</v>
      </c>
      <c r="AF152" s="6">
        <f ca="1">$M$152*$Z$152</f>
        <v>152747.06412180522</v>
      </c>
      <c r="AG152" s="6">
        <f>$O$152*$AA$152</f>
        <v>181470.9197189651</v>
      </c>
    </row>
    <row r="153" spans="1:33" ht="11.25" customHeight="1" x14ac:dyDescent="0.25">
      <c r="A153" s="4" t="s">
        <v>28</v>
      </c>
      <c r="B153" s="4" t="s">
        <v>41</v>
      </c>
      <c r="C153" s="4" t="s">
        <v>40</v>
      </c>
      <c r="D153" s="4" t="s">
        <v>47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44774</v>
      </c>
      <c r="J153" s="6">
        <v>394</v>
      </c>
      <c r="K153" s="6">
        <v>394</v>
      </c>
      <c r="L153" s="6">
        <v>12.497999999999999</v>
      </c>
      <c r="M153" s="6">
        <v>12.497999999999999</v>
      </c>
      <c r="N153" s="6">
        <v>12.497999999999999</v>
      </c>
      <c r="O153" s="6">
        <v>12.497999999999999</v>
      </c>
      <c r="P153" s="6">
        <v>0</v>
      </c>
      <c r="Q153" s="4" t="s">
        <v>26</v>
      </c>
      <c r="R153" s="4">
        <v>0</v>
      </c>
      <c r="S153" s="6">
        <v>43</v>
      </c>
      <c r="T153" s="6">
        <v>46</v>
      </c>
      <c r="U153" s="6">
        <v>76</v>
      </c>
      <c r="V153" s="6">
        <f>IF(ISERROR(VLOOKUP($S$153,'TAR FIN'!$A$1:$O$108,15,0)),0,VLOOKUP($S$153,'TAR FIN'!$A$1:$O$108,15,0))</f>
        <v>21.38</v>
      </c>
      <c r="W153" s="6">
        <f>IF(ISERROR(VLOOKUP($T$153,'TAR FIN'!$A$1:$O$108,15,0)),0,VLOOKUP($T$153,'TAR FIN'!$A$1:$O$108,15,0))</f>
        <v>102.62</v>
      </c>
      <c r="X153" s="6">
        <f>IF(ISERROR(VLOOKUP($U$153,'TAR FIN'!$A$1:$O$108,15,0)),0,VLOOKUP($U$153,'TAR FIN'!$A$1:$O$108,15,0))</f>
        <v>103.1</v>
      </c>
      <c r="Y153" s="6">
        <f ca="1">('TUSD BE'!$AM$22+'TUSD BF'!$AM$22+'TUSD CVA'!$AM$22)*1</f>
        <v>21.189390814529755</v>
      </c>
      <c r="Z153" s="6">
        <f ca="1">('TUSD BE'!$AM$23+'TUSD BF'!$AM$23+'TUSD CVA'!$AM$23)*1</f>
        <v>181.47641369790719</v>
      </c>
      <c r="AA153" s="6">
        <f>('TE BE'!$AB$11+'TE BF'!$AB$11+'TE CVA'!$AB$11)*1</f>
        <v>215.60278025898469</v>
      </c>
      <c r="AB153" s="6">
        <f>$K$153*$V$153</f>
        <v>8423.7199999999993</v>
      </c>
      <c r="AC153" s="6">
        <f>$M$153*$W$153</f>
        <v>1282.54476</v>
      </c>
      <c r="AD153" s="6">
        <f>$O$153*$X$153</f>
        <v>1288.5437999999999</v>
      </c>
      <c r="AE153" s="6">
        <f ca="1">$K$153*$Y$153</f>
        <v>8348.6199809247228</v>
      </c>
      <c r="AF153" s="6">
        <f ca="1">$M$153*$Z$153</f>
        <v>2268.092218396444</v>
      </c>
      <c r="AG153" s="6">
        <f>$O$153*$AA$153</f>
        <v>2694.6035476767906</v>
      </c>
    </row>
    <row r="154" spans="1:33" ht="11.25" customHeight="1" x14ac:dyDescent="0.25">
      <c r="A154" s="4" t="s">
        <v>21</v>
      </c>
      <c r="B154" s="4" t="s">
        <v>41</v>
      </c>
      <c r="C154" s="4" t="s">
        <v>40</v>
      </c>
      <c r="D154" s="4" t="s">
        <v>47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44805</v>
      </c>
      <c r="J154" s="6">
        <v>2998</v>
      </c>
      <c r="K154" s="6">
        <v>2998</v>
      </c>
      <c r="L154" s="6">
        <v>852.65099999999995</v>
      </c>
      <c r="M154" s="6">
        <v>852.65099999999995</v>
      </c>
      <c r="N154" s="6">
        <v>852.65099999999995</v>
      </c>
      <c r="O154" s="6">
        <v>852.65099999999995</v>
      </c>
      <c r="P154" s="6">
        <v>0</v>
      </c>
      <c r="Q154" s="4" t="s">
        <v>26</v>
      </c>
      <c r="R154" s="4">
        <v>0</v>
      </c>
      <c r="S154" s="6">
        <v>43</v>
      </c>
      <c r="T154" s="6">
        <v>46</v>
      </c>
      <c r="U154" s="6">
        <v>76</v>
      </c>
      <c r="V154" s="6">
        <f>IF(ISERROR(VLOOKUP($S$154,'TAR FIN'!$A$1:$O$108,15,0)),0,VLOOKUP($S$154,'TAR FIN'!$A$1:$O$108,15,0))</f>
        <v>21.38</v>
      </c>
      <c r="W154" s="6">
        <f>IF(ISERROR(VLOOKUP($T$154,'TAR FIN'!$A$1:$O$108,15,0)),0,VLOOKUP($T$154,'TAR FIN'!$A$1:$O$108,15,0))</f>
        <v>102.62</v>
      </c>
      <c r="X154" s="6">
        <f>IF(ISERROR(VLOOKUP($U$154,'TAR FIN'!$A$1:$O$108,15,0)),0,VLOOKUP($U$154,'TAR FIN'!$A$1:$O$108,15,0))</f>
        <v>103.1</v>
      </c>
      <c r="Y154" s="6">
        <f ca="1">('TUSD BE'!$AM$22+'TUSD BF'!$AM$22+'TUSD CVA'!$AM$22)*1</f>
        <v>21.189390814529755</v>
      </c>
      <c r="Z154" s="6">
        <f ca="1">('TUSD BE'!$AM$23+'TUSD BF'!$AM$23+'TUSD CVA'!$AM$23)*1</f>
        <v>181.47641369790719</v>
      </c>
      <c r="AA154" s="6">
        <f>('TE BE'!$AB$11+'TE BF'!$AB$11+'TE CVA'!$AB$11)*1</f>
        <v>215.60278025898469</v>
      </c>
      <c r="AB154" s="6">
        <f>$K$154*$V$154</f>
        <v>64097.24</v>
      </c>
      <c r="AC154" s="6">
        <f>$M$154*$W$154</f>
        <v>87499.045620000004</v>
      </c>
      <c r="AD154" s="6">
        <f>$O$154*$X$154</f>
        <v>87908.318099999989</v>
      </c>
      <c r="AE154" s="6">
        <f ca="1">$K$154*$Y$154</f>
        <v>63525.793661960204</v>
      </c>
      <c r="AF154" s="6">
        <f ca="1">$M$154*$Z$154</f>
        <v>154736.04561593424</v>
      </c>
      <c r="AG154" s="6">
        <f>$O$154*$AA$154</f>
        <v>183833.92619060355</v>
      </c>
    </row>
    <row r="155" spans="1:33" ht="11.25" customHeight="1" x14ac:dyDescent="0.25">
      <c r="A155" s="4" t="s">
        <v>28</v>
      </c>
      <c r="B155" s="4" t="s">
        <v>41</v>
      </c>
      <c r="C155" s="4" t="s">
        <v>40</v>
      </c>
      <c r="D155" s="4" t="s">
        <v>47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44805</v>
      </c>
      <c r="J155" s="6">
        <v>476</v>
      </c>
      <c r="K155" s="6">
        <v>476</v>
      </c>
      <c r="L155" s="6">
        <v>7.0780000000000003</v>
      </c>
      <c r="M155" s="6">
        <v>7.0780000000000003</v>
      </c>
      <c r="N155" s="6">
        <v>7.0780000000000003</v>
      </c>
      <c r="O155" s="6">
        <v>7.0780000000000003</v>
      </c>
      <c r="P155" s="6">
        <v>0</v>
      </c>
      <c r="Q155" s="4" t="s">
        <v>26</v>
      </c>
      <c r="R155" s="4">
        <v>0</v>
      </c>
      <c r="S155" s="6">
        <v>43</v>
      </c>
      <c r="T155" s="6">
        <v>46</v>
      </c>
      <c r="U155" s="6">
        <v>76</v>
      </c>
      <c r="V155" s="6">
        <f>IF(ISERROR(VLOOKUP($S$155,'TAR FIN'!$A$1:$O$108,15,0)),0,VLOOKUP($S$155,'TAR FIN'!$A$1:$O$108,15,0))</f>
        <v>21.38</v>
      </c>
      <c r="W155" s="6">
        <f>IF(ISERROR(VLOOKUP($T$155,'TAR FIN'!$A$1:$O$108,15,0)),0,VLOOKUP($T$155,'TAR FIN'!$A$1:$O$108,15,0))</f>
        <v>102.62</v>
      </c>
      <c r="X155" s="6">
        <f>IF(ISERROR(VLOOKUP($U$155,'TAR FIN'!$A$1:$O$108,15,0)),0,VLOOKUP($U$155,'TAR FIN'!$A$1:$O$108,15,0))</f>
        <v>103.1</v>
      </c>
      <c r="Y155" s="6">
        <f ca="1">('TUSD BE'!$AM$22+'TUSD BF'!$AM$22+'TUSD CVA'!$AM$22)*1</f>
        <v>21.189390814529755</v>
      </c>
      <c r="Z155" s="6">
        <f ca="1">('TUSD BE'!$AM$23+'TUSD BF'!$AM$23+'TUSD CVA'!$AM$23)*1</f>
        <v>181.47641369790719</v>
      </c>
      <c r="AA155" s="6">
        <f>('TE BE'!$AB$11+'TE BF'!$AB$11+'TE CVA'!$AB$11)*1</f>
        <v>215.60278025898469</v>
      </c>
      <c r="AB155" s="6">
        <f>$K$155*$V$155</f>
        <v>10176.879999999999</v>
      </c>
      <c r="AC155" s="6">
        <f>$M$155*$W$155</f>
        <v>726.34436000000005</v>
      </c>
      <c r="AD155" s="6">
        <f>$O$155*$X$155</f>
        <v>729.74180000000001</v>
      </c>
      <c r="AE155" s="6">
        <f ca="1">$K$155*$Y$155</f>
        <v>10086.150027716163</v>
      </c>
      <c r="AF155" s="6">
        <f ca="1">$M$155*$Z$155</f>
        <v>1284.4900561537872</v>
      </c>
      <c r="AG155" s="6">
        <f>$O$155*$AA$155</f>
        <v>1526.0364786730938</v>
      </c>
    </row>
    <row r="156" spans="1:33" ht="11.25" customHeight="1" x14ac:dyDescent="0.25">
      <c r="A156" s="4" t="s">
        <v>21</v>
      </c>
      <c r="B156" s="4" t="s">
        <v>41</v>
      </c>
      <c r="C156" s="4" t="s">
        <v>40</v>
      </c>
      <c r="D156" s="4" t="s">
        <v>47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44835</v>
      </c>
      <c r="J156" s="6">
        <v>2997</v>
      </c>
      <c r="K156" s="6">
        <v>2997</v>
      </c>
      <c r="L156" s="6">
        <v>876.89400000000001</v>
      </c>
      <c r="M156" s="6">
        <v>876.89400000000001</v>
      </c>
      <c r="N156" s="6">
        <v>876.89400000000001</v>
      </c>
      <c r="O156" s="6">
        <v>876.89400000000001</v>
      </c>
      <c r="P156" s="6">
        <v>0</v>
      </c>
      <c r="Q156" s="4" t="s">
        <v>26</v>
      </c>
      <c r="R156" s="4">
        <v>0</v>
      </c>
      <c r="S156" s="6">
        <v>43</v>
      </c>
      <c r="T156" s="6">
        <v>46</v>
      </c>
      <c r="U156" s="6">
        <v>76</v>
      </c>
      <c r="V156" s="6">
        <f>IF(ISERROR(VLOOKUP($S$156,'TAR FIN'!$A$1:$O$108,15,0)),0,VLOOKUP($S$156,'TAR FIN'!$A$1:$O$108,15,0))</f>
        <v>21.38</v>
      </c>
      <c r="W156" s="6">
        <f>IF(ISERROR(VLOOKUP($T$156,'TAR FIN'!$A$1:$O$108,15,0)),0,VLOOKUP($T$156,'TAR FIN'!$A$1:$O$108,15,0))</f>
        <v>102.62</v>
      </c>
      <c r="X156" s="6">
        <f>IF(ISERROR(VLOOKUP($U$156,'TAR FIN'!$A$1:$O$108,15,0)),0,VLOOKUP($U$156,'TAR FIN'!$A$1:$O$108,15,0))</f>
        <v>103.1</v>
      </c>
      <c r="Y156" s="6">
        <f ca="1">('TUSD BE'!$AM$22+'TUSD BF'!$AM$22+'TUSD CVA'!$AM$22)*1</f>
        <v>21.189390814529755</v>
      </c>
      <c r="Z156" s="6">
        <f ca="1">('TUSD BE'!$AM$23+'TUSD BF'!$AM$23+'TUSD CVA'!$AM$23)*1</f>
        <v>181.47641369790719</v>
      </c>
      <c r="AA156" s="6">
        <f>('TE BE'!$AB$11+'TE BF'!$AB$11+'TE CVA'!$AB$11)*1</f>
        <v>215.60278025898469</v>
      </c>
      <c r="AB156" s="6">
        <f>$K$156*$V$156</f>
        <v>64075.86</v>
      </c>
      <c r="AC156" s="6">
        <f>$M$156*$W$156</f>
        <v>89986.862280000001</v>
      </c>
      <c r="AD156" s="6">
        <f>$O$156*$X$156</f>
        <v>90407.771399999998</v>
      </c>
      <c r="AE156" s="6">
        <f ca="1">$K$156*$Y$156</f>
        <v>63504.604271145676</v>
      </c>
      <c r="AF156" s="6">
        <f ca="1">$M$156*$Z$156</f>
        <v>159135.57831321264</v>
      </c>
      <c r="AG156" s="6">
        <f>$O$156*$AA$156</f>
        <v>189060.78439242212</v>
      </c>
    </row>
    <row r="157" spans="1:33" ht="11.25" customHeight="1" x14ac:dyDescent="0.25">
      <c r="A157" s="4" t="s">
        <v>28</v>
      </c>
      <c r="B157" s="4" t="s">
        <v>41</v>
      </c>
      <c r="C157" s="4" t="s">
        <v>40</v>
      </c>
      <c r="D157" s="4" t="s">
        <v>47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44835</v>
      </c>
      <c r="J157" s="6">
        <v>200</v>
      </c>
      <c r="K157" s="6">
        <v>200</v>
      </c>
      <c r="L157" s="6">
        <v>4.3490000000000002</v>
      </c>
      <c r="M157" s="6">
        <v>4.3490000000000002</v>
      </c>
      <c r="N157" s="6">
        <v>4.3490000000000002</v>
      </c>
      <c r="O157" s="6">
        <v>4.3490000000000002</v>
      </c>
      <c r="P157" s="6">
        <v>0</v>
      </c>
      <c r="Q157" s="4" t="s">
        <v>26</v>
      </c>
      <c r="R157" s="4">
        <v>0</v>
      </c>
      <c r="S157" s="6">
        <v>43</v>
      </c>
      <c r="T157" s="6">
        <v>46</v>
      </c>
      <c r="U157" s="6">
        <v>76</v>
      </c>
      <c r="V157" s="6">
        <f>IF(ISERROR(VLOOKUP($S$157,'TAR FIN'!$A$1:$O$108,15,0)),0,VLOOKUP($S$157,'TAR FIN'!$A$1:$O$108,15,0))</f>
        <v>21.38</v>
      </c>
      <c r="W157" s="6">
        <f>IF(ISERROR(VLOOKUP($T$157,'TAR FIN'!$A$1:$O$108,15,0)),0,VLOOKUP($T$157,'TAR FIN'!$A$1:$O$108,15,0))</f>
        <v>102.62</v>
      </c>
      <c r="X157" s="6">
        <f>IF(ISERROR(VLOOKUP($U$157,'TAR FIN'!$A$1:$O$108,15,0)),0,VLOOKUP($U$157,'TAR FIN'!$A$1:$O$108,15,0))</f>
        <v>103.1</v>
      </c>
      <c r="Y157" s="6">
        <f ca="1">('TUSD BE'!$AM$22+'TUSD BF'!$AM$22+'TUSD CVA'!$AM$22)*1</f>
        <v>21.189390814529755</v>
      </c>
      <c r="Z157" s="6">
        <f ca="1">('TUSD BE'!$AM$23+'TUSD BF'!$AM$23+'TUSD CVA'!$AM$23)*1</f>
        <v>181.47641369790719</v>
      </c>
      <c r="AA157" s="6">
        <f>('TE BE'!$AB$11+'TE BF'!$AB$11+'TE CVA'!$AB$11)*1</f>
        <v>215.60278025898469</v>
      </c>
      <c r="AB157" s="6">
        <f>$K$157*$V$157</f>
        <v>4276</v>
      </c>
      <c r="AC157" s="6">
        <f>$M$157*$W$157</f>
        <v>446.29438000000005</v>
      </c>
      <c r="AD157" s="6">
        <f>$O$157*$X$157</f>
        <v>448.38189999999997</v>
      </c>
      <c r="AE157" s="6">
        <f ca="1">$K$157*$Y$157</f>
        <v>4237.8781629059513</v>
      </c>
      <c r="AF157" s="6">
        <f ca="1">$M$157*$Z$157</f>
        <v>789.24092317219845</v>
      </c>
      <c r="AG157" s="6">
        <f>$O$157*$AA$157</f>
        <v>937.65649134632451</v>
      </c>
    </row>
    <row r="158" spans="1:33" ht="11.25" customHeight="1" x14ac:dyDescent="0.25">
      <c r="A158" s="4" t="s">
        <v>28</v>
      </c>
      <c r="B158" s="4" t="s">
        <v>41</v>
      </c>
      <c r="C158" s="4" t="s">
        <v>40</v>
      </c>
      <c r="D158" s="4" t="s">
        <v>47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44835</v>
      </c>
      <c r="J158" s="6">
        <v>-470</v>
      </c>
      <c r="K158" s="6">
        <v>-470</v>
      </c>
      <c r="L158" s="6">
        <v>-18.387</v>
      </c>
      <c r="M158" s="6">
        <v>-18.387</v>
      </c>
      <c r="N158" s="6">
        <v>-18.387</v>
      </c>
      <c r="O158" s="6">
        <v>-18.387</v>
      </c>
      <c r="P158" s="6">
        <v>0</v>
      </c>
      <c r="Q158" s="4" t="s">
        <v>26</v>
      </c>
      <c r="R158" s="4">
        <v>0</v>
      </c>
      <c r="S158" s="6">
        <v>43</v>
      </c>
      <c r="T158" s="6">
        <v>46</v>
      </c>
      <c r="U158" s="6">
        <v>76</v>
      </c>
      <c r="V158" s="6">
        <f>IF(ISERROR(VLOOKUP($S$158,'TAR FIN'!$A$1:$O$108,15,0)),0,VLOOKUP($S$158,'TAR FIN'!$A$1:$O$108,15,0))</f>
        <v>21.38</v>
      </c>
      <c r="W158" s="6">
        <f>IF(ISERROR(VLOOKUP($T$158,'TAR FIN'!$A$1:$O$108,15,0)),0,VLOOKUP($T$158,'TAR FIN'!$A$1:$O$108,15,0))</f>
        <v>102.62</v>
      </c>
      <c r="X158" s="6">
        <f>IF(ISERROR(VLOOKUP($U$158,'TAR FIN'!$A$1:$O$108,15,0)),0,VLOOKUP($U$158,'TAR FIN'!$A$1:$O$108,15,0))</f>
        <v>103.1</v>
      </c>
      <c r="Y158" s="6">
        <f ca="1">('TUSD BE'!$AM$22+'TUSD BF'!$AM$22+'TUSD CVA'!$AM$22)*1</f>
        <v>21.189390814529755</v>
      </c>
      <c r="Z158" s="6">
        <f ca="1">('TUSD BE'!$AM$23+'TUSD BF'!$AM$23+'TUSD CVA'!$AM$23)*1</f>
        <v>181.47641369790719</v>
      </c>
      <c r="AA158" s="6">
        <f>('TE BE'!$AB$11+'TE BF'!$AB$11+'TE CVA'!$AB$11)*1</f>
        <v>215.60278025898469</v>
      </c>
      <c r="AB158" s="6">
        <f>$K$158*$V$158</f>
        <v>-10048.6</v>
      </c>
      <c r="AC158" s="6">
        <f>$M$158*$W$158</f>
        <v>-1886.8739400000002</v>
      </c>
      <c r="AD158" s="6">
        <f>$O$158*$X$158</f>
        <v>-1895.6996999999999</v>
      </c>
      <c r="AE158" s="6">
        <f ca="1">$K$158*$Y$158</f>
        <v>-9959.0136828289851</v>
      </c>
      <c r="AF158" s="6">
        <f ca="1">$M$158*$Z$158</f>
        <v>-3336.8068186634196</v>
      </c>
      <c r="AG158" s="6">
        <f>$O$158*$AA$158</f>
        <v>-3964.2883206219517</v>
      </c>
    </row>
    <row r="159" spans="1:33" ht="11.25" customHeight="1" x14ac:dyDescent="0.25">
      <c r="A159" s="4" t="s">
        <v>54</v>
      </c>
      <c r="B159" s="4" t="s">
        <v>41</v>
      </c>
      <c r="C159" s="4" t="s">
        <v>40</v>
      </c>
      <c r="D159" s="4" t="s">
        <v>47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44866</v>
      </c>
      <c r="J159" s="6">
        <v>2997</v>
      </c>
      <c r="K159" s="6">
        <v>2997</v>
      </c>
      <c r="L159" s="6">
        <v>876.89400000000001</v>
      </c>
      <c r="M159" s="6">
        <v>876.89400000000001</v>
      </c>
      <c r="N159" s="6">
        <v>876.89400000000001</v>
      </c>
      <c r="O159" s="6">
        <v>876.89400000000001</v>
      </c>
      <c r="P159" s="6">
        <v>0</v>
      </c>
      <c r="Q159" s="4" t="s">
        <v>26</v>
      </c>
      <c r="R159" s="4">
        <v>0</v>
      </c>
      <c r="S159" s="6">
        <v>43</v>
      </c>
      <c r="T159" s="6">
        <v>46</v>
      </c>
      <c r="U159" s="6">
        <v>76</v>
      </c>
      <c r="V159" s="6">
        <f>IF(ISERROR(VLOOKUP($S$159,'TAR FIN'!$A$1:$O$108,15,0)),0,VLOOKUP($S$159,'TAR FIN'!$A$1:$O$108,15,0))</f>
        <v>21.38</v>
      </c>
      <c r="W159" s="6">
        <f>IF(ISERROR(VLOOKUP($T$159,'TAR FIN'!$A$1:$O$108,15,0)),0,VLOOKUP($T$159,'TAR FIN'!$A$1:$O$108,15,0))</f>
        <v>102.62</v>
      </c>
      <c r="X159" s="6">
        <f>IF(ISERROR(VLOOKUP($U$159,'TAR FIN'!$A$1:$O$108,15,0)),0,VLOOKUP($U$159,'TAR FIN'!$A$1:$O$108,15,0))</f>
        <v>103.1</v>
      </c>
      <c r="Y159" s="6">
        <f ca="1">('TUSD BE'!$AM$22+'TUSD BF'!$AM$22+'TUSD CVA'!$AM$22)*1</f>
        <v>21.189390814529755</v>
      </c>
      <c r="Z159" s="6">
        <f ca="1">('TUSD BE'!$AM$23+'TUSD BF'!$AM$23+'TUSD CVA'!$AM$23)*1</f>
        <v>181.47641369790719</v>
      </c>
      <c r="AA159" s="6">
        <f>('TE BE'!$AB$11+'TE BF'!$AB$11+'TE CVA'!$AB$11)*1</f>
        <v>215.60278025898469</v>
      </c>
      <c r="AB159" s="6">
        <f>$K$159*$V$159</f>
        <v>64075.86</v>
      </c>
      <c r="AC159" s="6">
        <f>$M$159*$W$159</f>
        <v>89986.862280000001</v>
      </c>
      <c r="AD159" s="6">
        <f>$O$159*$X$159</f>
        <v>90407.771399999998</v>
      </c>
      <c r="AE159" s="6">
        <f ca="1">$K$159*$Y$159</f>
        <v>63504.604271145676</v>
      </c>
      <c r="AF159" s="6">
        <f ca="1">$M$159*$Z$159</f>
        <v>159135.57831321264</v>
      </c>
      <c r="AG159" s="6">
        <f>$O$159*$AA$159</f>
        <v>189060.78439242212</v>
      </c>
    </row>
    <row r="160" spans="1:33" ht="11.25" customHeight="1" x14ac:dyDescent="0.25">
      <c r="A160" s="4" t="s">
        <v>54</v>
      </c>
      <c r="B160" s="4" t="s">
        <v>41</v>
      </c>
      <c r="C160" s="4" t="s">
        <v>40</v>
      </c>
      <c r="D160" s="4" t="s">
        <v>47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44866</v>
      </c>
      <c r="J160" s="6">
        <v>200</v>
      </c>
      <c r="K160" s="6">
        <v>200</v>
      </c>
      <c r="L160" s="6">
        <v>4.3490000000000002</v>
      </c>
      <c r="M160" s="6">
        <v>4.3490000000000002</v>
      </c>
      <c r="N160" s="6">
        <v>4.3490000000000002</v>
      </c>
      <c r="O160" s="6">
        <v>4.3490000000000002</v>
      </c>
      <c r="P160" s="6">
        <v>0</v>
      </c>
      <c r="Q160" s="4" t="s">
        <v>26</v>
      </c>
      <c r="R160" s="4">
        <v>0</v>
      </c>
      <c r="S160" s="6">
        <v>43</v>
      </c>
      <c r="T160" s="6">
        <v>46</v>
      </c>
      <c r="U160" s="6">
        <v>76</v>
      </c>
      <c r="V160" s="6">
        <f>IF(ISERROR(VLOOKUP($S$160,'TAR FIN'!$A$1:$O$108,15,0)),0,VLOOKUP($S$160,'TAR FIN'!$A$1:$O$108,15,0))</f>
        <v>21.38</v>
      </c>
      <c r="W160" s="6">
        <f>IF(ISERROR(VLOOKUP($T$160,'TAR FIN'!$A$1:$O$108,15,0)),0,VLOOKUP($T$160,'TAR FIN'!$A$1:$O$108,15,0))</f>
        <v>102.62</v>
      </c>
      <c r="X160" s="6">
        <f>IF(ISERROR(VLOOKUP($U$160,'TAR FIN'!$A$1:$O$108,15,0)),0,VLOOKUP($U$160,'TAR FIN'!$A$1:$O$108,15,0))</f>
        <v>103.1</v>
      </c>
      <c r="Y160" s="6">
        <f ca="1">('TUSD BE'!$AM$22+'TUSD BF'!$AM$22+'TUSD CVA'!$AM$22)*1</f>
        <v>21.189390814529755</v>
      </c>
      <c r="Z160" s="6">
        <f ca="1">('TUSD BE'!$AM$23+'TUSD BF'!$AM$23+'TUSD CVA'!$AM$23)*1</f>
        <v>181.47641369790719</v>
      </c>
      <c r="AA160" s="6">
        <f>('TE BE'!$AB$11+'TE BF'!$AB$11+'TE CVA'!$AB$11)*1</f>
        <v>215.60278025898469</v>
      </c>
      <c r="AB160" s="6">
        <f>$K$160*$V$160</f>
        <v>4276</v>
      </c>
      <c r="AC160" s="6">
        <f>$M$160*$W$160</f>
        <v>446.29438000000005</v>
      </c>
      <c r="AD160" s="6">
        <f>$O$160*$X$160</f>
        <v>448.38189999999997</v>
      </c>
      <c r="AE160" s="6">
        <f ca="1">$K$160*$Y$160</f>
        <v>4237.8781629059513</v>
      </c>
      <c r="AF160" s="6">
        <f ca="1">$M$160*$Z$160</f>
        <v>789.24092317219845</v>
      </c>
      <c r="AG160" s="6">
        <f>$O$160*$AA$160</f>
        <v>937.65649134632451</v>
      </c>
    </row>
    <row r="161" spans="1:33" ht="11.25" customHeight="1" x14ac:dyDescent="0.25">
      <c r="A161" s="4" t="s">
        <v>54</v>
      </c>
      <c r="B161" s="4" t="s">
        <v>41</v>
      </c>
      <c r="C161" s="4" t="s">
        <v>40</v>
      </c>
      <c r="D161" s="4" t="s">
        <v>47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44866</v>
      </c>
      <c r="J161" s="6">
        <v>-470</v>
      </c>
      <c r="K161" s="6">
        <v>-470</v>
      </c>
      <c r="L161" s="6">
        <v>-18.387</v>
      </c>
      <c r="M161" s="6">
        <v>-18.387</v>
      </c>
      <c r="N161" s="6">
        <v>-18.387</v>
      </c>
      <c r="O161" s="6">
        <v>-18.387</v>
      </c>
      <c r="P161" s="6">
        <v>0</v>
      </c>
      <c r="Q161" s="4" t="s">
        <v>26</v>
      </c>
      <c r="R161" s="4">
        <v>0</v>
      </c>
      <c r="S161" s="6">
        <v>43</v>
      </c>
      <c r="T161" s="6">
        <v>46</v>
      </c>
      <c r="U161" s="6">
        <v>76</v>
      </c>
      <c r="V161" s="6">
        <f>IF(ISERROR(VLOOKUP($S$161,'TAR FIN'!$A$1:$O$108,15,0)),0,VLOOKUP($S$161,'TAR FIN'!$A$1:$O$108,15,0))</f>
        <v>21.38</v>
      </c>
      <c r="W161" s="6">
        <f>IF(ISERROR(VLOOKUP($T$161,'TAR FIN'!$A$1:$O$108,15,0)),0,VLOOKUP($T$161,'TAR FIN'!$A$1:$O$108,15,0))</f>
        <v>102.62</v>
      </c>
      <c r="X161" s="6">
        <f>IF(ISERROR(VLOOKUP($U$161,'TAR FIN'!$A$1:$O$108,15,0)),0,VLOOKUP($U$161,'TAR FIN'!$A$1:$O$108,15,0))</f>
        <v>103.1</v>
      </c>
      <c r="Y161" s="6">
        <f ca="1">('TUSD BE'!$AM$22+'TUSD BF'!$AM$22+'TUSD CVA'!$AM$22)*1</f>
        <v>21.189390814529755</v>
      </c>
      <c r="Z161" s="6">
        <f ca="1">('TUSD BE'!$AM$23+'TUSD BF'!$AM$23+'TUSD CVA'!$AM$23)*1</f>
        <v>181.47641369790719</v>
      </c>
      <c r="AA161" s="6">
        <f>('TE BE'!$AB$11+'TE BF'!$AB$11+'TE CVA'!$AB$11)*1</f>
        <v>215.60278025898469</v>
      </c>
      <c r="AB161" s="6">
        <f>$K$161*$V$161</f>
        <v>-10048.6</v>
      </c>
      <c r="AC161" s="6">
        <f>$M$161*$W$161</f>
        <v>-1886.8739400000002</v>
      </c>
      <c r="AD161" s="6">
        <f>$O$161*$X$161</f>
        <v>-1895.6996999999999</v>
      </c>
      <c r="AE161" s="6">
        <f ca="1">$K$161*$Y$161</f>
        <v>-9959.0136828289851</v>
      </c>
      <c r="AF161" s="6">
        <f ca="1">$M$161*$Z$161</f>
        <v>-3336.8068186634196</v>
      </c>
      <c r="AG161" s="6">
        <f>$O$161*$AA$161</f>
        <v>-3964.2883206219517</v>
      </c>
    </row>
    <row r="162" spans="1:33" ht="11.25" customHeight="1" x14ac:dyDescent="0.25">
      <c r="A162" s="4" t="s">
        <v>21</v>
      </c>
      <c r="B162" s="4" t="s">
        <v>41</v>
      </c>
      <c r="C162" s="4" t="s">
        <v>40</v>
      </c>
      <c r="D162" s="4" t="s">
        <v>47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44531</v>
      </c>
      <c r="J162" s="6">
        <v>2391</v>
      </c>
      <c r="K162" s="6">
        <v>2391</v>
      </c>
      <c r="L162" s="6">
        <v>61.837000000000003</v>
      </c>
      <c r="M162" s="6">
        <v>61.837000000000003</v>
      </c>
      <c r="N162" s="6">
        <v>61.837000000000003</v>
      </c>
      <c r="O162" s="6">
        <v>61.837000000000003</v>
      </c>
      <c r="P162" s="6">
        <v>0</v>
      </c>
      <c r="Q162" s="4" t="s">
        <v>26</v>
      </c>
      <c r="R162" s="4">
        <v>0</v>
      </c>
      <c r="S162" s="6">
        <v>42</v>
      </c>
      <c r="T162" s="6">
        <v>46</v>
      </c>
      <c r="U162" s="6">
        <v>75</v>
      </c>
      <c r="V162" s="6">
        <f>IF(ISERROR(VLOOKUP($S$162,'TAR FIN'!$A$1:$O$108,15,0)),0,VLOOKUP($S$162,'TAR FIN'!$A$1:$O$108,15,0))</f>
        <v>55.8</v>
      </c>
      <c r="W162" s="6">
        <f>IF(ISERROR(VLOOKUP($T$162,'TAR FIN'!$A$1:$O$108,15,0)),0,VLOOKUP($T$162,'TAR FIN'!$A$1:$O$108,15,0))</f>
        <v>102.62</v>
      </c>
      <c r="X162" s="6">
        <f>IF(ISERROR(VLOOKUP($U$162,'TAR FIN'!$A$1:$O$108,15,0)),0,VLOOKUP($U$162,'TAR FIN'!$A$1:$O$108,15,0))</f>
        <v>159.43</v>
      </c>
      <c r="Y162" s="6">
        <f ca="1">('TUSD BE'!$AM$21+'TUSD BF'!$AM$21+'TUSD CVA'!$AM$21)*1</f>
        <v>54.248421540039665</v>
      </c>
      <c r="Z162" s="6">
        <f ca="1">('TUSD BE'!$AM$23+'TUSD BF'!$AM$23+'TUSD CVA'!$AM$23)*1</f>
        <v>181.47641369790719</v>
      </c>
      <c r="AA162" s="6">
        <f>('TE BE'!$AB$10+'TE BF'!$AB$10+'TE CVA'!$AB$10)*1</f>
        <v>322.12477389224171</v>
      </c>
      <c r="AB162" s="6">
        <f>$K$162*$V$162</f>
        <v>133417.79999999999</v>
      </c>
      <c r="AC162" s="6">
        <f>$M$162*$W$162</f>
        <v>6345.7129400000003</v>
      </c>
      <c r="AD162" s="6">
        <f>$O$162*$X$162</f>
        <v>9858.6729100000011</v>
      </c>
      <c r="AE162" s="6">
        <f ca="1">$K$162*$Y$162</f>
        <v>129707.97590223484</v>
      </c>
      <c r="AF162" s="6">
        <f ca="1">$M$162*$Z$162</f>
        <v>11221.956993837488</v>
      </c>
      <c r="AG162" s="6">
        <f>$O$162*$AA$162</f>
        <v>19919.229643174553</v>
      </c>
    </row>
    <row r="163" spans="1:33" ht="11.25" customHeight="1" x14ac:dyDescent="0.25">
      <c r="A163" s="4" t="s">
        <v>28</v>
      </c>
      <c r="B163" s="4" t="s">
        <v>41</v>
      </c>
      <c r="C163" s="4" t="s">
        <v>40</v>
      </c>
      <c r="D163" s="4" t="s">
        <v>47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44531</v>
      </c>
      <c r="J163" s="6">
        <v>336</v>
      </c>
      <c r="K163" s="6">
        <v>336</v>
      </c>
      <c r="L163" s="6">
        <v>1.292</v>
      </c>
      <c r="M163" s="6">
        <v>1.292</v>
      </c>
      <c r="N163" s="6">
        <v>1.292</v>
      </c>
      <c r="O163" s="6">
        <v>1.292</v>
      </c>
      <c r="P163" s="6">
        <v>0</v>
      </c>
      <c r="Q163" s="4" t="s">
        <v>26</v>
      </c>
      <c r="R163" s="4">
        <v>0</v>
      </c>
      <c r="S163" s="6">
        <v>42</v>
      </c>
      <c r="T163" s="6">
        <v>46</v>
      </c>
      <c r="U163" s="6">
        <v>75</v>
      </c>
      <c r="V163" s="6">
        <f>IF(ISERROR(VLOOKUP($S$163,'TAR FIN'!$A$1:$O$108,15,0)),0,VLOOKUP($S$163,'TAR FIN'!$A$1:$O$108,15,0))</f>
        <v>55.8</v>
      </c>
      <c r="W163" s="6">
        <f>IF(ISERROR(VLOOKUP($T$163,'TAR FIN'!$A$1:$O$108,15,0)),0,VLOOKUP($T$163,'TAR FIN'!$A$1:$O$108,15,0))</f>
        <v>102.62</v>
      </c>
      <c r="X163" s="6">
        <f>IF(ISERROR(VLOOKUP($U$163,'TAR FIN'!$A$1:$O$108,15,0)),0,VLOOKUP($U$163,'TAR FIN'!$A$1:$O$108,15,0))</f>
        <v>159.43</v>
      </c>
      <c r="Y163" s="6">
        <f ca="1">('TUSD BE'!$AM$21+'TUSD BF'!$AM$21+'TUSD CVA'!$AM$21)*1</f>
        <v>54.248421540039665</v>
      </c>
      <c r="Z163" s="6">
        <f ca="1">('TUSD BE'!$AM$23+'TUSD BF'!$AM$23+'TUSD CVA'!$AM$23)*1</f>
        <v>181.47641369790719</v>
      </c>
      <c r="AA163" s="6">
        <f>('TE BE'!$AB$10+'TE BF'!$AB$10+'TE CVA'!$AB$10)*1</f>
        <v>322.12477389224171</v>
      </c>
      <c r="AB163" s="6">
        <f>$K$163*$V$163</f>
        <v>18748.8</v>
      </c>
      <c r="AC163" s="6">
        <f>$M$163*$W$163</f>
        <v>132.58504000000002</v>
      </c>
      <c r="AD163" s="6">
        <f>$O$163*$X$163</f>
        <v>205.98356000000001</v>
      </c>
      <c r="AE163" s="6">
        <f ca="1">$K$163*$Y$163</f>
        <v>18227.469637453327</v>
      </c>
      <c r="AF163" s="6">
        <f ca="1">$M$163*$Z$163</f>
        <v>234.4675264976961</v>
      </c>
      <c r="AG163" s="6">
        <f>$O$163*$AA$163</f>
        <v>416.18520786877627</v>
      </c>
    </row>
    <row r="164" spans="1:33" ht="11.25" customHeight="1" x14ac:dyDescent="0.25">
      <c r="A164" s="4" t="s">
        <v>21</v>
      </c>
      <c r="B164" s="4" t="s">
        <v>41</v>
      </c>
      <c r="C164" s="4" t="s">
        <v>40</v>
      </c>
      <c r="D164" s="4" t="s">
        <v>47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44562</v>
      </c>
      <c r="J164" s="6">
        <v>2323</v>
      </c>
      <c r="K164" s="6">
        <v>2323</v>
      </c>
      <c r="L164" s="6">
        <v>54.597000000000001</v>
      </c>
      <c r="M164" s="6">
        <v>54.597000000000001</v>
      </c>
      <c r="N164" s="6">
        <v>54.597000000000001</v>
      </c>
      <c r="O164" s="6">
        <v>54.597000000000001</v>
      </c>
      <c r="P164" s="6">
        <v>0</v>
      </c>
      <c r="Q164" s="4" t="s">
        <v>26</v>
      </c>
      <c r="R164" s="4">
        <v>0</v>
      </c>
      <c r="S164" s="6">
        <v>42</v>
      </c>
      <c r="T164" s="6">
        <v>46</v>
      </c>
      <c r="U164" s="6">
        <v>75</v>
      </c>
      <c r="V164" s="6">
        <f>IF(ISERROR(VLOOKUP($S$164,'TAR FIN'!$A$1:$O$108,15,0)),0,VLOOKUP($S$164,'TAR FIN'!$A$1:$O$108,15,0))</f>
        <v>55.8</v>
      </c>
      <c r="W164" s="6">
        <f>IF(ISERROR(VLOOKUP($T$164,'TAR FIN'!$A$1:$O$108,15,0)),0,VLOOKUP($T$164,'TAR FIN'!$A$1:$O$108,15,0))</f>
        <v>102.62</v>
      </c>
      <c r="X164" s="6">
        <f>IF(ISERROR(VLOOKUP($U$164,'TAR FIN'!$A$1:$O$108,15,0)),0,VLOOKUP($U$164,'TAR FIN'!$A$1:$O$108,15,0))</f>
        <v>159.43</v>
      </c>
      <c r="Y164" s="6">
        <f ca="1">('TUSD BE'!$AM$21+'TUSD BF'!$AM$21+'TUSD CVA'!$AM$21)*1</f>
        <v>54.248421540039665</v>
      </c>
      <c r="Z164" s="6">
        <f ca="1">('TUSD BE'!$AM$23+'TUSD BF'!$AM$23+'TUSD CVA'!$AM$23)*1</f>
        <v>181.47641369790719</v>
      </c>
      <c r="AA164" s="6">
        <f>('TE BE'!$AB$10+'TE BF'!$AB$10+'TE CVA'!$AB$10)*1</f>
        <v>322.12477389224171</v>
      </c>
      <c r="AB164" s="6">
        <f>$K$164*$V$164</f>
        <v>129623.4</v>
      </c>
      <c r="AC164" s="6">
        <f>$M$164*$W$164</f>
        <v>5602.7441400000007</v>
      </c>
      <c r="AD164" s="6">
        <f>$O$164*$X$164</f>
        <v>8704.3997099999997</v>
      </c>
      <c r="AE164" s="6">
        <f ca="1">$K$164*$Y$164</f>
        <v>126019.08323751214</v>
      </c>
      <c r="AF164" s="6">
        <f ca="1">$M$164*$Z$164</f>
        <v>9908.0677586646398</v>
      </c>
      <c r="AG164" s="6">
        <f>$O$164*$AA$164</f>
        <v>17587.046280194721</v>
      </c>
    </row>
    <row r="165" spans="1:33" ht="11.25" customHeight="1" x14ac:dyDescent="0.25">
      <c r="A165" s="4" t="s">
        <v>28</v>
      </c>
      <c r="B165" s="4" t="s">
        <v>41</v>
      </c>
      <c r="C165" s="4" t="s">
        <v>40</v>
      </c>
      <c r="D165" s="4" t="s">
        <v>47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44562</v>
      </c>
      <c r="J165" s="6">
        <v>336</v>
      </c>
      <c r="K165" s="6">
        <v>336</v>
      </c>
      <c r="L165" s="6">
        <v>1.466</v>
      </c>
      <c r="M165" s="6">
        <v>1.466</v>
      </c>
      <c r="N165" s="6">
        <v>1.466</v>
      </c>
      <c r="O165" s="6">
        <v>1.466</v>
      </c>
      <c r="P165" s="6">
        <v>0</v>
      </c>
      <c r="Q165" s="4" t="s">
        <v>26</v>
      </c>
      <c r="R165" s="4">
        <v>0</v>
      </c>
      <c r="S165" s="6">
        <v>42</v>
      </c>
      <c r="T165" s="6">
        <v>46</v>
      </c>
      <c r="U165" s="6">
        <v>75</v>
      </c>
      <c r="V165" s="6">
        <f>IF(ISERROR(VLOOKUP($S$165,'TAR FIN'!$A$1:$O$108,15,0)),0,VLOOKUP($S$165,'TAR FIN'!$A$1:$O$108,15,0))</f>
        <v>55.8</v>
      </c>
      <c r="W165" s="6">
        <f>IF(ISERROR(VLOOKUP($T$165,'TAR FIN'!$A$1:$O$108,15,0)),0,VLOOKUP($T$165,'TAR FIN'!$A$1:$O$108,15,0))</f>
        <v>102.62</v>
      </c>
      <c r="X165" s="6">
        <f>IF(ISERROR(VLOOKUP($U$165,'TAR FIN'!$A$1:$O$108,15,0)),0,VLOOKUP($U$165,'TAR FIN'!$A$1:$O$108,15,0))</f>
        <v>159.43</v>
      </c>
      <c r="Y165" s="6">
        <f ca="1">('TUSD BE'!$AM$21+'TUSD BF'!$AM$21+'TUSD CVA'!$AM$21)*1</f>
        <v>54.248421540039665</v>
      </c>
      <c r="Z165" s="6">
        <f ca="1">('TUSD BE'!$AM$23+'TUSD BF'!$AM$23+'TUSD CVA'!$AM$23)*1</f>
        <v>181.47641369790719</v>
      </c>
      <c r="AA165" s="6">
        <f>('TE BE'!$AB$10+'TE BF'!$AB$10+'TE CVA'!$AB$10)*1</f>
        <v>322.12477389224171</v>
      </c>
      <c r="AB165" s="6">
        <f>$K$165*$V$165</f>
        <v>18748.8</v>
      </c>
      <c r="AC165" s="6">
        <f>$M$165*$W$165</f>
        <v>150.44092000000001</v>
      </c>
      <c r="AD165" s="6">
        <f>$O$165*$X$165</f>
        <v>233.72438</v>
      </c>
      <c r="AE165" s="6">
        <f ca="1">$K$165*$Y$165</f>
        <v>18227.469637453327</v>
      </c>
      <c r="AF165" s="6">
        <f ca="1">$M$165*$Z$165</f>
        <v>266.04442248113196</v>
      </c>
      <c r="AG165" s="6">
        <f>$O$165*$AA$165</f>
        <v>472.23491852602632</v>
      </c>
    </row>
    <row r="166" spans="1:33" ht="11.25" customHeight="1" x14ac:dyDescent="0.25">
      <c r="A166" s="4" t="s">
        <v>21</v>
      </c>
      <c r="B166" s="4" t="s">
        <v>41</v>
      </c>
      <c r="C166" s="4" t="s">
        <v>40</v>
      </c>
      <c r="D166" s="4" t="s">
        <v>47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44593</v>
      </c>
      <c r="J166" s="6">
        <v>2318</v>
      </c>
      <c r="K166" s="6">
        <v>2318</v>
      </c>
      <c r="L166" s="6">
        <v>52.118000000000002</v>
      </c>
      <c r="M166" s="6">
        <v>52.118000000000002</v>
      </c>
      <c r="N166" s="6">
        <v>52.118000000000002</v>
      </c>
      <c r="O166" s="6">
        <v>52.118000000000002</v>
      </c>
      <c r="P166" s="6">
        <v>0</v>
      </c>
      <c r="Q166" s="4" t="s">
        <v>26</v>
      </c>
      <c r="R166" s="4">
        <v>0</v>
      </c>
      <c r="S166" s="6">
        <v>42</v>
      </c>
      <c r="T166" s="6">
        <v>46</v>
      </c>
      <c r="U166" s="6">
        <v>75</v>
      </c>
      <c r="V166" s="6">
        <f>IF(ISERROR(VLOOKUP($S$166,'TAR FIN'!$A$1:$O$108,15,0)),0,VLOOKUP($S$166,'TAR FIN'!$A$1:$O$108,15,0))</f>
        <v>55.8</v>
      </c>
      <c r="W166" s="6">
        <f>IF(ISERROR(VLOOKUP($T$166,'TAR FIN'!$A$1:$O$108,15,0)),0,VLOOKUP($T$166,'TAR FIN'!$A$1:$O$108,15,0))</f>
        <v>102.62</v>
      </c>
      <c r="X166" s="6">
        <f>IF(ISERROR(VLOOKUP($U$166,'TAR FIN'!$A$1:$O$108,15,0)),0,VLOOKUP($U$166,'TAR FIN'!$A$1:$O$108,15,0))</f>
        <v>159.43</v>
      </c>
      <c r="Y166" s="6">
        <f ca="1">('TUSD BE'!$AM$21+'TUSD BF'!$AM$21+'TUSD CVA'!$AM$21)*1</f>
        <v>54.248421540039665</v>
      </c>
      <c r="Z166" s="6">
        <f ca="1">('TUSD BE'!$AM$23+'TUSD BF'!$AM$23+'TUSD CVA'!$AM$23)*1</f>
        <v>181.47641369790719</v>
      </c>
      <c r="AA166" s="6">
        <f>('TE BE'!$AB$10+'TE BF'!$AB$10+'TE CVA'!$AB$10)*1</f>
        <v>322.12477389224171</v>
      </c>
      <c r="AB166" s="6">
        <f>$K$166*$V$166</f>
        <v>129344.4</v>
      </c>
      <c r="AC166" s="6">
        <f>$M$166*$W$166</f>
        <v>5348.3491600000007</v>
      </c>
      <c r="AD166" s="6">
        <f>$O$166*$X$166</f>
        <v>8309.17274</v>
      </c>
      <c r="AE166" s="6">
        <f ca="1">$K$166*$Y$166</f>
        <v>125747.84112981195</v>
      </c>
      <c r="AF166" s="6">
        <f ca="1">$M$166*$Z$166</f>
        <v>9458.187729107527</v>
      </c>
      <c r="AG166" s="6">
        <f>$O$166*$AA$166</f>
        <v>16788.498965715855</v>
      </c>
    </row>
    <row r="167" spans="1:33" ht="11.25" customHeight="1" x14ac:dyDescent="0.25">
      <c r="A167" s="4" t="s">
        <v>28</v>
      </c>
      <c r="B167" s="4" t="s">
        <v>41</v>
      </c>
      <c r="C167" s="4" t="s">
        <v>40</v>
      </c>
      <c r="D167" s="4" t="s">
        <v>47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44593</v>
      </c>
      <c r="J167" s="6">
        <v>336</v>
      </c>
      <c r="K167" s="6">
        <v>336</v>
      </c>
      <c r="L167" s="6">
        <v>2.097</v>
      </c>
      <c r="M167" s="6">
        <v>2.097</v>
      </c>
      <c r="N167" s="6">
        <v>2.097</v>
      </c>
      <c r="O167" s="6">
        <v>2.097</v>
      </c>
      <c r="P167" s="6">
        <v>0</v>
      </c>
      <c r="Q167" s="4" t="s">
        <v>26</v>
      </c>
      <c r="R167" s="4">
        <v>0</v>
      </c>
      <c r="S167" s="6">
        <v>42</v>
      </c>
      <c r="T167" s="6">
        <v>46</v>
      </c>
      <c r="U167" s="6">
        <v>75</v>
      </c>
      <c r="V167" s="6">
        <f>IF(ISERROR(VLOOKUP($S$167,'TAR FIN'!$A$1:$O$108,15,0)),0,VLOOKUP($S$167,'TAR FIN'!$A$1:$O$108,15,0))</f>
        <v>55.8</v>
      </c>
      <c r="W167" s="6">
        <f>IF(ISERROR(VLOOKUP($T$167,'TAR FIN'!$A$1:$O$108,15,0)),0,VLOOKUP($T$167,'TAR FIN'!$A$1:$O$108,15,0))</f>
        <v>102.62</v>
      </c>
      <c r="X167" s="6">
        <f>IF(ISERROR(VLOOKUP($U$167,'TAR FIN'!$A$1:$O$108,15,0)),0,VLOOKUP($U$167,'TAR FIN'!$A$1:$O$108,15,0))</f>
        <v>159.43</v>
      </c>
      <c r="Y167" s="6">
        <f ca="1">('TUSD BE'!$AM$21+'TUSD BF'!$AM$21+'TUSD CVA'!$AM$21)*1</f>
        <v>54.248421540039665</v>
      </c>
      <c r="Z167" s="6">
        <f ca="1">('TUSD BE'!$AM$23+'TUSD BF'!$AM$23+'TUSD CVA'!$AM$23)*1</f>
        <v>181.47641369790719</v>
      </c>
      <c r="AA167" s="6">
        <f>('TE BE'!$AB$10+'TE BF'!$AB$10+'TE CVA'!$AB$10)*1</f>
        <v>322.12477389224171</v>
      </c>
      <c r="AB167" s="6">
        <f>$K$167*$V$167</f>
        <v>18748.8</v>
      </c>
      <c r="AC167" s="6">
        <f>$M$167*$W$167</f>
        <v>215.19414</v>
      </c>
      <c r="AD167" s="6">
        <f>$O$167*$X$167</f>
        <v>334.32471000000004</v>
      </c>
      <c r="AE167" s="6">
        <f ca="1">$K$167*$Y$167</f>
        <v>18227.469637453327</v>
      </c>
      <c r="AF167" s="6">
        <f ca="1">$M$167*$Z$167</f>
        <v>380.55603952451139</v>
      </c>
      <c r="AG167" s="6">
        <f>$O$167*$AA$167</f>
        <v>675.49565085203085</v>
      </c>
    </row>
    <row r="168" spans="1:33" ht="11.25" customHeight="1" x14ac:dyDescent="0.25">
      <c r="A168" s="4" t="s">
        <v>21</v>
      </c>
      <c r="B168" s="4" t="s">
        <v>41</v>
      </c>
      <c r="C168" s="4" t="s">
        <v>40</v>
      </c>
      <c r="D168" s="4" t="s">
        <v>47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44621</v>
      </c>
      <c r="J168" s="6">
        <v>2304</v>
      </c>
      <c r="K168" s="6">
        <v>2304</v>
      </c>
      <c r="L168" s="6">
        <v>58.037999999999997</v>
      </c>
      <c r="M168" s="6">
        <v>58.037999999999997</v>
      </c>
      <c r="N168" s="6">
        <v>58.037999999999997</v>
      </c>
      <c r="O168" s="6">
        <v>58.037999999999997</v>
      </c>
      <c r="P168" s="6">
        <v>0</v>
      </c>
      <c r="Q168" s="4" t="s">
        <v>26</v>
      </c>
      <c r="R168" s="4">
        <v>0</v>
      </c>
      <c r="S168" s="6">
        <v>42</v>
      </c>
      <c r="T168" s="6">
        <v>46</v>
      </c>
      <c r="U168" s="6">
        <v>75</v>
      </c>
      <c r="V168" s="6">
        <f>IF(ISERROR(VLOOKUP($S$168,'TAR FIN'!$A$1:$O$108,15,0)),0,VLOOKUP($S$168,'TAR FIN'!$A$1:$O$108,15,0))</f>
        <v>55.8</v>
      </c>
      <c r="W168" s="6">
        <f>IF(ISERROR(VLOOKUP($T$168,'TAR FIN'!$A$1:$O$108,15,0)),0,VLOOKUP($T$168,'TAR FIN'!$A$1:$O$108,15,0))</f>
        <v>102.62</v>
      </c>
      <c r="X168" s="6">
        <f>IF(ISERROR(VLOOKUP($U$168,'TAR FIN'!$A$1:$O$108,15,0)),0,VLOOKUP($U$168,'TAR FIN'!$A$1:$O$108,15,0))</f>
        <v>159.43</v>
      </c>
      <c r="Y168" s="6">
        <f ca="1">('TUSD BE'!$AM$21+'TUSD BF'!$AM$21+'TUSD CVA'!$AM$21)*1</f>
        <v>54.248421540039665</v>
      </c>
      <c r="Z168" s="6">
        <f ca="1">('TUSD BE'!$AM$23+'TUSD BF'!$AM$23+'TUSD CVA'!$AM$23)*1</f>
        <v>181.47641369790719</v>
      </c>
      <c r="AA168" s="6">
        <f>('TE BE'!$AB$10+'TE BF'!$AB$10+'TE CVA'!$AB$10)*1</f>
        <v>322.12477389224171</v>
      </c>
      <c r="AB168" s="6">
        <f>$K$168*$V$168</f>
        <v>128563.2</v>
      </c>
      <c r="AC168" s="6">
        <f>$M$168*$W$168</f>
        <v>5955.8595599999999</v>
      </c>
      <c r="AD168" s="6">
        <f>$O$168*$X$168</f>
        <v>9252.9983400000001</v>
      </c>
      <c r="AE168" s="6">
        <f ca="1">$K$168*$Y$168</f>
        <v>124988.36322825139</v>
      </c>
      <c r="AF168" s="6">
        <f ca="1">$M$168*$Z$168</f>
        <v>10532.528098199136</v>
      </c>
      <c r="AG168" s="6">
        <f>$O$168*$AA$168</f>
        <v>18695.477627157921</v>
      </c>
    </row>
    <row r="169" spans="1:33" ht="11.25" customHeight="1" x14ac:dyDescent="0.25">
      <c r="A169" s="4" t="s">
        <v>28</v>
      </c>
      <c r="B169" s="4" t="s">
        <v>41</v>
      </c>
      <c r="C169" s="4" t="s">
        <v>40</v>
      </c>
      <c r="D169" s="4" t="s">
        <v>47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44621</v>
      </c>
      <c r="J169" s="6">
        <v>336</v>
      </c>
      <c r="K169" s="6">
        <v>336</v>
      </c>
      <c r="L169" s="6">
        <v>2.87</v>
      </c>
      <c r="M169" s="6">
        <v>2.87</v>
      </c>
      <c r="N169" s="6">
        <v>2.87</v>
      </c>
      <c r="O169" s="6">
        <v>2.87</v>
      </c>
      <c r="P169" s="6">
        <v>0</v>
      </c>
      <c r="Q169" s="4" t="s">
        <v>26</v>
      </c>
      <c r="R169" s="4">
        <v>0</v>
      </c>
      <c r="S169" s="6">
        <v>42</v>
      </c>
      <c r="T169" s="6">
        <v>46</v>
      </c>
      <c r="U169" s="6">
        <v>75</v>
      </c>
      <c r="V169" s="6">
        <f>IF(ISERROR(VLOOKUP($S$169,'TAR FIN'!$A$1:$O$108,15,0)),0,VLOOKUP($S$169,'TAR FIN'!$A$1:$O$108,15,0))</f>
        <v>55.8</v>
      </c>
      <c r="W169" s="6">
        <f>IF(ISERROR(VLOOKUP($T$169,'TAR FIN'!$A$1:$O$108,15,0)),0,VLOOKUP($T$169,'TAR FIN'!$A$1:$O$108,15,0))</f>
        <v>102.62</v>
      </c>
      <c r="X169" s="6">
        <f>IF(ISERROR(VLOOKUP($U$169,'TAR FIN'!$A$1:$O$108,15,0)),0,VLOOKUP($U$169,'TAR FIN'!$A$1:$O$108,15,0))</f>
        <v>159.43</v>
      </c>
      <c r="Y169" s="6">
        <f ca="1">('TUSD BE'!$AM$21+'TUSD BF'!$AM$21+'TUSD CVA'!$AM$21)*1</f>
        <v>54.248421540039665</v>
      </c>
      <c r="Z169" s="6">
        <f ca="1">('TUSD BE'!$AM$23+'TUSD BF'!$AM$23+'TUSD CVA'!$AM$23)*1</f>
        <v>181.47641369790719</v>
      </c>
      <c r="AA169" s="6">
        <f>('TE BE'!$AB$10+'TE BF'!$AB$10+'TE CVA'!$AB$10)*1</f>
        <v>322.12477389224171</v>
      </c>
      <c r="AB169" s="6">
        <f>$K$169*$V$169</f>
        <v>18748.8</v>
      </c>
      <c r="AC169" s="6">
        <f>$M$169*$W$169</f>
        <v>294.51940000000002</v>
      </c>
      <c r="AD169" s="6">
        <f>$O$169*$X$169</f>
        <v>457.56410000000005</v>
      </c>
      <c r="AE169" s="6">
        <f ca="1">$K$169*$Y$169</f>
        <v>18227.469637453327</v>
      </c>
      <c r="AF169" s="6">
        <f ca="1">$M$169*$Z$169</f>
        <v>520.83730731299363</v>
      </c>
      <c r="AG169" s="6">
        <f>$O$169*$AA$169</f>
        <v>924.4981010707337</v>
      </c>
    </row>
    <row r="170" spans="1:33" ht="11.25" customHeight="1" x14ac:dyDescent="0.25">
      <c r="A170" s="4" t="s">
        <v>21</v>
      </c>
      <c r="B170" s="4" t="s">
        <v>41</v>
      </c>
      <c r="C170" s="4" t="s">
        <v>40</v>
      </c>
      <c r="D170" s="4" t="s">
        <v>47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44652</v>
      </c>
      <c r="J170" s="6">
        <v>2329</v>
      </c>
      <c r="K170" s="6">
        <v>2329</v>
      </c>
      <c r="L170" s="6">
        <v>55.3</v>
      </c>
      <c r="M170" s="6">
        <v>55.3</v>
      </c>
      <c r="N170" s="6">
        <v>55.3</v>
      </c>
      <c r="O170" s="6">
        <v>55.3</v>
      </c>
      <c r="P170" s="6">
        <v>0</v>
      </c>
      <c r="Q170" s="4" t="s">
        <v>26</v>
      </c>
      <c r="R170" s="4">
        <v>0</v>
      </c>
      <c r="S170" s="6">
        <v>42</v>
      </c>
      <c r="T170" s="6">
        <v>46</v>
      </c>
      <c r="U170" s="6">
        <v>75</v>
      </c>
      <c r="V170" s="6">
        <f>IF(ISERROR(VLOOKUP($S$170,'TAR FIN'!$A$1:$O$108,15,0)),0,VLOOKUP($S$170,'TAR FIN'!$A$1:$O$108,15,0))</f>
        <v>55.8</v>
      </c>
      <c r="W170" s="6">
        <f>IF(ISERROR(VLOOKUP($T$170,'TAR FIN'!$A$1:$O$108,15,0)),0,VLOOKUP($T$170,'TAR FIN'!$A$1:$O$108,15,0))</f>
        <v>102.62</v>
      </c>
      <c r="X170" s="6">
        <f>IF(ISERROR(VLOOKUP($U$170,'TAR FIN'!$A$1:$O$108,15,0)),0,VLOOKUP($U$170,'TAR FIN'!$A$1:$O$108,15,0))</f>
        <v>159.43</v>
      </c>
      <c r="Y170" s="6">
        <f ca="1">('TUSD BE'!$AM$21+'TUSD BF'!$AM$21+'TUSD CVA'!$AM$21)*1</f>
        <v>54.248421540039665</v>
      </c>
      <c r="Z170" s="6">
        <f ca="1">('TUSD BE'!$AM$23+'TUSD BF'!$AM$23+'TUSD CVA'!$AM$23)*1</f>
        <v>181.47641369790719</v>
      </c>
      <c r="AA170" s="6">
        <f>('TE BE'!$AB$10+'TE BF'!$AB$10+'TE CVA'!$AB$10)*1</f>
        <v>322.12477389224171</v>
      </c>
      <c r="AB170" s="6">
        <f>$K$170*$V$170</f>
        <v>129958.2</v>
      </c>
      <c r="AC170" s="6">
        <f>$M$170*$W$170</f>
        <v>5674.8859999999995</v>
      </c>
      <c r="AD170" s="6">
        <f>$O$170*$X$170</f>
        <v>8816.4789999999994</v>
      </c>
      <c r="AE170" s="6">
        <f ca="1">$K$170*$Y$170</f>
        <v>126344.57376675238</v>
      </c>
      <c r="AF170" s="6">
        <f ca="1">$M$170*$Z$170</f>
        <v>10035.645677494267</v>
      </c>
      <c r="AG170" s="6">
        <f>$O$170*$AA$170</f>
        <v>17813.499996240964</v>
      </c>
    </row>
    <row r="171" spans="1:33" ht="11.25" customHeight="1" x14ac:dyDescent="0.25">
      <c r="A171" s="4" t="s">
        <v>28</v>
      </c>
      <c r="B171" s="4" t="s">
        <v>41</v>
      </c>
      <c r="C171" s="4" t="s">
        <v>40</v>
      </c>
      <c r="D171" s="4" t="s">
        <v>47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44652</v>
      </c>
      <c r="J171" s="6">
        <v>336</v>
      </c>
      <c r="K171" s="6">
        <v>336</v>
      </c>
      <c r="L171" s="6">
        <v>2.734</v>
      </c>
      <c r="M171" s="6">
        <v>2.734</v>
      </c>
      <c r="N171" s="6">
        <v>2.734</v>
      </c>
      <c r="O171" s="6">
        <v>2.734</v>
      </c>
      <c r="P171" s="6">
        <v>0</v>
      </c>
      <c r="Q171" s="4" t="s">
        <v>26</v>
      </c>
      <c r="R171" s="4">
        <v>0</v>
      </c>
      <c r="S171" s="6">
        <v>42</v>
      </c>
      <c r="T171" s="6">
        <v>46</v>
      </c>
      <c r="U171" s="6">
        <v>75</v>
      </c>
      <c r="V171" s="6">
        <f>IF(ISERROR(VLOOKUP($S$171,'TAR FIN'!$A$1:$O$108,15,0)),0,VLOOKUP($S$171,'TAR FIN'!$A$1:$O$108,15,0))</f>
        <v>55.8</v>
      </c>
      <c r="W171" s="6">
        <f>IF(ISERROR(VLOOKUP($T$171,'TAR FIN'!$A$1:$O$108,15,0)),0,VLOOKUP($T$171,'TAR FIN'!$A$1:$O$108,15,0))</f>
        <v>102.62</v>
      </c>
      <c r="X171" s="6">
        <f>IF(ISERROR(VLOOKUP($U$171,'TAR FIN'!$A$1:$O$108,15,0)),0,VLOOKUP($U$171,'TAR FIN'!$A$1:$O$108,15,0))</f>
        <v>159.43</v>
      </c>
      <c r="Y171" s="6">
        <f ca="1">('TUSD BE'!$AM$21+'TUSD BF'!$AM$21+'TUSD CVA'!$AM$21)*1</f>
        <v>54.248421540039665</v>
      </c>
      <c r="Z171" s="6">
        <f ca="1">('TUSD BE'!$AM$23+'TUSD BF'!$AM$23+'TUSD CVA'!$AM$23)*1</f>
        <v>181.47641369790719</v>
      </c>
      <c r="AA171" s="6">
        <f>('TE BE'!$AB$10+'TE BF'!$AB$10+'TE CVA'!$AB$10)*1</f>
        <v>322.12477389224171</v>
      </c>
      <c r="AB171" s="6">
        <f>$K$171*$V$171</f>
        <v>18748.8</v>
      </c>
      <c r="AC171" s="6">
        <f>$M$171*$W$171</f>
        <v>280.56308000000001</v>
      </c>
      <c r="AD171" s="6">
        <f>$O$171*$X$171</f>
        <v>435.88162</v>
      </c>
      <c r="AE171" s="6">
        <f ca="1">$K$171*$Y$171</f>
        <v>18227.469637453327</v>
      </c>
      <c r="AF171" s="6">
        <f ca="1">$M$171*$Z$171</f>
        <v>496.15651505007827</v>
      </c>
      <c r="AG171" s="6">
        <f>$O$171*$AA$171</f>
        <v>880.68913182138886</v>
      </c>
    </row>
    <row r="172" spans="1:33" ht="11.25" customHeight="1" x14ac:dyDescent="0.25">
      <c r="A172" s="4" t="s">
        <v>21</v>
      </c>
      <c r="B172" s="4" t="s">
        <v>41</v>
      </c>
      <c r="C172" s="4" t="s">
        <v>40</v>
      </c>
      <c r="D172" s="4" t="s">
        <v>47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44682</v>
      </c>
      <c r="J172" s="6">
        <v>2347</v>
      </c>
      <c r="K172" s="6">
        <v>2347</v>
      </c>
      <c r="L172" s="6">
        <v>64.900000000000006</v>
      </c>
      <c r="M172" s="6">
        <v>64.900000000000006</v>
      </c>
      <c r="N172" s="6">
        <v>64.900000000000006</v>
      </c>
      <c r="O172" s="6">
        <v>64.900000000000006</v>
      </c>
      <c r="P172" s="6">
        <v>0</v>
      </c>
      <c r="Q172" s="4" t="s">
        <v>26</v>
      </c>
      <c r="R172" s="4">
        <v>0</v>
      </c>
      <c r="S172" s="6">
        <v>42</v>
      </c>
      <c r="T172" s="6">
        <v>46</v>
      </c>
      <c r="U172" s="6">
        <v>75</v>
      </c>
      <c r="V172" s="6">
        <f>IF(ISERROR(VLOOKUP($S$172,'TAR FIN'!$A$1:$O$108,15,0)),0,VLOOKUP($S$172,'TAR FIN'!$A$1:$O$108,15,0))</f>
        <v>55.8</v>
      </c>
      <c r="W172" s="6">
        <f>IF(ISERROR(VLOOKUP($T$172,'TAR FIN'!$A$1:$O$108,15,0)),0,VLOOKUP($T$172,'TAR FIN'!$A$1:$O$108,15,0))</f>
        <v>102.62</v>
      </c>
      <c r="X172" s="6">
        <f>IF(ISERROR(VLOOKUP($U$172,'TAR FIN'!$A$1:$O$108,15,0)),0,VLOOKUP($U$172,'TAR FIN'!$A$1:$O$108,15,0))</f>
        <v>159.43</v>
      </c>
      <c r="Y172" s="6">
        <f ca="1">('TUSD BE'!$AM$21+'TUSD BF'!$AM$21+'TUSD CVA'!$AM$21)*1</f>
        <v>54.248421540039665</v>
      </c>
      <c r="Z172" s="6">
        <f ca="1">('TUSD BE'!$AM$23+'TUSD BF'!$AM$23+'TUSD CVA'!$AM$23)*1</f>
        <v>181.47641369790719</v>
      </c>
      <c r="AA172" s="6">
        <f>('TE BE'!$AB$10+'TE BF'!$AB$10+'TE CVA'!$AB$10)*1</f>
        <v>322.12477389224171</v>
      </c>
      <c r="AB172" s="6">
        <f>$K$172*$V$172</f>
        <v>130962.59999999999</v>
      </c>
      <c r="AC172" s="6">
        <f>$M$172*$W$172</f>
        <v>6660.0380000000005</v>
      </c>
      <c r="AD172" s="6">
        <f>$O$172*$X$172</f>
        <v>10347.007000000001</v>
      </c>
      <c r="AE172" s="6">
        <f ca="1">$K$172*$Y$172</f>
        <v>127321.0453544731</v>
      </c>
      <c r="AF172" s="6">
        <f ca="1">$M$172*$Z$172</f>
        <v>11777.819248994178</v>
      </c>
      <c r="AG172" s="6">
        <f>$O$172*$AA$172</f>
        <v>20905.897825606487</v>
      </c>
    </row>
    <row r="173" spans="1:33" ht="11.25" customHeight="1" x14ac:dyDescent="0.25">
      <c r="A173" s="4" t="s">
        <v>28</v>
      </c>
      <c r="B173" s="4" t="s">
        <v>41</v>
      </c>
      <c r="C173" s="4" t="s">
        <v>40</v>
      </c>
      <c r="D173" s="4" t="s">
        <v>47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44682</v>
      </c>
      <c r="J173" s="6">
        <v>336</v>
      </c>
      <c r="K173" s="6">
        <v>336</v>
      </c>
      <c r="L173" s="6">
        <v>3.415</v>
      </c>
      <c r="M173" s="6">
        <v>3.415</v>
      </c>
      <c r="N173" s="6">
        <v>3.415</v>
      </c>
      <c r="O173" s="6">
        <v>3.415</v>
      </c>
      <c r="P173" s="6">
        <v>0</v>
      </c>
      <c r="Q173" s="4" t="s">
        <v>26</v>
      </c>
      <c r="R173" s="4">
        <v>0</v>
      </c>
      <c r="S173" s="6">
        <v>42</v>
      </c>
      <c r="T173" s="6">
        <v>46</v>
      </c>
      <c r="U173" s="6">
        <v>75</v>
      </c>
      <c r="V173" s="6">
        <f>IF(ISERROR(VLOOKUP($S$173,'TAR FIN'!$A$1:$O$108,15,0)),0,VLOOKUP($S$173,'TAR FIN'!$A$1:$O$108,15,0))</f>
        <v>55.8</v>
      </c>
      <c r="W173" s="6">
        <f>IF(ISERROR(VLOOKUP($T$173,'TAR FIN'!$A$1:$O$108,15,0)),0,VLOOKUP($T$173,'TAR FIN'!$A$1:$O$108,15,0))</f>
        <v>102.62</v>
      </c>
      <c r="X173" s="6">
        <f>IF(ISERROR(VLOOKUP($U$173,'TAR FIN'!$A$1:$O$108,15,0)),0,VLOOKUP($U$173,'TAR FIN'!$A$1:$O$108,15,0))</f>
        <v>159.43</v>
      </c>
      <c r="Y173" s="6">
        <f ca="1">('TUSD BE'!$AM$21+'TUSD BF'!$AM$21+'TUSD CVA'!$AM$21)*1</f>
        <v>54.248421540039665</v>
      </c>
      <c r="Z173" s="6">
        <f ca="1">('TUSD BE'!$AM$23+'TUSD BF'!$AM$23+'TUSD CVA'!$AM$23)*1</f>
        <v>181.47641369790719</v>
      </c>
      <c r="AA173" s="6">
        <f>('TE BE'!$AB$10+'TE BF'!$AB$10+'TE CVA'!$AB$10)*1</f>
        <v>322.12477389224171</v>
      </c>
      <c r="AB173" s="6">
        <f>$K$173*$V$173</f>
        <v>18748.8</v>
      </c>
      <c r="AC173" s="6">
        <f>$M$173*$W$173</f>
        <v>350.44730000000004</v>
      </c>
      <c r="AD173" s="6">
        <f>$O$173*$X$173</f>
        <v>544.45344999999998</v>
      </c>
      <c r="AE173" s="6">
        <f ca="1">$K$173*$Y$173</f>
        <v>18227.469637453327</v>
      </c>
      <c r="AF173" s="6">
        <f ca="1">$M$173*$Z$173</f>
        <v>619.74195277835304</v>
      </c>
      <c r="AG173" s="6">
        <f>$O$173*$AA$173</f>
        <v>1100.0561028420054</v>
      </c>
    </row>
    <row r="174" spans="1:33" ht="11.25" customHeight="1" x14ac:dyDescent="0.25">
      <c r="A174" s="4" t="s">
        <v>21</v>
      </c>
      <c r="B174" s="4" t="s">
        <v>41</v>
      </c>
      <c r="C174" s="4" t="s">
        <v>40</v>
      </c>
      <c r="D174" s="4" t="s">
        <v>47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44713</v>
      </c>
      <c r="J174" s="6">
        <v>2480</v>
      </c>
      <c r="K174" s="6">
        <v>2480</v>
      </c>
      <c r="L174" s="6">
        <v>73.786000000000001</v>
      </c>
      <c r="M174" s="6">
        <v>73.786000000000001</v>
      </c>
      <c r="N174" s="6">
        <v>73.786000000000001</v>
      </c>
      <c r="O174" s="6">
        <v>73.786000000000001</v>
      </c>
      <c r="P174" s="6">
        <v>0</v>
      </c>
      <c r="Q174" s="4" t="s">
        <v>26</v>
      </c>
      <c r="R174" s="4">
        <v>0</v>
      </c>
      <c r="S174" s="6">
        <v>42</v>
      </c>
      <c r="T174" s="6">
        <v>46</v>
      </c>
      <c r="U174" s="6">
        <v>75</v>
      </c>
      <c r="V174" s="6">
        <f>IF(ISERROR(VLOOKUP($S$174,'TAR FIN'!$A$1:$O$108,15,0)),0,VLOOKUP($S$174,'TAR FIN'!$A$1:$O$108,15,0))</f>
        <v>55.8</v>
      </c>
      <c r="W174" s="6">
        <f>IF(ISERROR(VLOOKUP($T$174,'TAR FIN'!$A$1:$O$108,15,0)),0,VLOOKUP($T$174,'TAR FIN'!$A$1:$O$108,15,0))</f>
        <v>102.62</v>
      </c>
      <c r="X174" s="6">
        <f>IF(ISERROR(VLOOKUP($U$174,'TAR FIN'!$A$1:$O$108,15,0)),0,VLOOKUP($U$174,'TAR FIN'!$A$1:$O$108,15,0))</f>
        <v>159.43</v>
      </c>
      <c r="Y174" s="6">
        <f ca="1">('TUSD BE'!$AM$21+'TUSD BF'!$AM$21+'TUSD CVA'!$AM$21)*1</f>
        <v>54.248421540039665</v>
      </c>
      <c r="Z174" s="6">
        <f ca="1">('TUSD BE'!$AM$23+'TUSD BF'!$AM$23+'TUSD CVA'!$AM$23)*1</f>
        <v>181.47641369790719</v>
      </c>
      <c r="AA174" s="6">
        <f>('TE BE'!$AB$10+'TE BF'!$AB$10+'TE CVA'!$AB$10)*1</f>
        <v>322.12477389224171</v>
      </c>
      <c r="AB174" s="6">
        <f>$K$174*$V$174</f>
        <v>138384</v>
      </c>
      <c r="AC174" s="6">
        <f>$M$174*$W$174</f>
        <v>7571.9193200000009</v>
      </c>
      <c r="AD174" s="6">
        <f>$O$174*$X$174</f>
        <v>11763.70198</v>
      </c>
      <c r="AE174" s="6">
        <f ca="1">$K$174*$Y$174</f>
        <v>134536.08541929838</v>
      </c>
      <c r="AF174" s="6">
        <f ca="1">$M$174*$Z$174</f>
        <v>13390.418661113781</v>
      </c>
      <c r="AG174" s="6">
        <f>$O$174*$AA$174</f>
        <v>23768.298566412948</v>
      </c>
    </row>
    <row r="175" spans="1:33" ht="11.25" customHeight="1" x14ac:dyDescent="0.25">
      <c r="A175" s="4" t="s">
        <v>28</v>
      </c>
      <c r="B175" s="4" t="s">
        <v>41</v>
      </c>
      <c r="C175" s="4" t="s">
        <v>40</v>
      </c>
      <c r="D175" s="4" t="s">
        <v>47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44713</v>
      </c>
      <c r="J175" s="6">
        <v>272</v>
      </c>
      <c r="K175" s="6">
        <v>272</v>
      </c>
      <c r="L175" s="6">
        <v>1.901</v>
      </c>
      <c r="M175" s="6">
        <v>1.901</v>
      </c>
      <c r="N175" s="6">
        <v>1.901</v>
      </c>
      <c r="O175" s="6">
        <v>1.901</v>
      </c>
      <c r="P175" s="6">
        <v>0</v>
      </c>
      <c r="Q175" s="4" t="s">
        <v>26</v>
      </c>
      <c r="R175" s="4">
        <v>0</v>
      </c>
      <c r="S175" s="6">
        <v>42</v>
      </c>
      <c r="T175" s="6">
        <v>46</v>
      </c>
      <c r="U175" s="6">
        <v>75</v>
      </c>
      <c r="V175" s="6">
        <f>IF(ISERROR(VLOOKUP($S$175,'TAR FIN'!$A$1:$O$108,15,0)),0,VLOOKUP($S$175,'TAR FIN'!$A$1:$O$108,15,0))</f>
        <v>55.8</v>
      </c>
      <c r="W175" s="6">
        <f>IF(ISERROR(VLOOKUP($T$175,'TAR FIN'!$A$1:$O$108,15,0)),0,VLOOKUP($T$175,'TAR FIN'!$A$1:$O$108,15,0))</f>
        <v>102.62</v>
      </c>
      <c r="X175" s="6">
        <f>IF(ISERROR(VLOOKUP($U$175,'TAR FIN'!$A$1:$O$108,15,0)),0,VLOOKUP($U$175,'TAR FIN'!$A$1:$O$108,15,0))</f>
        <v>159.43</v>
      </c>
      <c r="Y175" s="6">
        <f ca="1">('TUSD BE'!$AM$21+'TUSD BF'!$AM$21+'TUSD CVA'!$AM$21)*1</f>
        <v>54.248421540039665</v>
      </c>
      <c r="Z175" s="6">
        <f ca="1">('TUSD BE'!$AM$23+'TUSD BF'!$AM$23+'TUSD CVA'!$AM$23)*1</f>
        <v>181.47641369790719</v>
      </c>
      <c r="AA175" s="6">
        <f>('TE BE'!$AB$10+'TE BF'!$AB$10+'TE CVA'!$AB$10)*1</f>
        <v>322.12477389224171</v>
      </c>
      <c r="AB175" s="6">
        <f>$K$175*$V$175</f>
        <v>15177.599999999999</v>
      </c>
      <c r="AC175" s="6">
        <f>$M$175*$W$175</f>
        <v>195.08062000000001</v>
      </c>
      <c r="AD175" s="6">
        <f>$O$175*$X$175</f>
        <v>303.07643000000002</v>
      </c>
      <c r="AE175" s="6">
        <f ca="1">$K$175*$Y$175</f>
        <v>14755.570658890789</v>
      </c>
      <c r="AF175" s="6">
        <f ca="1">$M$175*$Z$175</f>
        <v>344.98666243972156</v>
      </c>
      <c r="AG175" s="6">
        <f>$O$175*$AA$175</f>
        <v>612.35919516915146</v>
      </c>
    </row>
    <row r="176" spans="1:33" ht="11.25" customHeight="1" x14ac:dyDescent="0.25">
      <c r="A176" s="4" t="s">
        <v>21</v>
      </c>
      <c r="B176" s="4" t="s">
        <v>41</v>
      </c>
      <c r="C176" s="4" t="s">
        <v>40</v>
      </c>
      <c r="D176" s="4" t="s">
        <v>47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44743</v>
      </c>
      <c r="J176" s="6">
        <v>2337</v>
      </c>
      <c r="K176" s="6">
        <v>2337</v>
      </c>
      <c r="L176" s="6">
        <v>57.081000000000003</v>
      </c>
      <c r="M176" s="6">
        <v>57.081000000000003</v>
      </c>
      <c r="N176" s="6">
        <v>57.081000000000003</v>
      </c>
      <c r="O176" s="6">
        <v>57.081000000000003</v>
      </c>
      <c r="P176" s="6">
        <v>0</v>
      </c>
      <c r="Q176" s="4" t="s">
        <v>26</v>
      </c>
      <c r="R176" s="4">
        <v>0</v>
      </c>
      <c r="S176" s="6">
        <v>42</v>
      </c>
      <c r="T176" s="6">
        <v>46</v>
      </c>
      <c r="U176" s="6">
        <v>75</v>
      </c>
      <c r="V176" s="6">
        <f>IF(ISERROR(VLOOKUP($S$176,'TAR FIN'!$A$1:$O$108,15,0)),0,VLOOKUP($S$176,'TAR FIN'!$A$1:$O$108,15,0))</f>
        <v>55.8</v>
      </c>
      <c r="W176" s="6">
        <f>IF(ISERROR(VLOOKUP($T$176,'TAR FIN'!$A$1:$O$108,15,0)),0,VLOOKUP($T$176,'TAR FIN'!$A$1:$O$108,15,0))</f>
        <v>102.62</v>
      </c>
      <c r="X176" s="6">
        <f>IF(ISERROR(VLOOKUP($U$176,'TAR FIN'!$A$1:$O$108,15,0)),0,VLOOKUP($U$176,'TAR FIN'!$A$1:$O$108,15,0))</f>
        <v>159.43</v>
      </c>
      <c r="Y176" s="6">
        <f ca="1">('TUSD BE'!$AM$21+'TUSD BF'!$AM$21+'TUSD CVA'!$AM$21)*1</f>
        <v>54.248421540039665</v>
      </c>
      <c r="Z176" s="6">
        <f ca="1">('TUSD BE'!$AM$23+'TUSD BF'!$AM$23+'TUSD CVA'!$AM$23)*1</f>
        <v>181.47641369790719</v>
      </c>
      <c r="AA176" s="6">
        <f>('TE BE'!$AB$10+'TE BF'!$AB$10+'TE CVA'!$AB$10)*1</f>
        <v>322.12477389224171</v>
      </c>
      <c r="AB176" s="6">
        <f>$K$176*$V$176</f>
        <v>130404.59999999999</v>
      </c>
      <c r="AC176" s="6">
        <f>$M$176*$W$176</f>
        <v>5857.6522200000009</v>
      </c>
      <c r="AD176" s="6">
        <f>$O$176*$X$176</f>
        <v>9100.4238300000015</v>
      </c>
      <c r="AE176" s="6">
        <f ca="1">$K$176*$Y$176</f>
        <v>126778.5611390727</v>
      </c>
      <c r="AF176" s="6">
        <f ca="1">$M$176*$Z$176</f>
        <v>10358.85517029024</v>
      </c>
      <c r="AG176" s="6">
        <f>$O$176*$AA$176</f>
        <v>18387.204218543051</v>
      </c>
    </row>
    <row r="177" spans="1:33" ht="11.25" customHeight="1" x14ac:dyDescent="0.25">
      <c r="A177" s="4" t="s">
        <v>28</v>
      </c>
      <c r="B177" s="4" t="s">
        <v>41</v>
      </c>
      <c r="C177" s="4" t="s">
        <v>40</v>
      </c>
      <c r="D177" s="4" t="s">
        <v>47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44743</v>
      </c>
      <c r="J177" s="6">
        <v>232</v>
      </c>
      <c r="K177" s="6">
        <v>232</v>
      </c>
      <c r="L177" s="6">
        <v>1.857</v>
      </c>
      <c r="M177" s="6">
        <v>1.857</v>
      </c>
      <c r="N177" s="6">
        <v>1.857</v>
      </c>
      <c r="O177" s="6">
        <v>1.857</v>
      </c>
      <c r="P177" s="6">
        <v>0</v>
      </c>
      <c r="Q177" s="4" t="s">
        <v>26</v>
      </c>
      <c r="R177" s="4">
        <v>0</v>
      </c>
      <c r="S177" s="6">
        <v>42</v>
      </c>
      <c r="T177" s="6">
        <v>46</v>
      </c>
      <c r="U177" s="6">
        <v>75</v>
      </c>
      <c r="V177" s="6">
        <f>IF(ISERROR(VLOOKUP($S$177,'TAR FIN'!$A$1:$O$108,15,0)),0,VLOOKUP($S$177,'TAR FIN'!$A$1:$O$108,15,0))</f>
        <v>55.8</v>
      </c>
      <c r="W177" s="6">
        <f>IF(ISERROR(VLOOKUP($T$177,'TAR FIN'!$A$1:$O$108,15,0)),0,VLOOKUP($T$177,'TAR FIN'!$A$1:$O$108,15,0))</f>
        <v>102.62</v>
      </c>
      <c r="X177" s="6">
        <f>IF(ISERROR(VLOOKUP($U$177,'TAR FIN'!$A$1:$O$108,15,0)),0,VLOOKUP($U$177,'TAR FIN'!$A$1:$O$108,15,0))</f>
        <v>159.43</v>
      </c>
      <c r="Y177" s="6">
        <f ca="1">('TUSD BE'!$AM$21+'TUSD BF'!$AM$21+'TUSD CVA'!$AM$21)*1</f>
        <v>54.248421540039665</v>
      </c>
      <c r="Z177" s="6">
        <f ca="1">('TUSD BE'!$AM$23+'TUSD BF'!$AM$23+'TUSD CVA'!$AM$23)*1</f>
        <v>181.47641369790719</v>
      </c>
      <c r="AA177" s="6">
        <f>('TE BE'!$AB$10+'TE BF'!$AB$10+'TE CVA'!$AB$10)*1</f>
        <v>322.12477389224171</v>
      </c>
      <c r="AB177" s="6">
        <f>$K$177*$V$177</f>
        <v>12945.599999999999</v>
      </c>
      <c r="AC177" s="6">
        <f>$M$177*$W$177</f>
        <v>190.56534000000002</v>
      </c>
      <c r="AD177" s="6">
        <f>$O$177*$X$177</f>
        <v>296.06151</v>
      </c>
      <c r="AE177" s="6">
        <f ca="1">$K$177*$Y$177</f>
        <v>12585.633797289202</v>
      </c>
      <c r="AF177" s="6">
        <f ca="1">$M$177*$Z$177</f>
        <v>337.00170023701367</v>
      </c>
      <c r="AG177" s="6">
        <f>$O$177*$AA$177</f>
        <v>598.18570511789289</v>
      </c>
    </row>
    <row r="178" spans="1:33" ht="11.25" customHeight="1" x14ac:dyDescent="0.25">
      <c r="A178" s="4" t="s">
        <v>28</v>
      </c>
      <c r="B178" s="4" t="s">
        <v>41</v>
      </c>
      <c r="C178" s="4" t="s">
        <v>40</v>
      </c>
      <c r="D178" s="4" t="s">
        <v>47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44743</v>
      </c>
      <c r="J178" s="6">
        <v>0</v>
      </c>
      <c r="K178" s="6">
        <v>0</v>
      </c>
      <c r="L178" s="6">
        <v>0.48599999999999999</v>
      </c>
      <c r="M178" s="6">
        <v>0.48599999999999999</v>
      </c>
      <c r="N178" s="6">
        <v>0.48599999999999999</v>
      </c>
      <c r="O178" s="6">
        <v>0.48599999999999999</v>
      </c>
      <c r="P178" s="6">
        <v>0</v>
      </c>
      <c r="Q178" s="4" t="s">
        <v>26</v>
      </c>
      <c r="R178" s="4">
        <v>0</v>
      </c>
      <c r="S178" s="6">
        <v>0</v>
      </c>
      <c r="T178" s="6">
        <v>46</v>
      </c>
      <c r="U178" s="6">
        <v>75</v>
      </c>
      <c r="V178" s="6">
        <f>IF(ISERROR(VLOOKUP($S$178,'TAR FIN'!$A$1:$O$108,15,0)),0,VLOOKUP($S$178,'TAR FIN'!$A$1:$O$108,15,0))</f>
        <v>0</v>
      </c>
      <c r="W178" s="6">
        <f>IF(ISERROR(VLOOKUP($T$178,'TAR FIN'!$A$1:$O$108,15,0)),0,VLOOKUP($T$178,'TAR FIN'!$A$1:$O$108,15,0))</f>
        <v>102.62</v>
      </c>
      <c r="X178" s="6">
        <f>IF(ISERROR(VLOOKUP($U$178,'TAR FIN'!$A$1:$O$108,15,0)),0,VLOOKUP($U$178,'TAR FIN'!$A$1:$O$108,15,0))</f>
        <v>159.43</v>
      </c>
      <c r="Y178" s="6">
        <f ca="1">('TUSD BE'!$AM$21+'TUSD BF'!$AM$21+'TUSD CVA'!$AM$21)*1</f>
        <v>54.248421540039665</v>
      </c>
      <c r="Z178" s="6">
        <f ca="1">('TUSD BE'!$AM$23+'TUSD BF'!$AM$23+'TUSD CVA'!$AM$23)*1</f>
        <v>181.47641369790719</v>
      </c>
      <c r="AA178" s="6">
        <f>('TE BE'!$AB$10+'TE BF'!$AB$10+'TE CVA'!$AB$10)*1</f>
        <v>322.12477389224171</v>
      </c>
      <c r="AB178" s="6">
        <f>$K$178*$V$178</f>
        <v>0</v>
      </c>
      <c r="AC178" s="6">
        <f>$M$178*$W$178</f>
        <v>49.87332</v>
      </c>
      <c r="AD178" s="6">
        <f>$O$178*$X$178</f>
        <v>77.482979999999998</v>
      </c>
      <c r="AE178" s="6">
        <f ca="1">$K$178*$Y$178</f>
        <v>0</v>
      </c>
      <c r="AF178" s="6">
        <f ca="1">$M$178*$Z$178</f>
        <v>88.197537057182899</v>
      </c>
      <c r="AG178" s="6">
        <f>$O$178*$AA$178</f>
        <v>156.55264011162947</v>
      </c>
    </row>
    <row r="179" spans="1:33" ht="11.25" customHeight="1" x14ac:dyDescent="0.25">
      <c r="A179" s="4" t="s">
        <v>21</v>
      </c>
      <c r="B179" s="4" t="s">
        <v>41</v>
      </c>
      <c r="C179" s="4" t="s">
        <v>40</v>
      </c>
      <c r="D179" s="4" t="s">
        <v>47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44774</v>
      </c>
      <c r="J179" s="6">
        <v>2371</v>
      </c>
      <c r="K179" s="6">
        <v>2371</v>
      </c>
      <c r="L179" s="6">
        <v>79.658000000000001</v>
      </c>
      <c r="M179" s="6">
        <v>79.658000000000001</v>
      </c>
      <c r="N179" s="6">
        <v>79.658000000000001</v>
      </c>
      <c r="O179" s="6">
        <v>79.658000000000001</v>
      </c>
      <c r="P179" s="6">
        <v>0</v>
      </c>
      <c r="Q179" s="4" t="s">
        <v>26</v>
      </c>
      <c r="R179" s="4">
        <v>0</v>
      </c>
      <c r="S179" s="6">
        <v>42</v>
      </c>
      <c r="T179" s="6">
        <v>46</v>
      </c>
      <c r="U179" s="6">
        <v>75</v>
      </c>
      <c r="V179" s="6">
        <f>IF(ISERROR(VLOOKUP($S$179,'TAR FIN'!$A$1:$O$108,15,0)),0,VLOOKUP($S$179,'TAR FIN'!$A$1:$O$108,15,0))</f>
        <v>55.8</v>
      </c>
      <c r="W179" s="6">
        <f>IF(ISERROR(VLOOKUP($T$179,'TAR FIN'!$A$1:$O$108,15,0)),0,VLOOKUP($T$179,'TAR FIN'!$A$1:$O$108,15,0))</f>
        <v>102.62</v>
      </c>
      <c r="X179" s="6">
        <f>IF(ISERROR(VLOOKUP($U$179,'TAR FIN'!$A$1:$O$108,15,0)),0,VLOOKUP($U$179,'TAR FIN'!$A$1:$O$108,15,0))</f>
        <v>159.43</v>
      </c>
      <c r="Y179" s="6">
        <f ca="1">('TUSD BE'!$AM$21+'TUSD BF'!$AM$21+'TUSD CVA'!$AM$21)*1</f>
        <v>54.248421540039665</v>
      </c>
      <c r="Z179" s="6">
        <f ca="1">('TUSD BE'!$AM$23+'TUSD BF'!$AM$23+'TUSD CVA'!$AM$23)*1</f>
        <v>181.47641369790719</v>
      </c>
      <c r="AA179" s="6">
        <f>('TE BE'!$AB$10+'TE BF'!$AB$10+'TE CVA'!$AB$10)*1</f>
        <v>322.12477389224171</v>
      </c>
      <c r="AB179" s="6">
        <f>$K$179*$V$179</f>
        <v>132301.79999999999</v>
      </c>
      <c r="AC179" s="6">
        <f>$M$179*$W$179</f>
        <v>8174.5039600000009</v>
      </c>
      <c r="AD179" s="6">
        <f>$O$179*$X$179</f>
        <v>12699.874940000002</v>
      </c>
      <c r="AE179" s="6">
        <f ca="1">$K$179*$Y$179</f>
        <v>128623.00747143404</v>
      </c>
      <c r="AF179" s="6">
        <f ca="1">$M$179*$Z$179</f>
        <v>14456.048162347892</v>
      </c>
      <c r="AG179" s="6">
        <f>$O$179*$AA$179</f>
        <v>25659.81523870819</v>
      </c>
    </row>
    <row r="180" spans="1:33" ht="11.25" customHeight="1" x14ac:dyDescent="0.25">
      <c r="A180" s="4" t="s">
        <v>28</v>
      </c>
      <c r="B180" s="4" t="s">
        <v>41</v>
      </c>
      <c r="C180" s="4" t="s">
        <v>40</v>
      </c>
      <c r="D180" s="4" t="s">
        <v>47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44774</v>
      </c>
      <c r="J180" s="6">
        <v>282</v>
      </c>
      <c r="K180" s="6">
        <v>282</v>
      </c>
      <c r="L180" s="6">
        <v>3.887</v>
      </c>
      <c r="M180" s="6">
        <v>3.887</v>
      </c>
      <c r="N180" s="6">
        <v>3.887</v>
      </c>
      <c r="O180" s="6">
        <v>3.887</v>
      </c>
      <c r="P180" s="6">
        <v>0</v>
      </c>
      <c r="Q180" s="4" t="s">
        <v>26</v>
      </c>
      <c r="R180" s="4">
        <v>0</v>
      </c>
      <c r="S180" s="6">
        <v>42</v>
      </c>
      <c r="T180" s="6">
        <v>46</v>
      </c>
      <c r="U180" s="6">
        <v>75</v>
      </c>
      <c r="V180" s="6">
        <f>IF(ISERROR(VLOOKUP($S$180,'TAR FIN'!$A$1:$O$108,15,0)),0,VLOOKUP($S$180,'TAR FIN'!$A$1:$O$108,15,0))</f>
        <v>55.8</v>
      </c>
      <c r="W180" s="6">
        <f>IF(ISERROR(VLOOKUP($T$180,'TAR FIN'!$A$1:$O$108,15,0)),0,VLOOKUP($T$180,'TAR FIN'!$A$1:$O$108,15,0))</f>
        <v>102.62</v>
      </c>
      <c r="X180" s="6">
        <f>IF(ISERROR(VLOOKUP($U$180,'TAR FIN'!$A$1:$O$108,15,0)),0,VLOOKUP($U$180,'TAR FIN'!$A$1:$O$108,15,0))</f>
        <v>159.43</v>
      </c>
      <c r="Y180" s="6">
        <f ca="1">('TUSD BE'!$AM$21+'TUSD BF'!$AM$21+'TUSD CVA'!$AM$21)*1</f>
        <v>54.248421540039665</v>
      </c>
      <c r="Z180" s="6">
        <f ca="1">('TUSD BE'!$AM$23+'TUSD BF'!$AM$23+'TUSD CVA'!$AM$23)*1</f>
        <v>181.47641369790719</v>
      </c>
      <c r="AA180" s="6">
        <f>('TE BE'!$AB$10+'TE BF'!$AB$10+'TE CVA'!$AB$10)*1</f>
        <v>322.12477389224171</v>
      </c>
      <c r="AB180" s="6">
        <f>$K$180*$V$180</f>
        <v>15735.599999999999</v>
      </c>
      <c r="AC180" s="6">
        <f>$M$180*$W$180</f>
        <v>398.88394</v>
      </c>
      <c r="AD180" s="6">
        <f>$O$180*$X$180</f>
        <v>619.70441000000005</v>
      </c>
      <c r="AE180" s="6">
        <f ca="1">$K$180*$Y$180</f>
        <v>15298.054874291185</v>
      </c>
      <c r="AF180" s="6">
        <f ca="1">$M$180*$Z$180</f>
        <v>705.39882004376523</v>
      </c>
      <c r="AG180" s="6">
        <f>$O$180*$AA$180</f>
        <v>1252.0989961191435</v>
      </c>
    </row>
    <row r="181" spans="1:33" ht="11.25" customHeight="1" x14ac:dyDescent="0.25">
      <c r="A181" s="4" t="s">
        <v>21</v>
      </c>
      <c r="B181" s="4" t="s">
        <v>41</v>
      </c>
      <c r="C181" s="4" t="s">
        <v>40</v>
      </c>
      <c r="D181" s="4" t="s">
        <v>47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44805</v>
      </c>
      <c r="J181" s="6">
        <v>2394</v>
      </c>
      <c r="K181" s="6">
        <v>2394</v>
      </c>
      <c r="L181" s="6">
        <v>73.813999999999993</v>
      </c>
      <c r="M181" s="6">
        <v>73.813999999999993</v>
      </c>
      <c r="N181" s="6">
        <v>73.813999999999993</v>
      </c>
      <c r="O181" s="6">
        <v>73.813999999999993</v>
      </c>
      <c r="P181" s="6">
        <v>0</v>
      </c>
      <c r="Q181" s="4" t="s">
        <v>26</v>
      </c>
      <c r="R181" s="4">
        <v>0</v>
      </c>
      <c r="S181" s="6">
        <v>42</v>
      </c>
      <c r="T181" s="6">
        <v>46</v>
      </c>
      <c r="U181" s="6">
        <v>75</v>
      </c>
      <c r="V181" s="6">
        <f>IF(ISERROR(VLOOKUP($S$181,'TAR FIN'!$A$1:$O$108,15,0)),0,VLOOKUP($S$181,'TAR FIN'!$A$1:$O$108,15,0))</f>
        <v>55.8</v>
      </c>
      <c r="W181" s="6">
        <f>IF(ISERROR(VLOOKUP($T$181,'TAR FIN'!$A$1:$O$108,15,0)),0,VLOOKUP($T$181,'TAR FIN'!$A$1:$O$108,15,0))</f>
        <v>102.62</v>
      </c>
      <c r="X181" s="6">
        <f>IF(ISERROR(VLOOKUP($U$181,'TAR FIN'!$A$1:$O$108,15,0)),0,VLOOKUP($U$181,'TAR FIN'!$A$1:$O$108,15,0))</f>
        <v>159.43</v>
      </c>
      <c r="Y181" s="6">
        <f ca="1">('TUSD BE'!$AM$21+'TUSD BF'!$AM$21+'TUSD CVA'!$AM$21)*1</f>
        <v>54.248421540039665</v>
      </c>
      <c r="Z181" s="6">
        <f ca="1">('TUSD BE'!$AM$23+'TUSD BF'!$AM$23+'TUSD CVA'!$AM$23)*1</f>
        <v>181.47641369790719</v>
      </c>
      <c r="AA181" s="6">
        <f>('TE BE'!$AB$10+'TE BF'!$AB$10+'TE CVA'!$AB$10)*1</f>
        <v>322.12477389224171</v>
      </c>
      <c r="AB181" s="6">
        <f>$K$181*$V$181</f>
        <v>133585.19999999998</v>
      </c>
      <c r="AC181" s="6">
        <f>$M$181*$W$181</f>
        <v>7574.7926799999996</v>
      </c>
      <c r="AD181" s="6">
        <f>$O$181*$X$181</f>
        <v>11768.166019999999</v>
      </c>
      <c r="AE181" s="6">
        <f ca="1">$K$181*$Y$181</f>
        <v>129870.72116685496</v>
      </c>
      <c r="AF181" s="6">
        <f ca="1">$M$181*$Z$181</f>
        <v>13395.500000697321</v>
      </c>
      <c r="AG181" s="6">
        <f>$O$181*$AA$181</f>
        <v>23777.318060081929</v>
      </c>
    </row>
    <row r="182" spans="1:33" ht="11.25" customHeight="1" x14ac:dyDescent="0.25">
      <c r="A182" s="4" t="s">
        <v>28</v>
      </c>
      <c r="B182" s="4" t="s">
        <v>41</v>
      </c>
      <c r="C182" s="4" t="s">
        <v>40</v>
      </c>
      <c r="D182" s="4" t="s">
        <v>47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44805</v>
      </c>
      <c r="J182" s="6">
        <v>456</v>
      </c>
      <c r="K182" s="6">
        <v>456</v>
      </c>
      <c r="L182" s="6">
        <v>2.181</v>
      </c>
      <c r="M182" s="6">
        <v>2.181</v>
      </c>
      <c r="N182" s="6">
        <v>2.181</v>
      </c>
      <c r="O182" s="6">
        <v>2.181</v>
      </c>
      <c r="P182" s="6">
        <v>0</v>
      </c>
      <c r="Q182" s="4" t="s">
        <v>26</v>
      </c>
      <c r="R182" s="4">
        <v>0</v>
      </c>
      <c r="S182" s="6">
        <v>42</v>
      </c>
      <c r="T182" s="6">
        <v>46</v>
      </c>
      <c r="U182" s="6">
        <v>75</v>
      </c>
      <c r="V182" s="6">
        <f>IF(ISERROR(VLOOKUP($S$182,'TAR FIN'!$A$1:$O$108,15,0)),0,VLOOKUP($S$182,'TAR FIN'!$A$1:$O$108,15,0))</f>
        <v>55.8</v>
      </c>
      <c r="W182" s="6">
        <f>IF(ISERROR(VLOOKUP($T$182,'TAR FIN'!$A$1:$O$108,15,0)),0,VLOOKUP($T$182,'TAR FIN'!$A$1:$O$108,15,0))</f>
        <v>102.62</v>
      </c>
      <c r="X182" s="6">
        <f>IF(ISERROR(VLOOKUP($U$182,'TAR FIN'!$A$1:$O$108,15,0)),0,VLOOKUP($U$182,'TAR FIN'!$A$1:$O$108,15,0))</f>
        <v>159.43</v>
      </c>
      <c r="Y182" s="6">
        <f ca="1">('TUSD BE'!$AM$21+'TUSD BF'!$AM$21+'TUSD CVA'!$AM$21)*1</f>
        <v>54.248421540039665</v>
      </c>
      <c r="Z182" s="6">
        <f ca="1">('TUSD BE'!$AM$23+'TUSD BF'!$AM$23+'TUSD CVA'!$AM$23)*1</f>
        <v>181.47641369790719</v>
      </c>
      <c r="AA182" s="6">
        <f>('TE BE'!$AB$10+'TE BF'!$AB$10+'TE CVA'!$AB$10)*1</f>
        <v>322.12477389224171</v>
      </c>
      <c r="AB182" s="6">
        <f>$K$182*$V$182</f>
        <v>25444.799999999999</v>
      </c>
      <c r="AC182" s="6">
        <f>$M$182*$W$182</f>
        <v>223.81422000000001</v>
      </c>
      <c r="AD182" s="6">
        <f>$O$182*$X$182</f>
        <v>347.71683000000002</v>
      </c>
      <c r="AE182" s="6">
        <f ca="1">$K$182*$Y$182</f>
        <v>24737.280222258087</v>
      </c>
      <c r="AF182" s="6">
        <f ca="1">$M$182*$Z$182</f>
        <v>395.8000582751356</v>
      </c>
      <c r="AG182" s="6">
        <f>$O$182*$AA$182</f>
        <v>702.55413185897919</v>
      </c>
    </row>
    <row r="183" spans="1:33" ht="11.25" customHeight="1" x14ac:dyDescent="0.25">
      <c r="A183" s="4" t="s">
        <v>21</v>
      </c>
      <c r="B183" s="4" t="s">
        <v>41</v>
      </c>
      <c r="C183" s="4" t="s">
        <v>40</v>
      </c>
      <c r="D183" s="4" t="s">
        <v>47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44835</v>
      </c>
      <c r="J183" s="6">
        <v>2262</v>
      </c>
      <c r="K183" s="6">
        <v>2262</v>
      </c>
      <c r="L183" s="6">
        <v>74.406999999999996</v>
      </c>
      <c r="M183" s="6">
        <v>74.406999999999996</v>
      </c>
      <c r="N183" s="6">
        <v>74.406999999999996</v>
      </c>
      <c r="O183" s="6">
        <v>74.406999999999996</v>
      </c>
      <c r="P183" s="6">
        <v>0</v>
      </c>
      <c r="Q183" s="4" t="s">
        <v>26</v>
      </c>
      <c r="R183" s="4">
        <v>0</v>
      </c>
      <c r="S183" s="6">
        <v>42</v>
      </c>
      <c r="T183" s="6">
        <v>46</v>
      </c>
      <c r="U183" s="6">
        <v>75</v>
      </c>
      <c r="V183" s="6">
        <f>IF(ISERROR(VLOOKUP($S$183,'TAR FIN'!$A$1:$O$108,15,0)),0,VLOOKUP($S$183,'TAR FIN'!$A$1:$O$108,15,0))</f>
        <v>55.8</v>
      </c>
      <c r="W183" s="6">
        <f>IF(ISERROR(VLOOKUP($T$183,'TAR FIN'!$A$1:$O$108,15,0)),0,VLOOKUP($T$183,'TAR FIN'!$A$1:$O$108,15,0))</f>
        <v>102.62</v>
      </c>
      <c r="X183" s="6">
        <f>IF(ISERROR(VLOOKUP($U$183,'TAR FIN'!$A$1:$O$108,15,0)),0,VLOOKUP($U$183,'TAR FIN'!$A$1:$O$108,15,0))</f>
        <v>159.43</v>
      </c>
      <c r="Y183" s="6">
        <f ca="1">('TUSD BE'!$AM$21+'TUSD BF'!$AM$21+'TUSD CVA'!$AM$21)*1</f>
        <v>54.248421540039665</v>
      </c>
      <c r="Z183" s="6">
        <f ca="1">('TUSD BE'!$AM$23+'TUSD BF'!$AM$23+'TUSD CVA'!$AM$23)*1</f>
        <v>181.47641369790719</v>
      </c>
      <c r="AA183" s="6">
        <f>('TE BE'!$AB$10+'TE BF'!$AB$10+'TE CVA'!$AB$10)*1</f>
        <v>322.12477389224171</v>
      </c>
      <c r="AB183" s="6">
        <f>$K$183*$V$183</f>
        <v>126219.59999999999</v>
      </c>
      <c r="AC183" s="6">
        <f>$M$183*$W$183</f>
        <v>7635.6463400000002</v>
      </c>
      <c r="AD183" s="6">
        <f>$O$183*$X$183</f>
        <v>11862.70801</v>
      </c>
      <c r="AE183" s="6">
        <f ca="1">$K$183*$Y$183</f>
        <v>122709.92952356972</v>
      </c>
      <c r="AF183" s="6">
        <f ca="1">$M$183*$Z$183</f>
        <v>13503.115514020179</v>
      </c>
      <c r="AG183" s="6">
        <f>$O$183*$AA$183</f>
        <v>23968.338051000028</v>
      </c>
    </row>
    <row r="184" spans="1:33" ht="11.25" customHeight="1" x14ac:dyDescent="0.25">
      <c r="A184" s="4" t="s">
        <v>28</v>
      </c>
      <c r="B184" s="4" t="s">
        <v>41</v>
      </c>
      <c r="C184" s="4" t="s">
        <v>40</v>
      </c>
      <c r="D184" s="4" t="s">
        <v>47</v>
      </c>
      <c r="E184" s="4" t="s">
        <v>25</v>
      </c>
      <c r="F184" s="4" t="s">
        <v>25</v>
      </c>
      <c r="G184" s="4" t="s">
        <v>25</v>
      </c>
      <c r="H184" s="4" t="s">
        <v>34</v>
      </c>
      <c r="I184" s="5">
        <v>44835</v>
      </c>
      <c r="J184" s="6">
        <v>180</v>
      </c>
      <c r="K184" s="6">
        <v>180</v>
      </c>
      <c r="L184" s="6">
        <v>0.871</v>
      </c>
      <c r="M184" s="6">
        <v>0.871</v>
      </c>
      <c r="N184" s="6">
        <v>0.871</v>
      </c>
      <c r="O184" s="6">
        <v>0.871</v>
      </c>
      <c r="P184" s="6">
        <v>0</v>
      </c>
      <c r="Q184" s="4" t="s">
        <v>26</v>
      </c>
      <c r="R184" s="4">
        <v>0</v>
      </c>
      <c r="S184" s="6">
        <v>42</v>
      </c>
      <c r="T184" s="6">
        <v>46</v>
      </c>
      <c r="U184" s="6">
        <v>75</v>
      </c>
      <c r="V184" s="6">
        <f>IF(ISERROR(VLOOKUP($S$184,'TAR FIN'!$A$1:$O$108,15,0)),0,VLOOKUP($S$184,'TAR FIN'!$A$1:$O$108,15,0))</f>
        <v>55.8</v>
      </c>
      <c r="W184" s="6">
        <f>IF(ISERROR(VLOOKUP($T$184,'TAR FIN'!$A$1:$O$108,15,0)),0,VLOOKUP($T$184,'TAR FIN'!$A$1:$O$108,15,0))</f>
        <v>102.62</v>
      </c>
      <c r="X184" s="6">
        <f>IF(ISERROR(VLOOKUP($U$184,'TAR FIN'!$A$1:$O$108,15,0)),0,VLOOKUP($U$184,'TAR FIN'!$A$1:$O$108,15,0))</f>
        <v>159.43</v>
      </c>
      <c r="Y184" s="6">
        <f ca="1">('TUSD BE'!$AM$21+'TUSD BF'!$AM$21+'TUSD CVA'!$AM$21)*1</f>
        <v>54.248421540039665</v>
      </c>
      <c r="Z184" s="6">
        <f ca="1">('TUSD BE'!$AM$23+'TUSD BF'!$AM$23+'TUSD CVA'!$AM$23)*1</f>
        <v>181.47641369790719</v>
      </c>
      <c r="AA184" s="6">
        <f>('TE BE'!$AB$10+'TE BF'!$AB$10+'TE CVA'!$AB$10)*1</f>
        <v>322.12477389224171</v>
      </c>
      <c r="AB184" s="6">
        <f>$K$184*$V$184</f>
        <v>10044</v>
      </c>
      <c r="AC184" s="6">
        <f>$M$184*$W$184</f>
        <v>89.382019999999997</v>
      </c>
      <c r="AD184" s="6">
        <f>$O$184*$X$184</f>
        <v>138.86353</v>
      </c>
      <c r="AE184" s="6">
        <f ca="1">$K$184*$Y$184</f>
        <v>9764.7158772071398</v>
      </c>
      <c r="AF184" s="6">
        <f ca="1">$M$184*$Z$184</f>
        <v>158.06595633087716</v>
      </c>
      <c r="AG184" s="6">
        <f>$O$184*$AA$184</f>
        <v>280.57067806014254</v>
      </c>
    </row>
    <row r="185" spans="1:33" ht="11.25" customHeight="1" x14ac:dyDescent="0.25">
      <c r="A185" s="4" t="s">
        <v>28</v>
      </c>
      <c r="B185" s="4" t="s">
        <v>41</v>
      </c>
      <c r="C185" s="4" t="s">
        <v>40</v>
      </c>
      <c r="D185" s="4" t="s">
        <v>47</v>
      </c>
      <c r="E185" s="4" t="s">
        <v>25</v>
      </c>
      <c r="F185" s="4" t="s">
        <v>25</v>
      </c>
      <c r="G185" s="4" t="s">
        <v>25</v>
      </c>
      <c r="H185" s="4" t="s">
        <v>34</v>
      </c>
      <c r="I185" s="5">
        <v>44835</v>
      </c>
      <c r="J185" s="6">
        <v>-378</v>
      </c>
      <c r="K185" s="6">
        <v>-378</v>
      </c>
      <c r="L185" s="6">
        <v>-7.8170000000000002</v>
      </c>
      <c r="M185" s="6">
        <v>-7.8170000000000002</v>
      </c>
      <c r="N185" s="6">
        <v>-7.8170000000000002</v>
      </c>
      <c r="O185" s="6">
        <v>-7.8170000000000002</v>
      </c>
      <c r="P185" s="6">
        <v>0</v>
      </c>
      <c r="Q185" s="4" t="s">
        <v>26</v>
      </c>
      <c r="R185" s="4">
        <v>0</v>
      </c>
      <c r="S185" s="6">
        <v>42</v>
      </c>
      <c r="T185" s="6">
        <v>46</v>
      </c>
      <c r="U185" s="6">
        <v>75</v>
      </c>
      <c r="V185" s="6">
        <f>IF(ISERROR(VLOOKUP($S$185,'TAR FIN'!$A$1:$O$108,15,0)),0,VLOOKUP($S$185,'TAR FIN'!$A$1:$O$108,15,0))</f>
        <v>55.8</v>
      </c>
      <c r="W185" s="6">
        <f>IF(ISERROR(VLOOKUP($T$185,'TAR FIN'!$A$1:$O$108,15,0)),0,VLOOKUP($T$185,'TAR FIN'!$A$1:$O$108,15,0))</f>
        <v>102.62</v>
      </c>
      <c r="X185" s="6">
        <f>IF(ISERROR(VLOOKUP($U$185,'TAR FIN'!$A$1:$O$108,15,0)),0,VLOOKUP($U$185,'TAR FIN'!$A$1:$O$108,15,0))</f>
        <v>159.43</v>
      </c>
      <c r="Y185" s="6">
        <f ca="1">('TUSD BE'!$AM$21+'TUSD BF'!$AM$21+'TUSD CVA'!$AM$21)*1</f>
        <v>54.248421540039665</v>
      </c>
      <c r="Z185" s="6">
        <f ca="1">('TUSD BE'!$AM$23+'TUSD BF'!$AM$23+'TUSD CVA'!$AM$23)*1</f>
        <v>181.47641369790719</v>
      </c>
      <c r="AA185" s="6">
        <f>('TE BE'!$AB$10+'TE BF'!$AB$10+'TE CVA'!$AB$10)*1</f>
        <v>322.12477389224171</v>
      </c>
      <c r="AB185" s="6">
        <f>$K$185*$V$185</f>
        <v>-21092.399999999998</v>
      </c>
      <c r="AC185" s="6">
        <f>$M$185*$W$185</f>
        <v>-802.18054000000006</v>
      </c>
      <c r="AD185" s="6">
        <f>$O$185*$X$185</f>
        <v>-1246.26431</v>
      </c>
      <c r="AE185" s="6">
        <f ca="1">$K$185*$Y$185</f>
        <v>-20505.903342134992</v>
      </c>
      <c r="AF185" s="6">
        <f ca="1">$M$185*$Z$185</f>
        <v>-1418.6011258765404</v>
      </c>
      <c r="AG185" s="6">
        <f>$O$185*$AA$185</f>
        <v>-2518.0493575156534</v>
      </c>
    </row>
    <row r="186" spans="1:33" ht="11.25" customHeight="1" x14ac:dyDescent="0.25">
      <c r="A186" s="4" t="s">
        <v>54</v>
      </c>
      <c r="B186" s="4" t="s">
        <v>41</v>
      </c>
      <c r="C186" s="4" t="s">
        <v>40</v>
      </c>
      <c r="D186" s="4" t="s">
        <v>47</v>
      </c>
      <c r="E186" s="4" t="s">
        <v>25</v>
      </c>
      <c r="F186" s="4" t="s">
        <v>25</v>
      </c>
      <c r="G186" s="4" t="s">
        <v>25</v>
      </c>
      <c r="H186" s="4" t="s">
        <v>34</v>
      </c>
      <c r="I186" s="5">
        <v>44866</v>
      </c>
      <c r="J186" s="6">
        <v>2262</v>
      </c>
      <c r="K186" s="6">
        <v>2262</v>
      </c>
      <c r="L186" s="6">
        <v>74.406999999999996</v>
      </c>
      <c r="M186" s="6">
        <v>74.406999999999996</v>
      </c>
      <c r="N186" s="6">
        <v>74.406999999999996</v>
      </c>
      <c r="O186" s="6">
        <v>74.406999999999996</v>
      </c>
      <c r="P186" s="6">
        <v>0</v>
      </c>
      <c r="Q186" s="4" t="s">
        <v>26</v>
      </c>
      <c r="R186" s="4">
        <v>0</v>
      </c>
      <c r="S186" s="6">
        <v>42</v>
      </c>
      <c r="T186" s="6">
        <v>46</v>
      </c>
      <c r="U186" s="6">
        <v>75</v>
      </c>
      <c r="V186" s="6">
        <f>IF(ISERROR(VLOOKUP($S$186,'TAR FIN'!$A$1:$O$108,15,0)),0,VLOOKUP($S$186,'TAR FIN'!$A$1:$O$108,15,0))</f>
        <v>55.8</v>
      </c>
      <c r="W186" s="6">
        <f>IF(ISERROR(VLOOKUP($T$186,'TAR FIN'!$A$1:$O$108,15,0)),0,VLOOKUP($T$186,'TAR FIN'!$A$1:$O$108,15,0))</f>
        <v>102.62</v>
      </c>
      <c r="X186" s="6">
        <f>IF(ISERROR(VLOOKUP($U$186,'TAR FIN'!$A$1:$O$108,15,0)),0,VLOOKUP($U$186,'TAR FIN'!$A$1:$O$108,15,0))</f>
        <v>159.43</v>
      </c>
      <c r="Y186" s="6">
        <f ca="1">('TUSD BE'!$AM$21+'TUSD BF'!$AM$21+'TUSD CVA'!$AM$21)*1</f>
        <v>54.248421540039665</v>
      </c>
      <c r="Z186" s="6">
        <f ca="1">('TUSD BE'!$AM$23+'TUSD BF'!$AM$23+'TUSD CVA'!$AM$23)*1</f>
        <v>181.47641369790719</v>
      </c>
      <c r="AA186" s="6">
        <f>('TE BE'!$AB$10+'TE BF'!$AB$10+'TE CVA'!$AB$10)*1</f>
        <v>322.12477389224171</v>
      </c>
      <c r="AB186" s="6">
        <f>$K$186*$V$186</f>
        <v>126219.59999999999</v>
      </c>
      <c r="AC186" s="6">
        <f>$M$186*$W$186</f>
        <v>7635.6463400000002</v>
      </c>
      <c r="AD186" s="6">
        <f>$O$186*$X$186</f>
        <v>11862.70801</v>
      </c>
      <c r="AE186" s="6">
        <f ca="1">$K$186*$Y$186</f>
        <v>122709.92952356972</v>
      </c>
      <c r="AF186" s="6">
        <f ca="1">$M$186*$Z$186</f>
        <v>13503.115514020179</v>
      </c>
      <c r="AG186" s="6">
        <f>$O$186*$AA$186</f>
        <v>23968.338051000028</v>
      </c>
    </row>
    <row r="187" spans="1:33" ht="11.25" customHeight="1" x14ac:dyDescent="0.25">
      <c r="A187" s="4" t="s">
        <v>54</v>
      </c>
      <c r="B187" s="4" t="s">
        <v>41</v>
      </c>
      <c r="C187" s="4" t="s">
        <v>40</v>
      </c>
      <c r="D187" s="4" t="s">
        <v>47</v>
      </c>
      <c r="E187" s="4" t="s">
        <v>25</v>
      </c>
      <c r="F187" s="4" t="s">
        <v>25</v>
      </c>
      <c r="G187" s="4" t="s">
        <v>25</v>
      </c>
      <c r="H187" s="4" t="s">
        <v>34</v>
      </c>
      <c r="I187" s="5">
        <v>44866</v>
      </c>
      <c r="J187" s="6">
        <v>180</v>
      </c>
      <c r="K187" s="6">
        <v>180</v>
      </c>
      <c r="L187" s="6">
        <v>0.871</v>
      </c>
      <c r="M187" s="6">
        <v>0.871</v>
      </c>
      <c r="N187" s="6">
        <v>0.871</v>
      </c>
      <c r="O187" s="6">
        <v>0.871</v>
      </c>
      <c r="P187" s="6">
        <v>0</v>
      </c>
      <c r="Q187" s="4" t="s">
        <v>26</v>
      </c>
      <c r="R187" s="4">
        <v>0</v>
      </c>
      <c r="S187" s="6">
        <v>42</v>
      </c>
      <c r="T187" s="6">
        <v>46</v>
      </c>
      <c r="U187" s="6">
        <v>75</v>
      </c>
      <c r="V187" s="6">
        <f>IF(ISERROR(VLOOKUP($S$187,'TAR FIN'!$A$1:$O$108,15,0)),0,VLOOKUP($S$187,'TAR FIN'!$A$1:$O$108,15,0))</f>
        <v>55.8</v>
      </c>
      <c r="W187" s="6">
        <f>IF(ISERROR(VLOOKUP($T$187,'TAR FIN'!$A$1:$O$108,15,0)),0,VLOOKUP($T$187,'TAR FIN'!$A$1:$O$108,15,0))</f>
        <v>102.62</v>
      </c>
      <c r="X187" s="6">
        <f>IF(ISERROR(VLOOKUP($U$187,'TAR FIN'!$A$1:$O$108,15,0)),0,VLOOKUP($U$187,'TAR FIN'!$A$1:$O$108,15,0))</f>
        <v>159.43</v>
      </c>
      <c r="Y187" s="6">
        <f ca="1">('TUSD BE'!$AM$21+'TUSD BF'!$AM$21+'TUSD CVA'!$AM$21)*1</f>
        <v>54.248421540039665</v>
      </c>
      <c r="Z187" s="6">
        <f ca="1">('TUSD BE'!$AM$23+'TUSD BF'!$AM$23+'TUSD CVA'!$AM$23)*1</f>
        <v>181.47641369790719</v>
      </c>
      <c r="AA187" s="6">
        <f>('TE BE'!$AB$10+'TE BF'!$AB$10+'TE CVA'!$AB$10)*1</f>
        <v>322.12477389224171</v>
      </c>
      <c r="AB187" s="6">
        <f>$K$187*$V$187</f>
        <v>10044</v>
      </c>
      <c r="AC187" s="6">
        <f>$M$187*$W$187</f>
        <v>89.382019999999997</v>
      </c>
      <c r="AD187" s="6">
        <f>$O$187*$X$187</f>
        <v>138.86353</v>
      </c>
      <c r="AE187" s="6">
        <f ca="1">$K$187*$Y$187</f>
        <v>9764.7158772071398</v>
      </c>
      <c r="AF187" s="6">
        <f ca="1">$M$187*$Z$187</f>
        <v>158.06595633087716</v>
      </c>
      <c r="AG187" s="6">
        <f>$O$187*$AA$187</f>
        <v>280.57067806014254</v>
      </c>
    </row>
    <row r="188" spans="1:33" ht="11.25" customHeight="1" x14ac:dyDescent="0.25">
      <c r="A188" s="4" t="s">
        <v>54</v>
      </c>
      <c r="B188" s="4" t="s">
        <v>41</v>
      </c>
      <c r="C188" s="4" t="s">
        <v>40</v>
      </c>
      <c r="D188" s="4" t="s">
        <v>47</v>
      </c>
      <c r="E188" s="4" t="s">
        <v>25</v>
      </c>
      <c r="F188" s="4" t="s">
        <v>25</v>
      </c>
      <c r="G188" s="4" t="s">
        <v>25</v>
      </c>
      <c r="H188" s="4" t="s">
        <v>34</v>
      </c>
      <c r="I188" s="5">
        <v>44866</v>
      </c>
      <c r="J188" s="6">
        <v>-378</v>
      </c>
      <c r="K188" s="6">
        <v>-378</v>
      </c>
      <c r="L188" s="6">
        <v>-7.8170000000000002</v>
      </c>
      <c r="M188" s="6">
        <v>-7.8170000000000002</v>
      </c>
      <c r="N188" s="6">
        <v>-7.8170000000000002</v>
      </c>
      <c r="O188" s="6">
        <v>-7.8170000000000002</v>
      </c>
      <c r="P188" s="6">
        <v>0</v>
      </c>
      <c r="Q188" s="4" t="s">
        <v>26</v>
      </c>
      <c r="R188" s="4">
        <v>0</v>
      </c>
      <c r="S188" s="6">
        <v>42</v>
      </c>
      <c r="T188" s="6">
        <v>46</v>
      </c>
      <c r="U188" s="6">
        <v>75</v>
      </c>
      <c r="V188" s="6">
        <f>IF(ISERROR(VLOOKUP($S$188,'TAR FIN'!$A$1:$O$108,15,0)),0,VLOOKUP($S$188,'TAR FIN'!$A$1:$O$108,15,0))</f>
        <v>55.8</v>
      </c>
      <c r="W188" s="6">
        <f>IF(ISERROR(VLOOKUP($T$188,'TAR FIN'!$A$1:$O$108,15,0)),0,VLOOKUP($T$188,'TAR FIN'!$A$1:$O$108,15,0))</f>
        <v>102.62</v>
      </c>
      <c r="X188" s="6">
        <f>IF(ISERROR(VLOOKUP($U$188,'TAR FIN'!$A$1:$O$108,15,0)),0,VLOOKUP($U$188,'TAR FIN'!$A$1:$O$108,15,0))</f>
        <v>159.43</v>
      </c>
      <c r="Y188" s="6">
        <f ca="1">('TUSD BE'!$AM$21+'TUSD BF'!$AM$21+'TUSD CVA'!$AM$21)*1</f>
        <v>54.248421540039665</v>
      </c>
      <c r="Z188" s="6">
        <f ca="1">('TUSD BE'!$AM$23+'TUSD BF'!$AM$23+'TUSD CVA'!$AM$23)*1</f>
        <v>181.47641369790719</v>
      </c>
      <c r="AA188" s="6">
        <f>('TE BE'!$AB$10+'TE BF'!$AB$10+'TE CVA'!$AB$10)*1</f>
        <v>322.12477389224171</v>
      </c>
      <c r="AB188" s="6">
        <f>$K$188*$V$188</f>
        <v>-21092.399999999998</v>
      </c>
      <c r="AC188" s="6">
        <f>$M$188*$W$188</f>
        <v>-802.18054000000006</v>
      </c>
      <c r="AD188" s="6">
        <f>$O$188*$X$188</f>
        <v>-1246.26431</v>
      </c>
      <c r="AE188" s="6">
        <f ca="1">$K$188*$Y$188</f>
        <v>-20505.903342134992</v>
      </c>
      <c r="AF188" s="6">
        <f ca="1">$M$188*$Z$188</f>
        <v>-1418.6011258765404</v>
      </c>
      <c r="AG188" s="6">
        <f>$O$188*$AA$188</f>
        <v>-2518.0493575156534</v>
      </c>
    </row>
    <row r="189" spans="1:33" ht="11.25" customHeight="1" x14ac:dyDescent="0.25">
      <c r="A189" s="4" t="s">
        <v>21</v>
      </c>
      <c r="B189" s="4" t="s">
        <v>41</v>
      </c>
      <c r="C189" s="4" t="s">
        <v>40</v>
      </c>
      <c r="D189" s="4" t="s">
        <v>51</v>
      </c>
      <c r="E189" s="4" t="s">
        <v>52</v>
      </c>
      <c r="F189" s="4" t="s">
        <v>25</v>
      </c>
      <c r="G189" s="4" t="s">
        <v>25</v>
      </c>
      <c r="H189" s="4" t="s">
        <v>35</v>
      </c>
      <c r="I189" s="5">
        <v>44531</v>
      </c>
      <c r="J189" s="6">
        <v>1440</v>
      </c>
      <c r="K189" s="70">
        <v>1440</v>
      </c>
      <c r="L189" s="6">
        <v>758.4</v>
      </c>
      <c r="M189" s="71">
        <v>758.4</v>
      </c>
      <c r="N189" s="6">
        <v>758.4</v>
      </c>
      <c r="O189" s="71">
        <v>758.4</v>
      </c>
      <c r="P189" s="6">
        <v>0</v>
      </c>
      <c r="Q189" s="4" t="s">
        <v>26</v>
      </c>
      <c r="R189" s="4">
        <v>0</v>
      </c>
      <c r="S189" s="6">
        <v>43</v>
      </c>
      <c r="T189" s="6">
        <v>46</v>
      </c>
      <c r="U189" s="6">
        <v>76</v>
      </c>
      <c r="V189" s="71">
        <f>IF(ISERROR(VLOOKUP($S$189,'TAR FIN'!$A$1:$O$108,15,0)),0,VLOOKUP($S$189,'TAR FIN'!$A$1:$O$108,15,0))*(1-0.06)</f>
        <v>20.097199999999997</v>
      </c>
      <c r="W189" s="71">
        <f>IF(ISERROR(VLOOKUP($T$189,'TAR FIN'!$A$1:$O$108,15,0)),0,VLOOKUP($T$189,'TAR FIN'!$A$1:$O$108,15,0))*(1-0.06)</f>
        <v>96.462800000000001</v>
      </c>
      <c r="X189" s="71">
        <f>IF(ISERROR(VLOOKUP($U$189,'TAR FIN'!$A$1:$O$108,15,0)),0,VLOOKUP($U$189,'TAR FIN'!$A$1:$O$108,15,0))*(1-0.06)</f>
        <v>96.913999999999987</v>
      </c>
      <c r="Y189" s="71">
        <f ca="1">('TUSD BE'!$AM$22+'TUSD BF'!$AM$22+'TUSD CVA'!$AM$22)*1*(1-0.03)</f>
        <v>20.553709090093861</v>
      </c>
      <c r="Z189" s="71">
        <f ca="1">('TUSD BE'!$AM$23+'TUSD BF'!$AM$23+'TUSD CVA'!$AM$23)*1*(1-0.03)</f>
        <v>176.03212128696998</v>
      </c>
      <c r="AA189" s="71">
        <f>('TE BE'!$AB$11+'TE BF'!$AB$11+'TE CVA'!$AB$11)*1*(1-0.03)</f>
        <v>209.13469685121515</v>
      </c>
      <c r="AB189" s="6">
        <f>$K$189*$V$189</f>
        <v>28939.967999999997</v>
      </c>
      <c r="AC189" s="6">
        <f>$M$189*$W$189</f>
        <v>73157.387520000004</v>
      </c>
      <c r="AD189" s="6">
        <f>$O$189*$X$189</f>
        <v>73499.57759999999</v>
      </c>
      <c r="AE189" s="6">
        <f ca="1">$K$189*$Y$189</f>
        <v>29597.34108973516</v>
      </c>
      <c r="AF189" s="6">
        <f ca="1">$M$189*$Z$189</f>
        <v>133502.76078403802</v>
      </c>
      <c r="AG189" s="6">
        <f>$O$189*$AA$189</f>
        <v>158607.75409196157</v>
      </c>
    </row>
    <row r="190" spans="1:33" ht="11.25" customHeight="1" x14ac:dyDescent="0.25">
      <c r="A190" s="4" t="s">
        <v>21</v>
      </c>
      <c r="B190" s="4" t="s">
        <v>41</v>
      </c>
      <c r="C190" s="4" t="s">
        <v>40</v>
      </c>
      <c r="D190" s="4" t="s">
        <v>51</v>
      </c>
      <c r="E190" s="4" t="s">
        <v>52</v>
      </c>
      <c r="F190" s="4" t="s">
        <v>25</v>
      </c>
      <c r="G190" s="4" t="s">
        <v>25</v>
      </c>
      <c r="H190" s="4" t="s">
        <v>35</v>
      </c>
      <c r="I190" s="5">
        <v>44562</v>
      </c>
      <c r="J190" s="6">
        <v>1440</v>
      </c>
      <c r="K190" s="70">
        <v>1440</v>
      </c>
      <c r="L190" s="6">
        <v>745.9</v>
      </c>
      <c r="M190" s="71">
        <v>745.9</v>
      </c>
      <c r="N190" s="6">
        <v>745.9</v>
      </c>
      <c r="O190" s="71">
        <v>745.9</v>
      </c>
      <c r="P190" s="6">
        <v>0</v>
      </c>
      <c r="Q190" s="4" t="s">
        <v>26</v>
      </c>
      <c r="R190" s="4">
        <v>0</v>
      </c>
      <c r="S190" s="6">
        <v>43</v>
      </c>
      <c r="T190" s="6">
        <v>46</v>
      </c>
      <c r="U190" s="6">
        <v>76</v>
      </c>
      <c r="V190" s="71">
        <f>IF(ISERROR(VLOOKUP($S$190,'TAR FIN'!$A$1:$O$108,15,0)),0,VLOOKUP($S$190,'TAR FIN'!$A$1:$O$108,15,0))*(1-0.06)</f>
        <v>20.097199999999997</v>
      </c>
      <c r="W190" s="71">
        <f>IF(ISERROR(VLOOKUP($T$190,'TAR FIN'!$A$1:$O$108,15,0)),0,VLOOKUP($T$190,'TAR FIN'!$A$1:$O$108,15,0))*(1-0.06)</f>
        <v>96.462800000000001</v>
      </c>
      <c r="X190" s="71">
        <f>IF(ISERROR(VLOOKUP($U$190,'TAR FIN'!$A$1:$O$108,15,0)),0,VLOOKUP($U$190,'TAR FIN'!$A$1:$O$108,15,0))*(1-0.06)</f>
        <v>96.913999999999987</v>
      </c>
      <c r="Y190" s="71">
        <f ca="1">('TUSD BE'!$AM$22+'TUSD BF'!$AM$22+'TUSD CVA'!$AM$22)*1*(1-0.03)</f>
        <v>20.553709090093861</v>
      </c>
      <c r="Z190" s="71">
        <f ca="1">('TUSD BE'!$AM$23+'TUSD BF'!$AM$23+'TUSD CVA'!$AM$23)*1*(1-0.03)</f>
        <v>176.03212128696998</v>
      </c>
      <c r="AA190" s="71">
        <f>('TE BE'!$AB$11+'TE BF'!$AB$11+'TE CVA'!$AB$11)*1*(1-0.03)</f>
        <v>209.13469685121515</v>
      </c>
      <c r="AB190" s="6">
        <f>$K$190*$V$190</f>
        <v>28939.967999999997</v>
      </c>
      <c r="AC190" s="6">
        <f>$M$190*$W$190</f>
        <v>71951.60252</v>
      </c>
      <c r="AD190" s="6">
        <f>$O$190*$X$190</f>
        <v>72288.152599999987</v>
      </c>
      <c r="AE190" s="6">
        <f ca="1">$K$190*$Y$190</f>
        <v>29597.34108973516</v>
      </c>
      <c r="AF190" s="6">
        <f ca="1">$M$190*$Z$190</f>
        <v>131302.3592679509</v>
      </c>
      <c r="AG190" s="6">
        <f>$O$190*$AA$190</f>
        <v>155993.57038132139</v>
      </c>
    </row>
    <row r="191" spans="1:33" ht="11.25" customHeight="1" x14ac:dyDescent="0.25">
      <c r="A191" s="4" t="s">
        <v>21</v>
      </c>
      <c r="B191" s="4" t="s">
        <v>41</v>
      </c>
      <c r="C191" s="4" t="s">
        <v>40</v>
      </c>
      <c r="D191" s="4" t="s">
        <v>51</v>
      </c>
      <c r="E191" s="4" t="s">
        <v>52</v>
      </c>
      <c r="F191" s="4" t="s">
        <v>25</v>
      </c>
      <c r="G191" s="4" t="s">
        <v>25</v>
      </c>
      <c r="H191" s="4" t="s">
        <v>35</v>
      </c>
      <c r="I191" s="5">
        <v>44593</v>
      </c>
      <c r="J191" s="6">
        <v>1440</v>
      </c>
      <c r="K191" s="70">
        <v>1440</v>
      </c>
      <c r="L191" s="6">
        <v>805.87199999999996</v>
      </c>
      <c r="M191" s="71">
        <v>805.87199999999996</v>
      </c>
      <c r="N191" s="6">
        <v>805.87199999999996</v>
      </c>
      <c r="O191" s="71">
        <v>805.87199999999996</v>
      </c>
      <c r="P191" s="6">
        <v>0</v>
      </c>
      <c r="Q191" s="4" t="s">
        <v>26</v>
      </c>
      <c r="R191" s="4">
        <v>0</v>
      </c>
      <c r="S191" s="6">
        <v>43</v>
      </c>
      <c r="T191" s="6">
        <v>46</v>
      </c>
      <c r="U191" s="6">
        <v>76</v>
      </c>
      <c r="V191" s="71">
        <f>IF(ISERROR(VLOOKUP($S$191,'TAR FIN'!$A$1:$O$108,15,0)),0,VLOOKUP($S$191,'TAR FIN'!$A$1:$O$108,15,0))*(1-0.06)</f>
        <v>20.097199999999997</v>
      </c>
      <c r="W191" s="71">
        <f>IF(ISERROR(VLOOKUP($T$191,'TAR FIN'!$A$1:$O$108,15,0)),0,VLOOKUP($T$191,'TAR FIN'!$A$1:$O$108,15,0))*(1-0.06)</f>
        <v>96.462800000000001</v>
      </c>
      <c r="X191" s="71">
        <f>IF(ISERROR(VLOOKUP($U$191,'TAR FIN'!$A$1:$O$108,15,0)),0,VLOOKUP($U$191,'TAR FIN'!$A$1:$O$108,15,0))*(1-0.06)</f>
        <v>96.913999999999987</v>
      </c>
      <c r="Y191" s="71">
        <f ca="1">('TUSD BE'!$AM$22+'TUSD BF'!$AM$22+'TUSD CVA'!$AM$22)*1*(1-0.03)</f>
        <v>20.553709090093861</v>
      </c>
      <c r="Z191" s="71">
        <f ca="1">('TUSD BE'!$AM$23+'TUSD BF'!$AM$23+'TUSD CVA'!$AM$23)*1*(1-0.03)</f>
        <v>176.03212128696998</v>
      </c>
      <c r="AA191" s="71">
        <f>('TE BE'!$AB$11+'TE BF'!$AB$11+'TE CVA'!$AB$11)*1*(1-0.03)</f>
        <v>209.13469685121515</v>
      </c>
      <c r="AB191" s="6">
        <f>$K$191*$V$191</f>
        <v>28939.967999999997</v>
      </c>
      <c r="AC191" s="6">
        <f>$M$191*$W$191</f>
        <v>77736.669561599992</v>
      </c>
      <c r="AD191" s="6">
        <f>$O$191*$X$191</f>
        <v>78100.279007999983</v>
      </c>
      <c r="AE191" s="6">
        <f ca="1">$K$191*$Y$191</f>
        <v>29597.34108973516</v>
      </c>
      <c r="AF191" s="6">
        <f ca="1">$M$191*$Z$191</f>
        <v>141859.35764577307</v>
      </c>
      <c r="AG191" s="6">
        <f>$O$191*$AA$191</f>
        <v>168535.79642088246</v>
      </c>
    </row>
    <row r="192" spans="1:33" ht="11.25" customHeight="1" x14ac:dyDescent="0.25">
      <c r="A192" s="4" t="s">
        <v>21</v>
      </c>
      <c r="B192" s="4" t="s">
        <v>41</v>
      </c>
      <c r="C192" s="4" t="s">
        <v>40</v>
      </c>
      <c r="D192" s="4" t="s">
        <v>51</v>
      </c>
      <c r="E192" s="4" t="s">
        <v>52</v>
      </c>
      <c r="F192" s="4" t="s">
        <v>25</v>
      </c>
      <c r="G192" s="4" t="s">
        <v>25</v>
      </c>
      <c r="H192" s="4" t="s">
        <v>35</v>
      </c>
      <c r="I192" s="5">
        <v>44621</v>
      </c>
      <c r="J192" s="6">
        <v>1440</v>
      </c>
      <c r="K192" s="70">
        <v>1440</v>
      </c>
      <c r="L192" s="6">
        <v>769.41099999999994</v>
      </c>
      <c r="M192" s="71">
        <v>769.41099999999994</v>
      </c>
      <c r="N192" s="6">
        <v>769.41099999999994</v>
      </c>
      <c r="O192" s="71">
        <v>769.41099999999994</v>
      </c>
      <c r="P192" s="6">
        <v>0</v>
      </c>
      <c r="Q192" s="4" t="s">
        <v>26</v>
      </c>
      <c r="R192" s="4">
        <v>0</v>
      </c>
      <c r="S192" s="6">
        <v>43</v>
      </c>
      <c r="T192" s="6">
        <v>46</v>
      </c>
      <c r="U192" s="6">
        <v>76</v>
      </c>
      <c r="V192" s="71">
        <f>IF(ISERROR(VLOOKUP($S$192,'TAR FIN'!$A$1:$O$108,15,0)),0,VLOOKUP($S$192,'TAR FIN'!$A$1:$O$108,15,0))*(1-0.06)</f>
        <v>20.097199999999997</v>
      </c>
      <c r="W192" s="71">
        <f>IF(ISERROR(VLOOKUP($T$192,'TAR FIN'!$A$1:$O$108,15,0)),0,VLOOKUP($T$192,'TAR FIN'!$A$1:$O$108,15,0))*(1-0.06)</f>
        <v>96.462800000000001</v>
      </c>
      <c r="X192" s="71">
        <f>IF(ISERROR(VLOOKUP($U$192,'TAR FIN'!$A$1:$O$108,15,0)),0,VLOOKUP($U$192,'TAR FIN'!$A$1:$O$108,15,0))*(1-0.06)</f>
        <v>96.913999999999987</v>
      </c>
      <c r="Y192" s="71">
        <f ca="1">('TUSD BE'!$AM$22+'TUSD BF'!$AM$22+'TUSD CVA'!$AM$22)*1*(1-0.03)</f>
        <v>20.553709090093861</v>
      </c>
      <c r="Z192" s="71">
        <f ca="1">('TUSD BE'!$AM$23+'TUSD BF'!$AM$23+'TUSD CVA'!$AM$23)*1*(1-0.03)</f>
        <v>176.03212128696998</v>
      </c>
      <c r="AA192" s="71">
        <f>('TE BE'!$AB$11+'TE BF'!$AB$11+'TE CVA'!$AB$11)*1*(1-0.03)</f>
        <v>209.13469685121515</v>
      </c>
      <c r="AB192" s="6">
        <f>$K$192*$V$192</f>
        <v>28939.967999999997</v>
      </c>
      <c r="AC192" s="6">
        <f>$M$192*$W$192</f>
        <v>74219.539410799989</v>
      </c>
      <c r="AD192" s="6">
        <f>$O$192*$X$192</f>
        <v>74566.697653999989</v>
      </c>
      <c r="AE192" s="6">
        <f ca="1">$K$192*$Y$192</f>
        <v>29597.34108973516</v>
      </c>
      <c r="AF192" s="6">
        <f ca="1">$M$192*$Z$192</f>
        <v>135441.05047152884</v>
      </c>
      <c r="AG192" s="6">
        <f>$O$192*$AA$192</f>
        <v>160910.53623899029</v>
      </c>
    </row>
    <row r="193" spans="1:33" ht="11.25" customHeight="1" x14ac:dyDescent="0.25">
      <c r="A193" s="4" t="s">
        <v>21</v>
      </c>
      <c r="B193" s="4" t="s">
        <v>41</v>
      </c>
      <c r="C193" s="4" t="s">
        <v>40</v>
      </c>
      <c r="D193" s="4" t="s">
        <v>51</v>
      </c>
      <c r="E193" s="4" t="s">
        <v>52</v>
      </c>
      <c r="F193" s="4" t="s">
        <v>25</v>
      </c>
      <c r="G193" s="4" t="s">
        <v>25</v>
      </c>
      <c r="H193" s="4" t="s">
        <v>35</v>
      </c>
      <c r="I193" s="5">
        <v>44652</v>
      </c>
      <c r="J193" s="6">
        <v>1440</v>
      </c>
      <c r="K193" s="70">
        <v>1440</v>
      </c>
      <c r="L193" s="6">
        <v>755.971</v>
      </c>
      <c r="M193" s="71">
        <v>755.971</v>
      </c>
      <c r="N193" s="6">
        <v>755.971</v>
      </c>
      <c r="O193" s="71">
        <v>755.971</v>
      </c>
      <c r="P193" s="6">
        <v>0</v>
      </c>
      <c r="Q193" s="4" t="s">
        <v>26</v>
      </c>
      <c r="R193" s="4">
        <v>0</v>
      </c>
      <c r="S193" s="6">
        <v>43</v>
      </c>
      <c r="T193" s="6">
        <v>46</v>
      </c>
      <c r="U193" s="6">
        <v>76</v>
      </c>
      <c r="V193" s="71">
        <f>IF(ISERROR(VLOOKUP($S$193,'TAR FIN'!$A$1:$O$108,15,0)),0,VLOOKUP($S$193,'TAR FIN'!$A$1:$O$108,15,0))*(1-0.06)</f>
        <v>20.097199999999997</v>
      </c>
      <c r="W193" s="71">
        <f>IF(ISERROR(VLOOKUP($T$193,'TAR FIN'!$A$1:$O$108,15,0)),0,VLOOKUP($T$193,'TAR FIN'!$A$1:$O$108,15,0))*(1-0.06)</f>
        <v>96.462800000000001</v>
      </c>
      <c r="X193" s="71">
        <f>IF(ISERROR(VLOOKUP($U$193,'TAR FIN'!$A$1:$O$108,15,0)),0,VLOOKUP($U$193,'TAR FIN'!$A$1:$O$108,15,0))*(1-0.06)</f>
        <v>96.913999999999987</v>
      </c>
      <c r="Y193" s="71">
        <f ca="1">('TUSD BE'!$AM$22+'TUSD BF'!$AM$22+'TUSD CVA'!$AM$22)*1*(1-0.03)</f>
        <v>20.553709090093861</v>
      </c>
      <c r="Z193" s="71">
        <f ca="1">('TUSD BE'!$AM$23+'TUSD BF'!$AM$23+'TUSD CVA'!$AM$23)*1*(1-0.03)</f>
        <v>176.03212128696998</v>
      </c>
      <c r="AA193" s="71">
        <f>('TE BE'!$AB$11+'TE BF'!$AB$11+'TE CVA'!$AB$11)*1*(1-0.03)</f>
        <v>209.13469685121515</v>
      </c>
      <c r="AB193" s="6">
        <f>$K$193*$V$193</f>
        <v>28939.967999999997</v>
      </c>
      <c r="AC193" s="6">
        <f>$M$193*$W$193</f>
        <v>72923.079378800001</v>
      </c>
      <c r="AD193" s="6">
        <f>$O$193*$X$193</f>
        <v>73264.173493999988</v>
      </c>
      <c r="AE193" s="6">
        <f ca="1">$K$193*$Y$193</f>
        <v>29597.34108973516</v>
      </c>
      <c r="AF193" s="6">
        <f ca="1">$M$193*$Z$193</f>
        <v>133075.17876143198</v>
      </c>
      <c r="AG193" s="6">
        <f>$O$193*$AA$193</f>
        <v>158099.76591330997</v>
      </c>
    </row>
    <row r="194" spans="1:33" ht="11.25" customHeight="1" x14ac:dyDescent="0.25">
      <c r="A194" s="4" t="s">
        <v>21</v>
      </c>
      <c r="B194" s="4" t="s">
        <v>41</v>
      </c>
      <c r="C194" s="4" t="s">
        <v>40</v>
      </c>
      <c r="D194" s="4" t="s">
        <v>51</v>
      </c>
      <c r="E194" s="4" t="s">
        <v>52</v>
      </c>
      <c r="F194" s="4" t="s">
        <v>25</v>
      </c>
      <c r="G194" s="4" t="s">
        <v>25</v>
      </c>
      <c r="H194" s="4" t="s">
        <v>35</v>
      </c>
      <c r="I194" s="5">
        <v>44682</v>
      </c>
      <c r="J194" s="6">
        <v>1440</v>
      </c>
      <c r="K194" s="70">
        <v>1440</v>
      </c>
      <c r="L194" s="6">
        <v>719.404</v>
      </c>
      <c r="M194" s="71">
        <v>719.404</v>
      </c>
      <c r="N194" s="6">
        <v>719.404</v>
      </c>
      <c r="O194" s="71">
        <v>719.404</v>
      </c>
      <c r="P194" s="6">
        <v>0</v>
      </c>
      <c r="Q194" s="4" t="s">
        <v>26</v>
      </c>
      <c r="R194" s="4">
        <v>0</v>
      </c>
      <c r="S194" s="6">
        <v>43</v>
      </c>
      <c r="T194" s="6">
        <v>46</v>
      </c>
      <c r="U194" s="6">
        <v>76</v>
      </c>
      <c r="V194" s="71">
        <f>IF(ISERROR(VLOOKUP($S$194,'TAR FIN'!$A$1:$O$108,15,0)),0,VLOOKUP($S$194,'TAR FIN'!$A$1:$O$108,15,0))*(1-0.06)</f>
        <v>20.097199999999997</v>
      </c>
      <c r="W194" s="71">
        <f>IF(ISERROR(VLOOKUP($T$194,'TAR FIN'!$A$1:$O$108,15,0)),0,VLOOKUP($T$194,'TAR FIN'!$A$1:$O$108,15,0))*(1-0.06)</f>
        <v>96.462800000000001</v>
      </c>
      <c r="X194" s="71">
        <f>IF(ISERROR(VLOOKUP($U$194,'TAR FIN'!$A$1:$O$108,15,0)),0,VLOOKUP($U$194,'TAR FIN'!$A$1:$O$108,15,0))*(1-0.06)</f>
        <v>96.913999999999987</v>
      </c>
      <c r="Y194" s="71">
        <f ca="1">('TUSD BE'!$AM$22+'TUSD BF'!$AM$22+'TUSD CVA'!$AM$22)*1*(1-0.03)</f>
        <v>20.553709090093861</v>
      </c>
      <c r="Z194" s="71">
        <f ca="1">('TUSD BE'!$AM$23+'TUSD BF'!$AM$23+'TUSD CVA'!$AM$23)*1*(1-0.03)</f>
        <v>176.03212128696998</v>
      </c>
      <c r="AA194" s="71">
        <f>('TE BE'!$AB$11+'TE BF'!$AB$11+'TE CVA'!$AB$11)*1*(1-0.03)</f>
        <v>209.13469685121515</v>
      </c>
      <c r="AB194" s="6">
        <f>$K$194*$V$194</f>
        <v>28939.967999999997</v>
      </c>
      <c r="AC194" s="6">
        <f>$M$194*$W$194</f>
        <v>69395.724171199996</v>
      </c>
      <c r="AD194" s="6">
        <f>$O$194*$X$194</f>
        <v>69720.319255999988</v>
      </c>
      <c r="AE194" s="6">
        <f ca="1">$K$194*$Y$194</f>
        <v>29597.34108973516</v>
      </c>
      <c r="AF194" s="6">
        <f ca="1">$M$194*$Z$194</f>
        <v>126638.21218233135</v>
      </c>
      <c r="AG194" s="6">
        <f>$O$194*$AA$194</f>
        <v>150452.33745355159</v>
      </c>
    </row>
    <row r="195" spans="1:33" ht="11.25" customHeight="1" x14ac:dyDescent="0.25">
      <c r="A195" s="4" t="s">
        <v>21</v>
      </c>
      <c r="B195" s="4" t="s">
        <v>41</v>
      </c>
      <c r="C195" s="4" t="s">
        <v>40</v>
      </c>
      <c r="D195" s="4" t="s">
        <v>51</v>
      </c>
      <c r="E195" s="4" t="s">
        <v>52</v>
      </c>
      <c r="F195" s="4" t="s">
        <v>25</v>
      </c>
      <c r="G195" s="4" t="s">
        <v>25</v>
      </c>
      <c r="H195" s="4" t="s">
        <v>35</v>
      </c>
      <c r="I195" s="5">
        <v>44713</v>
      </c>
      <c r="J195" s="6">
        <v>1440</v>
      </c>
      <c r="K195" s="70">
        <v>1440</v>
      </c>
      <c r="L195" s="6">
        <v>664.29100000000005</v>
      </c>
      <c r="M195" s="71">
        <v>664.29100000000005</v>
      </c>
      <c r="N195" s="6">
        <v>664.29100000000005</v>
      </c>
      <c r="O195" s="71">
        <v>664.29100000000005</v>
      </c>
      <c r="P195" s="6">
        <v>0</v>
      </c>
      <c r="Q195" s="4" t="s">
        <v>26</v>
      </c>
      <c r="R195" s="4">
        <v>0</v>
      </c>
      <c r="S195" s="6">
        <v>43</v>
      </c>
      <c r="T195" s="6">
        <v>46</v>
      </c>
      <c r="U195" s="6">
        <v>76</v>
      </c>
      <c r="V195" s="71">
        <f>IF(ISERROR(VLOOKUP($S$195,'TAR FIN'!$A$1:$O$108,15,0)),0,VLOOKUP($S$195,'TAR FIN'!$A$1:$O$108,15,0))*(1-0.06)</f>
        <v>20.097199999999997</v>
      </c>
      <c r="W195" s="71">
        <f>IF(ISERROR(VLOOKUP($T$195,'TAR FIN'!$A$1:$O$108,15,0)),0,VLOOKUP($T$195,'TAR FIN'!$A$1:$O$108,15,0))*(1-0.06)</f>
        <v>96.462800000000001</v>
      </c>
      <c r="X195" s="71">
        <f>IF(ISERROR(VLOOKUP($U$195,'TAR FIN'!$A$1:$O$108,15,0)),0,VLOOKUP($U$195,'TAR FIN'!$A$1:$O$108,15,0))*(1-0.06)</f>
        <v>96.913999999999987</v>
      </c>
      <c r="Y195" s="71">
        <f ca="1">('TUSD BE'!$AM$22+'TUSD BF'!$AM$22+'TUSD CVA'!$AM$22)*1*(1-0.03)</f>
        <v>20.553709090093861</v>
      </c>
      <c r="Z195" s="71">
        <f ca="1">('TUSD BE'!$AM$23+'TUSD BF'!$AM$23+'TUSD CVA'!$AM$23)*1*(1-0.03)</f>
        <v>176.03212128696998</v>
      </c>
      <c r="AA195" s="71">
        <f>('TE BE'!$AB$11+'TE BF'!$AB$11+'TE CVA'!$AB$11)*1*(1-0.03)</f>
        <v>209.13469685121515</v>
      </c>
      <c r="AB195" s="6">
        <f>$K$195*$V$195</f>
        <v>28939.967999999997</v>
      </c>
      <c r="AC195" s="6">
        <f>$M$195*$W$195</f>
        <v>64079.36987480001</v>
      </c>
      <c r="AD195" s="6">
        <f>$O$195*$X$195</f>
        <v>64379.097973999997</v>
      </c>
      <c r="AE195" s="6">
        <f ca="1">$K$195*$Y$195</f>
        <v>29597.34108973516</v>
      </c>
      <c r="AF195" s="6">
        <f ca="1">$M$195*$Z$195</f>
        <v>116936.55388184258</v>
      </c>
      <c r="AG195" s="6">
        <f>$O$195*$AA$195</f>
        <v>138926.29690599057</v>
      </c>
    </row>
    <row r="196" spans="1:33" ht="11.25" customHeight="1" x14ac:dyDescent="0.25">
      <c r="A196" s="4" t="s">
        <v>27</v>
      </c>
      <c r="B196" s="4" t="s">
        <v>41</v>
      </c>
      <c r="C196" s="4" t="s">
        <v>40</v>
      </c>
      <c r="D196" s="4" t="s">
        <v>51</v>
      </c>
      <c r="E196" s="4" t="s">
        <v>52</v>
      </c>
      <c r="F196" s="4" t="s">
        <v>25</v>
      </c>
      <c r="G196" s="4" t="s">
        <v>25</v>
      </c>
      <c r="H196" s="4" t="s">
        <v>35</v>
      </c>
      <c r="I196" s="5">
        <v>44743</v>
      </c>
      <c r="J196" s="6">
        <v>1440</v>
      </c>
      <c r="K196" s="70">
        <v>1440</v>
      </c>
      <c r="L196" s="6">
        <v>260.39999999999998</v>
      </c>
      <c r="M196" s="71">
        <v>260.39999999999998</v>
      </c>
      <c r="N196" s="6">
        <v>260.39999999999998</v>
      </c>
      <c r="O196" s="71">
        <v>260.39999999999998</v>
      </c>
      <c r="P196" s="6">
        <v>0</v>
      </c>
      <c r="Q196" s="4" t="s">
        <v>26</v>
      </c>
      <c r="R196" s="4">
        <v>0</v>
      </c>
      <c r="S196" s="6">
        <v>43</v>
      </c>
      <c r="T196" s="6">
        <v>46</v>
      </c>
      <c r="U196" s="6">
        <v>76</v>
      </c>
      <c r="V196" s="71">
        <f>IF(ISERROR(VLOOKUP($S$196,'TAR FIN'!$A$1:$O$108,15,0)),0,VLOOKUP($S$196,'TAR FIN'!$A$1:$O$108,15,0))*(1-0.06)</f>
        <v>20.097199999999997</v>
      </c>
      <c r="W196" s="71">
        <f>IF(ISERROR(VLOOKUP($T$196,'TAR FIN'!$A$1:$O$108,15,0)),0,VLOOKUP($T$196,'TAR FIN'!$A$1:$O$108,15,0))*(1-0.06)</f>
        <v>96.462800000000001</v>
      </c>
      <c r="X196" s="71">
        <f>IF(ISERROR(VLOOKUP($U$196,'TAR FIN'!$A$1:$O$108,15,0)),0,VLOOKUP($U$196,'TAR FIN'!$A$1:$O$108,15,0))*(1-0.06)</f>
        <v>96.913999999999987</v>
      </c>
      <c r="Y196" s="71">
        <f ca="1">('TUSD BE'!$AM$22+'TUSD BF'!$AM$22+'TUSD CVA'!$AM$22)*1*(1-0.03)</f>
        <v>20.553709090093861</v>
      </c>
      <c r="Z196" s="71">
        <f ca="1">('TUSD BE'!$AM$23+'TUSD BF'!$AM$23+'TUSD CVA'!$AM$23)*1*(1-0.03)</f>
        <v>176.03212128696998</v>
      </c>
      <c r="AA196" s="71">
        <f>('TE BE'!$AB$11+'TE BF'!$AB$11+'TE CVA'!$AB$11)*1*(1-0.03)</f>
        <v>209.13469685121515</v>
      </c>
      <c r="AB196" s="6">
        <f>$K$196*$V$196</f>
        <v>28939.967999999997</v>
      </c>
      <c r="AC196" s="6">
        <f>$M$196*$W$196</f>
        <v>25118.913119999997</v>
      </c>
      <c r="AD196" s="6">
        <f>$O$196*$X$196</f>
        <v>25236.405599999995</v>
      </c>
      <c r="AE196" s="6">
        <f ca="1">$K$196*$Y$196</f>
        <v>29597.34108973516</v>
      </c>
      <c r="AF196" s="6">
        <f ca="1">$M$196*$Z$196</f>
        <v>45838.764383126982</v>
      </c>
      <c r="AG196" s="6">
        <f>$O$196*$AA$196</f>
        <v>54458.675060056419</v>
      </c>
    </row>
    <row r="197" spans="1:33" ht="11.25" customHeight="1" x14ac:dyDescent="0.25">
      <c r="A197" s="4" t="s">
        <v>21</v>
      </c>
      <c r="B197" s="4" t="s">
        <v>41</v>
      </c>
      <c r="C197" s="4" t="s">
        <v>40</v>
      </c>
      <c r="D197" s="4" t="s">
        <v>51</v>
      </c>
      <c r="E197" s="4" t="s">
        <v>52</v>
      </c>
      <c r="F197" s="4" t="s">
        <v>25</v>
      </c>
      <c r="G197" s="4" t="s">
        <v>25</v>
      </c>
      <c r="H197" s="4" t="s">
        <v>35</v>
      </c>
      <c r="I197" s="5">
        <v>44774</v>
      </c>
      <c r="J197" s="6">
        <v>1075</v>
      </c>
      <c r="K197" s="70">
        <v>1075</v>
      </c>
      <c r="L197" s="6">
        <v>579.24400000000003</v>
      </c>
      <c r="M197" s="71">
        <v>579.24400000000003</v>
      </c>
      <c r="N197" s="6">
        <v>579.24400000000003</v>
      </c>
      <c r="O197" s="71">
        <v>579.24400000000003</v>
      </c>
      <c r="P197" s="6">
        <v>0</v>
      </c>
      <c r="Q197" s="4" t="s">
        <v>26</v>
      </c>
      <c r="R197" s="4">
        <v>0</v>
      </c>
      <c r="S197" s="6">
        <v>43</v>
      </c>
      <c r="T197" s="6">
        <v>46</v>
      </c>
      <c r="U197" s="6">
        <v>76</v>
      </c>
      <c r="V197" s="71">
        <f>IF(ISERROR(VLOOKUP($S$197,'TAR FIN'!$A$1:$O$108,15,0)),0,VLOOKUP($S$197,'TAR FIN'!$A$1:$O$108,15,0))*(1-0.06)</f>
        <v>20.097199999999997</v>
      </c>
      <c r="W197" s="71">
        <f>IF(ISERROR(VLOOKUP($T$197,'TAR FIN'!$A$1:$O$108,15,0)),0,VLOOKUP($T$197,'TAR FIN'!$A$1:$O$108,15,0))*(1-0.06)</f>
        <v>96.462800000000001</v>
      </c>
      <c r="X197" s="71">
        <f>IF(ISERROR(VLOOKUP($U$197,'TAR FIN'!$A$1:$O$108,15,0)),0,VLOOKUP($U$197,'TAR FIN'!$A$1:$O$108,15,0))*(1-0.06)</f>
        <v>96.913999999999987</v>
      </c>
      <c r="Y197" s="71">
        <f ca="1">('TUSD BE'!$AM$22+'TUSD BF'!$AM$22+'TUSD CVA'!$AM$22)*1*(1-0.03)</f>
        <v>20.553709090093861</v>
      </c>
      <c r="Z197" s="71">
        <f ca="1">('TUSD BE'!$AM$23+'TUSD BF'!$AM$23+'TUSD CVA'!$AM$23)*1*(1-0.03)</f>
        <v>176.03212128696998</v>
      </c>
      <c r="AA197" s="71">
        <f>('TE BE'!$AB$11+'TE BF'!$AB$11+'TE CVA'!$AB$11)*1*(1-0.03)</f>
        <v>209.13469685121515</v>
      </c>
      <c r="AB197" s="6">
        <f>$K$197*$V$197</f>
        <v>21604.489999999998</v>
      </c>
      <c r="AC197" s="6">
        <f>$M$197*$W$197</f>
        <v>55875.498123200006</v>
      </c>
      <c r="AD197" s="6">
        <f>$O$197*$X$197</f>
        <v>56136.853015999994</v>
      </c>
      <c r="AE197" s="6">
        <f ca="1">$K$197*$Y$197</f>
        <v>22095.2372718509</v>
      </c>
      <c r="AF197" s="6">
        <f ca="1">$M$197*$Z$197</f>
        <v>101965.55006274965</v>
      </c>
      <c r="AG197" s="6">
        <f>$O$197*$AA$197</f>
        <v>121140.01834288528</v>
      </c>
    </row>
    <row r="198" spans="1:33" ht="11.25" customHeight="1" x14ac:dyDescent="0.25">
      <c r="A198" s="4" t="s">
        <v>27</v>
      </c>
      <c r="B198" s="4" t="s">
        <v>41</v>
      </c>
      <c r="C198" s="4" t="s">
        <v>40</v>
      </c>
      <c r="D198" s="4" t="s">
        <v>51</v>
      </c>
      <c r="E198" s="4" t="s">
        <v>52</v>
      </c>
      <c r="F198" s="4" t="s">
        <v>25</v>
      </c>
      <c r="G198" s="4" t="s">
        <v>25</v>
      </c>
      <c r="H198" s="4" t="s">
        <v>35</v>
      </c>
      <c r="I198" s="5">
        <v>44774</v>
      </c>
      <c r="J198" s="6">
        <v>0</v>
      </c>
      <c r="K198" s="71">
        <v>0</v>
      </c>
      <c r="L198" s="6">
        <v>414.90199999999999</v>
      </c>
      <c r="M198" s="71">
        <v>414.90199999999999</v>
      </c>
      <c r="N198" s="6">
        <v>414.90199999999999</v>
      </c>
      <c r="O198" s="71">
        <v>414.90199999999999</v>
      </c>
      <c r="P198" s="6">
        <v>0</v>
      </c>
      <c r="Q198" s="4" t="s">
        <v>26</v>
      </c>
      <c r="R198" s="4">
        <v>0</v>
      </c>
      <c r="S198" s="6">
        <v>0</v>
      </c>
      <c r="T198" s="6">
        <v>46</v>
      </c>
      <c r="U198" s="6">
        <v>76</v>
      </c>
      <c r="V198" s="71">
        <f>IF(ISERROR(VLOOKUP($S$198,'TAR FIN'!$A$1:$O$108,15,0)),0,VLOOKUP($S$198,'TAR FIN'!$A$1:$O$108,15,0))*(1-0.06)</f>
        <v>0</v>
      </c>
      <c r="W198" s="71">
        <f>IF(ISERROR(VLOOKUP($T$198,'TAR FIN'!$A$1:$O$108,15,0)),0,VLOOKUP($T$198,'TAR FIN'!$A$1:$O$108,15,0))*(1-0.06)</f>
        <v>96.462800000000001</v>
      </c>
      <c r="X198" s="71">
        <f>IF(ISERROR(VLOOKUP($U$198,'TAR FIN'!$A$1:$O$108,15,0)),0,VLOOKUP($U$198,'TAR FIN'!$A$1:$O$108,15,0))*(1-0.06)</f>
        <v>96.913999999999987</v>
      </c>
      <c r="Y198" s="71">
        <f ca="1">('TUSD BE'!$AM$22+'TUSD BF'!$AM$22+'TUSD CVA'!$AM$22)*1*(1-0.03)</f>
        <v>20.553709090093861</v>
      </c>
      <c r="Z198" s="71">
        <f ca="1">('TUSD BE'!$AM$23+'TUSD BF'!$AM$23+'TUSD CVA'!$AM$23)*1*(1-0.03)</f>
        <v>176.03212128696998</v>
      </c>
      <c r="AA198" s="71">
        <f>('TE BE'!$AB$11+'TE BF'!$AB$11+'TE CVA'!$AB$11)*1*(1-0.03)</f>
        <v>209.13469685121515</v>
      </c>
      <c r="AB198" s="6">
        <f>$K$198*$V$198</f>
        <v>0</v>
      </c>
      <c r="AC198" s="6">
        <f>$M$198*$W$198</f>
        <v>40022.608645599998</v>
      </c>
      <c r="AD198" s="6">
        <f>$O$198*$X$198</f>
        <v>40209.81242799999</v>
      </c>
      <c r="AE198" s="6">
        <f ca="1">$K$198*$Y$198</f>
        <v>0</v>
      </c>
      <c r="AF198" s="6">
        <f ca="1">$M$198*$Z$198</f>
        <v>73036.079186206422</v>
      </c>
      <c r="AG198" s="6">
        <f>$O$198*$AA$198</f>
        <v>86770.403992962863</v>
      </c>
    </row>
    <row r="199" spans="1:33" ht="11.25" customHeight="1" x14ac:dyDescent="0.25">
      <c r="A199" s="4" t="s">
        <v>21</v>
      </c>
      <c r="B199" s="4" t="s">
        <v>41</v>
      </c>
      <c r="C199" s="4" t="s">
        <v>40</v>
      </c>
      <c r="D199" s="4" t="s">
        <v>51</v>
      </c>
      <c r="E199" s="4" t="s">
        <v>52</v>
      </c>
      <c r="F199" s="4" t="s">
        <v>25</v>
      </c>
      <c r="G199" s="4" t="s">
        <v>25</v>
      </c>
      <c r="H199" s="4" t="s">
        <v>35</v>
      </c>
      <c r="I199" s="5">
        <v>44805</v>
      </c>
      <c r="J199" s="6">
        <v>1113</v>
      </c>
      <c r="K199" s="70">
        <v>1113</v>
      </c>
      <c r="L199" s="6">
        <v>551.00099999999998</v>
      </c>
      <c r="M199" s="71">
        <v>551.00099999999998</v>
      </c>
      <c r="N199" s="6">
        <v>551.00099999999998</v>
      </c>
      <c r="O199" s="71">
        <v>551.00099999999998</v>
      </c>
      <c r="P199" s="6">
        <v>0</v>
      </c>
      <c r="Q199" s="4" t="s">
        <v>26</v>
      </c>
      <c r="R199" s="4">
        <v>0</v>
      </c>
      <c r="S199" s="6">
        <v>43</v>
      </c>
      <c r="T199" s="6">
        <v>46</v>
      </c>
      <c r="U199" s="6">
        <v>76</v>
      </c>
      <c r="V199" s="71">
        <f>IF(ISERROR(VLOOKUP($S$199,'TAR FIN'!$A$1:$O$108,15,0)),0,VLOOKUP($S$199,'TAR FIN'!$A$1:$O$108,15,0))*(1-0.06)</f>
        <v>20.097199999999997</v>
      </c>
      <c r="W199" s="71">
        <f>IF(ISERROR(VLOOKUP($T$199,'TAR FIN'!$A$1:$O$108,15,0)),0,VLOOKUP($T$199,'TAR FIN'!$A$1:$O$108,15,0))*(1-0.06)</f>
        <v>96.462800000000001</v>
      </c>
      <c r="X199" s="71">
        <f>IF(ISERROR(VLOOKUP($U$199,'TAR FIN'!$A$1:$O$108,15,0)),0,VLOOKUP($U$199,'TAR FIN'!$A$1:$O$108,15,0))*(1-0.06)</f>
        <v>96.913999999999987</v>
      </c>
      <c r="Y199" s="71">
        <f ca="1">('TUSD BE'!$AM$22+'TUSD BF'!$AM$22+'TUSD CVA'!$AM$22)*1*(1-0.03)</f>
        <v>20.553709090093861</v>
      </c>
      <c r="Z199" s="71">
        <f ca="1">('TUSD BE'!$AM$23+'TUSD BF'!$AM$23+'TUSD CVA'!$AM$23)*1*(1-0.03)</f>
        <v>176.03212128696998</v>
      </c>
      <c r="AA199" s="71">
        <f>('TE BE'!$AB$11+'TE BF'!$AB$11+'TE CVA'!$AB$11)*1*(1-0.03)</f>
        <v>209.13469685121515</v>
      </c>
      <c r="AB199" s="6">
        <f>$K$199*$V$199</f>
        <v>22368.183599999997</v>
      </c>
      <c r="AC199" s="6">
        <f>$M$199*$W$199</f>
        <v>53151.099262799995</v>
      </c>
      <c r="AD199" s="6">
        <f>$O$199*$X$199</f>
        <v>53399.710913999988</v>
      </c>
      <c r="AE199" s="6">
        <f ca="1">$K$199*$Y$199</f>
        <v>22876.278217274466</v>
      </c>
      <c r="AF199" s="6">
        <f ca="1">$M$199*$Z$199</f>
        <v>96993.87486124174</v>
      </c>
      <c r="AG199" s="6">
        <f>$O$199*$AA$199</f>
        <v>115233.4270997164</v>
      </c>
    </row>
    <row r="200" spans="1:33" ht="11.25" customHeight="1" x14ac:dyDescent="0.25">
      <c r="A200" s="4" t="s">
        <v>21</v>
      </c>
      <c r="B200" s="4" t="s">
        <v>41</v>
      </c>
      <c r="C200" s="4" t="s">
        <v>40</v>
      </c>
      <c r="D200" s="4" t="s">
        <v>51</v>
      </c>
      <c r="E200" s="4" t="s">
        <v>52</v>
      </c>
      <c r="F200" s="4" t="s">
        <v>25</v>
      </c>
      <c r="G200" s="4" t="s">
        <v>25</v>
      </c>
      <c r="H200" s="4" t="s">
        <v>35</v>
      </c>
      <c r="I200" s="5">
        <v>44835</v>
      </c>
      <c r="J200" s="6">
        <v>1113</v>
      </c>
      <c r="K200" s="70">
        <v>1113</v>
      </c>
      <c r="L200" s="6">
        <v>617.971</v>
      </c>
      <c r="M200" s="71">
        <v>617.971</v>
      </c>
      <c r="N200" s="6">
        <v>617.971</v>
      </c>
      <c r="O200" s="71">
        <v>617.971</v>
      </c>
      <c r="P200" s="6">
        <v>0</v>
      </c>
      <c r="Q200" s="4" t="s">
        <v>26</v>
      </c>
      <c r="R200" s="4">
        <v>0</v>
      </c>
      <c r="S200" s="6">
        <v>43</v>
      </c>
      <c r="T200" s="6">
        <v>46</v>
      </c>
      <c r="U200" s="6">
        <v>76</v>
      </c>
      <c r="V200" s="71">
        <f>IF(ISERROR(VLOOKUP($S$200,'TAR FIN'!$A$1:$O$108,15,0)),0,VLOOKUP($S$200,'TAR FIN'!$A$1:$O$108,15,0))*(1-0.06)</f>
        <v>20.097199999999997</v>
      </c>
      <c r="W200" s="71">
        <f>IF(ISERROR(VLOOKUP($T$200,'TAR FIN'!$A$1:$O$108,15,0)),0,VLOOKUP($T$200,'TAR FIN'!$A$1:$O$108,15,0))*(1-0.06)</f>
        <v>96.462800000000001</v>
      </c>
      <c r="X200" s="71">
        <f>IF(ISERROR(VLOOKUP($U$200,'TAR FIN'!$A$1:$O$108,15,0)),0,VLOOKUP($U$200,'TAR FIN'!$A$1:$O$108,15,0))*(1-0.06)</f>
        <v>96.913999999999987</v>
      </c>
      <c r="Y200" s="71">
        <f ca="1">('TUSD BE'!$AM$22+'TUSD BF'!$AM$22+'TUSD CVA'!$AM$22)*1*(1-0.03)</f>
        <v>20.553709090093861</v>
      </c>
      <c r="Z200" s="71">
        <f ca="1">('TUSD BE'!$AM$23+'TUSD BF'!$AM$23+'TUSD CVA'!$AM$23)*1*(1-0.03)</f>
        <v>176.03212128696998</v>
      </c>
      <c r="AA200" s="71">
        <f>('TE BE'!$AB$11+'TE BF'!$AB$11+'TE CVA'!$AB$11)*1*(1-0.03)</f>
        <v>209.13469685121515</v>
      </c>
      <c r="AB200" s="6">
        <f>$K$200*$V$200</f>
        <v>22368.183599999997</v>
      </c>
      <c r="AC200" s="6">
        <f>$M$200*$W$200</f>
        <v>59611.212978800002</v>
      </c>
      <c r="AD200" s="6">
        <f>$O$200*$X$200</f>
        <v>59890.04149399999</v>
      </c>
      <c r="AE200" s="6">
        <f ca="1">$K$200*$Y$200</f>
        <v>22876.278217274466</v>
      </c>
      <c r="AF200" s="6">
        <f ca="1">$M$200*$Z$200</f>
        <v>108782.74602383013</v>
      </c>
      <c r="AG200" s="6">
        <f>$O$200*$AA$200</f>
        <v>129239.17774784227</v>
      </c>
    </row>
    <row r="201" spans="1:33" ht="11.25" customHeight="1" x14ac:dyDescent="0.25">
      <c r="A201" s="4" t="s">
        <v>54</v>
      </c>
      <c r="B201" s="4" t="s">
        <v>41</v>
      </c>
      <c r="C201" s="4" t="s">
        <v>40</v>
      </c>
      <c r="D201" s="4" t="s">
        <v>51</v>
      </c>
      <c r="E201" s="4" t="s">
        <v>52</v>
      </c>
      <c r="F201" s="4" t="s">
        <v>25</v>
      </c>
      <c r="G201" s="4" t="s">
        <v>25</v>
      </c>
      <c r="H201" s="4" t="s">
        <v>35</v>
      </c>
      <c r="I201" s="5">
        <v>44866</v>
      </c>
      <c r="J201" s="6">
        <v>1113</v>
      </c>
      <c r="K201" s="70">
        <v>1113</v>
      </c>
      <c r="L201" s="6">
        <v>617.971</v>
      </c>
      <c r="M201" s="71">
        <v>617.971</v>
      </c>
      <c r="N201" s="6">
        <v>617.971</v>
      </c>
      <c r="O201" s="71">
        <v>617.971</v>
      </c>
      <c r="P201" s="6">
        <v>0</v>
      </c>
      <c r="Q201" s="4" t="s">
        <v>26</v>
      </c>
      <c r="R201" s="4">
        <v>0</v>
      </c>
      <c r="S201" s="6">
        <v>43</v>
      </c>
      <c r="T201" s="6">
        <v>46</v>
      </c>
      <c r="U201" s="6">
        <v>76</v>
      </c>
      <c r="V201" s="71">
        <f>IF(ISERROR(VLOOKUP($S$201,'TAR FIN'!$A$1:$O$108,15,0)),0,VLOOKUP($S$201,'TAR FIN'!$A$1:$O$108,15,0))*(1-0.06)</f>
        <v>20.097199999999997</v>
      </c>
      <c r="W201" s="71">
        <f>IF(ISERROR(VLOOKUP($T$201,'TAR FIN'!$A$1:$O$108,15,0)),0,VLOOKUP($T$201,'TAR FIN'!$A$1:$O$108,15,0))*(1-0.06)</f>
        <v>96.462800000000001</v>
      </c>
      <c r="X201" s="71">
        <f>IF(ISERROR(VLOOKUP($U$201,'TAR FIN'!$A$1:$O$108,15,0)),0,VLOOKUP($U$201,'TAR FIN'!$A$1:$O$108,15,0))*(1-0.06)</f>
        <v>96.913999999999987</v>
      </c>
      <c r="Y201" s="71">
        <f ca="1">('TUSD BE'!$AM$22+'TUSD BF'!$AM$22+'TUSD CVA'!$AM$22)*1*(1-0.03)</f>
        <v>20.553709090093861</v>
      </c>
      <c r="Z201" s="71">
        <f ca="1">('TUSD BE'!$AM$23+'TUSD BF'!$AM$23+'TUSD CVA'!$AM$23)*1*(1-0.03)</f>
        <v>176.03212128696998</v>
      </c>
      <c r="AA201" s="71">
        <f>('TE BE'!$AB$11+'TE BF'!$AB$11+'TE CVA'!$AB$11)*1*(1-0.03)</f>
        <v>209.13469685121515</v>
      </c>
      <c r="AB201" s="6">
        <f>$K$201*$V$201</f>
        <v>22368.183599999997</v>
      </c>
      <c r="AC201" s="6">
        <f>$M$201*$W$201</f>
        <v>59611.212978800002</v>
      </c>
      <c r="AD201" s="6">
        <f>$O$201*$X$201</f>
        <v>59890.04149399999</v>
      </c>
      <c r="AE201" s="6">
        <f ca="1">$K$201*$Y$201</f>
        <v>22876.278217274466</v>
      </c>
      <c r="AF201" s="6">
        <f ca="1">$M$201*$Z$201</f>
        <v>108782.74602383013</v>
      </c>
      <c r="AG201" s="6">
        <f>$O$201*$AA$201</f>
        <v>129239.17774784227</v>
      </c>
    </row>
    <row r="202" spans="1:33" ht="11.25" customHeight="1" x14ac:dyDescent="0.25">
      <c r="A202" s="4" t="s">
        <v>21</v>
      </c>
      <c r="B202" s="4" t="s">
        <v>41</v>
      </c>
      <c r="C202" s="4" t="s">
        <v>40</v>
      </c>
      <c r="D202" s="4" t="s">
        <v>51</v>
      </c>
      <c r="E202" s="4" t="s">
        <v>52</v>
      </c>
      <c r="F202" s="4" t="s">
        <v>25</v>
      </c>
      <c r="G202" s="4" t="s">
        <v>25</v>
      </c>
      <c r="H202" s="4" t="s">
        <v>34</v>
      </c>
      <c r="I202" s="5">
        <v>44531</v>
      </c>
      <c r="J202" s="6">
        <v>1344</v>
      </c>
      <c r="K202" s="70">
        <v>1344</v>
      </c>
      <c r="L202" s="6">
        <v>76.8</v>
      </c>
      <c r="M202" s="71">
        <v>76.8</v>
      </c>
      <c r="N202" s="6">
        <v>76.8</v>
      </c>
      <c r="O202" s="71">
        <v>76.8</v>
      </c>
      <c r="P202" s="6">
        <v>0</v>
      </c>
      <c r="Q202" s="4" t="s">
        <v>26</v>
      </c>
      <c r="R202" s="4">
        <v>0</v>
      </c>
      <c r="S202" s="6">
        <v>42</v>
      </c>
      <c r="T202" s="6">
        <v>46</v>
      </c>
      <c r="U202" s="6">
        <v>75</v>
      </c>
      <c r="V202" s="71">
        <f>IF(ISERROR(VLOOKUP($S$202,'TAR FIN'!$A$1:$O$108,15,0)),0,VLOOKUP($S$202,'TAR FIN'!$A$1:$O$108,15,0))*(1-0.06)</f>
        <v>52.451999999999991</v>
      </c>
      <c r="W202" s="71">
        <f>IF(ISERROR(VLOOKUP($T$202,'TAR FIN'!$A$1:$O$108,15,0)),0,VLOOKUP($T$202,'TAR FIN'!$A$1:$O$108,15,0))*(1-0.06)</f>
        <v>96.462800000000001</v>
      </c>
      <c r="X202" s="71">
        <f>IF(ISERROR(VLOOKUP($U$202,'TAR FIN'!$A$1:$O$108,15,0)),0,VLOOKUP($U$202,'TAR FIN'!$A$1:$O$108,15,0))*(1-0.06)</f>
        <v>149.86420000000001</v>
      </c>
      <c r="Y202" s="71">
        <f ca="1">('TUSD BE'!$AM$21+'TUSD BF'!$AM$21+'TUSD CVA'!$AM$21)*1*(1-0.03)</f>
        <v>52.620968893838473</v>
      </c>
      <c r="Z202" s="71">
        <f ca="1">('TUSD BE'!$AM$23+'TUSD BF'!$AM$23+'TUSD CVA'!$AM$23)*1*(1-0.03)</f>
        <v>176.03212128696998</v>
      </c>
      <c r="AA202" s="71">
        <f>('TE BE'!$AB$10+'TE BF'!$AB$10+'TE CVA'!$AB$10)*1*(1-0.03)</f>
        <v>312.46103067547443</v>
      </c>
      <c r="AB202" s="6">
        <f>$K$202*$V$202</f>
        <v>70495.487999999983</v>
      </c>
      <c r="AC202" s="6">
        <f>$M$202*$W$202</f>
        <v>7408.3430399999997</v>
      </c>
      <c r="AD202" s="6">
        <f>$O$202*$X$202</f>
        <v>11509.57056</v>
      </c>
      <c r="AE202" s="6">
        <f ca="1">$K$202*$Y$202</f>
        <v>70722.582193318915</v>
      </c>
      <c r="AF202" s="6">
        <f ca="1">$M$202*$Z$202</f>
        <v>13519.266914839294</v>
      </c>
      <c r="AG202" s="6">
        <f>$O$202*$AA$202</f>
        <v>23997.007155876436</v>
      </c>
    </row>
    <row r="203" spans="1:33" ht="11.25" customHeight="1" x14ac:dyDescent="0.25">
      <c r="A203" s="4" t="s">
        <v>21</v>
      </c>
      <c r="B203" s="4" t="s">
        <v>41</v>
      </c>
      <c r="C203" s="4" t="s">
        <v>40</v>
      </c>
      <c r="D203" s="4" t="s">
        <v>51</v>
      </c>
      <c r="E203" s="4" t="s">
        <v>52</v>
      </c>
      <c r="F203" s="4" t="s">
        <v>25</v>
      </c>
      <c r="G203" s="4" t="s">
        <v>25</v>
      </c>
      <c r="H203" s="4" t="s">
        <v>34</v>
      </c>
      <c r="I203" s="5">
        <v>44562</v>
      </c>
      <c r="J203" s="6">
        <v>1344</v>
      </c>
      <c r="K203" s="70">
        <v>1344</v>
      </c>
      <c r="L203" s="6">
        <v>74.236000000000004</v>
      </c>
      <c r="M203" s="71">
        <v>74.236000000000004</v>
      </c>
      <c r="N203" s="6">
        <v>74.236000000000004</v>
      </c>
      <c r="O203" s="71">
        <v>74.236000000000004</v>
      </c>
      <c r="P203" s="6">
        <v>0</v>
      </c>
      <c r="Q203" s="4" t="s">
        <v>26</v>
      </c>
      <c r="R203" s="4">
        <v>0</v>
      </c>
      <c r="S203" s="6">
        <v>42</v>
      </c>
      <c r="T203" s="6">
        <v>46</v>
      </c>
      <c r="U203" s="6">
        <v>75</v>
      </c>
      <c r="V203" s="71">
        <f>IF(ISERROR(VLOOKUP($S$203,'TAR FIN'!$A$1:$O$108,15,0)),0,VLOOKUP($S$203,'TAR FIN'!$A$1:$O$108,15,0))*(1-0.06)</f>
        <v>52.451999999999991</v>
      </c>
      <c r="W203" s="71">
        <f>IF(ISERROR(VLOOKUP($T$203,'TAR FIN'!$A$1:$O$108,15,0)),0,VLOOKUP($T$203,'TAR FIN'!$A$1:$O$108,15,0))*(1-0.06)</f>
        <v>96.462800000000001</v>
      </c>
      <c r="X203" s="71">
        <f>IF(ISERROR(VLOOKUP($U$203,'TAR FIN'!$A$1:$O$108,15,0)),0,VLOOKUP($U$203,'TAR FIN'!$A$1:$O$108,15,0))*(1-0.06)</f>
        <v>149.86420000000001</v>
      </c>
      <c r="Y203" s="71">
        <f ca="1">('TUSD BE'!$AM$21+'TUSD BF'!$AM$21+'TUSD CVA'!$AM$21)*1*(1-0.03)</f>
        <v>52.620968893838473</v>
      </c>
      <c r="Z203" s="71">
        <f ca="1">('TUSD BE'!$AM$23+'TUSD BF'!$AM$23+'TUSD CVA'!$AM$23)*1*(1-0.03)</f>
        <v>176.03212128696998</v>
      </c>
      <c r="AA203" s="71">
        <f>('TE BE'!$AB$10+'TE BF'!$AB$10+'TE CVA'!$AB$10)*1*(1-0.03)</f>
        <v>312.46103067547443</v>
      </c>
      <c r="AB203" s="6">
        <f>$K$203*$V$203</f>
        <v>70495.487999999983</v>
      </c>
      <c r="AC203" s="6">
        <f>$M$203*$W$203</f>
        <v>7161.0124208000007</v>
      </c>
      <c r="AD203" s="6">
        <f>$O$203*$X$203</f>
        <v>11125.318751200002</v>
      </c>
      <c r="AE203" s="6">
        <f ca="1">$K$203*$Y$203</f>
        <v>70722.582193318915</v>
      </c>
      <c r="AF203" s="6">
        <f ca="1">$M$203*$Z$203</f>
        <v>13067.920555859504</v>
      </c>
      <c r="AG203" s="6">
        <f>$O$203*$AA$203</f>
        <v>23195.857073224521</v>
      </c>
    </row>
    <row r="204" spans="1:33" ht="11.25" customHeight="1" x14ac:dyDescent="0.25">
      <c r="A204" s="4" t="s">
        <v>21</v>
      </c>
      <c r="B204" s="4" t="s">
        <v>41</v>
      </c>
      <c r="C204" s="4" t="s">
        <v>40</v>
      </c>
      <c r="D204" s="4" t="s">
        <v>51</v>
      </c>
      <c r="E204" s="4" t="s">
        <v>52</v>
      </c>
      <c r="F204" s="4" t="s">
        <v>25</v>
      </c>
      <c r="G204" s="4" t="s">
        <v>25</v>
      </c>
      <c r="H204" s="4" t="s">
        <v>34</v>
      </c>
      <c r="I204" s="5">
        <v>44593</v>
      </c>
      <c r="J204" s="6">
        <v>1344</v>
      </c>
      <c r="K204" s="70">
        <v>1344</v>
      </c>
      <c r="L204" s="6">
        <v>82.531000000000006</v>
      </c>
      <c r="M204" s="71">
        <v>82.531000000000006</v>
      </c>
      <c r="N204" s="6">
        <v>82.531000000000006</v>
      </c>
      <c r="O204" s="71">
        <v>82.531000000000006</v>
      </c>
      <c r="P204" s="6">
        <v>0</v>
      </c>
      <c r="Q204" s="4" t="s">
        <v>26</v>
      </c>
      <c r="R204" s="4">
        <v>0</v>
      </c>
      <c r="S204" s="6">
        <v>42</v>
      </c>
      <c r="T204" s="6">
        <v>46</v>
      </c>
      <c r="U204" s="6">
        <v>75</v>
      </c>
      <c r="V204" s="71">
        <f>IF(ISERROR(VLOOKUP($S$204,'TAR FIN'!$A$1:$O$108,15,0)),0,VLOOKUP($S$204,'TAR FIN'!$A$1:$O$108,15,0))*(1-0.06)</f>
        <v>52.451999999999991</v>
      </c>
      <c r="W204" s="71">
        <f>IF(ISERROR(VLOOKUP($T$204,'TAR FIN'!$A$1:$O$108,15,0)),0,VLOOKUP($T$204,'TAR FIN'!$A$1:$O$108,15,0))*(1-0.06)</f>
        <v>96.462800000000001</v>
      </c>
      <c r="X204" s="71">
        <f>IF(ISERROR(VLOOKUP($U$204,'TAR FIN'!$A$1:$O$108,15,0)),0,VLOOKUP($U$204,'TAR FIN'!$A$1:$O$108,15,0))*(1-0.06)</f>
        <v>149.86420000000001</v>
      </c>
      <c r="Y204" s="71">
        <f ca="1">('TUSD BE'!$AM$21+'TUSD BF'!$AM$21+'TUSD CVA'!$AM$21)*1*(1-0.03)</f>
        <v>52.620968893838473</v>
      </c>
      <c r="Z204" s="71">
        <f ca="1">('TUSD BE'!$AM$23+'TUSD BF'!$AM$23+'TUSD CVA'!$AM$23)*1*(1-0.03)</f>
        <v>176.03212128696998</v>
      </c>
      <c r="AA204" s="71">
        <f>('TE BE'!$AB$10+'TE BF'!$AB$10+'TE CVA'!$AB$10)*1*(1-0.03)</f>
        <v>312.46103067547443</v>
      </c>
      <c r="AB204" s="6">
        <f>$K$204*$V$204</f>
        <v>70495.487999999983</v>
      </c>
      <c r="AC204" s="6">
        <f>$M$204*$W$204</f>
        <v>7961.1713468000007</v>
      </c>
      <c r="AD204" s="6">
        <f>$O$204*$X$204</f>
        <v>12368.442290200002</v>
      </c>
      <c r="AE204" s="6">
        <f ca="1">$K$204*$Y$204</f>
        <v>70722.582193318915</v>
      </c>
      <c r="AF204" s="6">
        <f ca="1">$M$204*$Z$204</f>
        <v>14528.107001934921</v>
      </c>
      <c r="AG204" s="6">
        <f>$O$204*$AA$204</f>
        <v>25787.721322677582</v>
      </c>
    </row>
    <row r="205" spans="1:33" ht="11.25" customHeight="1" x14ac:dyDescent="0.25">
      <c r="A205" s="4" t="s">
        <v>21</v>
      </c>
      <c r="B205" s="4" t="s">
        <v>41</v>
      </c>
      <c r="C205" s="4" t="s">
        <v>40</v>
      </c>
      <c r="D205" s="4" t="s">
        <v>51</v>
      </c>
      <c r="E205" s="4" t="s">
        <v>52</v>
      </c>
      <c r="F205" s="4" t="s">
        <v>25</v>
      </c>
      <c r="G205" s="4" t="s">
        <v>25</v>
      </c>
      <c r="H205" s="4" t="s">
        <v>34</v>
      </c>
      <c r="I205" s="5">
        <v>44621</v>
      </c>
      <c r="J205" s="6">
        <v>1344</v>
      </c>
      <c r="K205" s="70">
        <v>1344</v>
      </c>
      <c r="L205" s="6">
        <v>76.837999999999994</v>
      </c>
      <c r="M205" s="71">
        <v>76.837999999999994</v>
      </c>
      <c r="N205" s="6">
        <v>76.837999999999994</v>
      </c>
      <c r="O205" s="71">
        <v>76.837999999999994</v>
      </c>
      <c r="P205" s="6">
        <v>0</v>
      </c>
      <c r="Q205" s="4" t="s">
        <v>26</v>
      </c>
      <c r="R205" s="4">
        <v>0</v>
      </c>
      <c r="S205" s="6">
        <v>42</v>
      </c>
      <c r="T205" s="6">
        <v>46</v>
      </c>
      <c r="U205" s="6">
        <v>75</v>
      </c>
      <c r="V205" s="71">
        <f>IF(ISERROR(VLOOKUP($S$205,'TAR FIN'!$A$1:$O$108,15,0)),0,VLOOKUP($S$205,'TAR FIN'!$A$1:$O$108,15,0))*(1-0.06)</f>
        <v>52.451999999999991</v>
      </c>
      <c r="W205" s="71">
        <f>IF(ISERROR(VLOOKUP($T$205,'TAR FIN'!$A$1:$O$108,15,0)),0,VLOOKUP($T$205,'TAR FIN'!$A$1:$O$108,15,0))*(1-0.06)</f>
        <v>96.462800000000001</v>
      </c>
      <c r="X205" s="71">
        <f>IF(ISERROR(VLOOKUP($U$205,'TAR FIN'!$A$1:$O$108,15,0)),0,VLOOKUP($U$205,'TAR FIN'!$A$1:$O$108,15,0))*(1-0.06)</f>
        <v>149.86420000000001</v>
      </c>
      <c r="Y205" s="71">
        <f ca="1">('TUSD BE'!$AM$21+'TUSD BF'!$AM$21+'TUSD CVA'!$AM$21)*1*(1-0.03)</f>
        <v>52.620968893838473</v>
      </c>
      <c r="Z205" s="71">
        <f ca="1">('TUSD BE'!$AM$23+'TUSD BF'!$AM$23+'TUSD CVA'!$AM$23)*1*(1-0.03)</f>
        <v>176.03212128696998</v>
      </c>
      <c r="AA205" s="71">
        <f>('TE BE'!$AB$10+'TE BF'!$AB$10+'TE CVA'!$AB$10)*1*(1-0.03)</f>
        <v>312.46103067547443</v>
      </c>
      <c r="AB205" s="6">
        <f>$K$205*$V$205</f>
        <v>70495.487999999983</v>
      </c>
      <c r="AC205" s="6">
        <f>$M$205*$W$205</f>
        <v>7412.0086263999992</v>
      </c>
      <c r="AD205" s="6">
        <f>$O$205*$X$205</f>
        <v>11515.265399600001</v>
      </c>
      <c r="AE205" s="6">
        <f ca="1">$K$205*$Y$205</f>
        <v>70722.582193318915</v>
      </c>
      <c r="AF205" s="6">
        <f ca="1">$M$205*$Z$205</f>
        <v>13525.956135448198</v>
      </c>
      <c r="AG205" s="6">
        <f>$O$205*$AA$205</f>
        <v>24008.880675042103</v>
      </c>
    </row>
    <row r="206" spans="1:33" ht="11.25" customHeight="1" x14ac:dyDescent="0.25">
      <c r="A206" s="4" t="s">
        <v>21</v>
      </c>
      <c r="B206" s="4" t="s">
        <v>41</v>
      </c>
      <c r="C206" s="4" t="s">
        <v>40</v>
      </c>
      <c r="D206" s="4" t="s">
        <v>51</v>
      </c>
      <c r="E206" s="4" t="s">
        <v>52</v>
      </c>
      <c r="F206" s="4" t="s">
        <v>25</v>
      </c>
      <c r="G206" s="4" t="s">
        <v>25</v>
      </c>
      <c r="H206" s="4" t="s">
        <v>34</v>
      </c>
      <c r="I206" s="5">
        <v>44652</v>
      </c>
      <c r="J206" s="6">
        <v>1344</v>
      </c>
      <c r="K206" s="70">
        <v>1344</v>
      </c>
      <c r="L206" s="6">
        <v>65.721000000000004</v>
      </c>
      <c r="M206" s="71">
        <v>65.721000000000004</v>
      </c>
      <c r="N206" s="6">
        <v>65.721000000000004</v>
      </c>
      <c r="O206" s="71">
        <v>65.721000000000004</v>
      </c>
      <c r="P206" s="6">
        <v>0</v>
      </c>
      <c r="Q206" s="4" t="s">
        <v>26</v>
      </c>
      <c r="R206" s="4">
        <v>0</v>
      </c>
      <c r="S206" s="6">
        <v>42</v>
      </c>
      <c r="T206" s="6">
        <v>46</v>
      </c>
      <c r="U206" s="6">
        <v>75</v>
      </c>
      <c r="V206" s="71">
        <f>IF(ISERROR(VLOOKUP($S$206,'TAR FIN'!$A$1:$O$108,15,0)),0,VLOOKUP($S$206,'TAR FIN'!$A$1:$O$108,15,0))*(1-0.06)</f>
        <v>52.451999999999991</v>
      </c>
      <c r="W206" s="71">
        <f>IF(ISERROR(VLOOKUP($T$206,'TAR FIN'!$A$1:$O$108,15,0)),0,VLOOKUP($T$206,'TAR FIN'!$A$1:$O$108,15,0))*(1-0.06)</f>
        <v>96.462800000000001</v>
      </c>
      <c r="X206" s="71">
        <f>IF(ISERROR(VLOOKUP($U$206,'TAR FIN'!$A$1:$O$108,15,0)),0,VLOOKUP($U$206,'TAR FIN'!$A$1:$O$108,15,0))*(1-0.06)</f>
        <v>149.86420000000001</v>
      </c>
      <c r="Y206" s="71">
        <f ca="1">('TUSD BE'!$AM$21+'TUSD BF'!$AM$21+'TUSD CVA'!$AM$21)*1*(1-0.03)</f>
        <v>52.620968893838473</v>
      </c>
      <c r="Z206" s="71">
        <f ca="1">('TUSD BE'!$AM$23+'TUSD BF'!$AM$23+'TUSD CVA'!$AM$23)*1*(1-0.03)</f>
        <v>176.03212128696998</v>
      </c>
      <c r="AA206" s="71">
        <f>('TE BE'!$AB$10+'TE BF'!$AB$10+'TE CVA'!$AB$10)*1*(1-0.03)</f>
        <v>312.46103067547443</v>
      </c>
      <c r="AB206" s="6">
        <f>$K$206*$V$206</f>
        <v>70495.487999999983</v>
      </c>
      <c r="AC206" s="6">
        <f>$M$206*$W$206</f>
        <v>6339.6316788000004</v>
      </c>
      <c r="AD206" s="6">
        <f>$O$206*$X$206</f>
        <v>9849.2250882000008</v>
      </c>
      <c r="AE206" s="6">
        <f ca="1">$K$206*$Y$206</f>
        <v>70722.582193318915</v>
      </c>
      <c r="AF206" s="6">
        <f ca="1">$M$206*$Z$206</f>
        <v>11569.007043100955</v>
      </c>
      <c r="AG206" s="6">
        <f>$O$206*$AA$206</f>
        <v>20535.251397022857</v>
      </c>
    </row>
    <row r="207" spans="1:33" ht="11.25" customHeight="1" x14ac:dyDescent="0.25">
      <c r="A207" s="4" t="s">
        <v>21</v>
      </c>
      <c r="B207" s="4" t="s">
        <v>41</v>
      </c>
      <c r="C207" s="4" t="s">
        <v>40</v>
      </c>
      <c r="D207" s="4" t="s">
        <v>51</v>
      </c>
      <c r="E207" s="4" t="s">
        <v>52</v>
      </c>
      <c r="F207" s="4" t="s">
        <v>25</v>
      </c>
      <c r="G207" s="4" t="s">
        <v>25</v>
      </c>
      <c r="H207" s="4" t="s">
        <v>34</v>
      </c>
      <c r="I207" s="5">
        <v>44682</v>
      </c>
      <c r="J207" s="6">
        <v>1344</v>
      </c>
      <c r="K207" s="70">
        <v>1344</v>
      </c>
      <c r="L207" s="6">
        <v>69.638000000000005</v>
      </c>
      <c r="M207" s="71">
        <v>69.638000000000005</v>
      </c>
      <c r="N207" s="6">
        <v>69.638000000000005</v>
      </c>
      <c r="O207" s="71">
        <v>69.638000000000005</v>
      </c>
      <c r="P207" s="6">
        <v>0</v>
      </c>
      <c r="Q207" s="4" t="s">
        <v>26</v>
      </c>
      <c r="R207" s="4">
        <v>0</v>
      </c>
      <c r="S207" s="6">
        <v>42</v>
      </c>
      <c r="T207" s="6">
        <v>46</v>
      </c>
      <c r="U207" s="6">
        <v>75</v>
      </c>
      <c r="V207" s="71">
        <f>IF(ISERROR(VLOOKUP($S$207,'TAR FIN'!$A$1:$O$108,15,0)),0,VLOOKUP($S$207,'TAR FIN'!$A$1:$O$108,15,0))*(1-0.06)</f>
        <v>52.451999999999991</v>
      </c>
      <c r="W207" s="71">
        <f>IF(ISERROR(VLOOKUP($T$207,'TAR FIN'!$A$1:$O$108,15,0)),0,VLOOKUP($T$207,'TAR FIN'!$A$1:$O$108,15,0))*(1-0.06)</f>
        <v>96.462800000000001</v>
      </c>
      <c r="X207" s="71">
        <f>IF(ISERROR(VLOOKUP($U$207,'TAR FIN'!$A$1:$O$108,15,0)),0,VLOOKUP($U$207,'TAR FIN'!$A$1:$O$108,15,0))*(1-0.06)</f>
        <v>149.86420000000001</v>
      </c>
      <c r="Y207" s="71">
        <f ca="1">('TUSD BE'!$AM$21+'TUSD BF'!$AM$21+'TUSD CVA'!$AM$21)*1*(1-0.03)</f>
        <v>52.620968893838473</v>
      </c>
      <c r="Z207" s="71">
        <f ca="1">('TUSD BE'!$AM$23+'TUSD BF'!$AM$23+'TUSD CVA'!$AM$23)*1*(1-0.03)</f>
        <v>176.03212128696998</v>
      </c>
      <c r="AA207" s="71">
        <f>('TE BE'!$AB$10+'TE BF'!$AB$10+'TE CVA'!$AB$10)*1*(1-0.03)</f>
        <v>312.46103067547443</v>
      </c>
      <c r="AB207" s="6">
        <f>$K$207*$V$207</f>
        <v>70495.487999999983</v>
      </c>
      <c r="AC207" s="6">
        <f>$M$207*$W$207</f>
        <v>6717.4764664000004</v>
      </c>
      <c r="AD207" s="6">
        <f>$O$207*$X$207</f>
        <v>10436.243159600002</v>
      </c>
      <c r="AE207" s="6">
        <f ca="1">$K$207*$Y$207</f>
        <v>70722.582193318915</v>
      </c>
      <c r="AF207" s="6">
        <f ca="1">$M$207*$Z$207</f>
        <v>12258.524862182017</v>
      </c>
      <c r="AG207" s="6">
        <f>$O$207*$AA$207</f>
        <v>21759.161254178689</v>
      </c>
    </row>
    <row r="208" spans="1:33" ht="11.25" customHeight="1" x14ac:dyDescent="0.25">
      <c r="A208" s="4" t="s">
        <v>21</v>
      </c>
      <c r="B208" s="4" t="s">
        <v>41</v>
      </c>
      <c r="C208" s="4" t="s">
        <v>40</v>
      </c>
      <c r="D208" s="4" t="s">
        <v>51</v>
      </c>
      <c r="E208" s="4" t="s">
        <v>52</v>
      </c>
      <c r="F208" s="4" t="s">
        <v>25</v>
      </c>
      <c r="G208" s="4" t="s">
        <v>25</v>
      </c>
      <c r="H208" s="4" t="s">
        <v>34</v>
      </c>
      <c r="I208" s="5">
        <v>44713</v>
      </c>
      <c r="J208" s="6">
        <v>1344</v>
      </c>
      <c r="K208" s="70">
        <v>1344</v>
      </c>
      <c r="L208" s="6">
        <v>65.289000000000001</v>
      </c>
      <c r="M208" s="71">
        <v>65.289000000000001</v>
      </c>
      <c r="N208" s="6">
        <v>65.289000000000001</v>
      </c>
      <c r="O208" s="71">
        <v>65.289000000000001</v>
      </c>
      <c r="P208" s="6">
        <v>0</v>
      </c>
      <c r="Q208" s="4" t="s">
        <v>26</v>
      </c>
      <c r="R208" s="4">
        <v>0</v>
      </c>
      <c r="S208" s="6">
        <v>42</v>
      </c>
      <c r="T208" s="6">
        <v>46</v>
      </c>
      <c r="U208" s="6">
        <v>75</v>
      </c>
      <c r="V208" s="71">
        <f>IF(ISERROR(VLOOKUP($S$208,'TAR FIN'!$A$1:$O$108,15,0)),0,VLOOKUP($S$208,'TAR FIN'!$A$1:$O$108,15,0))*(1-0.06)</f>
        <v>52.451999999999991</v>
      </c>
      <c r="W208" s="71">
        <f>IF(ISERROR(VLOOKUP($T$208,'TAR FIN'!$A$1:$O$108,15,0)),0,VLOOKUP($T$208,'TAR FIN'!$A$1:$O$108,15,0))*(1-0.06)</f>
        <v>96.462800000000001</v>
      </c>
      <c r="X208" s="71">
        <f>IF(ISERROR(VLOOKUP($U$208,'TAR FIN'!$A$1:$O$108,15,0)),0,VLOOKUP($U$208,'TAR FIN'!$A$1:$O$108,15,0))*(1-0.06)</f>
        <v>149.86420000000001</v>
      </c>
      <c r="Y208" s="71">
        <f ca="1">('TUSD BE'!$AM$21+'TUSD BF'!$AM$21+'TUSD CVA'!$AM$21)*1*(1-0.03)</f>
        <v>52.620968893838473</v>
      </c>
      <c r="Z208" s="71">
        <f ca="1">('TUSD BE'!$AM$23+'TUSD BF'!$AM$23+'TUSD CVA'!$AM$23)*1*(1-0.03)</f>
        <v>176.03212128696998</v>
      </c>
      <c r="AA208" s="71">
        <f>('TE BE'!$AB$10+'TE BF'!$AB$10+'TE CVA'!$AB$10)*1*(1-0.03)</f>
        <v>312.46103067547443</v>
      </c>
      <c r="AB208" s="6">
        <f>$K$208*$V$208</f>
        <v>70495.487999999983</v>
      </c>
      <c r="AC208" s="6">
        <f>$M$208*$W$208</f>
        <v>6297.9597492000003</v>
      </c>
      <c r="AD208" s="6">
        <f>$O$208*$X$208</f>
        <v>9784.4837538000011</v>
      </c>
      <c r="AE208" s="6">
        <f ca="1">$K$208*$Y$208</f>
        <v>70722.582193318915</v>
      </c>
      <c r="AF208" s="6">
        <f ca="1">$M$208*$Z$208</f>
        <v>11492.961166704983</v>
      </c>
      <c r="AG208" s="6">
        <f>$O$208*$AA$208</f>
        <v>20400.26823177105</v>
      </c>
    </row>
    <row r="209" spans="1:33" ht="11.25" customHeight="1" x14ac:dyDescent="0.25">
      <c r="A209" s="4" t="s">
        <v>27</v>
      </c>
      <c r="B209" s="4" t="s">
        <v>41</v>
      </c>
      <c r="C209" s="4" t="s">
        <v>40</v>
      </c>
      <c r="D209" s="4" t="s">
        <v>51</v>
      </c>
      <c r="E209" s="4" t="s">
        <v>52</v>
      </c>
      <c r="F209" s="4" t="s">
        <v>25</v>
      </c>
      <c r="G209" s="4" t="s">
        <v>25</v>
      </c>
      <c r="H209" s="4" t="s">
        <v>34</v>
      </c>
      <c r="I209" s="5">
        <v>44743</v>
      </c>
      <c r="J209" s="6">
        <v>1344</v>
      </c>
      <c r="K209" s="70">
        <v>1344</v>
      </c>
      <c r="L209" s="6">
        <v>23.366</v>
      </c>
      <c r="M209" s="71">
        <v>23.366</v>
      </c>
      <c r="N209" s="6">
        <v>23.366</v>
      </c>
      <c r="O209" s="71">
        <v>23.366</v>
      </c>
      <c r="P209" s="6">
        <v>0</v>
      </c>
      <c r="Q209" s="4" t="s">
        <v>26</v>
      </c>
      <c r="R209" s="4">
        <v>0</v>
      </c>
      <c r="S209" s="6">
        <v>42</v>
      </c>
      <c r="T209" s="6">
        <v>46</v>
      </c>
      <c r="U209" s="6">
        <v>75</v>
      </c>
      <c r="V209" s="71">
        <f>IF(ISERROR(VLOOKUP($S$209,'TAR FIN'!$A$1:$O$108,15,0)),0,VLOOKUP($S$209,'TAR FIN'!$A$1:$O$108,15,0))*(1-0.06)</f>
        <v>52.451999999999991</v>
      </c>
      <c r="W209" s="71">
        <f>IF(ISERROR(VLOOKUP($T$209,'TAR FIN'!$A$1:$O$108,15,0)),0,VLOOKUP($T$209,'TAR FIN'!$A$1:$O$108,15,0))*(1-0.06)</f>
        <v>96.462800000000001</v>
      </c>
      <c r="X209" s="71">
        <f>IF(ISERROR(VLOOKUP($U$209,'TAR FIN'!$A$1:$O$108,15,0)),0,VLOOKUP($U$209,'TAR FIN'!$A$1:$O$108,15,0))*(1-0.06)</f>
        <v>149.86420000000001</v>
      </c>
      <c r="Y209" s="71">
        <f ca="1">('TUSD BE'!$AM$21+'TUSD BF'!$AM$21+'TUSD CVA'!$AM$21)*1*(1-0.03)</f>
        <v>52.620968893838473</v>
      </c>
      <c r="Z209" s="71">
        <f ca="1">('TUSD BE'!$AM$23+'TUSD BF'!$AM$23+'TUSD CVA'!$AM$23)*1*(1-0.03)</f>
        <v>176.03212128696998</v>
      </c>
      <c r="AA209" s="71">
        <f>('TE BE'!$AB$10+'TE BF'!$AB$10+'TE CVA'!$AB$10)*1*(1-0.03)</f>
        <v>312.46103067547443</v>
      </c>
      <c r="AB209" s="6">
        <f>$K$209*$V$209</f>
        <v>70495.487999999983</v>
      </c>
      <c r="AC209" s="6">
        <f>$M$209*$W$209</f>
        <v>2253.9497848000001</v>
      </c>
      <c r="AD209" s="6">
        <f>$O$209*$X$209</f>
        <v>3501.7268972000002</v>
      </c>
      <c r="AE209" s="6">
        <f ca="1">$K$209*$Y$209</f>
        <v>70722.582193318915</v>
      </c>
      <c r="AF209" s="6">
        <f ca="1">$M$209*$Z$209</f>
        <v>4113.1665459913402</v>
      </c>
      <c r="AG209" s="6">
        <f>$O$209*$AA$209</f>
        <v>7300.9644427631356</v>
      </c>
    </row>
    <row r="210" spans="1:33" ht="11.25" customHeight="1" x14ac:dyDescent="0.25">
      <c r="A210" s="4" t="s">
        <v>21</v>
      </c>
      <c r="B210" s="4" t="s">
        <v>41</v>
      </c>
      <c r="C210" s="4" t="s">
        <v>40</v>
      </c>
      <c r="D210" s="4" t="s">
        <v>51</v>
      </c>
      <c r="E210" s="4" t="s">
        <v>52</v>
      </c>
      <c r="F210" s="4" t="s">
        <v>25</v>
      </c>
      <c r="G210" s="4" t="s">
        <v>25</v>
      </c>
      <c r="H210" s="4" t="s">
        <v>34</v>
      </c>
      <c r="I210" s="5">
        <v>44774</v>
      </c>
      <c r="J210" s="6">
        <v>1075</v>
      </c>
      <c r="K210" s="70">
        <v>1075</v>
      </c>
      <c r="L210" s="6">
        <v>62.908000000000001</v>
      </c>
      <c r="M210" s="71">
        <v>62.908000000000001</v>
      </c>
      <c r="N210" s="6">
        <v>62.908000000000001</v>
      </c>
      <c r="O210" s="71">
        <v>62.908000000000001</v>
      </c>
      <c r="P210" s="6">
        <v>0</v>
      </c>
      <c r="Q210" s="4" t="s">
        <v>26</v>
      </c>
      <c r="R210" s="4">
        <v>0</v>
      </c>
      <c r="S210" s="6">
        <v>42</v>
      </c>
      <c r="T210" s="6">
        <v>46</v>
      </c>
      <c r="U210" s="6">
        <v>75</v>
      </c>
      <c r="V210" s="71">
        <f>IF(ISERROR(VLOOKUP($S$210,'TAR FIN'!$A$1:$O$108,15,0)),0,VLOOKUP($S$210,'TAR FIN'!$A$1:$O$108,15,0))*(1-0.06)</f>
        <v>52.451999999999991</v>
      </c>
      <c r="W210" s="71">
        <f>IF(ISERROR(VLOOKUP($T$210,'TAR FIN'!$A$1:$O$108,15,0)),0,VLOOKUP($T$210,'TAR FIN'!$A$1:$O$108,15,0))*(1-0.06)</f>
        <v>96.462800000000001</v>
      </c>
      <c r="X210" s="71">
        <f>IF(ISERROR(VLOOKUP($U$210,'TAR FIN'!$A$1:$O$108,15,0)),0,VLOOKUP($U$210,'TAR FIN'!$A$1:$O$108,15,0))*(1-0.06)</f>
        <v>149.86420000000001</v>
      </c>
      <c r="Y210" s="71">
        <f ca="1">('TUSD BE'!$AM$21+'TUSD BF'!$AM$21+'TUSD CVA'!$AM$21)*1*(1-0.03)</f>
        <v>52.620968893838473</v>
      </c>
      <c r="Z210" s="71">
        <f ca="1">('TUSD BE'!$AM$23+'TUSD BF'!$AM$23+'TUSD CVA'!$AM$23)*1*(1-0.03)</f>
        <v>176.03212128696998</v>
      </c>
      <c r="AA210" s="71">
        <f>('TE BE'!$AB$10+'TE BF'!$AB$10+'TE CVA'!$AB$10)*1*(1-0.03)</f>
        <v>312.46103067547443</v>
      </c>
      <c r="AB210" s="6">
        <f>$K$210*$V$210</f>
        <v>56385.899999999987</v>
      </c>
      <c r="AC210" s="6">
        <f>$M$210*$W$210</f>
        <v>6068.2818224000002</v>
      </c>
      <c r="AD210" s="6">
        <f>$O$210*$X$210</f>
        <v>9427.6570936000007</v>
      </c>
      <c r="AE210" s="6">
        <f ca="1">$K$210*$Y$210</f>
        <v>56567.541560876358</v>
      </c>
      <c r="AF210" s="6">
        <f ca="1">$M$210*$Z$210</f>
        <v>11073.828685920707</v>
      </c>
      <c r="AG210" s="6">
        <f>$O$210*$AA$210</f>
        <v>19656.298517732746</v>
      </c>
    </row>
    <row r="211" spans="1:33" ht="11.25" customHeight="1" x14ac:dyDescent="0.25">
      <c r="A211" s="4" t="s">
        <v>27</v>
      </c>
      <c r="B211" s="4" t="s">
        <v>41</v>
      </c>
      <c r="C211" s="4" t="s">
        <v>40</v>
      </c>
      <c r="D211" s="4" t="s">
        <v>51</v>
      </c>
      <c r="E211" s="4" t="s">
        <v>52</v>
      </c>
      <c r="F211" s="4" t="s">
        <v>25</v>
      </c>
      <c r="G211" s="4" t="s">
        <v>25</v>
      </c>
      <c r="H211" s="4" t="s">
        <v>34</v>
      </c>
      <c r="I211" s="5">
        <v>44774</v>
      </c>
      <c r="J211" s="6">
        <v>0</v>
      </c>
      <c r="K211" s="71">
        <v>0</v>
      </c>
      <c r="L211" s="6">
        <v>39.014000000000003</v>
      </c>
      <c r="M211" s="71">
        <v>39.014000000000003</v>
      </c>
      <c r="N211" s="6">
        <v>39.014000000000003</v>
      </c>
      <c r="O211" s="71">
        <v>39.014000000000003</v>
      </c>
      <c r="P211" s="6">
        <v>0</v>
      </c>
      <c r="Q211" s="4" t="s">
        <v>26</v>
      </c>
      <c r="R211" s="4">
        <v>0</v>
      </c>
      <c r="S211" s="6">
        <v>0</v>
      </c>
      <c r="T211" s="6">
        <v>46</v>
      </c>
      <c r="U211" s="6">
        <v>75</v>
      </c>
      <c r="V211" s="71">
        <f>IF(ISERROR(VLOOKUP($S$211,'TAR FIN'!$A$1:$O$108,15,0)),0,VLOOKUP($S$211,'TAR FIN'!$A$1:$O$108,15,0))*(1-0.06)</f>
        <v>0</v>
      </c>
      <c r="W211" s="71">
        <f>IF(ISERROR(VLOOKUP($T$211,'TAR FIN'!$A$1:$O$108,15,0)),0,VLOOKUP($T$211,'TAR FIN'!$A$1:$O$108,15,0))*(1-0.06)</f>
        <v>96.462800000000001</v>
      </c>
      <c r="X211" s="71">
        <f>IF(ISERROR(VLOOKUP($U$211,'TAR FIN'!$A$1:$O$108,15,0)),0,VLOOKUP($U$211,'TAR FIN'!$A$1:$O$108,15,0))*(1-0.06)</f>
        <v>149.86420000000001</v>
      </c>
      <c r="Y211" s="71">
        <f ca="1">('TUSD BE'!$AM$21+'TUSD BF'!$AM$21+'TUSD CVA'!$AM$21)*1*(1-0.03)</f>
        <v>52.620968893838473</v>
      </c>
      <c r="Z211" s="71">
        <f ca="1">('TUSD BE'!$AM$23+'TUSD BF'!$AM$23+'TUSD CVA'!$AM$23)*1*(1-0.03)</f>
        <v>176.03212128696998</v>
      </c>
      <c r="AA211" s="71">
        <f>('TE BE'!$AB$10+'TE BF'!$AB$10+'TE CVA'!$AB$10)*1*(1-0.03)</f>
        <v>312.46103067547443</v>
      </c>
      <c r="AB211" s="6">
        <f>$K$211*$V$211</f>
        <v>0</v>
      </c>
      <c r="AC211" s="6">
        <f>$M$211*$W$211</f>
        <v>3763.3996792000003</v>
      </c>
      <c r="AD211" s="6">
        <f>$O$211*$X$211</f>
        <v>5846.8018988000013</v>
      </c>
      <c r="AE211" s="6">
        <f ca="1">$K$211*$Y$211</f>
        <v>0</v>
      </c>
      <c r="AF211" s="6">
        <f ca="1">$M$211*$Z$211</f>
        <v>6867.7171798898471</v>
      </c>
      <c r="AG211" s="6">
        <f>$O$211*$AA$211</f>
        <v>12190.354650772961</v>
      </c>
    </row>
    <row r="212" spans="1:33" ht="11.25" customHeight="1" x14ac:dyDescent="0.25">
      <c r="A212" s="4" t="s">
        <v>21</v>
      </c>
      <c r="B212" s="4" t="s">
        <v>41</v>
      </c>
      <c r="C212" s="4" t="s">
        <v>40</v>
      </c>
      <c r="D212" s="4" t="s">
        <v>51</v>
      </c>
      <c r="E212" s="4" t="s">
        <v>52</v>
      </c>
      <c r="F212" s="4" t="s">
        <v>25</v>
      </c>
      <c r="G212" s="4" t="s">
        <v>25</v>
      </c>
      <c r="H212" s="4" t="s">
        <v>34</v>
      </c>
      <c r="I212" s="5">
        <v>44805</v>
      </c>
      <c r="J212" s="6">
        <v>1075</v>
      </c>
      <c r="K212" s="70">
        <v>1075</v>
      </c>
      <c r="L212" s="6">
        <v>54.47</v>
      </c>
      <c r="M212" s="71">
        <v>54.47</v>
      </c>
      <c r="N212" s="6">
        <v>54.47</v>
      </c>
      <c r="O212" s="71">
        <v>54.47</v>
      </c>
      <c r="P212" s="6">
        <v>0</v>
      </c>
      <c r="Q212" s="4" t="s">
        <v>26</v>
      </c>
      <c r="R212" s="4">
        <v>0</v>
      </c>
      <c r="S212" s="6">
        <v>42</v>
      </c>
      <c r="T212" s="6">
        <v>46</v>
      </c>
      <c r="U212" s="6">
        <v>75</v>
      </c>
      <c r="V212" s="71">
        <f>IF(ISERROR(VLOOKUP($S$212,'TAR FIN'!$A$1:$O$108,15,0)),0,VLOOKUP($S$212,'TAR FIN'!$A$1:$O$108,15,0))*(1-0.06)</f>
        <v>52.451999999999991</v>
      </c>
      <c r="W212" s="71">
        <f>IF(ISERROR(VLOOKUP($T$212,'TAR FIN'!$A$1:$O$108,15,0)),0,VLOOKUP($T$212,'TAR FIN'!$A$1:$O$108,15,0))*(1-0.06)</f>
        <v>96.462800000000001</v>
      </c>
      <c r="X212" s="71">
        <f>IF(ISERROR(VLOOKUP($U$212,'TAR FIN'!$A$1:$O$108,15,0)),0,VLOOKUP($U$212,'TAR FIN'!$A$1:$O$108,15,0))*(1-0.06)</f>
        <v>149.86420000000001</v>
      </c>
      <c r="Y212" s="71">
        <f ca="1">('TUSD BE'!$AM$21+'TUSD BF'!$AM$21+'TUSD CVA'!$AM$21)*1*(1-0.03)</f>
        <v>52.620968893838473</v>
      </c>
      <c r="Z212" s="71">
        <f ca="1">('TUSD BE'!$AM$23+'TUSD BF'!$AM$23+'TUSD CVA'!$AM$23)*1*(1-0.03)</f>
        <v>176.03212128696998</v>
      </c>
      <c r="AA212" s="71">
        <f>('TE BE'!$AB$10+'TE BF'!$AB$10+'TE CVA'!$AB$10)*1*(1-0.03)</f>
        <v>312.46103067547443</v>
      </c>
      <c r="AB212" s="6">
        <f>$K$212*$V$212</f>
        <v>56385.899999999987</v>
      </c>
      <c r="AC212" s="6">
        <f>$M$212*$W$212</f>
        <v>5254.328716</v>
      </c>
      <c r="AD212" s="6">
        <f>$O$212*$X$212</f>
        <v>8163.1029740000004</v>
      </c>
      <c r="AE212" s="6">
        <f ca="1">$K$212*$Y$212</f>
        <v>56567.541560876358</v>
      </c>
      <c r="AF212" s="6">
        <f ca="1">$M$212*$Z$212</f>
        <v>9588.4696465012548</v>
      </c>
      <c r="AG212" s="6">
        <f>$O$212*$AA$212</f>
        <v>17019.752340893094</v>
      </c>
    </row>
    <row r="213" spans="1:33" ht="11.25" customHeight="1" x14ac:dyDescent="0.25">
      <c r="A213" s="4" t="s">
        <v>21</v>
      </c>
      <c r="B213" s="4" t="s">
        <v>41</v>
      </c>
      <c r="C213" s="4" t="s">
        <v>40</v>
      </c>
      <c r="D213" s="4" t="s">
        <v>51</v>
      </c>
      <c r="E213" s="4" t="s">
        <v>52</v>
      </c>
      <c r="F213" s="4" t="s">
        <v>25</v>
      </c>
      <c r="G213" s="4" t="s">
        <v>25</v>
      </c>
      <c r="H213" s="4" t="s">
        <v>34</v>
      </c>
      <c r="I213" s="5">
        <v>44835</v>
      </c>
      <c r="J213" s="6">
        <v>1075</v>
      </c>
      <c r="K213" s="70">
        <v>1075</v>
      </c>
      <c r="L213" s="6">
        <v>54.71</v>
      </c>
      <c r="M213" s="71">
        <v>54.71</v>
      </c>
      <c r="N213" s="6">
        <v>54.71</v>
      </c>
      <c r="O213" s="71">
        <v>54.71</v>
      </c>
      <c r="P213" s="6">
        <v>0</v>
      </c>
      <c r="Q213" s="4" t="s">
        <v>26</v>
      </c>
      <c r="R213" s="4">
        <v>0</v>
      </c>
      <c r="S213" s="6">
        <v>42</v>
      </c>
      <c r="T213" s="6">
        <v>46</v>
      </c>
      <c r="U213" s="6">
        <v>75</v>
      </c>
      <c r="V213" s="71">
        <f>IF(ISERROR(VLOOKUP($S$213,'TAR FIN'!$A$1:$O$108,15,0)),0,VLOOKUP($S$213,'TAR FIN'!$A$1:$O$108,15,0))*(1-0.06)</f>
        <v>52.451999999999991</v>
      </c>
      <c r="W213" s="71">
        <f>IF(ISERROR(VLOOKUP($T$213,'TAR FIN'!$A$1:$O$108,15,0)),0,VLOOKUP($T$213,'TAR FIN'!$A$1:$O$108,15,0))*(1-0.06)</f>
        <v>96.462800000000001</v>
      </c>
      <c r="X213" s="71">
        <f>IF(ISERROR(VLOOKUP($U$213,'TAR FIN'!$A$1:$O$108,15,0)),0,VLOOKUP($U$213,'TAR FIN'!$A$1:$O$108,15,0))*(1-0.06)</f>
        <v>149.86420000000001</v>
      </c>
      <c r="Y213" s="71">
        <f ca="1">('TUSD BE'!$AM$21+'TUSD BF'!$AM$21+'TUSD CVA'!$AM$21)*1*(1-0.03)</f>
        <v>52.620968893838473</v>
      </c>
      <c r="Z213" s="71">
        <f ca="1">('TUSD BE'!$AM$23+'TUSD BF'!$AM$23+'TUSD CVA'!$AM$23)*1*(1-0.03)</f>
        <v>176.03212128696998</v>
      </c>
      <c r="AA213" s="71">
        <f>('TE BE'!$AB$10+'TE BF'!$AB$10+'TE CVA'!$AB$10)*1*(1-0.03)</f>
        <v>312.46103067547443</v>
      </c>
      <c r="AB213" s="6">
        <f>$K$213*$V$213</f>
        <v>56385.899999999987</v>
      </c>
      <c r="AC213" s="6">
        <f>$M$213*$W$213</f>
        <v>5277.4797880000006</v>
      </c>
      <c r="AD213" s="6">
        <f>$O$213*$X$213</f>
        <v>8199.0703819999999</v>
      </c>
      <c r="AE213" s="6">
        <f ca="1">$K$213*$Y$213</f>
        <v>56567.541560876358</v>
      </c>
      <c r="AF213" s="6">
        <f ca="1">$M$213*$Z$213</f>
        <v>9630.7173556101279</v>
      </c>
      <c r="AG213" s="6">
        <f>$O$213*$AA$213</f>
        <v>17094.742988255206</v>
      </c>
    </row>
    <row r="214" spans="1:33" ht="11.25" customHeight="1" x14ac:dyDescent="0.25">
      <c r="A214" s="4" t="s">
        <v>54</v>
      </c>
      <c r="B214" s="4" t="s">
        <v>41</v>
      </c>
      <c r="C214" s="4" t="s">
        <v>40</v>
      </c>
      <c r="D214" s="4" t="s">
        <v>51</v>
      </c>
      <c r="E214" s="4" t="s">
        <v>52</v>
      </c>
      <c r="F214" s="4" t="s">
        <v>25</v>
      </c>
      <c r="G214" s="4" t="s">
        <v>25</v>
      </c>
      <c r="H214" s="4" t="s">
        <v>34</v>
      </c>
      <c r="I214" s="5">
        <v>44866</v>
      </c>
      <c r="J214" s="6">
        <v>1075</v>
      </c>
      <c r="K214" s="70">
        <v>1075</v>
      </c>
      <c r="L214" s="6">
        <v>54.71</v>
      </c>
      <c r="M214" s="71">
        <v>54.71</v>
      </c>
      <c r="N214" s="6">
        <v>54.71</v>
      </c>
      <c r="O214" s="71">
        <v>54.71</v>
      </c>
      <c r="P214" s="6">
        <v>0</v>
      </c>
      <c r="Q214" s="4" t="s">
        <v>26</v>
      </c>
      <c r="R214" s="4">
        <v>0</v>
      </c>
      <c r="S214" s="6">
        <v>42</v>
      </c>
      <c r="T214" s="6">
        <v>46</v>
      </c>
      <c r="U214" s="6">
        <v>75</v>
      </c>
      <c r="V214" s="71">
        <f>IF(ISERROR(VLOOKUP($S$214,'TAR FIN'!$A$1:$O$108,15,0)),0,VLOOKUP($S$214,'TAR FIN'!$A$1:$O$108,15,0))*(1-0.06)</f>
        <v>52.451999999999991</v>
      </c>
      <c r="W214" s="71">
        <f>IF(ISERROR(VLOOKUP($T$214,'TAR FIN'!$A$1:$O$108,15,0)),0,VLOOKUP($T$214,'TAR FIN'!$A$1:$O$108,15,0))*(1-0.06)</f>
        <v>96.462800000000001</v>
      </c>
      <c r="X214" s="71">
        <f>IF(ISERROR(VLOOKUP($U$214,'TAR FIN'!$A$1:$O$108,15,0)),0,VLOOKUP($U$214,'TAR FIN'!$A$1:$O$108,15,0))*(1-0.06)</f>
        <v>149.86420000000001</v>
      </c>
      <c r="Y214" s="71">
        <f ca="1">('TUSD BE'!$AM$21+'TUSD BF'!$AM$21+'TUSD CVA'!$AM$21)*1*(1-0.03)</f>
        <v>52.620968893838473</v>
      </c>
      <c r="Z214" s="71">
        <f ca="1">('TUSD BE'!$AM$23+'TUSD BF'!$AM$23+'TUSD CVA'!$AM$23)*1*(1-0.03)</f>
        <v>176.03212128696998</v>
      </c>
      <c r="AA214" s="71">
        <f>('TE BE'!$AB$10+'TE BF'!$AB$10+'TE CVA'!$AB$10)*1*(1-0.03)</f>
        <v>312.46103067547443</v>
      </c>
      <c r="AB214" s="6">
        <f>$K$214*$V$214</f>
        <v>56385.899999999987</v>
      </c>
      <c r="AC214" s="6">
        <f>$M$214*$W$214</f>
        <v>5277.4797880000006</v>
      </c>
      <c r="AD214" s="6">
        <f>$O$214*$X$214</f>
        <v>8199.0703819999999</v>
      </c>
      <c r="AE214" s="6">
        <f ca="1">$K$214*$Y$214</f>
        <v>56567.541560876358</v>
      </c>
      <c r="AF214" s="6">
        <f ca="1">$M$214*$Z$214</f>
        <v>9630.7173556101279</v>
      </c>
      <c r="AG214" s="6">
        <f>$O$214*$AA$214</f>
        <v>17094.742988255206</v>
      </c>
    </row>
    <row r="215" spans="1:33" ht="11.25" customHeight="1" x14ac:dyDescent="0.25">
      <c r="A215" s="4" t="s">
        <v>21</v>
      </c>
      <c r="B215" s="4" t="s">
        <v>41</v>
      </c>
      <c r="C215" s="4" t="s">
        <v>43</v>
      </c>
      <c r="D215" s="4" t="s">
        <v>44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6876.8010000000004</v>
      </c>
      <c r="M215" s="6">
        <v>6876.8010000000004</v>
      </c>
      <c r="N215" s="6">
        <v>6876.8010000000004</v>
      </c>
      <c r="O215" s="6">
        <v>6876.8010000000004</v>
      </c>
      <c r="P215" s="6">
        <v>0</v>
      </c>
      <c r="Q215" s="4" t="s">
        <v>26</v>
      </c>
      <c r="R215" s="4">
        <v>0</v>
      </c>
      <c r="S215" s="6">
        <v>0</v>
      </c>
      <c r="T215" s="6">
        <v>7</v>
      </c>
      <c r="U215" s="6">
        <v>76</v>
      </c>
      <c r="V215" s="6">
        <f>IF(ISERROR(VLOOKUP($S$215,'TAR FIN'!$A$1:$O$108,15,0)),0,VLOOKUP($S$215,'TAR FIN'!$A$1:$O$108,15,0))</f>
        <v>0</v>
      </c>
      <c r="W215" s="6">
        <f>IF(ISERROR(VLOOKUP($T$215,'TAR FIN'!$A$1:$O$108,15,0)),0,VLOOKUP($T$215,'TAR FIN'!$A$1:$O$108,15,0))</f>
        <v>102.62</v>
      </c>
      <c r="X215" s="6">
        <f>IF(ISERROR(VLOOKUP($U$215,'TAR FIN'!$A$1:$O$108,15,0)),0,VLOOKUP($U$215,'TAR FIN'!$A$1:$O$108,15,0))</f>
        <v>103.1</v>
      </c>
      <c r="Y215" s="6"/>
      <c r="Z215" s="6">
        <f ca="1">('TUSD BE'!$AM$28+'TUSD BF'!$AM$28+'TUSD CVA'!$AM$28)*1</f>
        <v>181.47641369790719</v>
      </c>
      <c r="AA215" s="6">
        <f>('TE BE'!$AB$11+'TE BF'!$AB$11+'TE CVA'!$AB$11)*1</f>
        <v>215.60278025898469</v>
      </c>
      <c r="AB215" s="6">
        <f>$K$215*$V$215</f>
        <v>0</v>
      </c>
      <c r="AC215" s="6">
        <f>$M$215*$W$215</f>
        <v>705697.31862000003</v>
      </c>
      <c r="AD215" s="6">
        <f>$O$215*$X$215</f>
        <v>708998.18310000002</v>
      </c>
      <c r="AE215" s="6">
        <f>$K$215*$Y$215</f>
        <v>0</v>
      </c>
      <c r="AF215" s="6">
        <f ca="1">$M$215*$Z$215</f>
        <v>1247977.1831941819</v>
      </c>
      <c r="AG215" s="6">
        <f>$O$215*$AA$215</f>
        <v>1482657.4148877664</v>
      </c>
    </row>
    <row r="216" spans="1:33" ht="11.25" customHeight="1" x14ac:dyDescent="0.25">
      <c r="A216" s="4" t="s">
        <v>28</v>
      </c>
      <c r="B216" s="4" t="s">
        <v>41</v>
      </c>
      <c r="C216" s="4" t="s">
        <v>43</v>
      </c>
      <c r="D216" s="4" t="s">
        <v>44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44531</v>
      </c>
      <c r="J216" s="6">
        <v>0</v>
      </c>
      <c r="K216" s="6">
        <v>0</v>
      </c>
      <c r="L216" s="6">
        <v>51.869</v>
      </c>
      <c r="M216" s="6">
        <v>51.869</v>
      </c>
      <c r="N216" s="6">
        <v>51.869</v>
      </c>
      <c r="O216" s="6">
        <v>51.869</v>
      </c>
      <c r="P216" s="6">
        <v>0</v>
      </c>
      <c r="Q216" s="4" t="s">
        <v>26</v>
      </c>
      <c r="R216" s="4">
        <v>0</v>
      </c>
      <c r="S216" s="6">
        <v>0</v>
      </c>
      <c r="T216" s="6">
        <v>7</v>
      </c>
      <c r="U216" s="6">
        <v>76</v>
      </c>
      <c r="V216" s="6">
        <f>IF(ISERROR(VLOOKUP($S$216,'TAR FIN'!$A$1:$O$108,15,0)),0,VLOOKUP($S$216,'TAR FIN'!$A$1:$O$108,15,0))</f>
        <v>0</v>
      </c>
      <c r="W216" s="6">
        <f>IF(ISERROR(VLOOKUP($T$216,'TAR FIN'!$A$1:$O$108,15,0)),0,VLOOKUP($T$216,'TAR FIN'!$A$1:$O$108,15,0))</f>
        <v>102.62</v>
      </c>
      <c r="X216" s="6">
        <f>IF(ISERROR(VLOOKUP($U$216,'TAR FIN'!$A$1:$O$108,15,0)),0,VLOOKUP($U$216,'TAR FIN'!$A$1:$O$108,15,0))</f>
        <v>103.1</v>
      </c>
      <c r="Y216" s="6"/>
      <c r="Z216" s="6">
        <f ca="1">('TUSD BE'!$AM$28+'TUSD BF'!$AM$28+'TUSD CVA'!$AM$28)*1</f>
        <v>181.47641369790719</v>
      </c>
      <c r="AA216" s="6">
        <f>('TE BE'!$AB$11+'TE BF'!$AB$11+'TE CVA'!$AB$11)*1</f>
        <v>215.60278025898469</v>
      </c>
      <c r="AB216" s="6">
        <f>$K$216*$V$216</f>
        <v>0</v>
      </c>
      <c r="AC216" s="6">
        <f>$M$216*$W$216</f>
        <v>5322.7967800000006</v>
      </c>
      <c r="AD216" s="6">
        <f>$O$216*$X$216</f>
        <v>5347.6938999999993</v>
      </c>
      <c r="AE216" s="6">
        <f>$K$216*$Y$216</f>
        <v>0</v>
      </c>
      <c r="AF216" s="6">
        <f ca="1">$M$216*$Z$216</f>
        <v>9413.0001020967484</v>
      </c>
      <c r="AG216" s="6">
        <f>$O$216*$AA$216</f>
        <v>11183.100609253277</v>
      </c>
    </row>
    <row r="217" spans="1:33" ht="11.25" customHeight="1" x14ac:dyDescent="0.25">
      <c r="A217" s="4" t="s">
        <v>21</v>
      </c>
      <c r="B217" s="4" t="s">
        <v>41</v>
      </c>
      <c r="C217" s="4" t="s">
        <v>43</v>
      </c>
      <c r="D217" s="4" t="s">
        <v>44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44562</v>
      </c>
      <c r="J217" s="6">
        <v>0</v>
      </c>
      <c r="K217" s="6">
        <v>0</v>
      </c>
      <c r="L217" s="6">
        <v>6060.0330000000004</v>
      </c>
      <c r="M217" s="6">
        <v>6060.0330000000004</v>
      </c>
      <c r="N217" s="6">
        <v>6060.0330000000004</v>
      </c>
      <c r="O217" s="6">
        <v>6060.0330000000004</v>
      </c>
      <c r="P217" s="6">
        <v>0</v>
      </c>
      <c r="Q217" s="4" t="s">
        <v>26</v>
      </c>
      <c r="R217" s="4">
        <v>0</v>
      </c>
      <c r="S217" s="6">
        <v>0</v>
      </c>
      <c r="T217" s="6">
        <v>7</v>
      </c>
      <c r="U217" s="6">
        <v>76</v>
      </c>
      <c r="V217" s="6">
        <f>IF(ISERROR(VLOOKUP($S$217,'TAR FIN'!$A$1:$O$108,15,0)),0,VLOOKUP($S$217,'TAR FIN'!$A$1:$O$108,15,0))</f>
        <v>0</v>
      </c>
      <c r="W217" s="6">
        <f>IF(ISERROR(VLOOKUP($T$217,'TAR FIN'!$A$1:$O$108,15,0)),0,VLOOKUP($T$217,'TAR FIN'!$A$1:$O$108,15,0))</f>
        <v>102.62</v>
      </c>
      <c r="X217" s="6">
        <f>IF(ISERROR(VLOOKUP($U$217,'TAR FIN'!$A$1:$O$108,15,0)),0,VLOOKUP($U$217,'TAR FIN'!$A$1:$O$108,15,0))</f>
        <v>103.1</v>
      </c>
      <c r="Y217" s="6"/>
      <c r="Z217" s="6">
        <f ca="1">('TUSD BE'!$AM$28+'TUSD BF'!$AM$28+'TUSD CVA'!$AM$28)*1</f>
        <v>181.47641369790719</v>
      </c>
      <c r="AA217" s="6">
        <f>('TE BE'!$AB$11+'TE BF'!$AB$11+'TE CVA'!$AB$11)*1</f>
        <v>215.60278025898469</v>
      </c>
      <c r="AB217" s="6">
        <f>$K$217*$V$217</f>
        <v>0</v>
      </c>
      <c r="AC217" s="6">
        <f>$M$217*$W$217</f>
        <v>621880.58646000002</v>
      </c>
      <c r="AD217" s="6">
        <f>$O$217*$X$217</f>
        <v>624789.40229999996</v>
      </c>
      <c r="AE217" s="6">
        <f>$K$217*$Y$217</f>
        <v>0</v>
      </c>
      <c r="AF217" s="6">
        <f ca="1">$M$217*$Z$217</f>
        <v>1099753.0557309696</v>
      </c>
      <c r="AG217" s="6">
        <f>$O$217*$AA$217</f>
        <v>1306559.9632611959</v>
      </c>
    </row>
    <row r="218" spans="1:33" ht="11.25" customHeight="1" x14ac:dyDescent="0.25">
      <c r="A218" s="4" t="s">
        <v>27</v>
      </c>
      <c r="B218" s="4" t="s">
        <v>41</v>
      </c>
      <c r="C218" s="4" t="s">
        <v>43</v>
      </c>
      <c r="D218" s="4" t="s">
        <v>44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44562</v>
      </c>
      <c r="J218" s="6">
        <v>0</v>
      </c>
      <c r="K218" s="6">
        <v>0</v>
      </c>
      <c r="L218" s="6">
        <v>-40.671999999999997</v>
      </c>
      <c r="M218" s="6">
        <v>-40.671999999999997</v>
      </c>
      <c r="N218" s="6">
        <v>-40.671999999999997</v>
      </c>
      <c r="O218" s="6">
        <v>-40.671999999999997</v>
      </c>
      <c r="P218" s="6">
        <v>0</v>
      </c>
      <c r="Q218" s="4" t="s">
        <v>26</v>
      </c>
      <c r="R218" s="4">
        <v>0</v>
      </c>
      <c r="S218" s="6">
        <v>0</v>
      </c>
      <c r="T218" s="6">
        <v>7</v>
      </c>
      <c r="U218" s="6">
        <v>76</v>
      </c>
      <c r="V218" s="6">
        <f>IF(ISERROR(VLOOKUP($S$218,'TAR FIN'!$A$1:$O$108,15,0)),0,VLOOKUP($S$218,'TAR FIN'!$A$1:$O$108,15,0))</f>
        <v>0</v>
      </c>
      <c r="W218" s="6">
        <f>IF(ISERROR(VLOOKUP($T$218,'TAR FIN'!$A$1:$O$108,15,0)),0,VLOOKUP($T$218,'TAR FIN'!$A$1:$O$108,15,0))</f>
        <v>102.62</v>
      </c>
      <c r="X218" s="6">
        <f>IF(ISERROR(VLOOKUP($U$218,'TAR FIN'!$A$1:$O$108,15,0)),0,VLOOKUP($U$218,'TAR FIN'!$A$1:$O$108,15,0))</f>
        <v>103.1</v>
      </c>
      <c r="Y218" s="6"/>
      <c r="Z218" s="6">
        <f ca="1">('TUSD BE'!$AM$28+'TUSD BF'!$AM$28+'TUSD CVA'!$AM$28)*1</f>
        <v>181.47641369790719</v>
      </c>
      <c r="AA218" s="6">
        <f>('TE BE'!$AB$11+'TE BF'!$AB$11+'TE CVA'!$AB$11)*1</f>
        <v>215.60278025898469</v>
      </c>
      <c r="AB218" s="6">
        <f>$K$218*$V$218</f>
        <v>0</v>
      </c>
      <c r="AC218" s="6">
        <f>$M$218*$W$218</f>
        <v>-4173.7606399999995</v>
      </c>
      <c r="AD218" s="6">
        <f>$O$218*$X$218</f>
        <v>-4193.2831999999999</v>
      </c>
      <c r="AE218" s="6">
        <f>$K$218*$Y$218</f>
        <v>0</v>
      </c>
      <c r="AF218" s="6">
        <f ca="1">$M$218*$Z$218</f>
        <v>-7381.0086979212811</v>
      </c>
      <c r="AG218" s="6">
        <f>$O$218*$AA$218</f>
        <v>-8768.9962786934248</v>
      </c>
    </row>
    <row r="219" spans="1:33" ht="11.25" customHeight="1" x14ac:dyDescent="0.25">
      <c r="A219" s="4" t="s">
        <v>28</v>
      </c>
      <c r="B219" s="4" t="s">
        <v>41</v>
      </c>
      <c r="C219" s="4" t="s">
        <v>43</v>
      </c>
      <c r="D219" s="4" t="s">
        <v>44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44562</v>
      </c>
      <c r="J219" s="6">
        <v>0</v>
      </c>
      <c r="K219" s="6">
        <v>0</v>
      </c>
      <c r="L219" s="6">
        <v>61.966000000000001</v>
      </c>
      <c r="M219" s="6">
        <v>61.966000000000001</v>
      </c>
      <c r="N219" s="6">
        <v>61.966000000000001</v>
      </c>
      <c r="O219" s="6">
        <v>61.966000000000001</v>
      </c>
      <c r="P219" s="6">
        <v>0</v>
      </c>
      <c r="Q219" s="4" t="s">
        <v>26</v>
      </c>
      <c r="R219" s="4">
        <v>0</v>
      </c>
      <c r="S219" s="6">
        <v>0</v>
      </c>
      <c r="T219" s="6">
        <v>7</v>
      </c>
      <c r="U219" s="6">
        <v>76</v>
      </c>
      <c r="V219" s="6">
        <f>IF(ISERROR(VLOOKUP($S$219,'TAR FIN'!$A$1:$O$108,15,0)),0,VLOOKUP($S$219,'TAR FIN'!$A$1:$O$108,15,0))</f>
        <v>0</v>
      </c>
      <c r="W219" s="6">
        <f>IF(ISERROR(VLOOKUP($T$219,'TAR FIN'!$A$1:$O$108,15,0)),0,VLOOKUP($T$219,'TAR FIN'!$A$1:$O$108,15,0))</f>
        <v>102.62</v>
      </c>
      <c r="X219" s="6">
        <f>IF(ISERROR(VLOOKUP($U$219,'TAR FIN'!$A$1:$O$108,15,0)),0,VLOOKUP($U$219,'TAR FIN'!$A$1:$O$108,15,0))</f>
        <v>103.1</v>
      </c>
      <c r="Y219" s="6"/>
      <c r="Z219" s="6">
        <f ca="1">('TUSD BE'!$AM$28+'TUSD BF'!$AM$28+'TUSD CVA'!$AM$28)*1</f>
        <v>181.47641369790719</v>
      </c>
      <c r="AA219" s="6">
        <f>('TE BE'!$AB$11+'TE BF'!$AB$11+'TE CVA'!$AB$11)*1</f>
        <v>215.60278025898469</v>
      </c>
      <c r="AB219" s="6">
        <f>$K$219*$V$219</f>
        <v>0</v>
      </c>
      <c r="AC219" s="6">
        <f>$M$219*$W$219</f>
        <v>6358.9509200000002</v>
      </c>
      <c r="AD219" s="6">
        <f>$O$219*$X$219</f>
        <v>6388.6945999999998</v>
      </c>
      <c r="AE219" s="6">
        <f>$K$219*$Y$219</f>
        <v>0</v>
      </c>
      <c r="AF219" s="6">
        <f ca="1">$M$219*$Z$219</f>
        <v>11245.367451204516</v>
      </c>
      <c r="AG219" s="6">
        <f>$O$219*$AA$219</f>
        <v>13360.041881528246</v>
      </c>
    </row>
    <row r="220" spans="1:33" ht="11.25" customHeight="1" x14ac:dyDescent="0.25">
      <c r="A220" s="4" t="s">
        <v>21</v>
      </c>
      <c r="B220" s="4" t="s">
        <v>41</v>
      </c>
      <c r="C220" s="4" t="s">
        <v>43</v>
      </c>
      <c r="D220" s="4" t="s">
        <v>44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44593</v>
      </c>
      <c r="J220" s="6">
        <v>0</v>
      </c>
      <c r="K220" s="6">
        <v>0</v>
      </c>
      <c r="L220" s="6">
        <v>6104.1469999999999</v>
      </c>
      <c r="M220" s="6">
        <v>6104.1469999999999</v>
      </c>
      <c r="N220" s="6">
        <v>6104.1469999999999</v>
      </c>
      <c r="O220" s="6">
        <v>6104.1469999999999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7</v>
      </c>
      <c r="U220" s="6">
        <v>76</v>
      </c>
      <c r="V220" s="6">
        <f>IF(ISERROR(VLOOKUP($S$220,'TAR FIN'!$A$1:$O$108,15,0)),0,VLOOKUP($S$220,'TAR FIN'!$A$1:$O$108,15,0))</f>
        <v>0</v>
      </c>
      <c r="W220" s="6">
        <f>IF(ISERROR(VLOOKUP($T$220,'TAR FIN'!$A$1:$O$108,15,0)),0,VLOOKUP($T$220,'TAR FIN'!$A$1:$O$108,15,0))</f>
        <v>102.62</v>
      </c>
      <c r="X220" s="6">
        <f>IF(ISERROR(VLOOKUP($U$220,'TAR FIN'!$A$1:$O$108,15,0)),0,VLOOKUP($U$220,'TAR FIN'!$A$1:$O$108,15,0))</f>
        <v>103.1</v>
      </c>
      <c r="Y220" s="6"/>
      <c r="Z220" s="6">
        <f ca="1">('TUSD BE'!$AM$28+'TUSD BF'!$AM$28+'TUSD CVA'!$AM$28)*1</f>
        <v>181.47641369790719</v>
      </c>
      <c r="AA220" s="6">
        <f>('TE BE'!$AB$11+'TE BF'!$AB$11+'TE CVA'!$AB$11)*1</f>
        <v>215.60278025898469</v>
      </c>
      <c r="AB220" s="6">
        <f>$K$220*$V$220</f>
        <v>0</v>
      </c>
      <c r="AC220" s="6">
        <f>$M$220*$W$220</f>
        <v>626407.56514000008</v>
      </c>
      <c r="AD220" s="6">
        <f>$O$220*$X$220</f>
        <v>629337.55569999991</v>
      </c>
      <c r="AE220" s="6">
        <f>$K$220*$Y$220</f>
        <v>0</v>
      </c>
      <c r="AF220" s="6">
        <f ca="1">$M$220*$Z$220</f>
        <v>1107758.7062448391</v>
      </c>
      <c r="AG220" s="6">
        <f>$O$220*$AA$220</f>
        <v>1316071.0643095407</v>
      </c>
    </row>
    <row r="221" spans="1:33" ht="11.25" customHeight="1" x14ac:dyDescent="0.25">
      <c r="A221" s="4" t="s">
        <v>27</v>
      </c>
      <c r="B221" s="4" t="s">
        <v>41</v>
      </c>
      <c r="C221" s="4" t="s">
        <v>43</v>
      </c>
      <c r="D221" s="4" t="s">
        <v>44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44593</v>
      </c>
      <c r="J221" s="6">
        <v>0</v>
      </c>
      <c r="K221" s="6">
        <v>0</v>
      </c>
      <c r="L221" s="6">
        <v>-0.82</v>
      </c>
      <c r="M221" s="6">
        <v>-0.82</v>
      </c>
      <c r="N221" s="6">
        <v>-0.82</v>
      </c>
      <c r="O221" s="6">
        <v>-0.82</v>
      </c>
      <c r="P221" s="6">
        <v>0</v>
      </c>
      <c r="Q221" s="4" t="s">
        <v>26</v>
      </c>
      <c r="R221" s="4">
        <v>0</v>
      </c>
      <c r="S221" s="6">
        <v>0</v>
      </c>
      <c r="T221" s="6">
        <v>7</v>
      </c>
      <c r="U221" s="6">
        <v>76</v>
      </c>
      <c r="V221" s="6">
        <f>IF(ISERROR(VLOOKUP($S$221,'TAR FIN'!$A$1:$O$108,15,0)),0,VLOOKUP($S$221,'TAR FIN'!$A$1:$O$108,15,0))</f>
        <v>0</v>
      </c>
      <c r="W221" s="6">
        <f>IF(ISERROR(VLOOKUP($T$221,'TAR FIN'!$A$1:$O$108,15,0)),0,VLOOKUP($T$221,'TAR FIN'!$A$1:$O$108,15,0))</f>
        <v>102.62</v>
      </c>
      <c r="X221" s="6">
        <f>IF(ISERROR(VLOOKUP($U$221,'TAR FIN'!$A$1:$O$108,15,0)),0,VLOOKUP($U$221,'TAR FIN'!$A$1:$O$108,15,0))</f>
        <v>103.1</v>
      </c>
      <c r="Y221" s="6"/>
      <c r="Z221" s="6">
        <f ca="1">('TUSD BE'!$AM$28+'TUSD BF'!$AM$28+'TUSD CVA'!$AM$28)*1</f>
        <v>181.47641369790719</v>
      </c>
      <c r="AA221" s="6">
        <f>('TE BE'!$AB$11+'TE BF'!$AB$11+'TE CVA'!$AB$11)*1</f>
        <v>215.60278025898469</v>
      </c>
      <c r="AB221" s="6">
        <f>$K$221*$V$221</f>
        <v>0</v>
      </c>
      <c r="AC221" s="6">
        <f>$M$221*$W$221</f>
        <v>-84.148399999999995</v>
      </c>
      <c r="AD221" s="6">
        <f>$O$221*$X$221</f>
        <v>-84.541999999999987</v>
      </c>
      <c r="AE221" s="6">
        <f>$K$221*$Y$221</f>
        <v>0</v>
      </c>
      <c r="AF221" s="6">
        <f ca="1">$M$221*$Z$221</f>
        <v>-148.81065923228388</v>
      </c>
      <c r="AG221" s="6">
        <f>$O$221*$AA$221</f>
        <v>-176.79427981236745</v>
      </c>
    </row>
    <row r="222" spans="1:33" ht="11.25" customHeight="1" x14ac:dyDescent="0.25">
      <c r="A222" s="4" t="s">
        <v>28</v>
      </c>
      <c r="B222" s="4" t="s">
        <v>41</v>
      </c>
      <c r="C222" s="4" t="s">
        <v>43</v>
      </c>
      <c r="D222" s="4" t="s">
        <v>44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44593</v>
      </c>
      <c r="J222" s="6">
        <v>0</v>
      </c>
      <c r="K222" s="6">
        <v>0</v>
      </c>
      <c r="L222" s="6">
        <v>32.055999999999997</v>
      </c>
      <c r="M222" s="6">
        <v>32.055999999999997</v>
      </c>
      <c r="N222" s="6">
        <v>32.055999999999997</v>
      </c>
      <c r="O222" s="6">
        <v>32.055999999999997</v>
      </c>
      <c r="P222" s="6">
        <v>0</v>
      </c>
      <c r="Q222" s="4" t="s">
        <v>26</v>
      </c>
      <c r="R222" s="4">
        <v>0</v>
      </c>
      <c r="S222" s="6">
        <v>0</v>
      </c>
      <c r="T222" s="6">
        <v>7</v>
      </c>
      <c r="U222" s="6">
        <v>76</v>
      </c>
      <c r="V222" s="6">
        <f>IF(ISERROR(VLOOKUP($S$222,'TAR FIN'!$A$1:$O$108,15,0)),0,VLOOKUP($S$222,'TAR FIN'!$A$1:$O$108,15,0))</f>
        <v>0</v>
      </c>
      <c r="W222" s="6">
        <f>IF(ISERROR(VLOOKUP($T$222,'TAR FIN'!$A$1:$O$108,15,0)),0,VLOOKUP($T$222,'TAR FIN'!$A$1:$O$108,15,0))</f>
        <v>102.62</v>
      </c>
      <c r="X222" s="6">
        <f>IF(ISERROR(VLOOKUP($U$222,'TAR FIN'!$A$1:$O$108,15,0)),0,VLOOKUP($U$222,'TAR FIN'!$A$1:$O$108,15,0))</f>
        <v>103.1</v>
      </c>
      <c r="Y222" s="6"/>
      <c r="Z222" s="6">
        <f ca="1">('TUSD BE'!$AM$28+'TUSD BF'!$AM$28+'TUSD CVA'!$AM$28)*1</f>
        <v>181.47641369790719</v>
      </c>
      <c r="AA222" s="6">
        <f>('TE BE'!$AB$11+'TE BF'!$AB$11+'TE CVA'!$AB$11)*1</f>
        <v>215.60278025898469</v>
      </c>
      <c r="AB222" s="6">
        <f>$K$222*$V$222</f>
        <v>0</v>
      </c>
      <c r="AC222" s="6">
        <f>$M$222*$W$222</f>
        <v>3289.5867199999998</v>
      </c>
      <c r="AD222" s="6">
        <f>$O$222*$X$222</f>
        <v>3304.9735999999994</v>
      </c>
      <c r="AE222" s="6">
        <f>$K$222*$Y$222</f>
        <v>0</v>
      </c>
      <c r="AF222" s="6">
        <f ca="1">$M$222*$Z$222</f>
        <v>5817.4079175001125</v>
      </c>
      <c r="AG222" s="6">
        <f>$O$222*$AA$222</f>
        <v>6911.3627239820125</v>
      </c>
    </row>
    <row r="223" spans="1:33" ht="11.25" customHeight="1" x14ac:dyDescent="0.25">
      <c r="A223" s="4" t="s">
        <v>21</v>
      </c>
      <c r="B223" s="4" t="s">
        <v>41</v>
      </c>
      <c r="C223" s="4" t="s">
        <v>43</v>
      </c>
      <c r="D223" s="4" t="s">
        <v>44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44621</v>
      </c>
      <c r="J223" s="6">
        <v>0</v>
      </c>
      <c r="K223" s="6">
        <v>0</v>
      </c>
      <c r="L223" s="6">
        <v>6523.6549999999997</v>
      </c>
      <c r="M223" s="6">
        <v>6523.6549999999997</v>
      </c>
      <c r="N223" s="6">
        <v>6523.6549999999997</v>
      </c>
      <c r="O223" s="6">
        <v>6523.6549999999997</v>
      </c>
      <c r="P223" s="6">
        <v>0</v>
      </c>
      <c r="Q223" s="4" t="s">
        <v>26</v>
      </c>
      <c r="R223" s="4">
        <v>0</v>
      </c>
      <c r="S223" s="6">
        <v>0</v>
      </c>
      <c r="T223" s="6">
        <v>7</v>
      </c>
      <c r="U223" s="6">
        <v>76</v>
      </c>
      <c r="V223" s="6">
        <f>IF(ISERROR(VLOOKUP($S$223,'TAR FIN'!$A$1:$O$108,15,0)),0,VLOOKUP($S$223,'TAR FIN'!$A$1:$O$108,15,0))</f>
        <v>0</v>
      </c>
      <c r="W223" s="6">
        <f>IF(ISERROR(VLOOKUP($T$223,'TAR FIN'!$A$1:$O$108,15,0)),0,VLOOKUP($T$223,'TAR FIN'!$A$1:$O$108,15,0))</f>
        <v>102.62</v>
      </c>
      <c r="X223" s="6">
        <f>IF(ISERROR(VLOOKUP($U$223,'TAR FIN'!$A$1:$O$108,15,0)),0,VLOOKUP($U$223,'TAR FIN'!$A$1:$O$108,15,0))</f>
        <v>103.1</v>
      </c>
      <c r="Y223" s="6"/>
      <c r="Z223" s="6">
        <f ca="1">('TUSD BE'!$AM$28+'TUSD BF'!$AM$28+'TUSD CVA'!$AM$28)*1</f>
        <v>181.47641369790719</v>
      </c>
      <c r="AA223" s="6">
        <f>('TE BE'!$AB$11+'TE BF'!$AB$11+'TE CVA'!$AB$11)*1</f>
        <v>215.60278025898469</v>
      </c>
      <c r="AB223" s="6">
        <f>$K$223*$V$223</f>
        <v>0</v>
      </c>
      <c r="AC223" s="6">
        <f>$M$223*$W$223</f>
        <v>669457.47609999997</v>
      </c>
      <c r="AD223" s="6">
        <f>$O$223*$X$223</f>
        <v>672588.83049999992</v>
      </c>
      <c r="AE223" s="6">
        <f>$K$223*$Y$223</f>
        <v>0</v>
      </c>
      <c r="AF223" s="6">
        <f ca="1">$M$223*$Z$223</f>
        <v>1183889.5136024207</v>
      </c>
      <c r="AG223" s="6">
        <f>$O$223*$AA$223</f>
        <v>1406518.1554504267</v>
      </c>
    </row>
    <row r="224" spans="1:33" ht="11.25" customHeight="1" x14ac:dyDescent="0.25">
      <c r="A224" s="4" t="s">
        <v>28</v>
      </c>
      <c r="B224" s="4" t="s">
        <v>41</v>
      </c>
      <c r="C224" s="4" t="s">
        <v>43</v>
      </c>
      <c r="D224" s="4" t="s">
        <v>44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44621</v>
      </c>
      <c r="J224" s="6">
        <v>0</v>
      </c>
      <c r="K224" s="6">
        <v>0</v>
      </c>
      <c r="L224" s="6">
        <v>62.746000000000002</v>
      </c>
      <c r="M224" s="6">
        <v>62.746000000000002</v>
      </c>
      <c r="N224" s="6">
        <v>62.746000000000002</v>
      </c>
      <c r="O224" s="6">
        <v>62.746000000000002</v>
      </c>
      <c r="P224" s="6">
        <v>0</v>
      </c>
      <c r="Q224" s="4" t="s">
        <v>26</v>
      </c>
      <c r="R224" s="4">
        <v>0</v>
      </c>
      <c r="S224" s="6">
        <v>0</v>
      </c>
      <c r="T224" s="6">
        <v>7</v>
      </c>
      <c r="U224" s="6">
        <v>76</v>
      </c>
      <c r="V224" s="6">
        <f>IF(ISERROR(VLOOKUP($S$224,'TAR FIN'!$A$1:$O$108,15,0)),0,VLOOKUP($S$224,'TAR FIN'!$A$1:$O$108,15,0))</f>
        <v>0</v>
      </c>
      <c r="W224" s="6">
        <f>IF(ISERROR(VLOOKUP($T$224,'TAR FIN'!$A$1:$O$108,15,0)),0,VLOOKUP($T$224,'TAR FIN'!$A$1:$O$108,15,0))</f>
        <v>102.62</v>
      </c>
      <c r="X224" s="6">
        <f>IF(ISERROR(VLOOKUP($U$224,'TAR FIN'!$A$1:$O$108,15,0)),0,VLOOKUP($U$224,'TAR FIN'!$A$1:$O$108,15,0))</f>
        <v>103.1</v>
      </c>
      <c r="Y224" s="6"/>
      <c r="Z224" s="6">
        <f ca="1">('TUSD BE'!$AM$28+'TUSD BF'!$AM$28+'TUSD CVA'!$AM$28)*1</f>
        <v>181.47641369790719</v>
      </c>
      <c r="AA224" s="6">
        <f>('TE BE'!$AB$11+'TE BF'!$AB$11+'TE CVA'!$AB$11)*1</f>
        <v>215.60278025898469</v>
      </c>
      <c r="AB224" s="6">
        <f>$K$224*$V$224</f>
        <v>0</v>
      </c>
      <c r="AC224" s="6">
        <f>$M$224*$W$224</f>
        <v>6438.9945200000002</v>
      </c>
      <c r="AD224" s="6">
        <f>$O$224*$X$224</f>
        <v>6469.1125999999995</v>
      </c>
      <c r="AE224" s="6">
        <f>$K$224*$Y$224</f>
        <v>0</v>
      </c>
      <c r="AF224" s="6">
        <f ca="1">$M$224*$Z$224</f>
        <v>11386.919053888885</v>
      </c>
      <c r="AG224" s="6">
        <f>$O$224*$AA$224</f>
        <v>13528.212050130254</v>
      </c>
    </row>
    <row r="225" spans="1:33" ht="11.25" customHeight="1" x14ac:dyDescent="0.25">
      <c r="A225" s="4" t="s">
        <v>21</v>
      </c>
      <c r="B225" s="4" t="s">
        <v>41</v>
      </c>
      <c r="C225" s="4" t="s">
        <v>43</v>
      </c>
      <c r="D225" s="4" t="s">
        <v>44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44652</v>
      </c>
      <c r="J225" s="6">
        <v>0</v>
      </c>
      <c r="K225" s="6">
        <v>0</v>
      </c>
      <c r="L225" s="6">
        <v>6406.4489999999996</v>
      </c>
      <c r="M225" s="6">
        <v>6406.4489999999996</v>
      </c>
      <c r="N225" s="6">
        <v>6406.4489999999996</v>
      </c>
      <c r="O225" s="6">
        <v>6406.4489999999996</v>
      </c>
      <c r="P225" s="6">
        <v>0</v>
      </c>
      <c r="Q225" s="4" t="s">
        <v>26</v>
      </c>
      <c r="R225" s="4">
        <v>0</v>
      </c>
      <c r="S225" s="6">
        <v>0</v>
      </c>
      <c r="T225" s="6">
        <v>7</v>
      </c>
      <c r="U225" s="6">
        <v>76</v>
      </c>
      <c r="V225" s="6">
        <f>IF(ISERROR(VLOOKUP($S$225,'TAR FIN'!$A$1:$O$108,15,0)),0,VLOOKUP($S$225,'TAR FIN'!$A$1:$O$108,15,0))</f>
        <v>0</v>
      </c>
      <c r="W225" s="6">
        <f>IF(ISERROR(VLOOKUP($T$225,'TAR FIN'!$A$1:$O$108,15,0)),0,VLOOKUP($T$225,'TAR FIN'!$A$1:$O$108,15,0))</f>
        <v>102.62</v>
      </c>
      <c r="X225" s="6">
        <f>IF(ISERROR(VLOOKUP($U$225,'TAR FIN'!$A$1:$O$108,15,0)),0,VLOOKUP($U$225,'TAR FIN'!$A$1:$O$108,15,0))</f>
        <v>103.1</v>
      </c>
      <c r="Y225" s="6"/>
      <c r="Z225" s="6">
        <f ca="1">('TUSD BE'!$AM$28+'TUSD BF'!$AM$28+'TUSD CVA'!$AM$28)*1</f>
        <v>181.47641369790719</v>
      </c>
      <c r="AA225" s="6">
        <f>('TE BE'!$AB$11+'TE BF'!$AB$11+'TE CVA'!$AB$11)*1</f>
        <v>215.60278025898469</v>
      </c>
      <c r="AB225" s="6">
        <f>$K$225*$V$225</f>
        <v>0</v>
      </c>
      <c r="AC225" s="6">
        <f>$M$225*$W$225</f>
        <v>657429.79637999996</v>
      </c>
      <c r="AD225" s="6">
        <f>$O$225*$X$225</f>
        <v>660504.89189999993</v>
      </c>
      <c r="AE225" s="6">
        <f>$K$225*$Y$225</f>
        <v>0</v>
      </c>
      <c r="AF225" s="6">
        <f ca="1">$M$225*$Z$225</f>
        <v>1162619.3890585438</v>
      </c>
      <c r="AG225" s="6">
        <f>$O$225*$AA$225</f>
        <v>1381248.2159873922</v>
      </c>
    </row>
    <row r="226" spans="1:33" ht="11.25" customHeight="1" x14ac:dyDescent="0.25">
      <c r="A226" s="4" t="s">
        <v>28</v>
      </c>
      <c r="B226" s="4" t="s">
        <v>41</v>
      </c>
      <c r="C226" s="4" t="s">
        <v>43</v>
      </c>
      <c r="D226" s="4" t="s">
        <v>44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44652</v>
      </c>
      <c r="J226" s="6">
        <v>0</v>
      </c>
      <c r="K226" s="6">
        <v>0</v>
      </c>
      <c r="L226" s="6">
        <v>73.569000000000003</v>
      </c>
      <c r="M226" s="6">
        <v>73.569000000000003</v>
      </c>
      <c r="N226" s="6">
        <v>73.569000000000003</v>
      </c>
      <c r="O226" s="6">
        <v>73.569000000000003</v>
      </c>
      <c r="P226" s="6">
        <v>0</v>
      </c>
      <c r="Q226" s="4" t="s">
        <v>26</v>
      </c>
      <c r="R226" s="4">
        <v>0</v>
      </c>
      <c r="S226" s="6">
        <v>0</v>
      </c>
      <c r="T226" s="6">
        <v>7</v>
      </c>
      <c r="U226" s="6">
        <v>76</v>
      </c>
      <c r="V226" s="6">
        <f>IF(ISERROR(VLOOKUP($S$226,'TAR FIN'!$A$1:$O$108,15,0)),0,VLOOKUP($S$226,'TAR FIN'!$A$1:$O$108,15,0))</f>
        <v>0</v>
      </c>
      <c r="W226" s="6">
        <f>IF(ISERROR(VLOOKUP($T$226,'TAR FIN'!$A$1:$O$108,15,0)),0,VLOOKUP($T$226,'TAR FIN'!$A$1:$O$108,15,0))</f>
        <v>102.62</v>
      </c>
      <c r="X226" s="6">
        <f>IF(ISERROR(VLOOKUP($U$226,'TAR FIN'!$A$1:$O$108,15,0)),0,VLOOKUP($U$226,'TAR FIN'!$A$1:$O$108,15,0))</f>
        <v>103.1</v>
      </c>
      <c r="Y226" s="6"/>
      <c r="Z226" s="6">
        <f ca="1">('TUSD BE'!$AM$28+'TUSD BF'!$AM$28+'TUSD CVA'!$AM$28)*1</f>
        <v>181.47641369790719</v>
      </c>
      <c r="AA226" s="6">
        <f>('TE BE'!$AB$11+'TE BF'!$AB$11+'TE CVA'!$AB$11)*1</f>
        <v>215.60278025898469</v>
      </c>
      <c r="AB226" s="6">
        <f>$K$226*$V$226</f>
        <v>0</v>
      </c>
      <c r="AC226" s="6">
        <f>$M$226*$W$226</f>
        <v>7549.6507800000009</v>
      </c>
      <c r="AD226" s="6">
        <f>$O$226*$X$226</f>
        <v>7584.9638999999997</v>
      </c>
      <c r="AE226" s="6">
        <f>$K$226*$Y$226</f>
        <v>0</v>
      </c>
      <c r="AF226" s="6">
        <f ca="1">$M$226*$Z$226</f>
        <v>13351.038279341334</v>
      </c>
      <c r="AG226" s="6">
        <f>$O$226*$AA$226</f>
        <v>15861.680940873246</v>
      </c>
    </row>
    <row r="227" spans="1:33" ht="11.25" customHeight="1" x14ac:dyDescent="0.25">
      <c r="A227" s="4" t="s">
        <v>21</v>
      </c>
      <c r="B227" s="4" t="s">
        <v>41</v>
      </c>
      <c r="C227" s="4" t="s">
        <v>43</v>
      </c>
      <c r="D227" s="4" t="s">
        <v>44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44682</v>
      </c>
      <c r="J227" s="6">
        <v>0</v>
      </c>
      <c r="K227" s="6">
        <v>0</v>
      </c>
      <c r="L227" s="6">
        <v>6844.4290000000001</v>
      </c>
      <c r="M227" s="6">
        <v>6844.4290000000001</v>
      </c>
      <c r="N227" s="6">
        <v>6844.4290000000001</v>
      </c>
      <c r="O227" s="6">
        <v>6844.4290000000001</v>
      </c>
      <c r="P227" s="6">
        <v>0</v>
      </c>
      <c r="Q227" s="4" t="s">
        <v>26</v>
      </c>
      <c r="R227" s="4">
        <v>0</v>
      </c>
      <c r="S227" s="6">
        <v>0</v>
      </c>
      <c r="T227" s="6">
        <v>7</v>
      </c>
      <c r="U227" s="6">
        <v>76</v>
      </c>
      <c r="V227" s="6">
        <f>IF(ISERROR(VLOOKUP($S$227,'TAR FIN'!$A$1:$O$108,15,0)),0,VLOOKUP($S$227,'TAR FIN'!$A$1:$O$108,15,0))</f>
        <v>0</v>
      </c>
      <c r="W227" s="6">
        <f>IF(ISERROR(VLOOKUP($T$227,'TAR FIN'!$A$1:$O$108,15,0)),0,VLOOKUP($T$227,'TAR FIN'!$A$1:$O$108,15,0))</f>
        <v>102.62</v>
      </c>
      <c r="X227" s="6">
        <f>IF(ISERROR(VLOOKUP($U$227,'TAR FIN'!$A$1:$O$108,15,0)),0,VLOOKUP($U$227,'TAR FIN'!$A$1:$O$108,15,0))</f>
        <v>103.1</v>
      </c>
      <c r="Y227" s="6"/>
      <c r="Z227" s="6">
        <f ca="1">('TUSD BE'!$AM$28+'TUSD BF'!$AM$28+'TUSD CVA'!$AM$28)*1</f>
        <v>181.47641369790719</v>
      </c>
      <c r="AA227" s="6">
        <f>('TE BE'!$AB$11+'TE BF'!$AB$11+'TE CVA'!$AB$11)*1</f>
        <v>215.60278025898469</v>
      </c>
      <c r="AB227" s="6">
        <f>$K$227*$V$227</f>
        <v>0</v>
      </c>
      <c r="AC227" s="6">
        <f>$M$227*$W$227</f>
        <v>702375.30398000008</v>
      </c>
      <c r="AD227" s="6">
        <f>$O$227*$X$227</f>
        <v>705660.62989999994</v>
      </c>
      <c r="AE227" s="6">
        <f>$K$227*$Y$227</f>
        <v>0</v>
      </c>
      <c r="AF227" s="6">
        <f ca="1">$M$227*$Z$227</f>
        <v>1242102.4287299532</v>
      </c>
      <c r="AG227" s="6">
        <f>$O$227*$AA$227</f>
        <v>1475677.9216852223</v>
      </c>
    </row>
    <row r="228" spans="1:33" ht="11.25" customHeight="1" x14ac:dyDescent="0.25">
      <c r="A228" s="4" t="s">
        <v>28</v>
      </c>
      <c r="B228" s="4" t="s">
        <v>41</v>
      </c>
      <c r="C228" s="4" t="s">
        <v>43</v>
      </c>
      <c r="D228" s="4" t="s">
        <v>44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44682</v>
      </c>
      <c r="J228" s="6">
        <v>0</v>
      </c>
      <c r="K228" s="6">
        <v>0</v>
      </c>
      <c r="L228" s="6">
        <v>88.394999999999996</v>
      </c>
      <c r="M228" s="6">
        <v>88.394999999999996</v>
      </c>
      <c r="N228" s="6">
        <v>88.394999999999996</v>
      </c>
      <c r="O228" s="6">
        <v>88.394999999999996</v>
      </c>
      <c r="P228" s="6">
        <v>0</v>
      </c>
      <c r="Q228" s="4" t="s">
        <v>26</v>
      </c>
      <c r="R228" s="4">
        <v>0</v>
      </c>
      <c r="S228" s="6">
        <v>0</v>
      </c>
      <c r="T228" s="6">
        <v>7</v>
      </c>
      <c r="U228" s="6">
        <v>76</v>
      </c>
      <c r="V228" s="6">
        <f>IF(ISERROR(VLOOKUP($S$228,'TAR FIN'!$A$1:$O$108,15,0)),0,VLOOKUP($S$228,'TAR FIN'!$A$1:$O$108,15,0))</f>
        <v>0</v>
      </c>
      <c r="W228" s="6">
        <f>IF(ISERROR(VLOOKUP($T$228,'TAR FIN'!$A$1:$O$108,15,0)),0,VLOOKUP($T$228,'TAR FIN'!$A$1:$O$108,15,0))</f>
        <v>102.62</v>
      </c>
      <c r="X228" s="6">
        <f>IF(ISERROR(VLOOKUP($U$228,'TAR FIN'!$A$1:$O$108,15,0)),0,VLOOKUP($U$228,'TAR FIN'!$A$1:$O$108,15,0))</f>
        <v>103.1</v>
      </c>
      <c r="Y228" s="6"/>
      <c r="Z228" s="6">
        <f ca="1">('TUSD BE'!$AM$28+'TUSD BF'!$AM$28+'TUSD CVA'!$AM$28)*1</f>
        <v>181.47641369790719</v>
      </c>
      <c r="AA228" s="6">
        <f>('TE BE'!$AB$11+'TE BF'!$AB$11+'TE CVA'!$AB$11)*1</f>
        <v>215.60278025898469</v>
      </c>
      <c r="AB228" s="6">
        <f>$K$228*$V$228</f>
        <v>0</v>
      </c>
      <c r="AC228" s="6">
        <f>$M$228*$W$228</f>
        <v>9071.0949000000001</v>
      </c>
      <c r="AD228" s="6">
        <f>$O$228*$X$228</f>
        <v>9113.5244999999995</v>
      </c>
      <c r="AE228" s="6">
        <f>$K$228*$Y$228</f>
        <v>0</v>
      </c>
      <c r="AF228" s="6">
        <f ca="1">$M$228*$Z$228</f>
        <v>16041.607588826506</v>
      </c>
      <c r="AG228" s="6">
        <f>$O$228*$AA$228</f>
        <v>19058.207760992951</v>
      </c>
    </row>
    <row r="229" spans="1:33" ht="11.25" customHeight="1" x14ac:dyDescent="0.25">
      <c r="A229" s="4" t="s">
        <v>21</v>
      </c>
      <c r="B229" s="4" t="s">
        <v>41</v>
      </c>
      <c r="C229" s="4" t="s">
        <v>43</v>
      </c>
      <c r="D229" s="4" t="s">
        <v>44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44713</v>
      </c>
      <c r="J229" s="6">
        <v>0</v>
      </c>
      <c r="K229" s="6">
        <v>0</v>
      </c>
      <c r="L229" s="6">
        <v>6787.0309999999999</v>
      </c>
      <c r="M229" s="6">
        <v>6787.0309999999999</v>
      </c>
      <c r="N229" s="6">
        <v>6787.0309999999999</v>
      </c>
      <c r="O229" s="6">
        <v>6787.0309999999999</v>
      </c>
      <c r="P229" s="6">
        <v>0</v>
      </c>
      <c r="Q229" s="4" t="s">
        <v>26</v>
      </c>
      <c r="R229" s="4">
        <v>0</v>
      </c>
      <c r="S229" s="6">
        <v>0</v>
      </c>
      <c r="T229" s="6">
        <v>7</v>
      </c>
      <c r="U229" s="6">
        <v>76</v>
      </c>
      <c r="V229" s="6">
        <f>IF(ISERROR(VLOOKUP($S$229,'TAR FIN'!$A$1:$O$108,15,0)),0,VLOOKUP($S$229,'TAR FIN'!$A$1:$O$108,15,0))</f>
        <v>0</v>
      </c>
      <c r="W229" s="6">
        <f>IF(ISERROR(VLOOKUP($T$229,'TAR FIN'!$A$1:$O$108,15,0)),0,VLOOKUP($T$229,'TAR FIN'!$A$1:$O$108,15,0))</f>
        <v>102.62</v>
      </c>
      <c r="X229" s="6">
        <f>IF(ISERROR(VLOOKUP($U$229,'TAR FIN'!$A$1:$O$108,15,0)),0,VLOOKUP($U$229,'TAR FIN'!$A$1:$O$108,15,0))</f>
        <v>103.1</v>
      </c>
      <c r="Y229" s="6"/>
      <c r="Z229" s="6">
        <f ca="1">('TUSD BE'!$AM$28+'TUSD BF'!$AM$28+'TUSD CVA'!$AM$28)*1</f>
        <v>181.47641369790719</v>
      </c>
      <c r="AA229" s="6">
        <f>('TE BE'!$AB$11+'TE BF'!$AB$11+'TE CVA'!$AB$11)*1</f>
        <v>215.60278025898469</v>
      </c>
      <c r="AB229" s="6">
        <f>$K$229*$V$229</f>
        <v>0</v>
      </c>
      <c r="AC229" s="6">
        <f>$M$229*$W$229</f>
        <v>696485.12121999997</v>
      </c>
      <c r="AD229" s="6">
        <f>$O$229*$X$229</f>
        <v>699742.89610000001</v>
      </c>
      <c r="AE229" s="6">
        <f>$K$229*$Y$229</f>
        <v>0</v>
      </c>
      <c r="AF229" s="6">
        <f ca="1">$M$229*$Z$229</f>
        <v>1231686.0455365207</v>
      </c>
      <c r="AG229" s="6">
        <f>$O$229*$AA$229</f>
        <v>1463302.7533039171</v>
      </c>
    </row>
    <row r="230" spans="1:33" ht="11.25" customHeight="1" x14ac:dyDescent="0.25">
      <c r="A230" s="4" t="s">
        <v>27</v>
      </c>
      <c r="B230" s="4" t="s">
        <v>41</v>
      </c>
      <c r="C230" s="4" t="s">
        <v>43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44713</v>
      </c>
      <c r="J230" s="6">
        <v>0</v>
      </c>
      <c r="K230" s="6">
        <v>0</v>
      </c>
      <c r="L230" s="6">
        <v>-5.1369999999999996</v>
      </c>
      <c r="M230" s="6">
        <v>-5.1369999999999996</v>
      </c>
      <c r="N230" s="6">
        <v>-5.1369999999999996</v>
      </c>
      <c r="O230" s="6">
        <v>-5.1369999999999996</v>
      </c>
      <c r="P230" s="6">
        <v>0</v>
      </c>
      <c r="Q230" s="4" t="s">
        <v>26</v>
      </c>
      <c r="R230" s="4">
        <v>0</v>
      </c>
      <c r="S230" s="6">
        <v>0</v>
      </c>
      <c r="T230" s="6">
        <v>7</v>
      </c>
      <c r="U230" s="6">
        <v>76</v>
      </c>
      <c r="V230" s="6">
        <f>IF(ISERROR(VLOOKUP($S$230,'TAR FIN'!$A$1:$O$108,15,0)),0,VLOOKUP($S$230,'TAR FIN'!$A$1:$O$108,15,0))</f>
        <v>0</v>
      </c>
      <c r="W230" s="6">
        <f>IF(ISERROR(VLOOKUP($T$230,'TAR FIN'!$A$1:$O$108,15,0)),0,VLOOKUP($T$230,'TAR FIN'!$A$1:$O$108,15,0))</f>
        <v>102.62</v>
      </c>
      <c r="X230" s="6">
        <f>IF(ISERROR(VLOOKUP($U$230,'TAR FIN'!$A$1:$O$108,15,0)),0,VLOOKUP($U$230,'TAR FIN'!$A$1:$O$108,15,0))</f>
        <v>103.1</v>
      </c>
      <c r="Y230" s="6"/>
      <c r="Z230" s="6">
        <f ca="1">('TUSD BE'!$AM$28+'TUSD BF'!$AM$28+'TUSD CVA'!$AM$28)*1</f>
        <v>181.47641369790719</v>
      </c>
      <c r="AA230" s="6">
        <f>('TE BE'!$AB$11+'TE BF'!$AB$11+'TE CVA'!$AB$11)*1</f>
        <v>215.60278025898469</v>
      </c>
      <c r="AB230" s="6">
        <f>$K$230*$V$230</f>
        <v>0</v>
      </c>
      <c r="AC230" s="6">
        <f>$M$230*$W$230</f>
        <v>-527.15894000000003</v>
      </c>
      <c r="AD230" s="6">
        <f>$O$230*$X$230</f>
        <v>-529.62469999999996</v>
      </c>
      <c r="AE230" s="6">
        <f>$K$230*$Y$230</f>
        <v>0</v>
      </c>
      <c r="AF230" s="6">
        <f ca="1">$M$230*$Z$230</f>
        <v>-932.24433716614919</v>
      </c>
      <c r="AG230" s="6">
        <f>$O$230*$AA$230</f>
        <v>-1107.5514821904044</v>
      </c>
    </row>
    <row r="231" spans="1:33" ht="11.25" customHeight="1" x14ac:dyDescent="0.25">
      <c r="A231" s="4" t="s">
        <v>28</v>
      </c>
      <c r="B231" s="4" t="s">
        <v>41</v>
      </c>
      <c r="C231" s="4" t="s">
        <v>43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44713</v>
      </c>
      <c r="J231" s="6">
        <v>0</v>
      </c>
      <c r="K231" s="6">
        <v>0</v>
      </c>
      <c r="L231" s="6">
        <v>57.066000000000003</v>
      </c>
      <c r="M231" s="6">
        <v>57.066000000000003</v>
      </c>
      <c r="N231" s="6">
        <v>57.066000000000003</v>
      </c>
      <c r="O231" s="6">
        <v>57.066000000000003</v>
      </c>
      <c r="P231" s="6">
        <v>0</v>
      </c>
      <c r="Q231" s="4" t="s">
        <v>26</v>
      </c>
      <c r="R231" s="4">
        <v>0</v>
      </c>
      <c r="S231" s="6">
        <v>0</v>
      </c>
      <c r="T231" s="6">
        <v>7</v>
      </c>
      <c r="U231" s="6">
        <v>76</v>
      </c>
      <c r="V231" s="6">
        <f>IF(ISERROR(VLOOKUP($S$231,'TAR FIN'!$A$1:$O$108,15,0)),0,VLOOKUP($S$231,'TAR FIN'!$A$1:$O$108,15,0))</f>
        <v>0</v>
      </c>
      <c r="W231" s="6">
        <f>IF(ISERROR(VLOOKUP($T$231,'TAR FIN'!$A$1:$O$108,15,0)),0,VLOOKUP($T$231,'TAR FIN'!$A$1:$O$108,15,0))</f>
        <v>102.62</v>
      </c>
      <c r="X231" s="6">
        <f>IF(ISERROR(VLOOKUP($U$231,'TAR FIN'!$A$1:$O$108,15,0)),0,VLOOKUP($U$231,'TAR FIN'!$A$1:$O$108,15,0))</f>
        <v>103.1</v>
      </c>
      <c r="Y231" s="6"/>
      <c r="Z231" s="6">
        <f ca="1">('TUSD BE'!$AM$28+'TUSD BF'!$AM$28+'TUSD CVA'!$AM$28)*1</f>
        <v>181.47641369790719</v>
      </c>
      <c r="AA231" s="6">
        <f>('TE BE'!$AB$11+'TE BF'!$AB$11+'TE CVA'!$AB$11)*1</f>
        <v>215.60278025898469</v>
      </c>
      <c r="AB231" s="6">
        <f>$K$231*$V$231</f>
        <v>0</v>
      </c>
      <c r="AC231" s="6">
        <f>$M$231*$W$231</f>
        <v>5856.1129200000005</v>
      </c>
      <c r="AD231" s="6">
        <f>$O$231*$X$231</f>
        <v>5883.5046000000002</v>
      </c>
      <c r="AE231" s="6">
        <f>$K$231*$Y$231</f>
        <v>0</v>
      </c>
      <c r="AF231" s="6">
        <f ca="1">$M$231*$Z$231</f>
        <v>10356.133024084773</v>
      </c>
      <c r="AG231" s="6">
        <f>$O$231*$AA$231</f>
        <v>12303.58825825922</v>
      </c>
    </row>
    <row r="232" spans="1:33" ht="11.25" customHeight="1" x14ac:dyDescent="0.25">
      <c r="A232" s="4" t="s">
        <v>21</v>
      </c>
      <c r="B232" s="4" t="s">
        <v>41</v>
      </c>
      <c r="C232" s="4" t="s">
        <v>43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35</v>
      </c>
      <c r="I232" s="5">
        <v>44743</v>
      </c>
      <c r="J232" s="6">
        <v>0</v>
      </c>
      <c r="K232" s="6">
        <v>0</v>
      </c>
      <c r="L232" s="6">
        <v>7576.576</v>
      </c>
      <c r="M232" s="6">
        <v>7576.576</v>
      </c>
      <c r="N232" s="6">
        <v>7576.576</v>
      </c>
      <c r="O232" s="6">
        <v>7576.576</v>
      </c>
      <c r="P232" s="6">
        <v>0</v>
      </c>
      <c r="Q232" s="4" t="s">
        <v>26</v>
      </c>
      <c r="R232" s="4">
        <v>0</v>
      </c>
      <c r="S232" s="6">
        <v>0</v>
      </c>
      <c r="T232" s="6">
        <v>7</v>
      </c>
      <c r="U232" s="6">
        <v>76</v>
      </c>
      <c r="V232" s="6">
        <f>IF(ISERROR(VLOOKUP($S$232,'TAR FIN'!$A$1:$O$108,15,0)),0,VLOOKUP($S$232,'TAR FIN'!$A$1:$O$108,15,0))</f>
        <v>0</v>
      </c>
      <c r="W232" s="6">
        <f>IF(ISERROR(VLOOKUP($T$232,'TAR FIN'!$A$1:$O$108,15,0)),0,VLOOKUP($T$232,'TAR FIN'!$A$1:$O$108,15,0))</f>
        <v>102.62</v>
      </c>
      <c r="X232" s="6">
        <f>IF(ISERROR(VLOOKUP($U$232,'TAR FIN'!$A$1:$O$108,15,0)),0,VLOOKUP($U$232,'TAR FIN'!$A$1:$O$108,15,0))</f>
        <v>103.1</v>
      </c>
      <c r="Y232" s="6"/>
      <c r="Z232" s="6">
        <f ca="1">('TUSD BE'!$AM$28+'TUSD BF'!$AM$28+'TUSD CVA'!$AM$28)*1</f>
        <v>181.47641369790719</v>
      </c>
      <c r="AA232" s="6">
        <f>('TE BE'!$AB$11+'TE BF'!$AB$11+'TE CVA'!$AB$11)*1</f>
        <v>215.60278025898469</v>
      </c>
      <c r="AB232" s="6">
        <f>$K$232*$V$232</f>
        <v>0</v>
      </c>
      <c r="AC232" s="6">
        <f>$M$232*$W$232</f>
        <v>777508.22912000003</v>
      </c>
      <c r="AD232" s="6">
        <f>$O$232*$X$232</f>
        <v>781144.98560000001</v>
      </c>
      <c r="AE232" s="6">
        <f>$K$232*$Y$232</f>
        <v>0</v>
      </c>
      <c r="AF232" s="6">
        <f ca="1">$M$232*$Z$232</f>
        <v>1374969.8405896348</v>
      </c>
      <c r="AG232" s="6">
        <f>$O$232*$AA$232</f>
        <v>1633530.8504434973</v>
      </c>
    </row>
    <row r="233" spans="1:33" ht="11.25" customHeight="1" x14ac:dyDescent="0.25">
      <c r="A233" s="4" t="s">
        <v>28</v>
      </c>
      <c r="B233" s="4" t="s">
        <v>41</v>
      </c>
      <c r="C233" s="4" t="s">
        <v>43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35</v>
      </c>
      <c r="I233" s="5">
        <v>44743</v>
      </c>
      <c r="J233" s="6">
        <v>0</v>
      </c>
      <c r="K233" s="6">
        <v>0</v>
      </c>
      <c r="L233" s="6">
        <v>53.305</v>
      </c>
      <c r="M233" s="6">
        <v>53.305</v>
      </c>
      <c r="N233" s="6">
        <v>53.305</v>
      </c>
      <c r="O233" s="6">
        <v>53.305</v>
      </c>
      <c r="P233" s="6">
        <v>0</v>
      </c>
      <c r="Q233" s="4" t="s">
        <v>26</v>
      </c>
      <c r="R233" s="4">
        <v>0</v>
      </c>
      <c r="S233" s="6">
        <v>0</v>
      </c>
      <c r="T233" s="6">
        <v>7</v>
      </c>
      <c r="U233" s="6">
        <v>76</v>
      </c>
      <c r="V233" s="6">
        <f>IF(ISERROR(VLOOKUP($S$233,'TAR FIN'!$A$1:$O$108,15,0)),0,VLOOKUP($S$233,'TAR FIN'!$A$1:$O$108,15,0))</f>
        <v>0</v>
      </c>
      <c r="W233" s="6">
        <f>IF(ISERROR(VLOOKUP($T$233,'TAR FIN'!$A$1:$O$108,15,0)),0,VLOOKUP($T$233,'TAR FIN'!$A$1:$O$108,15,0))</f>
        <v>102.62</v>
      </c>
      <c r="X233" s="6">
        <f>IF(ISERROR(VLOOKUP($U$233,'TAR FIN'!$A$1:$O$108,15,0)),0,VLOOKUP($U$233,'TAR FIN'!$A$1:$O$108,15,0))</f>
        <v>103.1</v>
      </c>
      <c r="Y233" s="6"/>
      <c r="Z233" s="6">
        <f ca="1">('TUSD BE'!$AM$28+'TUSD BF'!$AM$28+'TUSD CVA'!$AM$28)*1</f>
        <v>181.47641369790719</v>
      </c>
      <c r="AA233" s="6">
        <f>('TE BE'!$AB$11+'TE BF'!$AB$11+'TE CVA'!$AB$11)*1</f>
        <v>215.60278025898469</v>
      </c>
      <c r="AB233" s="6">
        <f>$K$233*$V$233</f>
        <v>0</v>
      </c>
      <c r="AC233" s="6">
        <f>$M$233*$W$233</f>
        <v>5470.1590999999999</v>
      </c>
      <c r="AD233" s="6">
        <f>$O$233*$X$233</f>
        <v>5495.7455</v>
      </c>
      <c r="AE233" s="6">
        <f>$K$233*$Y$233</f>
        <v>0</v>
      </c>
      <c r="AF233" s="6">
        <f ca="1">$M$233*$Z$233</f>
        <v>9673.6002321669421</v>
      </c>
      <c r="AG233" s="6">
        <f>$O$233*$AA$233</f>
        <v>11492.706201705179</v>
      </c>
    </row>
    <row r="234" spans="1:33" ht="11.25" customHeight="1" x14ac:dyDescent="0.25">
      <c r="A234" s="4" t="s">
        <v>21</v>
      </c>
      <c r="B234" s="4" t="s">
        <v>41</v>
      </c>
      <c r="C234" s="4" t="s">
        <v>43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35</v>
      </c>
      <c r="I234" s="5">
        <v>44774</v>
      </c>
      <c r="J234" s="6">
        <v>0</v>
      </c>
      <c r="K234" s="6">
        <v>0</v>
      </c>
      <c r="L234" s="6">
        <v>7741.8609999999999</v>
      </c>
      <c r="M234" s="6">
        <v>7741.8609999999999</v>
      </c>
      <c r="N234" s="6">
        <v>7741.8609999999999</v>
      </c>
      <c r="O234" s="6">
        <v>7741.8609999999999</v>
      </c>
      <c r="P234" s="6">
        <v>0</v>
      </c>
      <c r="Q234" s="4" t="s">
        <v>26</v>
      </c>
      <c r="R234" s="4">
        <v>0</v>
      </c>
      <c r="S234" s="6">
        <v>0</v>
      </c>
      <c r="T234" s="6">
        <v>7</v>
      </c>
      <c r="U234" s="6">
        <v>76</v>
      </c>
      <c r="V234" s="6">
        <f>IF(ISERROR(VLOOKUP($S$234,'TAR FIN'!$A$1:$O$108,15,0)),0,VLOOKUP($S$234,'TAR FIN'!$A$1:$O$108,15,0))</f>
        <v>0</v>
      </c>
      <c r="W234" s="6">
        <f>IF(ISERROR(VLOOKUP($T$234,'TAR FIN'!$A$1:$O$108,15,0)),0,VLOOKUP($T$234,'TAR FIN'!$A$1:$O$108,15,0))</f>
        <v>102.62</v>
      </c>
      <c r="X234" s="6">
        <f>IF(ISERROR(VLOOKUP($U$234,'TAR FIN'!$A$1:$O$108,15,0)),0,VLOOKUP($U$234,'TAR FIN'!$A$1:$O$108,15,0))</f>
        <v>103.1</v>
      </c>
      <c r="Y234" s="6"/>
      <c r="Z234" s="6">
        <f ca="1">('TUSD BE'!$AM$28+'TUSD BF'!$AM$28+'TUSD CVA'!$AM$28)*1</f>
        <v>181.47641369790719</v>
      </c>
      <c r="AA234" s="6">
        <f>('TE BE'!$AB$11+'TE BF'!$AB$11+'TE CVA'!$AB$11)*1</f>
        <v>215.60278025898469</v>
      </c>
      <c r="AB234" s="6">
        <f>$K$234*$V$234</f>
        <v>0</v>
      </c>
      <c r="AC234" s="6">
        <f>$M$234*$W$234</f>
        <v>794469.77581999998</v>
      </c>
      <c r="AD234" s="6">
        <f>$O$234*$X$234</f>
        <v>798185.86909999989</v>
      </c>
      <c r="AE234" s="6">
        <f>$K$234*$Y$234</f>
        <v>0</v>
      </c>
      <c r="AF234" s="6">
        <f ca="1">$M$234*$Z$234</f>
        <v>1404965.1696276935</v>
      </c>
      <c r="AG234" s="6">
        <f>$O$234*$AA$234</f>
        <v>1669166.7559786034</v>
      </c>
    </row>
    <row r="235" spans="1:33" ht="11.25" customHeight="1" x14ac:dyDescent="0.25">
      <c r="A235" s="4" t="s">
        <v>27</v>
      </c>
      <c r="B235" s="4" t="s">
        <v>41</v>
      </c>
      <c r="C235" s="4" t="s">
        <v>43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35</v>
      </c>
      <c r="I235" s="5">
        <v>44774</v>
      </c>
      <c r="J235" s="6">
        <v>0</v>
      </c>
      <c r="K235" s="6">
        <v>0</v>
      </c>
      <c r="L235" s="6">
        <v>-662.27700000000004</v>
      </c>
      <c r="M235" s="6">
        <v>-662.27700000000004</v>
      </c>
      <c r="N235" s="6">
        <v>-662.27700000000004</v>
      </c>
      <c r="O235" s="6">
        <v>-662.27700000000004</v>
      </c>
      <c r="P235" s="6">
        <v>0</v>
      </c>
      <c r="Q235" s="4" t="s">
        <v>26</v>
      </c>
      <c r="R235" s="4">
        <v>0</v>
      </c>
      <c r="S235" s="6">
        <v>0</v>
      </c>
      <c r="T235" s="6">
        <v>7</v>
      </c>
      <c r="U235" s="6">
        <v>76</v>
      </c>
      <c r="V235" s="6">
        <f>IF(ISERROR(VLOOKUP($S$235,'TAR FIN'!$A$1:$O$108,15,0)),0,VLOOKUP($S$235,'TAR FIN'!$A$1:$O$108,15,0))</f>
        <v>0</v>
      </c>
      <c r="W235" s="6">
        <f>IF(ISERROR(VLOOKUP($T$235,'TAR FIN'!$A$1:$O$108,15,0)),0,VLOOKUP($T$235,'TAR FIN'!$A$1:$O$108,15,0))</f>
        <v>102.62</v>
      </c>
      <c r="X235" s="6">
        <f>IF(ISERROR(VLOOKUP($U$235,'TAR FIN'!$A$1:$O$108,15,0)),0,VLOOKUP($U$235,'TAR FIN'!$A$1:$O$108,15,0))</f>
        <v>103.1</v>
      </c>
      <c r="Y235" s="6"/>
      <c r="Z235" s="6">
        <f ca="1">('TUSD BE'!$AM$28+'TUSD BF'!$AM$28+'TUSD CVA'!$AM$28)*1</f>
        <v>181.47641369790719</v>
      </c>
      <c r="AA235" s="6">
        <f>('TE BE'!$AB$11+'TE BF'!$AB$11+'TE CVA'!$AB$11)*1</f>
        <v>215.60278025898469</v>
      </c>
      <c r="AB235" s="6">
        <f>$K$235*$V$235</f>
        <v>0</v>
      </c>
      <c r="AC235" s="6">
        <f>$M$235*$W$235</f>
        <v>-67962.865740000008</v>
      </c>
      <c r="AD235" s="6">
        <f>$O$235*$X$235</f>
        <v>-68280.758700000006</v>
      </c>
      <c r="AE235" s="6">
        <f>$K$235*$Y$235</f>
        <v>0</v>
      </c>
      <c r="AF235" s="6">
        <f ca="1">$M$235*$Z$235</f>
        <v>-120187.65483460888</v>
      </c>
      <c r="AG235" s="6">
        <f>$O$235*$AA$235</f>
        <v>-142788.76250157962</v>
      </c>
    </row>
    <row r="236" spans="1:33" ht="11.25" customHeight="1" x14ac:dyDescent="0.25">
      <c r="A236" s="4" t="s">
        <v>28</v>
      </c>
      <c r="B236" s="4" t="s">
        <v>41</v>
      </c>
      <c r="C236" s="4" t="s">
        <v>43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35</v>
      </c>
      <c r="I236" s="5">
        <v>44774</v>
      </c>
      <c r="J236" s="6">
        <v>0</v>
      </c>
      <c r="K236" s="6">
        <v>0</v>
      </c>
      <c r="L236" s="6">
        <v>47.619</v>
      </c>
      <c r="M236" s="6">
        <v>47.619</v>
      </c>
      <c r="N236" s="6">
        <v>47.619</v>
      </c>
      <c r="O236" s="6">
        <v>47.619</v>
      </c>
      <c r="P236" s="6">
        <v>0</v>
      </c>
      <c r="Q236" s="4" t="s">
        <v>26</v>
      </c>
      <c r="R236" s="4">
        <v>0</v>
      </c>
      <c r="S236" s="6">
        <v>0</v>
      </c>
      <c r="T236" s="6">
        <v>7</v>
      </c>
      <c r="U236" s="6">
        <v>76</v>
      </c>
      <c r="V236" s="6">
        <f>IF(ISERROR(VLOOKUP($S$236,'TAR FIN'!$A$1:$O$108,15,0)),0,VLOOKUP($S$236,'TAR FIN'!$A$1:$O$108,15,0))</f>
        <v>0</v>
      </c>
      <c r="W236" s="6">
        <f>IF(ISERROR(VLOOKUP($T$236,'TAR FIN'!$A$1:$O$108,15,0)),0,VLOOKUP($T$236,'TAR FIN'!$A$1:$O$108,15,0))</f>
        <v>102.62</v>
      </c>
      <c r="X236" s="6">
        <f>IF(ISERROR(VLOOKUP($U$236,'TAR FIN'!$A$1:$O$108,15,0)),0,VLOOKUP($U$236,'TAR FIN'!$A$1:$O$108,15,0))</f>
        <v>103.1</v>
      </c>
      <c r="Y236" s="6"/>
      <c r="Z236" s="6">
        <f ca="1">('TUSD BE'!$AM$28+'TUSD BF'!$AM$28+'TUSD CVA'!$AM$28)*1</f>
        <v>181.47641369790719</v>
      </c>
      <c r="AA236" s="6">
        <f>('TE BE'!$AB$11+'TE BF'!$AB$11+'TE CVA'!$AB$11)*1</f>
        <v>215.60278025898469</v>
      </c>
      <c r="AB236" s="6">
        <f>$K$236*$V$236</f>
        <v>0</v>
      </c>
      <c r="AC236" s="6">
        <f>$M$236*$W$236</f>
        <v>4886.6617800000004</v>
      </c>
      <c r="AD236" s="6">
        <f>$O$236*$X$236</f>
        <v>4909.5189</v>
      </c>
      <c r="AE236" s="6">
        <f>$K$236*$Y$236</f>
        <v>0</v>
      </c>
      <c r="AF236" s="6">
        <f ca="1">$M$236*$Z$236</f>
        <v>8641.725343880642</v>
      </c>
      <c r="AG236" s="6">
        <f>$O$236*$AA$236</f>
        <v>10266.788793152593</v>
      </c>
    </row>
    <row r="237" spans="1:33" ht="11.25" customHeight="1" x14ac:dyDescent="0.25">
      <c r="A237" s="4" t="s">
        <v>21</v>
      </c>
      <c r="B237" s="4" t="s">
        <v>41</v>
      </c>
      <c r="C237" s="4" t="s">
        <v>43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35</v>
      </c>
      <c r="I237" s="5">
        <v>44805</v>
      </c>
      <c r="J237" s="6">
        <v>0</v>
      </c>
      <c r="K237" s="6">
        <v>0</v>
      </c>
      <c r="L237" s="6">
        <v>7759.0110000000004</v>
      </c>
      <c r="M237" s="6">
        <v>7759.0110000000004</v>
      </c>
      <c r="N237" s="6">
        <v>7759.0110000000004</v>
      </c>
      <c r="O237" s="6">
        <v>7759.0110000000004</v>
      </c>
      <c r="P237" s="6">
        <v>0</v>
      </c>
      <c r="Q237" s="4" t="s">
        <v>26</v>
      </c>
      <c r="R237" s="4">
        <v>0</v>
      </c>
      <c r="S237" s="6">
        <v>0</v>
      </c>
      <c r="T237" s="6">
        <v>7</v>
      </c>
      <c r="U237" s="6">
        <v>76</v>
      </c>
      <c r="V237" s="6">
        <f>IF(ISERROR(VLOOKUP($S$237,'TAR FIN'!$A$1:$O$108,15,0)),0,VLOOKUP($S$237,'TAR FIN'!$A$1:$O$108,15,0))</f>
        <v>0</v>
      </c>
      <c r="W237" s="6">
        <f>IF(ISERROR(VLOOKUP($T$237,'TAR FIN'!$A$1:$O$108,15,0)),0,VLOOKUP($T$237,'TAR FIN'!$A$1:$O$108,15,0))</f>
        <v>102.62</v>
      </c>
      <c r="X237" s="6">
        <f>IF(ISERROR(VLOOKUP($U$237,'TAR FIN'!$A$1:$O$108,15,0)),0,VLOOKUP($U$237,'TAR FIN'!$A$1:$O$108,15,0))</f>
        <v>103.1</v>
      </c>
      <c r="Y237" s="6"/>
      <c r="Z237" s="6">
        <f ca="1">('TUSD BE'!$AM$28+'TUSD BF'!$AM$28+'TUSD CVA'!$AM$28)*1</f>
        <v>181.47641369790719</v>
      </c>
      <c r="AA237" s="6">
        <f>('TE BE'!$AB$11+'TE BF'!$AB$11+'TE CVA'!$AB$11)*1</f>
        <v>215.60278025898469</v>
      </c>
      <c r="AB237" s="6">
        <f>$K$237*$V$237</f>
        <v>0</v>
      </c>
      <c r="AC237" s="6">
        <f>$M$237*$W$237</f>
        <v>796229.70882000006</v>
      </c>
      <c r="AD237" s="6">
        <f>$O$237*$X$237</f>
        <v>799954.03410000005</v>
      </c>
      <c r="AE237" s="6">
        <f>$K$237*$Y$237</f>
        <v>0</v>
      </c>
      <c r="AF237" s="6">
        <f ca="1">$M$237*$Z$237</f>
        <v>1408077.4901226126</v>
      </c>
      <c r="AG237" s="6">
        <f>$O$237*$AA$237</f>
        <v>1672864.3436600452</v>
      </c>
    </row>
    <row r="238" spans="1:33" ht="11.25" customHeight="1" x14ac:dyDescent="0.25">
      <c r="A238" s="4" t="s">
        <v>27</v>
      </c>
      <c r="B238" s="4" t="s">
        <v>41</v>
      </c>
      <c r="C238" s="4" t="s">
        <v>43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35</v>
      </c>
      <c r="I238" s="5">
        <v>44805</v>
      </c>
      <c r="J238" s="6">
        <v>0</v>
      </c>
      <c r="K238" s="6">
        <v>0</v>
      </c>
      <c r="L238" s="6">
        <v>106.202</v>
      </c>
      <c r="M238" s="6">
        <v>106.202</v>
      </c>
      <c r="N238" s="6">
        <v>106.202</v>
      </c>
      <c r="O238" s="6">
        <v>106.202</v>
      </c>
      <c r="P238" s="6">
        <v>0</v>
      </c>
      <c r="Q238" s="4" t="s">
        <v>26</v>
      </c>
      <c r="R238" s="4">
        <v>0</v>
      </c>
      <c r="S238" s="6">
        <v>0</v>
      </c>
      <c r="T238" s="6">
        <v>7</v>
      </c>
      <c r="U238" s="6">
        <v>76</v>
      </c>
      <c r="V238" s="6">
        <f>IF(ISERROR(VLOOKUP($S$238,'TAR FIN'!$A$1:$O$108,15,0)),0,VLOOKUP($S$238,'TAR FIN'!$A$1:$O$108,15,0))</f>
        <v>0</v>
      </c>
      <c r="W238" s="6">
        <f>IF(ISERROR(VLOOKUP($T$238,'TAR FIN'!$A$1:$O$108,15,0)),0,VLOOKUP($T$238,'TAR FIN'!$A$1:$O$108,15,0))</f>
        <v>102.62</v>
      </c>
      <c r="X238" s="6">
        <f>IF(ISERROR(VLOOKUP($U$238,'TAR FIN'!$A$1:$O$108,15,0)),0,VLOOKUP($U$238,'TAR FIN'!$A$1:$O$108,15,0))</f>
        <v>103.1</v>
      </c>
      <c r="Y238" s="6"/>
      <c r="Z238" s="6">
        <f ca="1">('TUSD BE'!$AM$28+'TUSD BF'!$AM$28+'TUSD CVA'!$AM$28)*1</f>
        <v>181.47641369790719</v>
      </c>
      <c r="AA238" s="6">
        <f>('TE BE'!$AB$11+'TE BF'!$AB$11+'TE CVA'!$AB$11)*1</f>
        <v>215.60278025898469</v>
      </c>
      <c r="AB238" s="6">
        <f>$K$238*$V$238</f>
        <v>0</v>
      </c>
      <c r="AC238" s="6">
        <f>$M$238*$W$238</f>
        <v>10898.44924</v>
      </c>
      <c r="AD238" s="6">
        <f>$O$238*$X$238</f>
        <v>10949.4262</v>
      </c>
      <c r="AE238" s="6">
        <f>$K$238*$Y$238</f>
        <v>0</v>
      </c>
      <c r="AF238" s="6">
        <f ca="1">$M$238*$Z$238</f>
        <v>19273.15808754514</v>
      </c>
      <c r="AG238" s="6">
        <f>$O$238*$AA$238</f>
        <v>22897.446469064693</v>
      </c>
    </row>
    <row r="239" spans="1:33" ht="11.25" customHeight="1" x14ac:dyDescent="0.25">
      <c r="A239" s="4" t="s">
        <v>28</v>
      </c>
      <c r="B239" s="4" t="s">
        <v>41</v>
      </c>
      <c r="C239" s="4" t="s">
        <v>43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35</v>
      </c>
      <c r="I239" s="5">
        <v>44805</v>
      </c>
      <c r="J239" s="6">
        <v>0</v>
      </c>
      <c r="K239" s="6">
        <v>0</v>
      </c>
      <c r="L239" s="6">
        <v>37.768000000000001</v>
      </c>
      <c r="M239" s="6">
        <v>37.768000000000001</v>
      </c>
      <c r="N239" s="6">
        <v>37.768000000000001</v>
      </c>
      <c r="O239" s="6">
        <v>37.768000000000001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7</v>
      </c>
      <c r="U239" s="6">
        <v>76</v>
      </c>
      <c r="V239" s="6">
        <f>IF(ISERROR(VLOOKUP($S$239,'TAR FIN'!$A$1:$O$108,15,0)),0,VLOOKUP($S$239,'TAR FIN'!$A$1:$O$108,15,0))</f>
        <v>0</v>
      </c>
      <c r="W239" s="6">
        <f>IF(ISERROR(VLOOKUP($T$239,'TAR FIN'!$A$1:$O$108,15,0)),0,VLOOKUP($T$239,'TAR FIN'!$A$1:$O$108,15,0))</f>
        <v>102.62</v>
      </c>
      <c r="X239" s="6">
        <f>IF(ISERROR(VLOOKUP($U$239,'TAR FIN'!$A$1:$O$108,15,0)),0,VLOOKUP($U$239,'TAR FIN'!$A$1:$O$108,15,0))</f>
        <v>103.1</v>
      </c>
      <c r="Y239" s="6"/>
      <c r="Z239" s="6">
        <f ca="1">('TUSD BE'!$AM$28+'TUSD BF'!$AM$28+'TUSD CVA'!$AM$28)*1</f>
        <v>181.47641369790719</v>
      </c>
      <c r="AA239" s="6">
        <f>('TE BE'!$AB$11+'TE BF'!$AB$11+'TE CVA'!$AB$11)*1</f>
        <v>215.60278025898469</v>
      </c>
      <c r="AB239" s="6">
        <f>$K$239*$V$239</f>
        <v>0</v>
      </c>
      <c r="AC239" s="6">
        <f>$M$239*$W$239</f>
        <v>3875.7521600000005</v>
      </c>
      <c r="AD239" s="6">
        <f>$O$239*$X$239</f>
        <v>3893.8807999999999</v>
      </c>
      <c r="AE239" s="6">
        <f>$K$239*$Y$239</f>
        <v>0</v>
      </c>
      <c r="AF239" s="6">
        <f ca="1">$M$239*$Z$239</f>
        <v>6854.0011925425588</v>
      </c>
      <c r="AG239" s="6">
        <f>$O$239*$AA$239</f>
        <v>8142.8858048213342</v>
      </c>
    </row>
    <row r="240" spans="1:33" ht="11.25" customHeight="1" x14ac:dyDescent="0.25">
      <c r="A240" s="4" t="s">
        <v>21</v>
      </c>
      <c r="B240" s="4" t="s">
        <v>41</v>
      </c>
      <c r="C240" s="4" t="s">
        <v>43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44835</v>
      </c>
      <c r="J240" s="6">
        <v>0</v>
      </c>
      <c r="K240" s="6">
        <v>0</v>
      </c>
      <c r="L240" s="6">
        <v>8114.3739999999998</v>
      </c>
      <c r="M240" s="6">
        <v>8114.3739999999998</v>
      </c>
      <c r="N240" s="6">
        <v>8114.3739999999998</v>
      </c>
      <c r="O240" s="6">
        <v>8114.3739999999998</v>
      </c>
      <c r="P240" s="6">
        <v>0</v>
      </c>
      <c r="Q240" s="4" t="s">
        <v>26</v>
      </c>
      <c r="R240" s="4">
        <v>0</v>
      </c>
      <c r="S240" s="6">
        <v>0</v>
      </c>
      <c r="T240" s="6">
        <v>7</v>
      </c>
      <c r="U240" s="6">
        <v>76</v>
      </c>
      <c r="V240" s="6">
        <f>IF(ISERROR(VLOOKUP($S$240,'TAR FIN'!$A$1:$O$108,15,0)),0,VLOOKUP($S$240,'TAR FIN'!$A$1:$O$108,15,0))</f>
        <v>0</v>
      </c>
      <c r="W240" s="6">
        <f>IF(ISERROR(VLOOKUP($T$240,'TAR FIN'!$A$1:$O$108,15,0)),0,VLOOKUP($T$240,'TAR FIN'!$A$1:$O$108,15,0))</f>
        <v>102.62</v>
      </c>
      <c r="X240" s="6">
        <f>IF(ISERROR(VLOOKUP($U$240,'TAR FIN'!$A$1:$O$108,15,0)),0,VLOOKUP($U$240,'TAR FIN'!$A$1:$O$108,15,0))</f>
        <v>103.1</v>
      </c>
      <c r="Y240" s="6"/>
      <c r="Z240" s="6">
        <f ca="1">('TUSD BE'!$AM$28+'TUSD BF'!$AM$28+'TUSD CVA'!$AM$28)*1</f>
        <v>181.47641369790719</v>
      </c>
      <c r="AA240" s="6">
        <f>('TE BE'!$AB$11+'TE BF'!$AB$11+'TE CVA'!$AB$11)*1</f>
        <v>215.60278025898469</v>
      </c>
      <c r="AB240" s="6">
        <f>$K$240*$V$240</f>
        <v>0</v>
      </c>
      <c r="AC240" s="6">
        <f>$M$240*$W$240</f>
        <v>832697.05988000007</v>
      </c>
      <c r="AD240" s="6">
        <f>$O$240*$X$240</f>
        <v>836591.95939999993</v>
      </c>
      <c r="AE240" s="6">
        <f>$K$240*$Y$240</f>
        <v>0</v>
      </c>
      <c r="AF240" s="6">
        <f ca="1">$M$240*$Z$240</f>
        <v>1472567.4929235419</v>
      </c>
      <c r="AG240" s="6">
        <f>$O$240*$AA$240</f>
        <v>1749481.5944612187</v>
      </c>
    </row>
    <row r="241" spans="1:33" ht="11.25" customHeight="1" x14ac:dyDescent="0.25">
      <c r="A241" s="4" t="s">
        <v>27</v>
      </c>
      <c r="B241" s="4" t="s">
        <v>41</v>
      </c>
      <c r="C241" s="4" t="s">
        <v>43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44835</v>
      </c>
      <c r="J241" s="6">
        <v>0</v>
      </c>
      <c r="K241" s="6">
        <v>0</v>
      </c>
      <c r="L241" s="6">
        <v>12.051</v>
      </c>
      <c r="M241" s="6">
        <v>12.051</v>
      </c>
      <c r="N241" s="6">
        <v>12.051</v>
      </c>
      <c r="O241" s="6">
        <v>12.051</v>
      </c>
      <c r="P241" s="6">
        <v>0</v>
      </c>
      <c r="Q241" s="4" t="s">
        <v>26</v>
      </c>
      <c r="R241" s="4">
        <v>0</v>
      </c>
      <c r="S241" s="6">
        <v>0</v>
      </c>
      <c r="T241" s="6">
        <v>7</v>
      </c>
      <c r="U241" s="6">
        <v>76</v>
      </c>
      <c r="V241" s="6">
        <f>IF(ISERROR(VLOOKUP($S$241,'TAR FIN'!$A$1:$O$108,15,0)),0,VLOOKUP($S$241,'TAR FIN'!$A$1:$O$108,15,0))</f>
        <v>0</v>
      </c>
      <c r="W241" s="6">
        <f>IF(ISERROR(VLOOKUP($T$241,'TAR FIN'!$A$1:$O$108,15,0)),0,VLOOKUP($T$241,'TAR FIN'!$A$1:$O$108,15,0))</f>
        <v>102.62</v>
      </c>
      <c r="X241" s="6">
        <f>IF(ISERROR(VLOOKUP($U$241,'TAR FIN'!$A$1:$O$108,15,0)),0,VLOOKUP($U$241,'TAR FIN'!$A$1:$O$108,15,0))</f>
        <v>103.1</v>
      </c>
      <c r="Y241" s="6"/>
      <c r="Z241" s="6">
        <f ca="1">('TUSD BE'!$AM$28+'TUSD BF'!$AM$28+'TUSD CVA'!$AM$28)*1</f>
        <v>181.47641369790719</v>
      </c>
      <c r="AA241" s="6">
        <f>('TE BE'!$AB$11+'TE BF'!$AB$11+'TE CVA'!$AB$11)*1</f>
        <v>215.60278025898469</v>
      </c>
      <c r="AB241" s="6">
        <f>$K$241*$V$241</f>
        <v>0</v>
      </c>
      <c r="AC241" s="6">
        <f>$M$241*$W$241</f>
        <v>1236.67362</v>
      </c>
      <c r="AD241" s="6">
        <f>$O$241*$X$241</f>
        <v>1242.4581000000001</v>
      </c>
      <c r="AE241" s="6">
        <f>$K$241*$Y$241</f>
        <v>0</v>
      </c>
      <c r="AF241" s="6">
        <f ca="1">$M$241*$Z$241</f>
        <v>2186.9722614734796</v>
      </c>
      <c r="AG241" s="6">
        <f>$O$241*$AA$241</f>
        <v>2598.2291049010246</v>
      </c>
    </row>
    <row r="242" spans="1:33" ht="11.25" customHeight="1" x14ac:dyDescent="0.25">
      <c r="A242" s="4" t="s">
        <v>28</v>
      </c>
      <c r="B242" s="4" t="s">
        <v>41</v>
      </c>
      <c r="C242" s="4" t="s">
        <v>43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44835</v>
      </c>
      <c r="J242" s="6">
        <v>0</v>
      </c>
      <c r="K242" s="6">
        <v>0</v>
      </c>
      <c r="L242" s="6">
        <v>99.346000000000004</v>
      </c>
      <c r="M242" s="6">
        <v>99.346000000000004</v>
      </c>
      <c r="N242" s="6">
        <v>99.346000000000004</v>
      </c>
      <c r="O242" s="6">
        <v>99.346000000000004</v>
      </c>
      <c r="P242" s="6">
        <v>0</v>
      </c>
      <c r="Q242" s="4" t="s">
        <v>26</v>
      </c>
      <c r="R242" s="4">
        <v>0</v>
      </c>
      <c r="S242" s="6">
        <v>0</v>
      </c>
      <c r="T242" s="6">
        <v>7</v>
      </c>
      <c r="U242" s="6">
        <v>76</v>
      </c>
      <c r="V242" s="6">
        <f>IF(ISERROR(VLOOKUP($S$242,'TAR FIN'!$A$1:$O$108,15,0)),0,VLOOKUP($S$242,'TAR FIN'!$A$1:$O$108,15,0))</f>
        <v>0</v>
      </c>
      <c r="W242" s="6">
        <f>IF(ISERROR(VLOOKUP($T$242,'TAR FIN'!$A$1:$O$108,15,0)),0,VLOOKUP($T$242,'TAR FIN'!$A$1:$O$108,15,0))</f>
        <v>102.62</v>
      </c>
      <c r="X242" s="6">
        <f>IF(ISERROR(VLOOKUP($U$242,'TAR FIN'!$A$1:$O$108,15,0)),0,VLOOKUP($U$242,'TAR FIN'!$A$1:$O$108,15,0))</f>
        <v>103.1</v>
      </c>
      <c r="Y242" s="6"/>
      <c r="Z242" s="6">
        <f ca="1">('TUSD BE'!$AM$28+'TUSD BF'!$AM$28+'TUSD CVA'!$AM$28)*1</f>
        <v>181.47641369790719</v>
      </c>
      <c r="AA242" s="6">
        <f>('TE BE'!$AB$11+'TE BF'!$AB$11+'TE CVA'!$AB$11)*1</f>
        <v>215.60278025898469</v>
      </c>
      <c r="AB242" s="6">
        <f>$K$242*$V$242</f>
        <v>0</v>
      </c>
      <c r="AC242" s="6">
        <f>$M$242*$W$242</f>
        <v>10194.88652</v>
      </c>
      <c r="AD242" s="6">
        <f>$O$242*$X$242</f>
        <v>10242.5726</v>
      </c>
      <c r="AE242" s="6">
        <f>$K$242*$Y$242</f>
        <v>0</v>
      </c>
      <c r="AF242" s="6">
        <f ca="1">$M$242*$Z$242</f>
        <v>18028.955795232287</v>
      </c>
      <c r="AG242" s="6">
        <f>$O$242*$AA$242</f>
        <v>21419.273807609094</v>
      </c>
    </row>
    <row r="243" spans="1:33" ht="11.25" customHeight="1" x14ac:dyDescent="0.25">
      <c r="A243" s="4" t="s">
        <v>54</v>
      </c>
      <c r="B243" s="4" t="s">
        <v>41</v>
      </c>
      <c r="C243" s="4" t="s">
        <v>43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44866</v>
      </c>
      <c r="J243" s="6">
        <v>0</v>
      </c>
      <c r="K243" s="6">
        <v>0</v>
      </c>
      <c r="L243" s="6">
        <v>8114.3739999999998</v>
      </c>
      <c r="M243" s="6">
        <v>8114.3739999999998</v>
      </c>
      <c r="N243" s="6">
        <v>8114.3739999999998</v>
      </c>
      <c r="O243" s="6">
        <v>8114.3739999999998</v>
      </c>
      <c r="P243" s="6">
        <v>0</v>
      </c>
      <c r="Q243" s="4" t="s">
        <v>26</v>
      </c>
      <c r="R243" s="4">
        <v>0</v>
      </c>
      <c r="S243" s="6">
        <v>0</v>
      </c>
      <c r="T243" s="6">
        <v>7</v>
      </c>
      <c r="U243" s="6">
        <v>76</v>
      </c>
      <c r="V243" s="6">
        <f>IF(ISERROR(VLOOKUP($S$243,'TAR FIN'!$A$1:$O$108,15,0)),0,VLOOKUP($S$243,'TAR FIN'!$A$1:$O$108,15,0))</f>
        <v>0</v>
      </c>
      <c r="W243" s="6">
        <f>IF(ISERROR(VLOOKUP($T$243,'TAR FIN'!$A$1:$O$108,15,0)),0,VLOOKUP($T$243,'TAR FIN'!$A$1:$O$108,15,0))</f>
        <v>102.62</v>
      </c>
      <c r="X243" s="6">
        <f>IF(ISERROR(VLOOKUP($U$243,'TAR FIN'!$A$1:$O$108,15,0)),0,VLOOKUP($U$243,'TAR FIN'!$A$1:$O$108,15,0))</f>
        <v>103.1</v>
      </c>
      <c r="Y243" s="6"/>
      <c r="Z243" s="6">
        <f ca="1">('TUSD BE'!$AM$28+'TUSD BF'!$AM$28+'TUSD CVA'!$AM$28)*1</f>
        <v>181.47641369790719</v>
      </c>
      <c r="AA243" s="6">
        <f>('TE BE'!$AB$11+'TE BF'!$AB$11+'TE CVA'!$AB$11)*1</f>
        <v>215.60278025898469</v>
      </c>
      <c r="AB243" s="6">
        <f>$K$243*$V$243</f>
        <v>0</v>
      </c>
      <c r="AC243" s="6">
        <f>$M$243*$W$243</f>
        <v>832697.05988000007</v>
      </c>
      <c r="AD243" s="6">
        <f>$O$243*$X$243</f>
        <v>836591.95939999993</v>
      </c>
      <c r="AE243" s="6">
        <f>$K$243*$Y$243</f>
        <v>0</v>
      </c>
      <c r="AF243" s="6">
        <f ca="1">$M$243*$Z$243</f>
        <v>1472567.4929235419</v>
      </c>
      <c r="AG243" s="6">
        <f>$O$243*$AA$243</f>
        <v>1749481.5944612187</v>
      </c>
    </row>
    <row r="244" spans="1:33" ht="11.25" customHeight="1" x14ac:dyDescent="0.25">
      <c r="A244" s="4" t="s">
        <v>54</v>
      </c>
      <c r="B244" s="4" t="s">
        <v>41</v>
      </c>
      <c r="C244" s="4" t="s">
        <v>43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44866</v>
      </c>
      <c r="J244" s="6">
        <v>0</v>
      </c>
      <c r="K244" s="6">
        <v>0</v>
      </c>
      <c r="L244" s="6">
        <v>12.051</v>
      </c>
      <c r="M244" s="6">
        <v>12.051</v>
      </c>
      <c r="N244" s="6">
        <v>12.051</v>
      </c>
      <c r="O244" s="6">
        <v>12.051</v>
      </c>
      <c r="P244" s="6">
        <v>0</v>
      </c>
      <c r="Q244" s="4" t="s">
        <v>26</v>
      </c>
      <c r="R244" s="4">
        <v>0</v>
      </c>
      <c r="S244" s="6">
        <v>0</v>
      </c>
      <c r="T244" s="6">
        <v>7</v>
      </c>
      <c r="U244" s="6">
        <v>76</v>
      </c>
      <c r="V244" s="6">
        <f>IF(ISERROR(VLOOKUP($S$244,'TAR FIN'!$A$1:$O$108,15,0)),0,VLOOKUP($S$244,'TAR FIN'!$A$1:$O$108,15,0))</f>
        <v>0</v>
      </c>
      <c r="W244" s="6">
        <f>IF(ISERROR(VLOOKUP($T$244,'TAR FIN'!$A$1:$O$108,15,0)),0,VLOOKUP($T$244,'TAR FIN'!$A$1:$O$108,15,0))</f>
        <v>102.62</v>
      </c>
      <c r="X244" s="6">
        <f>IF(ISERROR(VLOOKUP($U$244,'TAR FIN'!$A$1:$O$108,15,0)),0,VLOOKUP($U$244,'TAR FIN'!$A$1:$O$108,15,0))</f>
        <v>103.1</v>
      </c>
      <c r="Y244" s="6"/>
      <c r="Z244" s="6">
        <f ca="1">('TUSD BE'!$AM$28+'TUSD BF'!$AM$28+'TUSD CVA'!$AM$28)*1</f>
        <v>181.47641369790719</v>
      </c>
      <c r="AA244" s="6">
        <f>('TE BE'!$AB$11+'TE BF'!$AB$11+'TE CVA'!$AB$11)*1</f>
        <v>215.60278025898469</v>
      </c>
      <c r="AB244" s="6">
        <f>$K$244*$V$244</f>
        <v>0</v>
      </c>
      <c r="AC244" s="6">
        <f>$M$244*$W$244</f>
        <v>1236.67362</v>
      </c>
      <c r="AD244" s="6">
        <f>$O$244*$X$244</f>
        <v>1242.4581000000001</v>
      </c>
      <c r="AE244" s="6">
        <f>$K$244*$Y$244</f>
        <v>0</v>
      </c>
      <c r="AF244" s="6">
        <f ca="1">$M$244*$Z$244</f>
        <v>2186.9722614734796</v>
      </c>
      <c r="AG244" s="6">
        <f>$O$244*$AA$244</f>
        <v>2598.2291049010246</v>
      </c>
    </row>
    <row r="245" spans="1:33" ht="11.25" customHeight="1" x14ac:dyDescent="0.25">
      <c r="A245" s="4" t="s">
        <v>54</v>
      </c>
      <c r="B245" s="4" t="s">
        <v>41</v>
      </c>
      <c r="C245" s="4" t="s">
        <v>43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44866</v>
      </c>
      <c r="J245" s="6">
        <v>0</v>
      </c>
      <c r="K245" s="6">
        <v>0</v>
      </c>
      <c r="L245" s="6">
        <v>99.346000000000004</v>
      </c>
      <c r="M245" s="6">
        <v>99.346000000000004</v>
      </c>
      <c r="N245" s="6">
        <v>99.346000000000004</v>
      </c>
      <c r="O245" s="6">
        <v>99.346000000000004</v>
      </c>
      <c r="P245" s="6">
        <v>0</v>
      </c>
      <c r="Q245" s="4" t="s">
        <v>26</v>
      </c>
      <c r="R245" s="4">
        <v>0</v>
      </c>
      <c r="S245" s="6">
        <v>0</v>
      </c>
      <c r="T245" s="6">
        <v>7</v>
      </c>
      <c r="U245" s="6">
        <v>76</v>
      </c>
      <c r="V245" s="6">
        <f>IF(ISERROR(VLOOKUP($S$245,'TAR FIN'!$A$1:$O$108,15,0)),0,VLOOKUP($S$245,'TAR FIN'!$A$1:$O$108,15,0))</f>
        <v>0</v>
      </c>
      <c r="W245" s="6">
        <f>IF(ISERROR(VLOOKUP($T$245,'TAR FIN'!$A$1:$O$108,15,0)),0,VLOOKUP($T$245,'TAR FIN'!$A$1:$O$108,15,0))</f>
        <v>102.62</v>
      </c>
      <c r="X245" s="6">
        <f>IF(ISERROR(VLOOKUP($U$245,'TAR FIN'!$A$1:$O$108,15,0)),0,VLOOKUP($U$245,'TAR FIN'!$A$1:$O$108,15,0))</f>
        <v>103.1</v>
      </c>
      <c r="Y245" s="6"/>
      <c r="Z245" s="6">
        <f ca="1">('TUSD BE'!$AM$28+'TUSD BF'!$AM$28+'TUSD CVA'!$AM$28)*1</f>
        <v>181.47641369790719</v>
      </c>
      <c r="AA245" s="6">
        <f>('TE BE'!$AB$11+'TE BF'!$AB$11+'TE CVA'!$AB$11)*1</f>
        <v>215.60278025898469</v>
      </c>
      <c r="AB245" s="6">
        <f>$K$245*$V$245</f>
        <v>0</v>
      </c>
      <c r="AC245" s="6">
        <f>$M$245*$W$245</f>
        <v>10194.88652</v>
      </c>
      <c r="AD245" s="6">
        <f>$O$245*$X$245</f>
        <v>10242.5726</v>
      </c>
      <c r="AE245" s="6">
        <f>$K$245*$Y$245</f>
        <v>0</v>
      </c>
      <c r="AF245" s="6">
        <f ca="1">$M$245*$Z$245</f>
        <v>18028.955795232287</v>
      </c>
      <c r="AG245" s="6">
        <f>$O$245*$AA$245</f>
        <v>21419.273807609094</v>
      </c>
    </row>
    <row r="246" spans="1:33" ht="11.25" customHeight="1" x14ac:dyDescent="0.25">
      <c r="A246" s="4" t="s">
        <v>21</v>
      </c>
      <c r="B246" s="4" t="s">
        <v>41</v>
      </c>
      <c r="C246" s="4" t="s">
        <v>43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44531</v>
      </c>
      <c r="J246" s="6">
        <v>34614</v>
      </c>
      <c r="K246" s="6">
        <v>34614</v>
      </c>
      <c r="L246" s="6">
        <v>0</v>
      </c>
      <c r="M246" s="6">
        <v>0</v>
      </c>
      <c r="N246" s="6">
        <v>0</v>
      </c>
      <c r="O246" s="6">
        <v>0</v>
      </c>
      <c r="P246" s="6">
        <v>266</v>
      </c>
      <c r="Q246" s="4" t="s">
        <v>26</v>
      </c>
      <c r="R246" s="4">
        <v>0</v>
      </c>
      <c r="S246" s="6">
        <v>2</v>
      </c>
      <c r="T246" s="6">
        <v>0</v>
      </c>
      <c r="U246" s="6">
        <v>0</v>
      </c>
      <c r="V246" s="6">
        <f>IF(ISERROR(VLOOKUP($S$246,'TAR FIN'!$A$1:$O$108,15,0)),0,VLOOKUP($S$246,'TAR FIN'!$A$1:$O$108,15,0))</f>
        <v>21.38</v>
      </c>
      <c r="W246" s="6">
        <f>IF(ISERROR(VLOOKUP($T$246,'TAR FIN'!$A$1:$O$108,15,0)),0,VLOOKUP($T$246,'TAR FIN'!$A$1:$O$108,15,0))</f>
        <v>0</v>
      </c>
      <c r="X246" s="6">
        <f>IF(ISERROR(VLOOKUP($U$246,'TAR FIN'!$A$1:$O$108,15,0)),0,VLOOKUP($U$246,'TAR FIN'!$A$1:$O$108,15,0))</f>
        <v>0</v>
      </c>
      <c r="Y246" s="6">
        <f ca="1">('TUSD BE'!$AM$26+'TUSD BF'!$AM$26+'TUSD CVA'!$AM$26)*1</f>
        <v>21.189390814529755</v>
      </c>
      <c r="Z246" s="6"/>
      <c r="AA246" s="6"/>
      <c r="AB246" s="6">
        <f>$K$246*$V$246</f>
        <v>740047.32</v>
      </c>
      <c r="AC246" s="6">
        <f>$M$246*$W$246</f>
        <v>0</v>
      </c>
      <c r="AD246" s="6">
        <f>$O$246*$X$246</f>
        <v>0</v>
      </c>
      <c r="AE246" s="6">
        <f ca="1">$K$246*$Y$246</f>
        <v>733449.5736541329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28</v>
      </c>
      <c r="B247" s="4" t="s">
        <v>41</v>
      </c>
      <c r="C247" s="4" t="s">
        <v>43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2609</v>
      </c>
      <c r="K247" s="6">
        <v>2609</v>
      </c>
      <c r="L247" s="6">
        <v>0</v>
      </c>
      <c r="M247" s="6">
        <v>0</v>
      </c>
      <c r="N247" s="6">
        <v>0</v>
      </c>
      <c r="O247" s="6">
        <v>0</v>
      </c>
      <c r="P247" s="6">
        <v>11</v>
      </c>
      <c r="Q247" s="4" t="s">
        <v>26</v>
      </c>
      <c r="R247" s="4">
        <v>0</v>
      </c>
      <c r="S247" s="6">
        <v>2</v>
      </c>
      <c r="T247" s="6">
        <v>0</v>
      </c>
      <c r="U247" s="6">
        <v>0</v>
      </c>
      <c r="V247" s="6">
        <f>IF(ISERROR(VLOOKUP($S$247,'TAR FIN'!$A$1:$O$108,15,0)),0,VLOOKUP($S$247,'TAR FIN'!$A$1:$O$108,15,0))</f>
        <v>21.38</v>
      </c>
      <c r="W247" s="6">
        <f>IF(ISERROR(VLOOKUP($T$247,'TAR FIN'!$A$1:$O$108,15,0)),0,VLOOKUP($T$247,'TAR FIN'!$A$1:$O$108,15,0))</f>
        <v>0</v>
      </c>
      <c r="X247" s="6">
        <f>IF(ISERROR(VLOOKUP($U$247,'TAR FIN'!$A$1:$O$108,15,0)),0,VLOOKUP($U$247,'TAR FIN'!$A$1:$O$108,15,0))</f>
        <v>0</v>
      </c>
      <c r="Y247" s="6">
        <f ca="1">('TUSD BE'!$AM$26+'TUSD BF'!$AM$26+'TUSD CVA'!$AM$26)*1</f>
        <v>21.189390814529755</v>
      </c>
      <c r="Z247" s="6"/>
      <c r="AA247" s="6"/>
      <c r="AB247" s="6">
        <f>$K$247*$V$247</f>
        <v>55780.42</v>
      </c>
      <c r="AC247" s="6">
        <f>$M$247*$W$247</f>
        <v>0</v>
      </c>
      <c r="AD247" s="6">
        <f>$O$247*$X$247</f>
        <v>0</v>
      </c>
      <c r="AE247" s="6">
        <f ca="1">$K$247*$Y$247</f>
        <v>55283.120635108135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41</v>
      </c>
      <c r="C248" s="4" t="s">
        <v>43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34281</v>
      </c>
      <c r="K248" s="6">
        <v>34281</v>
      </c>
      <c r="L248" s="6">
        <v>0</v>
      </c>
      <c r="M248" s="6">
        <v>0</v>
      </c>
      <c r="N248" s="6">
        <v>0</v>
      </c>
      <c r="O248" s="6">
        <v>0</v>
      </c>
      <c r="P248" s="6">
        <v>266</v>
      </c>
      <c r="Q248" s="4" t="s">
        <v>26</v>
      </c>
      <c r="R248" s="4">
        <v>0</v>
      </c>
      <c r="S248" s="6">
        <v>2</v>
      </c>
      <c r="T248" s="6">
        <v>0</v>
      </c>
      <c r="U248" s="6">
        <v>0</v>
      </c>
      <c r="V248" s="6">
        <f>IF(ISERROR(VLOOKUP($S$248,'TAR FIN'!$A$1:$O$108,15,0)),0,VLOOKUP($S$248,'TAR FIN'!$A$1:$O$108,15,0))</f>
        <v>21.38</v>
      </c>
      <c r="W248" s="6">
        <f>IF(ISERROR(VLOOKUP($T$248,'TAR FIN'!$A$1:$O$108,15,0)),0,VLOOKUP($T$248,'TAR FIN'!$A$1:$O$108,15,0))</f>
        <v>0</v>
      </c>
      <c r="X248" s="6">
        <f>IF(ISERROR(VLOOKUP($U$248,'TAR FIN'!$A$1:$O$108,15,0)),0,VLOOKUP($U$248,'TAR FIN'!$A$1:$O$108,15,0))</f>
        <v>0</v>
      </c>
      <c r="Y248" s="6">
        <f ca="1">('TUSD BE'!$AM$26+'TUSD BF'!$AM$26+'TUSD CVA'!$AM$26)*1</f>
        <v>21.189390814529755</v>
      </c>
      <c r="Z248" s="6"/>
      <c r="AA248" s="6"/>
      <c r="AB248" s="6">
        <f>$K$248*$V$248</f>
        <v>732927.77999999991</v>
      </c>
      <c r="AC248" s="6">
        <f>$M$248*$W$248</f>
        <v>0</v>
      </c>
      <c r="AD248" s="6">
        <f>$O$248*$X$248</f>
        <v>0</v>
      </c>
      <c r="AE248" s="6">
        <f ca="1">$K$248*$Y$248</f>
        <v>726393.50651289453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27</v>
      </c>
      <c r="B249" s="4" t="s">
        <v>41</v>
      </c>
      <c r="C249" s="4" t="s">
        <v>43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44562</v>
      </c>
      <c r="J249" s="6">
        <v>-8457</v>
      </c>
      <c r="K249" s="6">
        <v>-8457</v>
      </c>
      <c r="L249" s="6">
        <v>0</v>
      </c>
      <c r="M249" s="6">
        <v>0</v>
      </c>
      <c r="N249" s="6">
        <v>0</v>
      </c>
      <c r="O249" s="6">
        <v>0</v>
      </c>
      <c r="P249" s="6">
        <v>-93</v>
      </c>
      <c r="Q249" s="4" t="s">
        <v>26</v>
      </c>
      <c r="R249" s="4">
        <v>0</v>
      </c>
      <c r="S249" s="6">
        <v>2</v>
      </c>
      <c r="T249" s="6">
        <v>0</v>
      </c>
      <c r="U249" s="6">
        <v>0</v>
      </c>
      <c r="V249" s="6">
        <f>IF(ISERROR(VLOOKUP($S$249,'TAR FIN'!$A$1:$O$108,15,0)),0,VLOOKUP($S$249,'TAR FIN'!$A$1:$O$108,15,0))</f>
        <v>21.38</v>
      </c>
      <c r="W249" s="6">
        <f>IF(ISERROR(VLOOKUP($T$249,'TAR FIN'!$A$1:$O$108,15,0)),0,VLOOKUP($T$249,'TAR FIN'!$A$1:$O$108,15,0))</f>
        <v>0</v>
      </c>
      <c r="X249" s="6">
        <f>IF(ISERROR(VLOOKUP($U$249,'TAR FIN'!$A$1:$O$108,15,0)),0,VLOOKUP($U$249,'TAR FIN'!$A$1:$O$108,15,0))</f>
        <v>0</v>
      </c>
      <c r="Y249" s="6">
        <f ca="1">('TUSD BE'!$AM$26+'TUSD BF'!$AM$26+'TUSD CVA'!$AM$26)*1</f>
        <v>21.189390814529755</v>
      </c>
      <c r="Z249" s="6"/>
      <c r="AA249" s="6"/>
      <c r="AB249" s="6">
        <f>$K$249*$V$249</f>
        <v>-180810.66</v>
      </c>
      <c r="AC249" s="6">
        <f>$M$249*$W$249</f>
        <v>0</v>
      </c>
      <c r="AD249" s="6">
        <f>$O$249*$X$249</f>
        <v>0</v>
      </c>
      <c r="AE249" s="6">
        <f ca="1">$K$249*$Y$249</f>
        <v>-179198.67811847813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28</v>
      </c>
      <c r="B250" s="4" t="s">
        <v>41</v>
      </c>
      <c r="C250" s="4" t="s">
        <v>43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2595</v>
      </c>
      <c r="K250" s="6">
        <v>2595</v>
      </c>
      <c r="L250" s="6">
        <v>0</v>
      </c>
      <c r="M250" s="6">
        <v>0</v>
      </c>
      <c r="N250" s="6">
        <v>0</v>
      </c>
      <c r="O250" s="6">
        <v>0</v>
      </c>
      <c r="P250" s="6">
        <v>11</v>
      </c>
      <c r="Q250" s="4" t="s">
        <v>26</v>
      </c>
      <c r="R250" s="4">
        <v>0</v>
      </c>
      <c r="S250" s="6">
        <v>2</v>
      </c>
      <c r="T250" s="6">
        <v>0</v>
      </c>
      <c r="U250" s="6">
        <v>0</v>
      </c>
      <c r="V250" s="6">
        <f>IF(ISERROR(VLOOKUP($S$250,'TAR FIN'!$A$1:$O$108,15,0)),0,VLOOKUP($S$250,'TAR FIN'!$A$1:$O$108,15,0))</f>
        <v>21.38</v>
      </c>
      <c r="W250" s="6">
        <f>IF(ISERROR(VLOOKUP($T$250,'TAR FIN'!$A$1:$O$108,15,0)),0,VLOOKUP($T$250,'TAR FIN'!$A$1:$O$108,15,0))</f>
        <v>0</v>
      </c>
      <c r="X250" s="6">
        <f>IF(ISERROR(VLOOKUP($U$250,'TAR FIN'!$A$1:$O$108,15,0)),0,VLOOKUP($U$250,'TAR FIN'!$A$1:$O$108,15,0))</f>
        <v>0</v>
      </c>
      <c r="Y250" s="6">
        <f ca="1">('TUSD BE'!$AM$26+'TUSD BF'!$AM$26+'TUSD CVA'!$AM$26)*1</f>
        <v>21.189390814529755</v>
      </c>
      <c r="Z250" s="6"/>
      <c r="AA250" s="6"/>
      <c r="AB250" s="6">
        <f>$K$250*$V$250</f>
        <v>55481.1</v>
      </c>
      <c r="AC250" s="6">
        <f>$M$250*$W$250</f>
        <v>0</v>
      </c>
      <c r="AD250" s="6">
        <f>$O$250*$X$250</f>
        <v>0</v>
      </c>
      <c r="AE250" s="6">
        <f ca="1">$K$250*$Y$250</f>
        <v>54986.469163704714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41</v>
      </c>
      <c r="C251" s="4" t="s">
        <v>43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44593</v>
      </c>
      <c r="J251" s="6">
        <v>34487</v>
      </c>
      <c r="K251" s="6">
        <v>34487</v>
      </c>
      <c r="L251" s="6">
        <v>0</v>
      </c>
      <c r="M251" s="6">
        <v>0</v>
      </c>
      <c r="N251" s="6">
        <v>0</v>
      </c>
      <c r="O251" s="6">
        <v>0</v>
      </c>
      <c r="P251" s="6">
        <v>267</v>
      </c>
      <c r="Q251" s="4" t="s">
        <v>26</v>
      </c>
      <c r="R251" s="4">
        <v>0</v>
      </c>
      <c r="S251" s="6">
        <v>2</v>
      </c>
      <c r="T251" s="6">
        <v>0</v>
      </c>
      <c r="U251" s="6">
        <v>0</v>
      </c>
      <c r="V251" s="6">
        <f>IF(ISERROR(VLOOKUP($S$251,'TAR FIN'!$A$1:$O$108,15,0)),0,VLOOKUP($S$251,'TAR FIN'!$A$1:$O$108,15,0))</f>
        <v>21.38</v>
      </c>
      <c r="W251" s="6">
        <f>IF(ISERROR(VLOOKUP($T$251,'TAR FIN'!$A$1:$O$108,15,0)),0,VLOOKUP($T$251,'TAR FIN'!$A$1:$O$108,15,0))</f>
        <v>0</v>
      </c>
      <c r="X251" s="6">
        <f>IF(ISERROR(VLOOKUP($U$251,'TAR FIN'!$A$1:$O$108,15,0)),0,VLOOKUP($U$251,'TAR FIN'!$A$1:$O$108,15,0))</f>
        <v>0</v>
      </c>
      <c r="Y251" s="6">
        <f ca="1">('TUSD BE'!$AM$26+'TUSD BF'!$AM$26+'TUSD CVA'!$AM$26)*1</f>
        <v>21.189390814529755</v>
      </c>
      <c r="Z251" s="6"/>
      <c r="AA251" s="6"/>
      <c r="AB251" s="6">
        <f>$K$251*$V$251</f>
        <v>737332.05999999994</v>
      </c>
      <c r="AC251" s="6">
        <f>$M$251*$W$251</f>
        <v>0</v>
      </c>
      <c r="AD251" s="6">
        <f>$O$251*$X$251</f>
        <v>0</v>
      </c>
      <c r="AE251" s="6">
        <f ca="1">$K$251*$Y$251</f>
        <v>730758.52102068765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27</v>
      </c>
      <c r="B252" s="4" t="s">
        <v>41</v>
      </c>
      <c r="C252" s="4" t="s">
        <v>43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44593</v>
      </c>
      <c r="J252" s="6">
        <v>-380</v>
      </c>
      <c r="K252" s="6">
        <v>-380</v>
      </c>
      <c r="L252" s="6">
        <v>0</v>
      </c>
      <c r="M252" s="6">
        <v>0</v>
      </c>
      <c r="N252" s="6">
        <v>0</v>
      </c>
      <c r="O252" s="6">
        <v>0</v>
      </c>
      <c r="P252" s="6">
        <v>-4</v>
      </c>
      <c r="Q252" s="4" t="s">
        <v>26</v>
      </c>
      <c r="R252" s="4">
        <v>0</v>
      </c>
      <c r="S252" s="6">
        <v>2</v>
      </c>
      <c r="T252" s="6">
        <v>0</v>
      </c>
      <c r="U252" s="6">
        <v>0</v>
      </c>
      <c r="V252" s="6">
        <f>IF(ISERROR(VLOOKUP($S$252,'TAR FIN'!$A$1:$O$108,15,0)),0,VLOOKUP($S$252,'TAR FIN'!$A$1:$O$108,15,0))</f>
        <v>21.38</v>
      </c>
      <c r="W252" s="6">
        <f>IF(ISERROR(VLOOKUP($T$252,'TAR FIN'!$A$1:$O$108,15,0)),0,VLOOKUP($T$252,'TAR FIN'!$A$1:$O$108,15,0))</f>
        <v>0</v>
      </c>
      <c r="X252" s="6">
        <f>IF(ISERROR(VLOOKUP($U$252,'TAR FIN'!$A$1:$O$108,15,0)),0,VLOOKUP($U$252,'TAR FIN'!$A$1:$O$108,15,0))</f>
        <v>0</v>
      </c>
      <c r="Y252" s="6">
        <f ca="1">('TUSD BE'!$AM$26+'TUSD BF'!$AM$26+'TUSD CVA'!$AM$26)*1</f>
        <v>21.189390814529755</v>
      </c>
      <c r="Z252" s="6"/>
      <c r="AA252" s="6"/>
      <c r="AB252" s="6">
        <f>$K$252*$V$252</f>
        <v>-8124.4</v>
      </c>
      <c r="AC252" s="6">
        <f>$M$252*$W$252</f>
        <v>0</v>
      </c>
      <c r="AD252" s="6">
        <f>$O$252*$X$252</f>
        <v>0</v>
      </c>
      <c r="AE252" s="6">
        <f ca="1">$K$252*$Y$252</f>
        <v>-8051.9685095213072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28</v>
      </c>
      <c r="B253" s="4" t="s">
        <v>41</v>
      </c>
      <c r="C253" s="4" t="s">
        <v>43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2625</v>
      </c>
      <c r="K253" s="6">
        <v>2625</v>
      </c>
      <c r="L253" s="6">
        <v>0</v>
      </c>
      <c r="M253" s="6">
        <v>0</v>
      </c>
      <c r="N253" s="6">
        <v>0</v>
      </c>
      <c r="O253" s="6">
        <v>0</v>
      </c>
      <c r="P253" s="6">
        <v>12</v>
      </c>
      <c r="Q253" s="4" t="s">
        <v>26</v>
      </c>
      <c r="R253" s="4">
        <v>0</v>
      </c>
      <c r="S253" s="6">
        <v>2</v>
      </c>
      <c r="T253" s="6">
        <v>0</v>
      </c>
      <c r="U253" s="6">
        <v>0</v>
      </c>
      <c r="V253" s="6">
        <f>IF(ISERROR(VLOOKUP($S$253,'TAR FIN'!$A$1:$O$108,15,0)),0,VLOOKUP($S$253,'TAR FIN'!$A$1:$O$108,15,0))</f>
        <v>21.38</v>
      </c>
      <c r="W253" s="6">
        <f>IF(ISERROR(VLOOKUP($T$253,'TAR FIN'!$A$1:$O$108,15,0)),0,VLOOKUP($T$253,'TAR FIN'!$A$1:$O$108,15,0))</f>
        <v>0</v>
      </c>
      <c r="X253" s="6">
        <f>IF(ISERROR(VLOOKUP($U$253,'TAR FIN'!$A$1:$O$108,15,0)),0,VLOOKUP($U$253,'TAR FIN'!$A$1:$O$108,15,0))</f>
        <v>0</v>
      </c>
      <c r="Y253" s="6">
        <f ca="1">('TUSD BE'!$AM$26+'TUSD BF'!$AM$26+'TUSD CVA'!$AM$26)*1</f>
        <v>21.189390814529755</v>
      </c>
      <c r="Z253" s="6"/>
      <c r="AA253" s="6"/>
      <c r="AB253" s="6">
        <f>$K$253*$V$253</f>
        <v>56122.5</v>
      </c>
      <c r="AC253" s="6">
        <f>$M$253*$W$253</f>
        <v>0</v>
      </c>
      <c r="AD253" s="6">
        <f>$O$253*$X$253</f>
        <v>0</v>
      </c>
      <c r="AE253" s="6">
        <f ca="1">$K$253*$Y$253</f>
        <v>55622.150888140604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41</v>
      </c>
      <c r="C254" s="4" t="s">
        <v>43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44621</v>
      </c>
      <c r="J254" s="6">
        <v>34359</v>
      </c>
      <c r="K254" s="6">
        <v>34359</v>
      </c>
      <c r="L254" s="6">
        <v>0</v>
      </c>
      <c r="M254" s="6">
        <v>0</v>
      </c>
      <c r="N254" s="6">
        <v>0</v>
      </c>
      <c r="O254" s="6">
        <v>0</v>
      </c>
      <c r="P254" s="6">
        <v>266</v>
      </c>
      <c r="Q254" s="4" t="s">
        <v>26</v>
      </c>
      <c r="R254" s="4">
        <v>0</v>
      </c>
      <c r="S254" s="6">
        <v>2</v>
      </c>
      <c r="T254" s="6">
        <v>0</v>
      </c>
      <c r="U254" s="6">
        <v>0</v>
      </c>
      <c r="V254" s="6">
        <f>IF(ISERROR(VLOOKUP($S$254,'TAR FIN'!$A$1:$O$108,15,0)),0,VLOOKUP($S$254,'TAR FIN'!$A$1:$O$108,15,0))</f>
        <v>21.38</v>
      </c>
      <c r="W254" s="6">
        <f>IF(ISERROR(VLOOKUP($T$254,'TAR FIN'!$A$1:$O$108,15,0)),0,VLOOKUP($T$254,'TAR FIN'!$A$1:$O$108,15,0))</f>
        <v>0</v>
      </c>
      <c r="X254" s="6">
        <f>IF(ISERROR(VLOOKUP($U$254,'TAR FIN'!$A$1:$O$108,15,0)),0,VLOOKUP($U$254,'TAR FIN'!$A$1:$O$108,15,0))</f>
        <v>0</v>
      </c>
      <c r="Y254" s="6">
        <f ca="1">('TUSD BE'!$AM$26+'TUSD BF'!$AM$26+'TUSD CVA'!$AM$26)*1</f>
        <v>21.189390814529755</v>
      </c>
      <c r="Z254" s="6"/>
      <c r="AA254" s="6"/>
      <c r="AB254" s="6">
        <f>$K$254*$V$254</f>
        <v>734595.41999999993</v>
      </c>
      <c r="AC254" s="6">
        <f>$M$254*$W$254</f>
        <v>0</v>
      </c>
      <c r="AD254" s="6">
        <f>$O$254*$X$254</f>
        <v>0</v>
      </c>
      <c r="AE254" s="6">
        <f ca="1">$K$254*$Y$254</f>
        <v>728046.27899642789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27</v>
      </c>
      <c r="B255" s="4" t="s">
        <v>41</v>
      </c>
      <c r="C255" s="4" t="s">
        <v>43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-1979</v>
      </c>
      <c r="K255" s="6">
        <v>-1979</v>
      </c>
      <c r="L255" s="6">
        <v>0</v>
      </c>
      <c r="M255" s="6">
        <v>0</v>
      </c>
      <c r="N255" s="6">
        <v>0</v>
      </c>
      <c r="O255" s="6">
        <v>0</v>
      </c>
      <c r="P255" s="6">
        <v>-13</v>
      </c>
      <c r="Q255" s="4" t="s">
        <v>26</v>
      </c>
      <c r="R255" s="4">
        <v>0</v>
      </c>
      <c r="S255" s="6">
        <v>2</v>
      </c>
      <c r="T255" s="6">
        <v>0</v>
      </c>
      <c r="U255" s="6">
        <v>0</v>
      </c>
      <c r="V255" s="6">
        <f>IF(ISERROR(VLOOKUP($S$255,'TAR FIN'!$A$1:$O$108,15,0)),0,VLOOKUP($S$255,'TAR FIN'!$A$1:$O$108,15,0))</f>
        <v>21.38</v>
      </c>
      <c r="W255" s="6">
        <f>IF(ISERROR(VLOOKUP($T$255,'TAR FIN'!$A$1:$O$108,15,0)),0,VLOOKUP($T$255,'TAR FIN'!$A$1:$O$108,15,0))</f>
        <v>0</v>
      </c>
      <c r="X255" s="6">
        <f>IF(ISERROR(VLOOKUP($U$255,'TAR FIN'!$A$1:$O$108,15,0)),0,VLOOKUP($U$255,'TAR FIN'!$A$1:$O$108,15,0))</f>
        <v>0</v>
      </c>
      <c r="Y255" s="6">
        <f ca="1">('TUSD BE'!$AM$26+'TUSD BF'!$AM$26+'TUSD CVA'!$AM$26)*1</f>
        <v>21.189390814529755</v>
      </c>
      <c r="Z255" s="6"/>
      <c r="AA255" s="6"/>
      <c r="AB255" s="6">
        <f>$K$255*$V$255</f>
        <v>-42311.02</v>
      </c>
      <c r="AC255" s="6">
        <f>$M$255*$W$255</f>
        <v>0</v>
      </c>
      <c r="AD255" s="6">
        <f>$O$255*$X$255</f>
        <v>0</v>
      </c>
      <c r="AE255" s="6">
        <f ca="1">$K$255*$Y$255</f>
        <v>-41933.804421954388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28</v>
      </c>
      <c r="B256" s="4" t="s">
        <v>41</v>
      </c>
      <c r="C256" s="4" t="s">
        <v>43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2674</v>
      </c>
      <c r="K256" s="6">
        <v>2674</v>
      </c>
      <c r="L256" s="6">
        <v>0</v>
      </c>
      <c r="M256" s="6">
        <v>0</v>
      </c>
      <c r="N256" s="6">
        <v>0</v>
      </c>
      <c r="O256" s="6">
        <v>0</v>
      </c>
      <c r="P256" s="6">
        <v>13</v>
      </c>
      <c r="Q256" s="4" t="s">
        <v>26</v>
      </c>
      <c r="R256" s="4">
        <v>0</v>
      </c>
      <c r="S256" s="6">
        <v>2</v>
      </c>
      <c r="T256" s="6">
        <v>0</v>
      </c>
      <c r="U256" s="6">
        <v>0</v>
      </c>
      <c r="V256" s="6">
        <f>IF(ISERROR(VLOOKUP($S$256,'TAR FIN'!$A$1:$O$108,15,0)),0,VLOOKUP($S$256,'TAR FIN'!$A$1:$O$108,15,0))</f>
        <v>21.38</v>
      </c>
      <c r="W256" s="6">
        <f>IF(ISERROR(VLOOKUP($T$256,'TAR FIN'!$A$1:$O$108,15,0)),0,VLOOKUP($T$256,'TAR FIN'!$A$1:$O$108,15,0))</f>
        <v>0</v>
      </c>
      <c r="X256" s="6">
        <f>IF(ISERROR(VLOOKUP($U$256,'TAR FIN'!$A$1:$O$108,15,0)),0,VLOOKUP($U$256,'TAR FIN'!$A$1:$O$108,15,0))</f>
        <v>0</v>
      </c>
      <c r="Y256" s="6">
        <f ca="1">('TUSD BE'!$AM$26+'TUSD BF'!$AM$26+'TUSD CVA'!$AM$26)*1</f>
        <v>21.189390814529755</v>
      </c>
      <c r="Z256" s="6"/>
      <c r="AA256" s="6"/>
      <c r="AB256" s="6">
        <f>$K$256*$V$256</f>
        <v>57170.119999999995</v>
      </c>
      <c r="AC256" s="6">
        <f>$M$256*$W$256</f>
        <v>0</v>
      </c>
      <c r="AD256" s="6">
        <f>$O$256*$X$256</f>
        <v>0</v>
      </c>
      <c r="AE256" s="6">
        <f ca="1">$K$256*$Y$256</f>
        <v>56660.431038052564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41</v>
      </c>
      <c r="C257" s="4" t="s">
        <v>43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44652</v>
      </c>
      <c r="J257" s="6">
        <v>34377</v>
      </c>
      <c r="K257" s="6">
        <v>34377</v>
      </c>
      <c r="L257" s="6">
        <v>0</v>
      </c>
      <c r="M257" s="6">
        <v>0</v>
      </c>
      <c r="N257" s="6">
        <v>0</v>
      </c>
      <c r="O257" s="6">
        <v>0</v>
      </c>
      <c r="P257" s="6">
        <v>267</v>
      </c>
      <c r="Q257" s="4" t="s">
        <v>26</v>
      </c>
      <c r="R257" s="4">
        <v>0</v>
      </c>
      <c r="S257" s="6">
        <v>2</v>
      </c>
      <c r="T257" s="6">
        <v>0</v>
      </c>
      <c r="U257" s="6">
        <v>0</v>
      </c>
      <c r="V257" s="6">
        <f>IF(ISERROR(VLOOKUP($S$257,'TAR FIN'!$A$1:$O$108,15,0)),0,VLOOKUP($S$257,'TAR FIN'!$A$1:$O$108,15,0))</f>
        <v>21.38</v>
      </c>
      <c r="W257" s="6">
        <f>IF(ISERROR(VLOOKUP($T$257,'TAR FIN'!$A$1:$O$108,15,0)),0,VLOOKUP($T$257,'TAR FIN'!$A$1:$O$108,15,0))</f>
        <v>0</v>
      </c>
      <c r="X257" s="6">
        <f>IF(ISERROR(VLOOKUP($U$257,'TAR FIN'!$A$1:$O$108,15,0)),0,VLOOKUP($U$257,'TAR FIN'!$A$1:$O$108,15,0))</f>
        <v>0</v>
      </c>
      <c r="Y257" s="6">
        <f ca="1">('TUSD BE'!$AM$26+'TUSD BF'!$AM$26+'TUSD CVA'!$AM$26)*1</f>
        <v>21.189390814529755</v>
      </c>
      <c r="Z257" s="6"/>
      <c r="AA257" s="6"/>
      <c r="AB257" s="6">
        <f>$K$257*$V$257</f>
        <v>734980.26</v>
      </c>
      <c r="AC257" s="6">
        <f>$M$257*$W$257</f>
        <v>0</v>
      </c>
      <c r="AD257" s="6">
        <f>$O$257*$X$257</f>
        <v>0</v>
      </c>
      <c r="AE257" s="6">
        <f ca="1">$K$257*$Y$257</f>
        <v>728427.68803108938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27</v>
      </c>
      <c r="B258" s="4" t="s">
        <v>41</v>
      </c>
      <c r="C258" s="4" t="s">
        <v>43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-75</v>
      </c>
      <c r="K258" s="6">
        <v>-75</v>
      </c>
      <c r="L258" s="6">
        <v>0</v>
      </c>
      <c r="M258" s="6">
        <v>0</v>
      </c>
      <c r="N258" s="6">
        <v>0</v>
      </c>
      <c r="O258" s="6">
        <v>0</v>
      </c>
      <c r="P258" s="6">
        <v>-1</v>
      </c>
      <c r="Q258" s="4" t="s">
        <v>26</v>
      </c>
      <c r="R258" s="4">
        <v>0</v>
      </c>
      <c r="S258" s="6">
        <v>2</v>
      </c>
      <c r="T258" s="6">
        <v>0</v>
      </c>
      <c r="U258" s="6">
        <v>0</v>
      </c>
      <c r="V258" s="6">
        <f>IF(ISERROR(VLOOKUP($S$258,'TAR FIN'!$A$1:$O$108,15,0)),0,VLOOKUP($S$258,'TAR FIN'!$A$1:$O$108,15,0))</f>
        <v>21.38</v>
      </c>
      <c r="W258" s="6">
        <f>IF(ISERROR(VLOOKUP($T$258,'TAR FIN'!$A$1:$O$108,15,0)),0,VLOOKUP($T$258,'TAR FIN'!$A$1:$O$108,15,0))</f>
        <v>0</v>
      </c>
      <c r="X258" s="6">
        <f>IF(ISERROR(VLOOKUP($U$258,'TAR FIN'!$A$1:$O$108,15,0)),0,VLOOKUP($U$258,'TAR FIN'!$A$1:$O$108,15,0))</f>
        <v>0</v>
      </c>
      <c r="Y258" s="6">
        <f ca="1">('TUSD BE'!$AM$26+'TUSD BF'!$AM$26+'TUSD CVA'!$AM$26)*1</f>
        <v>21.189390814529755</v>
      </c>
      <c r="Z258" s="6"/>
      <c r="AA258" s="6"/>
      <c r="AB258" s="6">
        <f>$K$258*$V$258</f>
        <v>-1603.5</v>
      </c>
      <c r="AC258" s="6">
        <f>$M$258*$W$258</f>
        <v>0</v>
      </c>
      <c r="AD258" s="6">
        <f>$O$258*$X$258</f>
        <v>0</v>
      </c>
      <c r="AE258" s="6">
        <f ca="1">$K$258*$Y$258</f>
        <v>-1589.2043110897316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28</v>
      </c>
      <c r="B259" s="4" t="s">
        <v>41</v>
      </c>
      <c r="C259" s="4" t="s">
        <v>43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2666</v>
      </c>
      <c r="K259" s="6">
        <v>2666</v>
      </c>
      <c r="L259" s="6">
        <v>0</v>
      </c>
      <c r="M259" s="6">
        <v>0</v>
      </c>
      <c r="N259" s="6">
        <v>0</v>
      </c>
      <c r="O259" s="6">
        <v>0</v>
      </c>
      <c r="P259" s="6">
        <v>13</v>
      </c>
      <c r="Q259" s="4" t="s">
        <v>26</v>
      </c>
      <c r="R259" s="4">
        <v>0</v>
      </c>
      <c r="S259" s="6">
        <v>2</v>
      </c>
      <c r="T259" s="6">
        <v>0</v>
      </c>
      <c r="U259" s="6">
        <v>0</v>
      </c>
      <c r="V259" s="6">
        <f>IF(ISERROR(VLOOKUP($S$259,'TAR FIN'!$A$1:$O$108,15,0)),0,VLOOKUP($S$259,'TAR FIN'!$A$1:$O$108,15,0))</f>
        <v>21.38</v>
      </c>
      <c r="W259" s="6">
        <f>IF(ISERROR(VLOOKUP($T$259,'TAR FIN'!$A$1:$O$108,15,0)),0,VLOOKUP($T$259,'TAR FIN'!$A$1:$O$108,15,0))</f>
        <v>0</v>
      </c>
      <c r="X259" s="6">
        <f>IF(ISERROR(VLOOKUP($U$259,'TAR FIN'!$A$1:$O$108,15,0)),0,VLOOKUP($U$259,'TAR FIN'!$A$1:$O$108,15,0))</f>
        <v>0</v>
      </c>
      <c r="Y259" s="6">
        <f ca="1">('TUSD BE'!$AM$26+'TUSD BF'!$AM$26+'TUSD CVA'!$AM$26)*1</f>
        <v>21.189390814529755</v>
      </c>
      <c r="Z259" s="6"/>
      <c r="AA259" s="6"/>
      <c r="AB259" s="6">
        <f>$K$259*$V$259</f>
        <v>56999.079999999994</v>
      </c>
      <c r="AC259" s="6">
        <f>$M$259*$W$259</f>
        <v>0</v>
      </c>
      <c r="AD259" s="6">
        <f>$O$259*$X$259</f>
        <v>0</v>
      </c>
      <c r="AE259" s="6">
        <f ca="1">$K$259*$Y$259</f>
        <v>56490.915911536329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41</v>
      </c>
      <c r="C260" s="4" t="s">
        <v>43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35545</v>
      </c>
      <c r="K260" s="6">
        <v>35545</v>
      </c>
      <c r="L260" s="6">
        <v>0</v>
      </c>
      <c r="M260" s="6">
        <v>0</v>
      </c>
      <c r="N260" s="6">
        <v>0</v>
      </c>
      <c r="O260" s="6">
        <v>0</v>
      </c>
      <c r="P260" s="6">
        <v>275</v>
      </c>
      <c r="Q260" s="4" t="s">
        <v>26</v>
      </c>
      <c r="R260" s="4">
        <v>0</v>
      </c>
      <c r="S260" s="6">
        <v>2</v>
      </c>
      <c r="T260" s="6">
        <v>0</v>
      </c>
      <c r="U260" s="6">
        <v>0</v>
      </c>
      <c r="V260" s="6">
        <f>IF(ISERROR(VLOOKUP($S$260,'TAR FIN'!$A$1:$O$108,15,0)),0,VLOOKUP($S$260,'TAR FIN'!$A$1:$O$108,15,0))</f>
        <v>21.38</v>
      </c>
      <c r="W260" s="6">
        <f>IF(ISERROR(VLOOKUP($T$260,'TAR FIN'!$A$1:$O$108,15,0)),0,VLOOKUP($T$260,'TAR FIN'!$A$1:$O$108,15,0))</f>
        <v>0</v>
      </c>
      <c r="X260" s="6">
        <f>IF(ISERROR(VLOOKUP($U$260,'TAR FIN'!$A$1:$O$108,15,0)),0,VLOOKUP($U$260,'TAR FIN'!$A$1:$O$108,15,0))</f>
        <v>0</v>
      </c>
      <c r="Y260" s="6">
        <f ca="1">('TUSD BE'!$AM$26+'TUSD BF'!$AM$26+'TUSD CVA'!$AM$26)*1</f>
        <v>21.189390814529755</v>
      </c>
      <c r="Z260" s="6"/>
      <c r="AA260" s="6"/>
      <c r="AB260" s="6">
        <f>$K$260*$V$260</f>
        <v>759952.1</v>
      </c>
      <c r="AC260" s="6">
        <f>$M$260*$W$260</f>
        <v>0</v>
      </c>
      <c r="AD260" s="6">
        <f>$O$260*$X$260</f>
        <v>0</v>
      </c>
      <c r="AE260" s="6">
        <f ca="1">$K$260*$Y$260</f>
        <v>753176.89650246012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28</v>
      </c>
      <c r="B261" s="4" t="s">
        <v>41</v>
      </c>
      <c r="C261" s="4" t="s">
        <v>43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2687</v>
      </c>
      <c r="K261" s="6">
        <v>2687</v>
      </c>
      <c r="L261" s="6">
        <v>0</v>
      </c>
      <c r="M261" s="6">
        <v>0</v>
      </c>
      <c r="N261" s="6">
        <v>0</v>
      </c>
      <c r="O261" s="6">
        <v>0</v>
      </c>
      <c r="P261" s="6">
        <v>13</v>
      </c>
      <c r="Q261" s="4" t="s">
        <v>26</v>
      </c>
      <c r="R261" s="4">
        <v>0</v>
      </c>
      <c r="S261" s="6">
        <v>2</v>
      </c>
      <c r="T261" s="6">
        <v>0</v>
      </c>
      <c r="U261" s="6">
        <v>0</v>
      </c>
      <c r="V261" s="6">
        <f>IF(ISERROR(VLOOKUP($S$261,'TAR FIN'!$A$1:$O$108,15,0)),0,VLOOKUP($S$261,'TAR FIN'!$A$1:$O$108,15,0))</f>
        <v>21.38</v>
      </c>
      <c r="W261" s="6">
        <f>IF(ISERROR(VLOOKUP($T$261,'TAR FIN'!$A$1:$O$108,15,0)),0,VLOOKUP($T$261,'TAR FIN'!$A$1:$O$108,15,0))</f>
        <v>0</v>
      </c>
      <c r="X261" s="6">
        <f>IF(ISERROR(VLOOKUP($U$261,'TAR FIN'!$A$1:$O$108,15,0)),0,VLOOKUP($U$261,'TAR FIN'!$A$1:$O$108,15,0))</f>
        <v>0</v>
      </c>
      <c r="Y261" s="6">
        <f ca="1">('TUSD BE'!$AM$26+'TUSD BF'!$AM$26+'TUSD CVA'!$AM$26)*1</f>
        <v>21.189390814529755</v>
      </c>
      <c r="Z261" s="6"/>
      <c r="AA261" s="6"/>
      <c r="AB261" s="6">
        <f>$K$261*$V$261</f>
        <v>57448.06</v>
      </c>
      <c r="AC261" s="6">
        <f>$M$261*$W$261</f>
        <v>0</v>
      </c>
      <c r="AD261" s="6">
        <f>$O$261*$X$261</f>
        <v>0</v>
      </c>
      <c r="AE261" s="6">
        <f ca="1">$K$261*$Y$261</f>
        <v>56935.893118641456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41</v>
      </c>
      <c r="C262" s="4" t="s">
        <v>43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34892</v>
      </c>
      <c r="K262" s="6">
        <v>34892</v>
      </c>
      <c r="L262" s="6">
        <v>0</v>
      </c>
      <c r="M262" s="6">
        <v>0</v>
      </c>
      <c r="N262" s="6">
        <v>0</v>
      </c>
      <c r="O262" s="6">
        <v>0</v>
      </c>
      <c r="P262" s="6">
        <v>272</v>
      </c>
      <c r="Q262" s="4" t="s">
        <v>26</v>
      </c>
      <c r="R262" s="4">
        <v>0</v>
      </c>
      <c r="S262" s="6">
        <v>2</v>
      </c>
      <c r="T262" s="6">
        <v>0</v>
      </c>
      <c r="U262" s="6">
        <v>0</v>
      </c>
      <c r="V262" s="6">
        <f>IF(ISERROR(VLOOKUP($S$262,'TAR FIN'!$A$1:$O$108,15,0)),0,VLOOKUP($S$262,'TAR FIN'!$A$1:$O$108,15,0))</f>
        <v>21.38</v>
      </c>
      <c r="W262" s="6">
        <f>IF(ISERROR(VLOOKUP($T$262,'TAR FIN'!$A$1:$O$108,15,0)),0,VLOOKUP($T$262,'TAR FIN'!$A$1:$O$108,15,0))</f>
        <v>0</v>
      </c>
      <c r="X262" s="6">
        <f>IF(ISERROR(VLOOKUP($U$262,'TAR FIN'!$A$1:$O$108,15,0)),0,VLOOKUP($U$262,'TAR FIN'!$A$1:$O$108,15,0))</f>
        <v>0</v>
      </c>
      <c r="Y262" s="6">
        <f ca="1">('TUSD BE'!$AM$26+'TUSD BF'!$AM$26+'TUSD CVA'!$AM$26)*1</f>
        <v>21.189390814529755</v>
      </c>
      <c r="Z262" s="6"/>
      <c r="AA262" s="6"/>
      <c r="AB262" s="6">
        <f>$K$262*$V$262</f>
        <v>745990.96</v>
      </c>
      <c r="AC262" s="6">
        <f>$M$262*$W$262</f>
        <v>0</v>
      </c>
      <c r="AD262" s="6">
        <f>$O$262*$X$262</f>
        <v>0</v>
      </c>
      <c r="AE262" s="6">
        <f ca="1">$K$262*$Y$262</f>
        <v>739340.22430057218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28</v>
      </c>
      <c r="B263" s="4" t="s">
        <v>41</v>
      </c>
      <c r="C263" s="4" t="s">
        <v>43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2679</v>
      </c>
      <c r="K263" s="6">
        <v>2679</v>
      </c>
      <c r="L263" s="6">
        <v>0</v>
      </c>
      <c r="M263" s="6">
        <v>0</v>
      </c>
      <c r="N263" s="6">
        <v>0</v>
      </c>
      <c r="O263" s="6">
        <v>0</v>
      </c>
      <c r="P263" s="6">
        <v>13</v>
      </c>
      <c r="Q263" s="4" t="s">
        <v>26</v>
      </c>
      <c r="R263" s="4">
        <v>0</v>
      </c>
      <c r="S263" s="6">
        <v>2</v>
      </c>
      <c r="T263" s="6">
        <v>0</v>
      </c>
      <c r="U263" s="6">
        <v>0</v>
      </c>
      <c r="V263" s="6">
        <f>IF(ISERROR(VLOOKUP($S$263,'TAR FIN'!$A$1:$O$108,15,0)),0,VLOOKUP($S$263,'TAR FIN'!$A$1:$O$108,15,0))</f>
        <v>21.38</v>
      </c>
      <c r="W263" s="6">
        <f>IF(ISERROR(VLOOKUP($T$263,'TAR FIN'!$A$1:$O$108,15,0)),0,VLOOKUP($T$263,'TAR FIN'!$A$1:$O$108,15,0))</f>
        <v>0</v>
      </c>
      <c r="X263" s="6">
        <f>IF(ISERROR(VLOOKUP($U$263,'TAR FIN'!$A$1:$O$108,15,0)),0,VLOOKUP($U$263,'TAR FIN'!$A$1:$O$108,15,0))</f>
        <v>0</v>
      </c>
      <c r="Y263" s="6">
        <f ca="1">('TUSD BE'!$AM$26+'TUSD BF'!$AM$26+'TUSD CVA'!$AM$26)*1</f>
        <v>21.189390814529755</v>
      </c>
      <c r="Z263" s="6"/>
      <c r="AA263" s="6"/>
      <c r="AB263" s="6">
        <f>$K$263*$V$263</f>
        <v>57277.02</v>
      </c>
      <c r="AC263" s="6">
        <f>$M$263*$W$263</f>
        <v>0</v>
      </c>
      <c r="AD263" s="6">
        <f>$O$263*$X$263</f>
        <v>0</v>
      </c>
      <c r="AE263" s="6">
        <f ca="1">$K$263*$Y$263</f>
        <v>56766.377992125213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41</v>
      </c>
      <c r="C264" s="4" t="s">
        <v>43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44743</v>
      </c>
      <c r="J264" s="6">
        <v>35617</v>
      </c>
      <c r="K264" s="6">
        <v>35617</v>
      </c>
      <c r="L264" s="6">
        <v>0</v>
      </c>
      <c r="M264" s="6">
        <v>0</v>
      </c>
      <c r="N264" s="6">
        <v>0</v>
      </c>
      <c r="O264" s="6">
        <v>0</v>
      </c>
      <c r="P264" s="6">
        <v>278</v>
      </c>
      <c r="Q264" s="4" t="s">
        <v>26</v>
      </c>
      <c r="R264" s="4">
        <v>0</v>
      </c>
      <c r="S264" s="6">
        <v>2</v>
      </c>
      <c r="T264" s="6">
        <v>0</v>
      </c>
      <c r="U264" s="6">
        <v>0</v>
      </c>
      <c r="V264" s="6">
        <f>IF(ISERROR(VLOOKUP($S$264,'TAR FIN'!$A$1:$O$108,15,0)),0,VLOOKUP($S$264,'TAR FIN'!$A$1:$O$108,15,0))</f>
        <v>21.38</v>
      </c>
      <c r="W264" s="6">
        <f>IF(ISERROR(VLOOKUP($T$264,'TAR FIN'!$A$1:$O$108,15,0)),0,VLOOKUP($T$264,'TAR FIN'!$A$1:$O$108,15,0))</f>
        <v>0</v>
      </c>
      <c r="X264" s="6">
        <f>IF(ISERROR(VLOOKUP($U$264,'TAR FIN'!$A$1:$O$108,15,0)),0,VLOOKUP($U$264,'TAR FIN'!$A$1:$O$108,15,0))</f>
        <v>0</v>
      </c>
      <c r="Y264" s="6">
        <f ca="1">('TUSD BE'!$AM$26+'TUSD BF'!$AM$26+'TUSD CVA'!$AM$26)*1</f>
        <v>21.189390814529755</v>
      </c>
      <c r="Z264" s="6"/>
      <c r="AA264" s="6"/>
      <c r="AB264" s="6">
        <f>$K$264*$V$264</f>
        <v>761491.46</v>
      </c>
      <c r="AC264" s="6">
        <f>$M$264*$W$264</f>
        <v>0</v>
      </c>
      <c r="AD264" s="6">
        <f>$O$264*$X$264</f>
        <v>0</v>
      </c>
      <c r="AE264" s="6">
        <f ca="1">$K$264*$Y$264</f>
        <v>754702.53264110629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28</v>
      </c>
      <c r="B265" s="4" t="s">
        <v>41</v>
      </c>
      <c r="C265" s="4" t="s">
        <v>43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44743</v>
      </c>
      <c r="J265" s="6">
        <v>2715</v>
      </c>
      <c r="K265" s="6">
        <v>2715</v>
      </c>
      <c r="L265" s="6">
        <v>0</v>
      </c>
      <c r="M265" s="6">
        <v>0</v>
      </c>
      <c r="N265" s="6">
        <v>0</v>
      </c>
      <c r="O265" s="6">
        <v>0</v>
      </c>
      <c r="P265" s="6">
        <v>13</v>
      </c>
      <c r="Q265" s="4" t="s">
        <v>26</v>
      </c>
      <c r="R265" s="4">
        <v>0</v>
      </c>
      <c r="S265" s="6">
        <v>2</v>
      </c>
      <c r="T265" s="6">
        <v>0</v>
      </c>
      <c r="U265" s="6">
        <v>0</v>
      </c>
      <c r="V265" s="6">
        <f>IF(ISERROR(VLOOKUP($S$265,'TAR FIN'!$A$1:$O$108,15,0)),0,VLOOKUP($S$265,'TAR FIN'!$A$1:$O$108,15,0))</f>
        <v>21.38</v>
      </c>
      <c r="W265" s="6">
        <f>IF(ISERROR(VLOOKUP($T$265,'TAR FIN'!$A$1:$O$108,15,0)),0,VLOOKUP($T$265,'TAR FIN'!$A$1:$O$108,15,0))</f>
        <v>0</v>
      </c>
      <c r="X265" s="6">
        <f>IF(ISERROR(VLOOKUP($U$265,'TAR FIN'!$A$1:$O$108,15,0)),0,VLOOKUP($U$265,'TAR FIN'!$A$1:$O$108,15,0))</f>
        <v>0</v>
      </c>
      <c r="Y265" s="6">
        <f ca="1">('TUSD BE'!$AM$26+'TUSD BF'!$AM$26+'TUSD CVA'!$AM$26)*1</f>
        <v>21.189390814529755</v>
      </c>
      <c r="Z265" s="6"/>
      <c r="AA265" s="6"/>
      <c r="AB265" s="6">
        <f>$K$265*$V$265</f>
        <v>58046.7</v>
      </c>
      <c r="AC265" s="6">
        <f>$M$265*$W$265</f>
        <v>0</v>
      </c>
      <c r="AD265" s="6">
        <f>$O$265*$X$265</f>
        <v>0</v>
      </c>
      <c r="AE265" s="6">
        <f ca="1">$K$265*$Y$265</f>
        <v>57529.196061448289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41</v>
      </c>
      <c r="C266" s="4" t="s">
        <v>43</v>
      </c>
      <c r="D266" s="4" t="s">
        <v>44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44774</v>
      </c>
      <c r="J266" s="6">
        <v>34579</v>
      </c>
      <c r="K266" s="6">
        <v>34579</v>
      </c>
      <c r="L266" s="6">
        <v>0</v>
      </c>
      <c r="M266" s="6">
        <v>0</v>
      </c>
      <c r="N266" s="6">
        <v>0</v>
      </c>
      <c r="O266" s="6">
        <v>0</v>
      </c>
      <c r="P266" s="6">
        <v>275</v>
      </c>
      <c r="Q266" s="4" t="s">
        <v>26</v>
      </c>
      <c r="R266" s="4">
        <v>0</v>
      </c>
      <c r="S266" s="6">
        <v>2</v>
      </c>
      <c r="T266" s="6">
        <v>0</v>
      </c>
      <c r="U266" s="6">
        <v>0</v>
      </c>
      <c r="V266" s="6">
        <f>IF(ISERROR(VLOOKUP($S$266,'TAR FIN'!$A$1:$O$108,15,0)),0,VLOOKUP($S$266,'TAR FIN'!$A$1:$O$108,15,0))</f>
        <v>21.38</v>
      </c>
      <c r="W266" s="6">
        <f>IF(ISERROR(VLOOKUP($T$266,'TAR FIN'!$A$1:$O$108,15,0)),0,VLOOKUP($T$266,'TAR FIN'!$A$1:$O$108,15,0))</f>
        <v>0</v>
      </c>
      <c r="X266" s="6">
        <f>IF(ISERROR(VLOOKUP($U$266,'TAR FIN'!$A$1:$O$108,15,0)),0,VLOOKUP($U$266,'TAR FIN'!$A$1:$O$108,15,0))</f>
        <v>0</v>
      </c>
      <c r="Y266" s="6">
        <f ca="1">('TUSD BE'!$AM$26+'TUSD BF'!$AM$26+'TUSD CVA'!$AM$26)*1</f>
        <v>21.189390814529755</v>
      </c>
      <c r="Z266" s="6"/>
      <c r="AA266" s="6"/>
      <c r="AB266" s="6">
        <f>$K$266*$V$266</f>
        <v>739299.02</v>
      </c>
      <c r="AC266" s="6">
        <f>$M$266*$W$266</f>
        <v>0</v>
      </c>
      <c r="AD266" s="6">
        <f>$O$266*$X$266</f>
        <v>0</v>
      </c>
      <c r="AE266" s="6">
        <f ca="1">$K$266*$Y$266</f>
        <v>732707.94497562444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27</v>
      </c>
      <c r="B267" s="4" t="s">
        <v>41</v>
      </c>
      <c r="C267" s="4" t="s">
        <v>43</v>
      </c>
      <c r="D267" s="4" t="s">
        <v>44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44774</v>
      </c>
      <c r="J267" s="6">
        <v>-954</v>
      </c>
      <c r="K267" s="6">
        <v>-954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26</v>
      </c>
      <c r="R267" s="4">
        <v>0</v>
      </c>
      <c r="S267" s="6">
        <v>2</v>
      </c>
      <c r="T267" s="6">
        <v>0</v>
      </c>
      <c r="U267" s="6">
        <v>0</v>
      </c>
      <c r="V267" s="6">
        <f>IF(ISERROR(VLOOKUP($S$267,'TAR FIN'!$A$1:$O$108,15,0)),0,VLOOKUP($S$267,'TAR FIN'!$A$1:$O$108,15,0))</f>
        <v>21.38</v>
      </c>
      <c r="W267" s="6">
        <f>IF(ISERROR(VLOOKUP($T$267,'TAR FIN'!$A$1:$O$108,15,0)),0,VLOOKUP($T$267,'TAR FIN'!$A$1:$O$108,15,0))</f>
        <v>0</v>
      </c>
      <c r="X267" s="6">
        <f>IF(ISERROR(VLOOKUP($U$267,'TAR FIN'!$A$1:$O$108,15,0)),0,VLOOKUP($U$267,'TAR FIN'!$A$1:$O$108,15,0))</f>
        <v>0</v>
      </c>
      <c r="Y267" s="6">
        <f ca="1">('TUSD BE'!$AM$26+'TUSD BF'!$AM$26+'TUSD CVA'!$AM$26)*1</f>
        <v>21.189390814529755</v>
      </c>
      <c r="Z267" s="6"/>
      <c r="AA267" s="6"/>
      <c r="AB267" s="6">
        <f>$K$267*$V$267</f>
        <v>-20396.52</v>
      </c>
      <c r="AC267" s="6">
        <f>$M$267*$W$267</f>
        <v>0</v>
      </c>
      <c r="AD267" s="6">
        <f>$O$267*$X$267</f>
        <v>0</v>
      </c>
      <c r="AE267" s="6">
        <f ca="1">$K$267*$Y$267</f>
        <v>-20214.678837061387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28</v>
      </c>
      <c r="B268" s="4" t="s">
        <v>41</v>
      </c>
      <c r="C268" s="4" t="s">
        <v>43</v>
      </c>
      <c r="D268" s="4" t="s">
        <v>44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44774</v>
      </c>
      <c r="J268" s="6">
        <v>2770</v>
      </c>
      <c r="K268" s="6">
        <v>2770</v>
      </c>
      <c r="L268" s="6">
        <v>0</v>
      </c>
      <c r="M268" s="6">
        <v>0</v>
      </c>
      <c r="N268" s="6">
        <v>0</v>
      </c>
      <c r="O268" s="6">
        <v>0</v>
      </c>
      <c r="P268" s="6">
        <v>14</v>
      </c>
      <c r="Q268" s="4" t="s">
        <v>26</v>
      </c>
      <c r="R268" s="4">
        <v>0</v>
      </c>
      <c r="S268" s="6">
        <v>2</v>
      </c>
      <c r="T268" s="6">
        <v>0</v>
      </c>
      <c r="U268" s="6">
        <v>0</v>
      </c>
      <c r="V268" s="6">
        <f>IF(ISERROR(VLOOKUP($S$268,'TAR FIN'!$A$1:$O$108,15,0)),0,VLOOKUP($S$268,'TAR FIN'!$A$1:$O$108,15,0))</f>
        <v>21.38</v>
      </c>
      <c r="W268" s="6">
        <f>IF(ISERROR(VLOOKUP($T$268,'TAR FIN'!$A$1:$O$108,15,0)),0,VLOOKUP($T$268,'TAR FIN'!$A$1:$O$108,15,0))</f>
        <v>0</v>
      </c>
      <c r="X268" s="6">
        <f>IF(ISERROR(VLOOKUP($U$268,'TAR FIN'!$A$1:$O$108,15,0)),0,VLOOKUP($U$268,'TAR FIN'!$A$1:$O$108,15,0))</f>
        <v>0</v>
      </c>
      <c r="Y268" s="6">
        <f ca="1">('TUSD BE'!$AM$26+'TUSD BF'!$AM$26+'TUSD CVA'!$AM$26)*1</f>
        <v>21.189390814529755</v>
      </c>
      <c r="Z268" s="6"/>
      <c r="AA268" s="6"/>
      <c r="AB268" s="6">
        <f>$K$268*$V$268</f>
        <v>59222.6</v>
      </c>
      <c r="AC268" s="6">
        <f>$M$268*$W$268</f>
        <v>0</v>
      </c>
      <c r="AD268" s="6">
        <f>$O$268*$X$268</f>
        <v>0</v>
      </c>
      <c r="AE268" s="6">
        <f ca="1">$K$268*$Y$268</f>
        <v>58694.612556247419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41</v>
      </c>
      <c r="C269" s="4" t="s">
        <v>43</v>
      </c>
      <c r="D269" s="4" t="s">
        <v>44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44805</v>
      </c>
      <c r="J269" s="6">
        <v>35625</v>
      </c>
      <c r="K269" s="6">
        <v>35625</v>
      </c>
      <c r="L269" s="6">
        <v>0</v>
      </c>
      <c r="M269" s="6">
        <v>0</v>
      </c>
      <c r="N269" s="6">
        <v>0</v>
      </c>
      <c r="O269" s="6">
        <v>0</v>
      </c>
      <c r="P269" s="6">
        <v>284</v>
      </c>
      <c r="Q269" s="4" t="s">
        <v>26</v>
      </c>
      <c r="R269" s="4">
        <v>0</v>
      </c>
      <c r="S269" s="6">
        <v>2</v>
      </c>
      <c r="T269" s="6">
        <v>0</v>
      </c>
      <c r="U269" s="6">
        <v>0</v>
      </c>
      <c r="V269" s="6">
        <f>IF(ISERROR(VLOOKUP($S$269,'TAR FIN'!$A$1:$O$108,15,0)),0,VLOOKUP($S$269,'TAR FIN'!$A$1:$O$108,15,0))</f>
        <v>21.38</v>
      </c>
      <c r="W269" s="6">
        <f>IF(ISERROR(VLOOKUP($T$269,'TAR FIN'!$A$1:$O$108,15,0)),0,VLOOKUP($T$269,'TAR FIN'!$A$1:$O$108,15,0))</f>
        <v>0</v>
      </c>
      <c r="X269" s="6">
        <f>IF(ISERROR(VLOOKUP($U$269,'TAR FIN'!$A$1:$O$108,15,0)),0,VLOOKUP($U$269,'TAR FIN'!$A$1:$O$108,15,0))</f>
        <v>0</v>
      </c>
      <c r="Y269" s="6">
        <f ca="1">('TUSD BE'!$AM$26+'TUSD BF'!$AM$26+'TUSD CVA'!$AM$26)*1</f>
        <v>21.189390814529755</v>
      </c>
      <c r="Z269" s="6"/>
      <c r="AA269" s="6"/>
      <c r="AB269" s="6">
        <f>$K$269*$V$269</f>
        <v>761662.5</v>
      </c>
      <c r="AC269" s="6">
        <f>$M$269*$W$269</f>
        <v>0</v>
      </c>
      <c r="AD269" s="6">
        <f>$O$269*$X$269</f>
        <v>0</v>
      </c>
      <c r="AE269" s="6">
        <f ca="1">$K$269*$Y$269</f>
        <v>754872.04776762251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27</v>
      </c>
      <c r="B270" s="4" t="s">
        <v>41</v>
      </c>
      <c r="C270" s="4" t="s">
        <v>43</v>
      </c>
      <c r="D270" s="4" t="s">
        <v>44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44805</v>
      </c>
      <c r="J270" s="6">
        <v>129</v>
      </c>
      <c r="K270" s="6">
        <v>129</v>
      </c>
      <c r="L270" s="6">
        <v>0</v>
      </c>
      <c r="M270" s="6">
        <v>0</v>
      </c>
      <c r="N270" s="6">
        <v>0</v>
      </c>
      <c r="O270" s="6">
        <v>0</v>
      </c>
      <c r="P270" s="6">
        <v>5</v>
      </c>
      <c r="Q270" s="4" t="s">
        <v>26</v>
      </c>
      <c r="R270" s="4">
        <v>0</v>
      </c>
      <c r="S270" s="6">
        <v>2</v>
      </c>
      <c r="T270" s="6">
        <v>0</v>
      </c>
      <c r="U270" s="6">
        <v>0</v>
      </c>
      <c r="V270" s="6">
        <f>IF(ISERROR(VLOOKUP($S$270,'TAR FIN'!$A$1:$O$108,15,0)),0,VLOOKUP($S$270,'TAR FIN'!$A$1:$O$108,15,0))</f>
        <v>21.38</v>
      </c>
      <c r="W270" s="6">
        <f>IF(ISERROR(VLOOKUP($T$270,'TAR FIN'!$A$1:$O$108,15,0)),0,VLOOKUP($T$270,'TAR FIN'!$A$1:$O$108,15,0))</f>
        <v>0</v>
      </c>
      <c r="X270" s="6">
        <f>IF(ISERROR(VLOOKUP($U$270,'TAR FIN'!$A$1:$O$108,15,0)),0,VLOOKUP($U$270,'TAR FIN'!$A$1:$O$108,15,0))</f>
        <v>0</v>
      </c>
      <c r="Y270" s="6">
        <f ca="1">('TUSD BE'!$AM$26+'TUSD BF'!$AM$26+'TUSD CVA'!$AM$26)*1</f>
        <v>21.189390814529755</v>
      </c>
      <c r="Z270" s="6"/>
      <c r="AA270" s="6"/>
      <c r="AB270" s="6">
        <f>$K$270*$V$270</f>
        <v>2758.02</v>
      </c>
      <c r="AC270" s="6">
        <f>$M$270*$W$270</f>
        <v>0</v>
      </c>
      <c r="AD270" s="6">
        <f>$O$270*$X$270</f>
        <v>0</v>
      </c>
      <c r="AE270" s="6">
        <f ca="1">$K$270*$Y$270</f>
        <v>2733.4314150743385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28</v>
      </c>
      <c r="B271" s="4" t="s">
        <v>41</v>
      </c>
      <c r="C271" s="4" t="s">
        <v>43</v>
      </c>
      <c r="D271" s="4" t="s">
        <v>44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44805</v>
      </c>
      <c r="J271" s="6">
        <v>2888</v>
      </c>
      <c r="K271" s="6">
        <v>2888</v>
      </c>
      <c r="L271" s="6">
        <v>0</v>
      </c>
      <c r="M271" s="6">
        <v>0</v>
      </c>
      <c r="N271" s="6">
        <v>0</v>
      </c>
      <c r="O271" s="6">
        <v>0</v>
      </c>
      <c r="P271" s="6">
        <v>15</v>
      </c>
      <c r="Q271" s="4" t="s">
        <v>26</v>
      </c>
      <c r="R271" s="4">
        <v>0</v>
      </c>
      <c r="S271" s="6">
        <v>2</v>
      </c>
      <c r="T271" s="6">
        <v>0</v>
      </c>
      <c r="U271" s="6">
        <v>0</v>
      </c>
      <c r="V271" s="6">
        <f>IF(ISERROR(VLOOKUP($S$271,'TAR FIN'!$A$1:$O$108,15,0)),0,VLOOKUP($S$271,'TAR FIN'!$A$1:$O$108,15,0))</f>
        <v>21.38</v>
      </c>
      <c r="W271" s="6">
        <f>IF(ISERROR(VLOOKUP($T$271,'TAR FIN'!$A$1:$O$108,15,0)),0,VLOOKUP($T$271,'TAR FIN'!$A$1:$O$108,15,0))</f>
        <v>0</v>
      </c>
      <c r="X271" s="6">
        <f>IF(ISERROR(VLOOKUP($U$271,'TAR FIN'!$A$1:$O$108,15,0)),0,VLOOKUP($U$271,'TAR FIN'!$A$1:$O$108,15,0))</f>
        <v>0</v>
      </c>
      <c r="Y271" s="6">
        <f ca="1">('TUSD BE'!$AM$26+'TUSD BF'!$AM$26+'TUSD CVA'!$AM$26)*1</f>
        <v>21.189390814529755</v>
      </c>
      <c r="Z271" s="6"/>
      <c r="AA271" s="6"/>
      <c r="AB271" s="6">
        <f>$K$271*$V$271</f>
        <v>61745.439999999995</v>
      </c>
      <c r="AC271" s="6">
        <f>$M$271*$W$271</f>
        <v>0</v>
      </c>
      <c r="AD271" s="6">
        <f>$O$271*$X$271</f>
        <v>0</v>
      </c>
      <c r="AE271" s="6">
        <f ca="1">$K$271*$Y$271</f>
        <v>61194.960672361936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41</v>
      </c>
      <c r="C272" s="4" t="s">
        <v>43</v>
      </c>
      <c r="D272" s="4" t="s">
        <v>44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44835</v>
      </c>
      <c r="J272" s="6">
        <v>35991</v>
      </c>
      <c r="K272" s="6">
        <v>35991</v>
      </c>
      <c r="L272" s="6">
        <v>0</v>
      </c>
      <c r="M272" s="6">
        <v>0</v>
      </c>
      <c r="N272" s="6">
        <v>0</v>
      </c>
      <c r="O272" s="6">
        <v>0</v>
      </c>
      <c r="P272" s="6">
        <v>286</v>
      </c>
      <c r="Q272" s="4" t="s">
        <v>26</v>
      </c>
      <c r="R272" s="4">
        <v>0</v>
      </c>
      <c r="S272" s="6">
        <v>2</v>
      </c>
      <c r="T272" s="6">
        <v>0</v>
      </c>
      <c r="U272" s="6">
        <v>0</v>
      </c>
      <c r="V272" s="6">
        <f>IF(ISERROR(VLOOKUP($S$272,'TAR FIN'!$A$1:$O$108,15,0)),0,VLOOKUP($S$272,'TAR FIN'!$A$1:$O$108,15,0))</f>
        <v>21.38</v>
      </c>
      <c r="W272" s="6">
        <f>IF(ISERROR(VLOOKUP($T$272,'TAR FIN'!$A$1:$O$108,15,0)),0,VLOOKUP($T$272,'TAR FIN'!$A$1:$O$108,15,0))</f>
        <v>0</v>
      </c>
      <c r="X272" s="6">
        <f>IF(ISERROR(VLOOKUP($U$272,'TAR FIN'!$A$1:$O$108,15,0)),0,VLOOKUP($U$272,'TAR FIN'!$A$1:$O$108,15,0))</f>
        <v>0</v>
      </c>
      <c r="Y272" s="6">
        <f ca="1">('TUSD BE'!$AM$26+'TUSD BF'!$AM$26+'TUSD CVA'!$AM$26)*1</f>
        <v>21.189390814529755</v>
      </c>
      <c r="Z272" s="6"/>
      <c r="AA272" s="6"/>
      <c r="AB272" s="6">
        <f>$K$272*$V$272</f>
        <v>769487.58</v>
      </c>
      <c r="AC272" s="6">
        <f>$M$272*$W$272</f>
        <v>0</v>
      </c>
      <c r="AD272" s="6">
        <f>$O$272*$X$272</f>
        <v>0</v>
      </c>
      <c r="AE272" s="6">
        <f ca="1">$K$272*$Y$272</f>
        <v>762627.36480574042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28</v>
      </c>
      <c r="B273" s="4" t="s">
        <v>41</v>
      </c>
      <c r="C273" s="4" t="s">
        <v>43</v>
      </c>
      <c r="D273" s="4" t="s">
        <v>44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44835</v>
      </c>
      <c r="J273" s="6">
        <v>3162</v>
      </c>
      <c r="K273" s="6">
        <v>3162</v>
      </c>
      <c r="L273" s="6">
        <v>0</v>
      </c>
      <c r="M273" s="6">
        <v>0</v>
      </c>
      <c r="N273" s="6">
        <v>0</v>
      </c>
      <c r="O273" s="6">
        <v>0</v>
      </c>
      <c r="P273" s="6">
        <v>16</v>
      </c>
      <c r="Q273" s="4" t="s">
        <v>26</v>
      </c>
      <c r="R273" s="4">
        <v>0</v>
      </c>
      <c r="S273" s="6">
        <v>2</v>
      </c>
      <c r="T273" s="6">
        <v>0</v>
      </c>
      <c r="U273" s="6">
        <v>0</v>
      </c>
      <c r="V273" s="6">
        <f>IF(ISERROR(VLOOKUP($S$273,'TAR FIN'!$A$1:$O$108,15,0)),0,VLOOKUP($S$273,'TAR FIN'!$A$1:$O$108,15,0))</f>
        <v>21.38</v>
      </c>
      <c r="W273" s="6">
        <f>IF(ISERROR(VLOOKUP($T$273,'TAR FIN'!$A$1:$O$108,15,0)),0,VLOOKUP($T$273,'TAR FIN'!$A$1:$O$108,15,0))</f>
        <v>0</v>
      </c>
      <c r="X273" s="6">
        <f>IF(ISERROR(VLOOKUP($U$273,'TAR FIN'!$A$1:$O$108,15,0)),0,VLOOKUP($U$273,'TAR FIN'!$A$1:$O$108,15,0))</f>
        <v>0</v>
      </c>
      <c r="Y273" s="6">
        <f ca="1">('TUSD BE'!$AM$26+'TUSD BF'!$AM$26+'TUSD CVA'!$AM$26)*1</f>
        <v>21.189390814529755</v>
      </c>
      <c r="Z273" s="6"/>
      <c r="AA273" s="6"/>
      <c r="AB273" s="6">
        <f>$K$273*$V$273</f>
        <v>67603.56</v>
      </c>
      <c r="AC273" s="6">
        <f>$M$273*$W$273</f>
        <v>0</v>
      </c>
      <c r="AD273" s="6">
        <f>$O$273*$X$273</f>
        <v>0</v>
      </c>
      <c r="AE273" s="6">
        <f ca="1">$K$273*$Y$273</f>
        <v>67000.853755543081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54</v>
      </c>
      <c r="B274" s="4" t="s">
        <v>41</v>
      </c>
      <c r="C274" s="4" t="s">
        <v>43</v>
      </c>
      <c r="D274" s="4" t="s">
        <v>44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44866</v>
      </c>
      <c r="J274" s="6">
        <v>35991</v>
      </c>
      <c r="K274" s="6">
        <v>35991</v>
      </c>
      <c r="L274" s="6">
        <v>0</v>
      </c>
      <c r="M274" s="6">
        <v>0</v>
      </c>
      <c r="N274" s="6">
        <v>0</v>
      </c>
      <c r="O274" s="6">
        <v>0</v>
      </c>
      <c r="P274" s="6">
        <v>286</v>
      </c>
      <c r="Q274" s="4" t="s">
        <v>26</v>
      </c>
      <c r="R274" s="4">
        <v>0</v>
      </c>
      <c r="S274" s="6">
        <v>2</v>
      </c>
      <c r="T274" s="6">
        <v>0</v>
      </c>
      <c r="U274" s="6">
        <v>0</v>
      </c>
      <c r="V274" s="6">
        <f>IF(ISERROR(VLOOKUP($S$274,'TAR FIN'!$A$1:$O$108,15,0)),0,VLOOKUP($S$274,'TAR FIN'!$A$1:$O$108,15,0))</f>
        <v>21.38</v>
      </c>
      <c r="W274" s="6">
        <f>IF(ISERROR(VLOOKUP($T$274,'TAR FIN'!$A$1:$O$108,15,0)),0,VLOOKUP($T$274,'TAR FIN'!$A$1:$O$108,15,0))</f>
        <v>0</v>
      </c>
      <c r="X274" s="6">
        <f>IF(ISERROR(VLOOKUP($U$274,'TAR FIN'!$A$1:$O$108,15,0)),0,VLOOKUP($U$274,'TAR FIN'!$A$1:$O$108,15,0))</f>
        <v>0</v>
      </c>
      <c r="Y274" s="6">
        <f ca="1">('TUSD BE'!$AM$26+'TUSD BF'!$AM$26+'TUSD CVA'!$AM$26)*1</f>
        <v>21.189390814529755</v>
      </c>
      <c r="Z274" s="6"/>
      <c r="AA274" s="6"/>
      <c r="AB274" s="6">
        <f>$K$274*$V$274</f>
        <v>769487.58</v>
      </c>
      <c r="AC274" s="6">
        <f>$M$274*$W$274</f>
        <v>0</v>
      </c>
      <c r="AD274" s="6">
        <f>$O$274*$X$274</f>
        <v>0</v>
      </c>
      <c r="AE274" s="6">
        <f ca="1">$K$274*$Y$274</f>
        <v>762627.36480574042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54</v>
      </c>
      <c r="B275" s="4" t="s">
        <v>41</v>
      </c>
      <c r="C275" s="4" t="s">
        <v>43</v>
      </c>
      <c r="D275" s="4" t="s">
        <v>44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44866</v>
      </c>
      <c r="J275" s="6">
        <v>3162</v>
      </c>
      <c r="K275" s="6">
        <v>3162</v>
      </c>
      <c r="L275" s="6">
        <v>0</v>
      </c>
      <c r="M275" s="6">
        <v>0</v>
      </c>
      <c r="N275" s="6">
        <v>0</v>
      </c>
      <c r="O275" s="6">
        <v>0</v>
      </c>
      <c r="P275" s="6">
        <v>16</v>
      </c>
      <c r="Q275" s="4" t="s">
        <v>26</v>
      </c>
      <c r="R275" s="4">
        <v>0</v>
      </c>
      <c r="S275" s="6">
        <v>2</v>
      </c>
      <c r="T275" s="6">
        <v>0</v>
      </c>
      <c r="U275" s="6">
        <v>0</v>
      </c>
      <c r="V275" s="6">
        <f>IF(ISERROR(VLOOKUP($S$275,'TAR FIN'!$A$1:$O$108,15,0)),0,VLOOKUP($S$275,'TAR FIN'!$A$1:$O$108,15,0))</f>
        <v>21.38</v>
      </c>
      <c r="W275" s="6">
        <f>IF(ISERROR(VLOOKUP($T$275,'TAR FIN'!$A$1:$O$108,15,0)),0,VLOOKUP($T$275,'TAR FIN'!$A$1:$O$108,15,0))</f>
        <v>0</v>
      </c>
      <c r="X275" s="6">
        <f>IF(ISERROR(VLOOKUP($U$275,'TAR FIN'!$A$1:$O$108,15,0)),0,VLOOKUP($U$275,'TAR FIN'!$A$1:$O$108,15,0))</f>
        <v>0</v>
      </c>
      <c r="Y275" s="6">
        <f ca="1">('TUSD BE'!$AM$26+'TUSD BF'!$AM$26+'TUSD CVA'!$AM$26)*1</f>
        <v>21.189390814529755</v>
      </c>
      <c r="Z275" s="6"/>
      <c r="AA275" s="6"/>
      <c r="AB275" s="6">
        <f>$K$275*$V$275</f>
        <v>67603.56</v>
      </c>
      <c r="AC275" s="6">
        <f>$M$275*$W$275</f>
        <v>0</v>
      </c>
      <c r="AD275" s="6">
        <f>$O$275*$X$275</f>
        <v>0</v>
      </c>
      <c r="AE275" s="6">
        <f ca="1">$K$275*$Y$275</f>
        <v>67000.853755543081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41</v>
      </c>
      <c r="C276" s="4" t="s">
        <v>43</v>
      </c>
      <c r="D276" s="4" t="s">
        <v>44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44531</v>
      </c>
      <c r="J276" s="6">
        <v>0</v>
      </c>
      <c r="K276" s="6">
        <v>0</v>
      </c>
      <c r="L276" s="6">
        <v>566.19600000000003</v>
      </c>
      <c r="M276" s="6">
        <v>566.19600000000003</v>
      </c>
      <c r="N276" s="6">
        <v>566.19600000000003</v>
      </c>
      <c r="O276" s="6">
        <v>566.19600000000003</v>
      </c>
      <c r="P276" s="6">
        <v>0</v>
      </c>
      <c r="Q276" s="4" t="s">
        <v>26</v>
      </c>
      <c r="R276" s="4">
        <v>0</v>
      </c>
      <c r="S276" s="6">
        <v>0</v>
      </c>
      <c r="T276" s="6">
        <v>5</v>
      </c>
      <c r="U276" s="6">
        <v>75</v>
      </c>
      <c r="V276" s="6">
        <f>IF(ISERROR(VLOOKUP($S$276,'TAR FIN'!$A$1:$O$108,15,0)),0,VLOOKUP($S$276,'TAR FIN'!$A$1:$O$108,15,0))</f>
        <v>0</v>
      </c>
      <c r="W276" s="6">
        <f>IF(ISERROR(VLOOKUP($T$276,'TAR FIN'!$A$1:$O$108,15,0)),0,VLOOKUP($T$276,'TAR FIN'!$A$1:$O$108,15,0))</f>
        <v>1454.96</v>
      </c>
      <c r="X276" s="6">
        <f>IF(ISERROR(VLOOKUP($U$276,'TAR FIN'!$A$1:$O$108,15,0)),0,VLOOKUP($U$276,'TAR FIN'!$A$1:$O$108,15,0))</f>
        <v>159.43</v>
      </c>
      <c r="Y276" s="6"/>
      <c r="Z276" s="6">
        <f ca="1">('TUSD BE'!$AM$27+'TUSD BF'!$AM$27+'TUSD CVA'!$AM$27)*1</f>
        <v>1497.8900689999518</v>
      </c>
      <c r="AA276" s="6">
        <f>('TE BE'!$AB$10+'TE BF'!$AB$10+'TE CVA'!$AB$10)*1</f>
        <v>322.12477389224171</v>
      </c>
      <c r="AB276" s="6">
        <f>$K$276*$V$276</f>
        <v>0</v>
      </c>
      <c r="AC276" s="6">
        <f>$M$276*$W$276</f>
        <v>823792.53216000006</v>
      </c>
      <c r="AD276" s="6">
        <f>$O$276*$X$276</f>
        <v>90268.628280000004</v>
      </c>
      <c r="AE276" s="6">
        <f>$K$276*$Y$276</f>
        <v>0</v>
      </c>
      <c r="AF276" s="6">
        <f ca="1">$M$276*$Z$276</f>
        <v>848099.36550749675</v>
      </c>
      <c r="AG276" s="6">
        <f>$O$276*$AA$276</f>
        <v>182385.75847869169</v>
      </c>
    </row>
    <row r="277" spans="1:33" ht="11.25" customHeight="1" x14ac:dyDescent="0.25">
      <c r="A277" s="4" t="s">
        <v>28</v>
      </c>
      <c r="B277" s="4" t="s">
        <v>41</v>
      </c>
      <c r="C277" s="4" t="s">
        <v>43</v>
      </c>
      <c r="D277" s="4" t="s">
        <v>44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44531</v>
      </c>
      <c r="J277" s="6">
        <v>0</v>
      </c>
      <c r="K277" s="6">
        <v>0</v>
      </c>
      <c r="L277" s="6">
        <v>6.758</v>
      </c>
      <c r="M277" s="6">
        <v>6.758</v>
      </c>
      <c r="N277" s="6">
        <v>6.758</v>
      </c>
      <c r="O277" s="6">
        <v>6.758</v>
      </c>
      <c r="P277" s="6">
        <v>0</v>
      </c>
      <c r="Q277" s="4" t="s">
        <v>26</v>
      </c>
      <c r="R277" s="4">
        <v>0</v>
      </c>
      <c r="S277" s="6">
        <v>0</v>
      </c>
      <c r="T277" s="6">
        <v>5</v>
      </c>
      <c r="U277" s="6">
        <v>75</v>
      </c>
      <c r="V277" s="6">
        <f>IF(ISERROR(VLOOKUP($S$277,'TAR FIN'!$A$1:$O$108,15,0)),0,VLOOKUP($S$277,'TAR FIN'!$A$1:$O$108,15,0))</f>
        <v>0</v>
      </c>
      <c r="W277" s="6">
        <f>IF(ISERROR(VLOOKUP($T$277,'TAR FIN'!$A$1:$O$108,15,0)),0,VLOOKUP($T$277,'TAR FIN'!$A$1:$O$108,15,0))</f>
        <v>1454.96</v>
      </c>
      <c r="X277" s="6">
        <f>IF(ISERROR(VLOOKUP($U$277,'TAR FIN'!$A$1:$O$108,15,0)),0,VLOOKUP($U$277,'TAR FIN'!$A$1:$O$108,15,0))</f>
        <v>159.43</v>
      </c>
      <c r="Y277" s="6"/>
      <c r="Z277" s="6">
        <f ca="1">('TUSD BE'!$AM$27+'TUSD BF'!$AM$27+'TUSD CVA'!$AM$27)*1</f>
        <v>1497.8900689999518</v>
      </c>
      <c r="AA277" s="6">
        <f>('TE BE'!$AB$10+'TE BF'!$AB$10+'TE CVA'!$AB$10)*1</f>
        <v>322.12477389224171</v>
      </c>
      <c r="AB277" s="6">
        <f>$K$277*$V$277</f>
        <v>0</v>
      </c>
      <c r="AC277" s="6">
        <f>$M$277*$W$277</f>
        <v>9832.6196799999998</v>
      </c>
      <c r="AD277" s="6">
        <f>$O$277*$X$277</f>
        <v>1077.42794</v>
      </c>
      <c r="AE277" s="6">
        <f>$K$277*$Y$277</f>
        <v>0</v>
      </c>
      <c r="AF277" s="6">
        <f ca="1">$M$277*$Z$277</f>
        <v>10122.741086301674</v>
      </c>
      <c r="AG277" s="6">
        <f>$O$277*$AA$277</f>
        <v>2176.9192219637694</v>
      </c>
    </row>
    <row r="278" spans="1:33" ht="11.25" customHeight="1" x14ac:dyDescent="0.25">
      <c r="A278" s="4" t="s">
        <v>21</v>
      </c>
      <c r="B278" s="4" t="s">
        <v>41</v>
      </c>
      <c r="C278" s="4" t="s">
        <v>43</v>
      </c>
      <c r="D278" s="4" t="s">
        <v>44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44562</v>
      </c>
      <c r="J278" s="6">
        <v>0</v>
      </c>
      <c r="K278" s="6">
        <v>0</v>
      </c>
      <c r="L278" s="6">
        <v>452.99900000000002</v>
      </c>
      <c r="M278" s="6">
        <v>452.99900000000002</v>
      </c>
      <c r="N278" s="6">
        <v>452.99900000000002</v>
      </c>
      <c r="O278" s="6">
        <v>452.99900000000002</v>
      </c>
      <c r="P278" s="6">
        <v>0</v>
      </c>
      <c r="Q278" s="4" t="s">
        <v>26</v>
      </c>
      <c r="R278" s="4">
        <v>0</v>
      </c>
      <c r="S278" s="6">
        <v>0</v>
      </c>
      <c r="T278" s="6">
        <v>5</v>
      </c>
      <c r="U278" s="6">
        <v>75</v>
      </c>
      <c r="V278" s="6">
        <f>IF(ISERROR(VLOOKUP($S$278,'TAR FIN'!$A$1:$O$108,15,0)),0,VLOOKUP($S$278,'TAR FIN'!$A$1:$O$108,15,0))</f>
        <v>0</v>
      </c>
      <c r="W278" s="6">
        <f>IF(ISERROR(VLOOKUP($T$278,'TAR FIN'!$A$1:$O$108,15,0)),0,VLOOKUP($T$278,'TAR FIN'!$A$1:$O$108,15,0))</f>
        <v>1454.96</v>
      </c>
      <c r="X278" s="6">
        <f>IF(ISERROR(VLOOKUP($U$278,'TAR FIN'!$A$1:$O$108,15,0)),0,VLOOKUP($U$278,'TAR FIN'!$A$1:$O$108,15,0))</f>
        <v>159.43</v>
      </c>
      <c r="Y278" s="6"/>
      <c r="Z278" s="6">
        <f ca="1">('TUSD BE'!$AM$27+'TUSD BF'!$AM$27+'TUSD CVA'!$AM$27)*1</f>
        <v>1497.8900689999518</v>
      </c>
      <c r="AA278" s="6">
        <f>('TE BE'!$AB$10+'TE BF'!$AB$10+'TE CVA'!$AB$10)*1</f>
        <v>322.12477389224171</v>
      </c>
      <c r="AB278" s="6">
        <f>$K$278*$V$278</f>
        <v>0</v>
      </c>
      <c r="AC278" s="6">
        <f>$M$278*$W$278</f>
        <v>659095.42504</v>
      </c>
      <c r="AD278" s="6">
        <f>$O$278*$X$278</f>
        <v>72221.630570000008</v>
      </c>
      <c r="AE278" s="6">
        <f>$K$278*$Y$278</f>
        <v>0</v>
      </c>
      <c r="AF278" s="6">
        <f ca="1">$M$278*$Z$278</f>
        <v>678542.70336690918</v>
      </c>
      <c r="AG278" s="6">
        <f>$O$278*$AA$278</f>
        <v>145922.2004484116</v>
      </c>
    </row>
    <row r="279" spans="1:33" ht="11.25" customHeight="1" x14ac:dyDescent="0.25">
      <c r="A279" s="4" t="s">
        <v>27</v>
      </c>
      <c r="B279" s="4" t="s">
        <v>41</v>
      </c>
      <c r="C279" s="4" t="s">
        <v>43</v>
      </c>
      <c r="D279" s="4" t="s">
        <v>44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44562</v>
      </c>
      <c r="J279" s="6">
        <v>0</v>
      </c>
      <c r="K279" s="6">
        <v>0</v>
      </c>
      <c r="L279" s="6">
        <v>-5.4119999999999999</v>
      </c>
      <c r="M279" s="6">
        <v>-5.4119999999999999</v>
      </c>
      <c r="N279" s="6">
        <v>-5.4119999999999999</v>
      </c>
      <c r="O279" s="6">
        <v>-5.4119999999999999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5</v>
      </c>
      <c r="U279" s="6">
        <v>75</v>
      </c>
      <c r="V279" s="6">
        <f>IF(ISERROR(VLOOKUP($S$279,'TAR FIN'!$A$1:$O$108,15,0)),0,VLOOKUP($S$279,'TAR FIN'!$A$1:$O$108,15,0))</f>
        <v>0</v>
      </c>
      <c r="W279" s="6">
        <f>IF(ISERROR(VLOOKUP($T$279,'TAR FIN'!$A$1:$O$108,15,0)),0,VLOOKUP($T$279,'TAR FIN'!$A$1:$O$108,15,0))</f>
        <v>1454.96</v>
      </c>
      <c r="X279" s="6">
        <f>IF(ISERROR(VLOOKUP($U$279,'TAR FIN'!$A$1:$O$108,15,0)),0,VLOOKUP($U$279,'TAR FIN'!$A$1:$O$108,15,0))</f>
        <v>159.43</v>
      </c>
      <c r="Y279" s="6"/>
      <c r="Z279" s="6">
        <f ca="1">('TUSD BE'!$AM$27+'TUSD BF'!$AM$27+'TUSD CVA'!$AM$27)*1</f>
        <v>1497.8900689999518</v>
      </c>
      <c r="AA279" s="6">
        <f>('TE BE'!$AB$10+'TE BF'!$AB$10+'TE CVA'!$AB$10)*1</f>
        <v>322.12477389224171</v>
      </c>
      <c r="AB279" s="6">
        <f>$K$279*$V$279</f>
        <v>0</v>
      </c>
      <c r="AC279" s="6">
        <f>$M$279*$W$279</f>
        <v>-7874.24352</v>
      </c>
      <c r="AD279" s="6">
        <f>$O$279*$X$279</f>
        <v>-862.83515999999997</v>
      </c>
      <c r="AE279" s="6">
        <f>$K$279*$Y$279</f>
        <v>0</v>
      </c>
      <c r="AF279" s="6">
        <f ca="1">$M$279*$Z$279</f>
        <v>-8106.5810534277389</v>
      </c>
      <c r="AG279" s="6">
        <f>$O$279*$AA$279</f>
        <v>-1743.3392763048121</v>
      </c>
    </row>
    <row r="280" spans="1:33" ht="11.25" customHeight="1" x14ac:dyDescent="0.25">
      <c r="A280" s="4" t="s">
        <v>28</v>
      </c>
      <c r="B280" s="4" t="s">
        <v>41</v>
      </c>
      <c r="C280" s="4" t="s">
        <v>43</v>
      </c>
      <c r="D280" s="4" t="s">
        <v>44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44562</v>
      </c>
      <c r="J280" s="6">
        <v>0</v>
      </c>
      <c r="K280" s="6">
        <v>0</v>
      </c>
      <c r="L280" s="6">
        <v>7.9669999999999996</v>
      </c>
      <c r="M280" s="6">
        <v>7.9669999999999996</v>
      </c>
      <c r="N280" s="6">
        <v>7.9669999999999996</v>
      </c>
      <c r="O280" s="6">
        <v>7.9669999999999996</v>
      </c>
      <c r="P280" s="6">
        <v>0</v>
      </c>
      <c r="Q280" s="4" t="s">
        <v>26</v>
      </c>
      <c r="R280" s="4">
        <v>0</v>
      </c>
      <c r="S280" s="6">
        <v>0</v>
      </c>
      <c r="T280" s="6">
        <v>5</v>
      </c>
      <c r="U280" s="6">
        <v>75</v>
      </c>
      <c r="V280" s="6">
        <f>IF(ISERROR(VLOOKUP($S$280,'TAR FIN'!$A$1:$O$108,15,0)),0,VLOOKUP($S$280,'TAR FIN'!$A$1:$O$108,15,0))</f>
        <v>0</v>
      </c>
      <c r="W280" s="6">
        <f>IF(ISERROR(VLOOKUP($T$280,'TAR FIN'!$A$1:$O$108,15,0)),0,VLOOKUP($T$280,'TAR FIN'!$A$1:$O$108,15,0))</f>
        <v>1454.96</v>
      </c>
      <c r="X280" s="6">
        <f>IF(ISERROR(VLOOKUP($U$280,'TAR FIN'!$A$1:$O$108,15,0)),0,VLOOKUP($U$280,'TAR FIN'!$A$1:$O$108,15,0))</f>
        <v>159.43</v>
      </c>
      <c r="Y280" s="6"/>
      <c r="Z280" s="6">
        <f ca="1">('TUSD BE'!$AM$27+'TUSD BF'!$AM$27+'TUSD CVA'!$AM$27)*1</f>
        <v>1497.8900689999518</v>
      </c>
      <c r="AA280" s="6">
        <f>('TE BE'!$AB$10+'TE BF'!$AB$10+'TE CVA'!$AB$10)*1</f>
        <v>322.12477389224171</v>
      </c>
      <c r="AB280" s="6">
        <f>$K$280*$V$280</f>
        <v>0</v>
      </c>
      <c r="AC280" s="6">
        <f>$M$280*$W$280</f>
        <v>11591.66632</v>
      </c>
      <c r="AD280" s="6">
        <f>$O$280*$X$280</f>
        <v>1270.1788099999999</v>
      </c>
      <c r="AE280" s="6">
        <f>$K$280*$Y$280</f>
        <v>0</v>
      </c>
      <c r="AF280" s="6">
        <f ca="1">$M$280*$Z$280</f>
        <v>11933.690179722616</v>
      </c>
      <c r="AG280" s="6">
        <f>$O$280*$AA$280</f>
        <v>2566.3680735994894</v>
      </c>
    </row>
    <row r="281" spans="1:33" ht="11.25" customHeight="1" x14ac:dyDescent="0.25">
      <c r="A281" s="4" t="s">
        <v>21</v>
      </c>
      <c r="B281" s="4" t="s">
        <v>41</v>
      </c>
      <c r="C281" s="4" t="s">
        <v>43</v>
      </c>
      <c r="D281" s="4" t="s">
        <v>44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44593</v>
      </c>
      <c r="J281" s="6">
        <v>0</v>
      </c>
      <c r="K281" s="6">
        <v>0</v>
      </c>
      <c r="L281" s="6">
        <v>467.32</v>
      </c>
      <c r="M281" s="6">
        <v>467.32</v>
      </c>
      <c r="N281" s="6">
        <v>467.32</v>
      </c>
      <c r="O281" s="6">
        <v>467.32</v>
      </c>
      <c r="P281" s="6">
        <v>0</v>
      </c>
      <c r="Q281" s="4" t="s">
        <v>26</v>
      </c>
      <c r="R281" s="4">
        <v>0</v>
      </c>
      <c r="S281" s="6">
        <v>0</v>
      </c>
      <c r="T281" s="6">
        <v>5</v>
      </c>
      <c r="U281" s="6">
        <v>75</v>
      </c>
      <c r="V281" s="6">
        <f>IF(ISERROR(VLOOKUP($S$281,'TAR FIN'!$A$1:$O$108,15,0)),0,VLOOKUP($S$281,'TAR FIN'!$A$1:$O$108,15,0))</f>
        <v>0</v>
      </c>
      <c r="W281" s="6">
        <f>IF(ISERROR(VLOOKUP($T$281,'TAR FIN'!$A$1:$O$108,15,0)),0,VLOOKUP($T$281,'TAR FIN'!$A$1:$O$108,15,0))</f>
        <v>1454.96</v>
      </c>
      <c r="X281" s="6">
        <f>IF(ISERROR(VLOOKUP($U$281,'TAR FIN'!$A$1:$O$108,15,0)),0,VLOOKUP($U$281,'TAR FIN'!$A$1:$O$108,15,0))</f>
        <v>159.43</v>
      </c>
      <c r="Y281" s="6"/>
      <c r="Z281" s="6">
        <f ca="1">('TUSD BE'!$AM$27+'TUSD BF'!$AM$27+'TUSD CVA'!$AM$27)*1</f>
        <v>1497.8900689999518</v>
      </c>
      <c r="AA281" s="6">
        <f>('TE BE'!$AB$10+'TE BF'!$AB$10+'TE CVA'!$AB$10)*1</f>
        <v>322.12477389224171</v>
      </c>
      <c r="AB281" s="6">
        <f>$K$281*$V$281</f>
        <v>0</v>
      </c>
      <c r="AC281" s="6">
        <f>$M$281*$W$281</f>
        <v>679931.90720000002</v>
      </c>
      <c r="AD281" s="6">
        <f>$O$281*$X$281</f>
        <v>74504.827600000004</v>
      </c>
      <c r="AE281" s="6">
        <f>$K$281*$Y$281</f>
        <v>0</v>
      </c>
      <c r="AF281" s="6">
        <f ca="1">$M$281*$Z$281</f>
        <v>699993.98704505747</v>
      </c>
      <c r="AG281" s="6">
        <f>$O$281*$AA$281</f>
        <v>150535.34933532239</v>
      </c>
    </row>
    <row r="282" spans="1:33" ht="11.25" customHeight="1" x14ac:dyDescent="0.25">
      <c r="A282" s="4" t="s">
        <v>27</v>
      </c>
      <c r="B282" s="4" t="s">
        <v>41</v>
      </c>
      <c r="C282" s="4" t="s">
        <v>43</v>
      </c>
      <c r="D282" s="4" t="s">
        <v>44</v>
      </c>
      <c r="E282" s="4" t="s">
        <v>25</v>
      </c>
      <c r="F282" s="4" t="s">
        <v>25</v>
      </c>
      <c r="G282" s="4" t="s">
        <v>25</v>
      </c>
      <c r="H282" s="4" t="s">
        <v>34</v>
      </c>
      <c r="I282" s="5">
        <v>44593</v>
      </c>
      <c r="J282" s="6">
        <v>0</v>
      </c>
      <c r="K282" s="6">
        <v>0</v>
      </c>
      <c r="L282" s="6">
        <v>-8.2000000000000003E-2</v>
      </c>
      <c r="M282" s="6">
        <v>-8.2000000000000003E-2</v>
      </c>
      <c r="N282" s="6">
        <v>-8.2000000000000003E-2</v>
      </c>
      <c r="O282" s="6">
        <v>-8.2000000000000003E-2</v>
      </c>
      <c r="P282" s="6">
        <v>0</v>
      </c>
      <c r="Q282" s="4" t="s">
        <v>26</v>
      </c>
      <c r="R282" s="4">
        <v>0</v>
      </c>
      <c r="S282" s="6">
        <v>0</v>
      </c>
      <c r="T282" s="6">
        <v>5</v>
      </c>
      <c r="U282" s="6">
        <v>75</v>
      </c>
      <c r="V282" s="6">
        <f>IF(ISERROR(VLOOKUP($S$282,'TAR FIN'!$A$1:$O$108,15,0)),0,VLOOKUP($S$282,'TAR FIN'!$A$1:$O$108,15,0))</f>
        <v>0</v>
      </c>
      <c r="W282" s="6">
        <f>IF(ISERROR(VLOOKUP($T$282,'TAR FIN'!$A$1:$O$108,15,0)),0,VLOOKUP($T$282,'TAR FIN'!$A$1:$O$108,15,0))</f>
        <v>1454.96</v>
      </c>
      <c r="X282" s="6">
        <f>IF(ISERROR(VLOOKUP($U$282,'TAR FIN'!$A$1:$O$108,15,0)),0,VLOOKUP($U$282,'TAR FIN'!$A$1:$O$108,15,0))</f>
        <v>159.43</v>
      </c>
      <c r="Y282" s="6"/>
      <c r="Z282" s="6">
        <f ca="1">('TUSD BE'!$AM$27+'TUSD BF'!$AM$27+'TUSD CVA'!$AM$27)*1</f>
        <v>1497.8900689999518</v>
      </c>
      <c r="AA282" s="6">
        <f>('TE BE'!$AB$10+'TE BF'!$AB$10+'TE CVA'!$AB$10)*1</f>
        <v>322.12477389224171</v>
      </c>
      <c r="AB282" s="6">
        <f>$K$282*$V$282</f>
        <v>0</v>
      </c>
      <c r="AC282" s="6">
        <f>$M$282*$W$282</f>
        <v>-119.30672000000001</v>
      </c>
      <c r="AD282" s="6">
        <f>$O$282*$X$282</f>
        <v>-13.073260000000001</v>
      </c>
      <c r="AE282" s="6">
        <f>$K$282*$Y$282</f>
        <v>0</v>
      </c>
      <c r="AF282" s="6">
        <f ca="1">$M$282*$Z$282</f>
        <v>-122.82698565799606</v>
      </c>
      <c r="AG282" s="6">
        <f>$O$282*$AA$282</f>
        <v>-26.414231459163823</v>
      </c>
    </row>
    <row r="283" spans="1:33" ht="11.25" customHeight="1" x14ac:dyDescent="0.25">
      <c r="A283" s="4" t="s">
        <v>28</v>
      </c>
      <c r="B283" s="4" t="s">
        <v>41</v>
      </c>
      <c r="C283" s="4" t="s">
        <v>43</v>
      </c>
      <c r="D283" s="4" t="s">
        <v>44</v>
      </c>
      <c r="E283" s="4" t="s">
        <v>25</v>
      </c>
      <c r="F283" s="4" t="s">
        <v>25</v>
      </c>
      <c r="G283" s="4" t="s">
        <v>25</v>
      </c>
      <c r="H283" s="4" t="s">
        <v>34</v>
      </c>
      <c r="I283" s="5">
        <v>44593</v>
      </c>
      <c r="J283" s="6">
        <v>0</v>
      </c>
      <c r="K283" s="6">
        <v>0</v>
      </c>
      <c r="L283" s="6">
        <v>3.9769999999999999</v>
      </c>
      <c r="M283" s="6">
        <v>3.9769999999999999</v>
      </c>
      <c r="N283" s="6">
        <v>3.9769999999999999</v>
      </c>
      <c r="O283" s="6">
        <v>3.9769999999999999</v>
      </c>
      <c r="P283" s="6">
        <v>0</v>
      </c>
      <c r="Q283" s="4" t="s">
        <v>26</v>
      </c>
      <c r="R283" s="4">
        <v>0</v>
      </c>
      <c r="S283" s="6">
        <v>0</v>
      </c>
      <c r="T283" s="6">
        <v>5</v>
      </c>
      <c r="U283" s="6">
        <v>75</v>
      </c>
      <c r="V283" s="6">
        <f>IF(ISERROR(VLOOKUP($S$283,'TAR FIN'!$A$1:$O$108,15,0)),0,VLOOKUP($S$283,'TAR FIN'!$A$1:$O$108,15,0))</f>
        <v>0</v>
      </c>
      <c r="W283" s="6">
        <f>IF(ISERROR(VLOOKUP($T$283,'TAR FIN'!$A$1:$O$108,15,0)),0,VLOOKUP($T$283,'TAR FIN'!$A$1:$O$108,15,0))</f>
        <v>1454.96</v>
      </c>
      <c r="X283" s="6">
        <f>IF(ISERROR(VLOOKUP($U$283,'TAR FIN'!$A$1:$O$108,15,0)),0,VLOOKUP($U$283,'TAR FIN'!$A$1:$O$108,15,0))</f>
        <v>159.43</v>
      </c>
      <c r="Y283" s="6"/>
      <c r="Z283" s="6">
        <f ca="1">('TUSD BE'!$AM$27+'TUSD BF'!$AM$27+'TUSD CVA'!$AM$27)*1</f>
        <v>1497.8900689999518</v>
      </c>
      <c r="AA283" s="6">
        <f>('TE BE'!$AB$10+'TE BF'!$AB$10+'TE CVA'!$AB$10)*1</f>
        <v>322.12477389224171</v>
      </c>
      <c r="AB283" s="6">
        <f>$K$283*$V$283</f>
        <v>0</v>
      </c>
      <c r="AC283" s="6">
        <f>$M$283*$W$283</f>
        <v>5786.3759200000004</v>
      </c>
      <c r="AD283" s="6">
        <f>$O$283*$X$283</f>
        <v>634.05311000000006</v>
      </c>
      <c r="AE283" s="6">
        <f>$K$283*$Y$283</f>
        <v>0</v>
      </c>
      <c r="AF283" s="6">
        <f ca="1">$M$283*$Z$283</f>
        <v>5957.1088044128082</v>
      </c>
      <c r="AG283" s="6">
        <f>$O$283*$AA$283</f>
        <v>1281.0902257694452</v>
      </c>
    </row>
    <row r="284" spans="1:33" ht="11.25" customHeight="1" x14ac:dyDescent="0.25">
      <c r="A284" s="4" t="s">
        <v>21</v>
      </c>
      <c r="B284" s="4" t="s">
        <v>41</v>
      </c>
      <c r="C284" s="4" t="s">
        <v>43</v>
      </c>
      <c r="D284" s="4" t="s">
        <v>44</v>
      </c>
      <c r="E284" s="4" t="s">
        <v>25</v>
      </c>
      <c r="F284" s="4" t="s">
        <v>25</v>
      </c>
      <c r="G284" s="4" t="s">
        <v>25</v>
      </c>
      <c r="H284" s="4" t="s">
        <v>34</v>
      </c>
      <c r="I284" s="5">
        <v>44621</v>
      </c>
      <c r="J284" s="6">
        <v>0</v>
      </c>
      <c r="K284" s="6">
        <v>0</v>
      </c>
      <c r="L284" s="6">
        <v>503.93299999999999</v>
      </c>
      <c r="M284" s="6">
        <v>503.93299999999999</v>
      </c>
      <c r="N284" s="6">
        <v>503.93299999999999</v>
      </c>
      <c r="O284" s="6">
        <v>503.93299999999999</v>
      </c>
      <c r="P284" s="6">
        <v>0</v>
      </c>
      <c r="Q284" s="4" t="s">
        <v>26</v>
      </c>
      <c r="R284" s="4">
        <v>0</v>
      </c>
      <c r="S284" s="6">
        <v>0</v>
      </c>
      <c r="T284" s="6">
        <v>5</v>
      </c>
      <c r="U284" s="6">
        <v>75</v>
      </c>
      <c r="V284" s="6">
        <f>IF(ISERROR(VLOOKUP($S$284,'TAR FIN'!$A$1:$O$108,15,0)),0,VLOOKUP($S$284,'TAR FIN'!$A$1:$O$108,15,0))</f>
        <v>0</v>
      </c>
      <c r="W284" s="6">
        <f>IF(ISERROR(VLOOKUP($T$284,'TAR FIN'!$A$1:$O$108,15,0)),0,VLOOKUP($T$284,'TAR FIN'!$A$1:$O$108,15,0))</f>
        <v>1454.96</v>
      </c>
      <c r="X284" s="6">
        <f>IF(ISERROR(VLOOKUP($U$284,'TAR FIN'!$A$1:$O$108,15,0)),0,VLOOKUP($U$284,'TAR FIN'!$A$1:$O$108,15,0))</f>
        <v>159.43</v>
      </c>
      <c r="Y284" s="6"/>
      <c r="Z284" s="6">
        <f ca="1">('TUSD BE'!$AM$27+'TUSD BF'!$AM$27+'TUSD CVA'!$AM$27)*1</f>
        <v>1497.8900689999518</v>
      </c>
      <c r="AA284" s="6">
        <f>('TE BE'!$AB$10+'TE BF'!$AB$10+'TE CVA'!$AB$10)*1</f>
        <v>322.12477389224171</v>
      </c>
      <c r="AB284" s="6">
        <f>$K$284*$V$284</f>
        <v>0</v>
      </c>
      <c r="AC284" s="6">
        <f>$M$284*$W$284</f>
        <v>733202.35768000002</v>
      </c>
      <c r="AD284" s="6">
        <f>$O$284*$X$284</f>
        <v>80342.038190000007</v>
      </c>
      <c r="AE284" s="6">
        <f>$K$284*$Y$284</f>
        <v>0</v>
      </c>
      <c r="AF284" s="6">
        <f ca="1">$M$284*$Z$284</f>
        <v>754836.23614135268</v>
      </c>
      <c r="AG284" s="6">
        <f>$O$284*$AA$284</f>
        <v>162329.30368183902</v>
      </c>
    </row>
    <row r="285" spans="1:33" ht="11.25" customHeight="1" x14ac:dyDescent="0.25">
      <c r="A285" s="4" t="s">
        <v>28</v>
      </c>
      <c r="B285" s="4" t="s">
        <v>41</v>
      </c>
      <c r="C285" s="4" t="s">
        <v>43</v>
      </c>
      <c r="D285" s="4" t="s">
        <v>44</v>
      </c>
      <c r="E285" s="4" t="s">
        <v>25</v>
      </c>
      <c r="F285" s="4" t="s">
        <v>25</v>
      </c>
      <c r="G285" s="4" t="s">
        <v>25</v>
      </c>
      <c r="H285" s="4" t="s">
        <v>34</v>
      </c>
      <c r="I285" s="5">
        <v>44621</v>
      </c>
      <c r="J285" s="6">
        <v>0</v>
      </c>
      <c r="K285" s="6">
        <v>0</v>
      </c>
      <c r="L285" s="6">
        <v>7.6749999999999998</v>
      </c>
      <c r="M285" s="6">
        <v>7.6749999999999998</v>
      </c>
      <c r="N285" s="6">
        <v>7.6749999999999998</v>
      </c>
      <c r="O285" s="6">
        <v>7.6749999999999998</v>
      </c>
      <c r="P285" s="6">
        <v>0</v>
      </c>
      <c r="Q285" s="4" t="s">
        <v>26</v>
      </c>
      <c r="R285" s="4">
        <v>0</v>
      </c>
      <c r="S285" s="6">
        <v>0</v>
      </c>
      <c r="T285" s="6">
        <v>5</v>
      </c>
      <c r="U285" s="6">
        <v>75</v>
      </c>
      <c r="V285" s="6">
        <f>IF(ISERROR(VLOOKUP($S$285,'TAR FIN'!$A$1:$O$108,15,0)),0,VLOOKUP($S$285,'TAR FIN'!$A$1:$O$108,15,0))</f>
        <v>0</v>
      </c>
      <c r="W285" s="6">
        <f>IF(ISERROR(VLOOKUP($T$285,'TAR FIN'!$A$1:$O$108,15,0)),0,VLOOKUP($T$285,'TAR FIN'!$A$1:$O$108,15,0))</f>
        <v>1454.96</v>
      </c>
      <c r="X285" s="6">
        <f>IF(ISERROR(VLOOKUP($U$285,'TAR FIN'!$A$1:$O$108,15,0)),0,VLOOKUP($U$285,'TAR FIN'!$A$1:$O$108,15,0))</f>
        <v>159.43</v>
      </c>
      <c r="Y285" s="6"/>
      <c r="Z285" s="6">
        <f ca="1">('TUSD BE'!$AM$27+'TUSD BF'!$AM$27+'TUSD CVA'!$AM$27)*1</f>
        <v>1497.8900689999518</v>
      </c>
      <c r="AA285" s="6">
        <f>('TE BE'!$AB$10+'TE BF'!$AB$10+'TE CVA'!$AB$10)*1</f>
        <v>322.12477389224171</v>
      </c>
      <c r="AB285" s="6">
        <f>$K$285*$V$285</f>
        <v>0</v>
      </c>
      <c r="AC285" s="6">
        <f>$M$285*$W$285</f>
        <v>11166.817999999999</v>
      </c>
      <c r="AD285" s="6">
        <f>$O$285*$X$285</f>
        <v>1223.6252500000001</v>
      </c>
      <c r="AE285" s="6">
        <f>$K$285*$Y$285</f>
        <v>0</v>
      </c>
      <c r="AF285" s="6">
        <f ca="1">$M$285*$Z$285</f>
        <v>11496.30627957463</v>
      </c>
      <c r="AG285" s="6">
        <f>$O$285*$AA$285</f>
        <v>2472.3076396229549</v>
      </c>
    </row>
    <row r="286" spans="1:33" ht="11.25" customHeight="1" x14ac:dyDescent="0.25">
      <c r="A286" s="4" t="s">
        <v>21</v>
      </c>
      <c r="B286" s="4" t="s">
        <v>41</v>
      </c>
      <c r="C286" s="4" t="s">
        <v>43</v>
      </c>
      <c r="D286" s="4" t="s">
        <v>44</v>
      </c>
      <c r="E286" s="4" t="s">
        <v>25</v>
      </c>
      <c r="F286" s="4" t="s">
        <v>25</v>
      </c>
      <c r="G286" s="4" t="s">
        <v>25</v>
      </c>
      <c r="H286" s="4" t="s">
        <v>34</v>
      </c>
      <c r="I286" s="5">
        <v>44652</v>
      </c>
      <c r="J286" s="6">
        <v>0</v>
      </c>
      <c r="K286" s="6">
        <v>0</v>
      </c>
      <c r="L286" s="6">
        <v>475.54500000000002</v>
      </c>
      <c r="M286" s="6">
        <v>475.54500000000002</v>
      </c>
      <c r="N286" s="6">
        <v>475.54500000000002</v>
      </c>
      <c r="O286" s="6">
        <v>475.54500000000002</v>
      </c>
      <c r="P286" s="6">
        <v>0</v>
      </c>
      <c r="Q286" s="4" t="s">
        <v>26</v>
      </c>
      <c r="R286" s="4">
        <v>0</v>
      </c>
      <c r="S286" s="6">
        <v>0</v>
      </c>
      <c r="T286" s="6">
        <v>5</v>
      </c>
      <c r="U286" s="6">
        <v>75</v>
      </c>
      <c r="V286" s="6">
        <f>IF(ISERROR(VLOOKUP($S$286,'TAR FIN'!$A$1:$O$108,15,0)),0,VLOOKUP($S$286,'TAR FIN'!$A$1:$O$108,15,0))</f>
        <v>0</v>
      </c>
      <c r="W286" s="6">
        <f>IF(ISERROR(VLOOKUP($T$286,'TAR FIN'!$A$1:$O$108,15,0)),0,VLOOKUP($T$286,'TAR FIN'!$A$1:$O$108,15,0))</f>
        <v>1454.96</v>
      </c>
      <c r="X286" s="6">
        <f>IF(ISERROR(VLOOKUP($U$286,'TAR FIN'!$A$1:$O$108,15,0)),0,VLOOKUP($U$286,'TAR FIN'!$A$1:$O$108,15,0))</f>
        <v>159.43</v>
      </c>
      <c r="Y286" s="6"/>
      <c r="Z286" s="6">
        <f ca="1">('TUSD BE'!$AM$27+'TUSD BF'!$AM$27+'TUSD CVA'!$AM$27)*1</f>
        <v>1497.8900689999518</v>
      </c>
      <c r="AA286" s="6">
        <f>('TE BE'!$AB$10+'TE BF'!$AB$10+'TE CVA'!$AB$10)*1</f>
        <v>322.12477389224171</v>
      </c>
      <c r="AB286" s="6">
        <f>$K$286*$V$286</f>
        <v>0</v>
      </c>
      <c r="AC286" s="6">
        <f>$M$286*$W$286</f>
        <v>691898.95319999999</v>
      </c>
      <c r="AD286" s="6">
        <f>$O$286*$X$286</f>
        <v>75816.139350000012</v>
      </c>
      <c r="AE286" s="6">
        <f>$K$286*$Y$286</f>
        <v>0</v>
      </c>
      <c r="AF286" s="6">
        <f ca="1">$M$286*$Z$286</f>
        <v>712314.1328625821</v>
      </c>
      <c r="AG286" s="6">
        <f>$O$286*$AA$286</f>
        <v>153184.82560058607</v>
      </c>
    </row>
    <row r="287" spans="1:33" ht="11.25" customHeight="1" x14ac:dyDescent="0.25">
      <c r="A287" s="4" t="s">
        <v>28</v>
      </c>
      <c r="B287" s="4" t="s">
        <v>41</v>
      </c>
      <c r="C287" s="4" t="s">
        <v>43</v>
      </c>
      <c r="D287" s="4" t="s">
        <v>44</v>
      </c>
      <c r="E287" s="4" t="s">
        <v>25</v>
      </c>
      <c r="F287" s="4" t="s">
        <v>25</v>
      </c>
      <c r="G287" s="4" t="s">
        <v>25</v>
      </c>
      <c r="H287" s="4" t="s">
        <v>34</v>
      </c>
      <c r="I287" s="5">
        <v>44652</v>
      </c>
      <c r="J287" s="6">
        <v>0</v>
      </c>
      <c r="K287" s="6">
        <v>0</v>
      </c>
      <c r="L287" s="6">
        <v>9.2379999999999995</v>
      </c>
      <c r="M287" s="6">
        <v>9.2379999999999995</v>
      </c>
      <c r="N287" s="6">
        <v>9.2379999999999995</v>
      </c>
      <c r="O287" s="6">
        <v>9.2379999999999995</v>
      </c>
      <c r="P287" s="6">
        <v>0</v>
      </c>
      <c r="Q287" s="4" t="s">
        <v>26</v>
      </c>
      <c r="R287" s="4">
        <v>0</v>
      </c>
      <c r="S287" s="6">
        <v>0</v>
      </c>
      <c r="T287" s="6">
        <v>5</v>
      </c>
      <c r="U287" s="6">
        <v>75</v>
      </c>
      <c r="V287" s="6">
        <f>IF(ISERROR(VLOOKUP($S$287,'TAR FIN'!$A$1:$O$108,15,0)),0,VLOOKUP($S$287,'TAR FIN'!$A$1:$O$108,15,0))</f>
        <v>0</v>
      </c>
      <c r="W287" s="6">
        <f>IF(ISERROR(VLOOKUP($T$287,'TAR FIN'!$A$1:$O$108,15,0)),0,VLOOKUP($T$287,'TAR FIN'!$A$1:$O$108,15,0))</f>
        <v>1454.96</v>
      </c>
      <c r="X287" s="6">
        <f>IF(ISERROR(VLOOKUP($U$287,'TAR FIN'!$A$1:$O$108,15,0)),0,VLOOKUP($U$287,'TAR FIN'!$A$1:$O$108,15,0))</f>
        <v>159.43</v>
      </c>
      <c r="Y287" s="6"/>
      <c r="Z287" s="6">
        <f ca="1">('TUSD BE'!$AM$27+'TUSD BF'!$AM$27+'TUSD CVA'!$AM$27)*1</f>
        <v>1497.8900689999518</v>
      </c>
      <c r="AA287" s="6">
        <f>('TE BE'!$AB$10+'TE BF'!$AB$10+'TE CVA'!$AB$10)*1</f>
        <v>322.12477389224171</v>
      </c>
      <c r="AB287" s="6">
        <f>$K$287*$V$287</f>
        <v>0</v>
      </c>
      <c r="AC287" s="6">
        <f>$M$287*$W$287</f>
        <v>13440.920479999999</v>
      </c>
      <c r="AD287" s="6">
        <f>$O$287*$X$287</f>
        <v>1472.8143399999999</v>
      </c>
      <c r="AE287" s="6">
        <f>$K$287*$Y$287</f>
        <v>0</v>
      </c>
      <c r="AF287" s="6">
        <f ca="1">$M$287*$Z$287</f>
        <v>13837.508457421554</v>
      </c>
      <c r="AG287" s="6">
        <f>$O$287*$AA$287</f>
        <v>2975.7886612165289</v>
      </c>
    </row>
    <row r="288" spans="1:33" ht="11.25" customHeight="1" x14ac:dyDescent="0.25">
      <c r="A288" s="4" t="s">
        <v>21</v>
      </c>
      <c r="B288" s="4" t="s">
        <v>41</v>
      </c>
      <c r="C288" s="4" t="s">
        <v>43</v>
      </c>
      <c r="D288" s="4" t="s">
        <v>44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6">
        <v>0</v>
      </c>
      <c r="L288" s="6">
        <v>535.92899999999997</v>
      </c>
      <c r="M288" s="6">
        <v>535.92899999999997</v>
      </c>
      <c r="N288" s="6">
        <v>535.92899999999997</v>
      </c>
      <c r="O288" s="6">
        <v>535.92899999999997</v>
      </c>
      <c r="P288" s="6">
        <v>0</v>
      </c>
      <c r="Q288" s="4" t="s">
        <v>26</v>
      </c>
      <c r="R288" s="4">
        <v>0</v>
      </c>
      <c r="S288" s="6">
        <v>0</v>
      </c>
      <c r="T288" s="6">
        <v>5</v>
      </c>
      <c r="U288" s="6">
        <v>75</v>
      </c>
      <c r="V288" s="6">
        <f>IF(ISERROR(VLOOKUP($S$288,'TAR FIN'!$A$1:$O$108,15,0)),0,VLOOKUP($S$288,'TAR FIN'!$A$1:$O$108,15,0))</f>
        <v>0</v>
      </c>
      <c r="W288" s="6">
        <f>IF(ISERROR(VLOOKUP($T$288,'TAR FIN'!$A$1:$O$108,15,0)),0,VLOOKUP($T$288,'TAR FIN'!$A$1:$O$108,15,0))</f>
        <v>1454.96</v>
      </c>
      <c r="X288" s="6">
        <f>IF(ISERROR(VLOOKUP($U$288,'TAR FIN'!$A$1:$O$108,15,0)),0,VLOOKUP($U$288,'TAR FIN'!$A$1:$O$108,15,0))</f>
        <v>159.43</v>
      </c>
      <c r="Y288" s="6"/>
      <c r="Z288" s="6">
        <f ca="1">('TUSD BE'!$AM$27+'TUSD BF'!$AM$27+'TUSD CVA'!$AM$27)*1</f>
        <v>1497.8900689999518</v>
      </c>
      <c r="AA288" s="6">
        <f>('TE BE'!$AB$10+'TE BF'!$AB$10+'TE CVA'!$AB$10)*1</f>
        <v>322.12477389224171</v>
      </c>
      <c r="AB288" s="6">
        <f>$K$288*$V$288</f>
        <v>0</v>
      </c>
      <c r="AC288" s="6">
        <f>$M$288*$W$288</f>
        <v>779755.25783999998</v>
      </c>
      <c r="AD288" s="6">
        <f>$O$288*$X$288</f>
        <v>85443.160470000003</v>
      </c>
      <c r="AE288" s="6">
        <f>$K$288*$Y$288</f>
        <v>0</v>
      </c>
      <c r="AF288" s="6">
        <f ca="1">$M$288*$Z$288</f>
        <v>802762.72678907518</v>
      </c>
      <c r="AG288" s="6">
        <f>$O$288*$AA$288</f>
        <v>172636.00794729521</v>
      </c>
    </row>
    <row r="289" spans="1:33" ht="11.25" customHeight="1" x14ac:dyDescent="0.25">
      <c r="A289" s="4" t="s">
        <v>28</v>
      </c>
      <c r="B289" s="4" t="s">
        <v>41</v>
      </c>
      <c r="C289" s="4" t="s">
        <v>43</v>
      </c>
      <c r="D289" s="4" t="s">
        <v>44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44682</v>
      </c>
      <c r="J289" s="6">
        <v>0</v>
      </c>
      <c r="K289" s="6">
        <v>0</v>
      </c>
      <c r="L289" s="6">
        <v>11.457000000000001</v>
      </c>
      <c r="M289" s="6">
        <v>11.457000000000001</v>
      </c>
      <c r="N289" s="6">
        <v>11.457000000000001</v>
      </c>
      <c r="O289" s="6">
        <v>11.457000000000001</v>
      </c>
      <c r="P289" s="6">
        <v>0</v>
      </c>
      <c r="Q289" s="4" t="s">
        <v>26</v>
      </c>
      <c r="R289" s="4">
        <v>0</v>
      </c>
      <c r="S289" s="6">
        <v>0</v>
      </c>
      <c r="T289" s="6">
        <v>5</v>
      </c>
      <c r="U289" s="6">
        <v>75</v>
      </c>
      <c r="V289" s="6">
        <f>IF(ISERROR(VLOOKUP($S$289,'TAR FIN'!$A$1:$O$108,15,0)),0,VLOOKUP($S$289,'TAR FIN'!$A$1:$O$108,15,0))</f>
        <v>0</v>
      </c>
      <c r="W289" s="6">
        <f>IF(ISERROR(VLOOKUP($T$289,'TAR FIN'!$A$1:$O$108,15,0)),0,VLOOKUP($T$289,'TAR FIN'!$A$1:$O$108,15,0))</f>
        <v>1454.96</v>
      </c>
      <c r="X289" s="6">
        <f>IF(ISERROR(VLOOKUP($U$289,'TAR FIN'!$A$1:$O$108,15,0)),0,VLOOKUP($U$289,'TAR FIN'!$A$1:$O$108,15,0))</f>
        <v>159.43</v>
      </c>
      <c r="Y289" s="6"/>
      <c r="Z289" s="6">
        <f ca="1">('TUSD BE'!$AM$27+'TUSD BF'!$AM$27+'TUSD CVA'!$AM$27)*1</f>
        <v>1497.8900689999518</v>
      </c>
      <c r="AA289" s="6">
        <f>('TE BE'!$AB$10+'TE BF'!$AB$10+'TE CVA'!$AB$10)*1</f>
        <v>322.12477389224171</v>
      </c>
      <c r="AB289" s="6">
        <f>$K$289*$V$289</f>
        <v>0</v>
      </c>
      <c r="AC289" s="6">
        <f>$M$289*$W$289</f>
        <v>16669.476720000002</v>
      </c>
      <c r="AD289" s="6">
        <f>$O$289*$X$289</f>
        <v>1826.5895100000002</v>
      </c>
      <c r="AE289" s="6">
        <f>$K$289*$Y$289</f>
        <v>0</v>
      </c>
      <c r="AF289" s="6">
        <f ca="1">$M$289*$Z$289</f>
        <v>17161.32652053245</v>
      </c>
      <c r="AG289" s="6">
        <f>$O$289*$AA$289</f>
        <v>3690.5835344834136</v>
      </c>
    </row>
    <row r="290" spans="1:33" ht="11.25" customHeight="1" x14ac:dyDescent="0.25">
      <c r="A290" s="4" t="s">
        <v>21</v>
      </c>
      <c r="B290" s="4" t="s">
        <v>41</v>
      </c>
      <c r="C290" s="4" t="s">
        <v>43</v>
      </c>
      <c r="D290" s="4" t="s">
        <v>44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44713</v>
      </c>
      <c r="J290" s="6">
        <v>0</v>
      </c>
      <c r="K290" s="6">
        <v>0</v>
      </c>
      <c r="L290" s="6">
        <v>542.22500000000002</v>
      </c>
      <c r="M290" s="6">
        <v>542.22500000000002</v>
      </c>
      <c r="N290" s="6">
        <v>542.22500000000002</v>
      </c>
      <c r="O290" s="6">
        <v>542.22500000000002</v>
      </c>
      <c r="P290" s="6">
        <v>0</v>
      </c>
      <c r="Q290" s="4" t="s">
        <v>26</v>
      </c>
      <c r="R290" s="4">
        <v>0</v>
      </c>
      <c r="S290" s="6">
        <v>0</v>
      </c>
      <c r="T290" s="6">
        <v>5</v>
      </c>
      <c r="U290" s="6">
        <v>75</v>
      </c>
      <c r="V290" s="6">
        <f>IF(ISERROR(VLOOKUP($S$290,'TAR FIN'!$A$1:$O$108,15,0)),0,VLOOKUP($S$290,'TAR FIN'!$A$1:$O$108,15,0))</f>
        <v>0</v>
      </c>
      <c r="W290" s="6">
        <f>IF(ISERROR(VLOOKUP($T$290,'TAR FIN'!$A$1:$O$108,15,0)),0,VLOOKUP($T$290,'TAR FIN'!$A$1:$O$108,15,0))</f>
        <v>1454.96</v>
      </c>
      <c r="X290" s="6">
        <f>IF(ISERROR(VLOOKUP($U$290,'TAR FIN'!$A$1:$O$108,15,0)),0,VLOOKUP($U$290,'TAR FIN'!$A$1:$O$108,15,0))</f>
        <v>159.43</v>
      </c>
      <c r="Y290" s="6"/>
      <c r="Z290" s="6">
        <f ca="1">('TUSD BE'!$AM$27+'TUSD BF'!$AM$27+'TUSD CVA'!$AM$27)*1</f>
        <v>1497.8900689999518</v>
      </c>
      <c r="AA290" s="6">
        <f>('TE BE'!$AB$10+'TE BF'!$AB$10+'TE CVA'!$AB$10)*1</f>
        <v>322.12477389224171</v>
      </c>
      <c r="AB290" s="6">
        <f>$K$290*$V$290</f>
        <v>0</v>
      </c>
      <c r="AC290" s="6">
        <f>$M$290*$W$290</f>
        <v>788915.6860000001</v>
      </c>
      <c r="AD290" s="6">
        <f>$O$290*$X$290</f>
        <v>86446.931750000003</v>
      </c>
      <c r="AE290" s="6">
        <f>$K$290*$Y$290</f>
        <v>0</v>
      </c>
      <c r="AF290" s="6">
        <f ca="1">$M$290*$Z$290</f>
        <v>812193.44266349892</v>
      </c>
      <c r="AG290" s="6">
        <f>$O$290*$AA$290</f>
        <v>174664.10552372076</v>
      </c>
    </row>
    <row r="291" spans="1:33" ht="11.25" customHeight="1" x14ac:dyDescent="0.25">
      <c r="A291" s="4" t="s">
        <v>27</v>
      </c>
      <c r="B291" s="4" t="s">
        <v>41</v>
      </c>
      <c r="C291" s="4" t="s">
        <v>43</v>
      </c>
      <c r="D291" s="4" t="s">
        <v>44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44713</v>
      </c>
      <c r="J291" s="6">
        <v>0</v>
      </c>
      <c r="K291" s="6">
        <v>0</v>
      </c>
      <c r="L291" s="6">
        <v>-0.20799999999999999</v>
      </c>
      <c r="M291" s="6">
        <v>-0.20799999999999999</v>
      </c>
      <c r="N291" s="6">
        <v>-0.20799999999999999</v>
      </c>
      <c r="O291" s="6">
        <v>-0.20799999999999999</v>
      </c>
      <c r="P291" s="6">
        <v>0</v>
      </c>
      <c r="Q291" s="4" t="s">
        <v>26</v>
      </c>
      <c r="R291" s="4">
        <v>0</v>
      </c>
      <c r="S291" s="6">
        <v>0</v>
      </c>
      <c r="T291" s="6">
        <v>5</v>
      </c>
      <c r="U291" s="6">
        <v>75</v>
      </c>
      <c r="V291" s="6">
        <f>IF(ISERROR(VLOOKUP($S$291,'TAR FIN'!$A$1:$O$108,15,0)),0,VLOOKUP($S$291,'TAR FIN'!$A$1:$O$108,15,0))</f>
        <v>0</v>
      </c>
      <c r="W291" s="6">
        <f>IF(ISERROR(VLOOKUP($T$291,'TAR FIN'!$A$1:$O$108,15,0)),0,VLOOKUP($T$291,'TAR FIN'!$A$1:$O$108,15,0))</f>
        <v>1454.96</v>
      </c>
      <c r="X291" s="6">
        <f>IF(ISERROR(VLOOKUP($U$291,'TAR FIN'!$A$1:$O$108,15,0)),0,VLOOKUP($U$291,'TAR FIN'!$A$1:$O$108,15,0))</f>
        <v>159.43</v>
      </c>
      <c r="Y291" s="6"/>
      <c r="Z291" s="6">
        <f ca="1">('TUSD BE'!$AM$27+'TUSD BF'!$AM$27+'TUSD CVA'!$AM$27)*1</f>
        <v>1497.8900689999518</v>
      </c>
      <c r="AA291" s="6">
        <f>('TE BE'!$AB$10+'TE BF'!$AB$10+'TE CVA'!$AB$10)*1</f>
        <v>322.12477389224171</v>
      </c>
      <c r="AB291" s="6">
        <f>$K$291*$V$291</f>
        <v>0</v>
      </c>
      <c r="AC291" s="6">
        <f>$M$291*$W$291</f>
        <v>-302.63168000000002</v>
      </c>
      <c r="AD291" s="6">
        <f>$O$291*$X$291</f>
        <v>-33.161439999999999</v>
      </c>
      <c r="AE291" s="6">
        <f>$K$291*$Y$291</f>
        <v>0</v>
      </c>
      <c r="AF291" s="6">
        <f ca="1">$M$291*$Z$291</f>
        <v>-311.56113435198995</v>
      </c>
      <c r="AG291" s="6">
        <f>$O$291*$AA$291</f>
        <v>-67.00195296958627</v>
      </c>
    </row>
    <row r="292" spans="1:33" ht="11.25" customHeight="1" x14ac:dyDescent="0.25">
      <c r="A292" s="4" t="s">
        <v>28</v>
      </c>
      <c r="B292" s="4" t="s">
        <v>41</v>
      </c>
      <c r="C292" s="4" t="s">
        <v>43</v>
      </c>
      <c r="D292" s="4" t="s">
        <v>44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44713</v>
      </c>
      <c r="J292" s="6">
        <v>0</v>
      </c>
      <c r="K292" s="6">
        <v>0</v>
      </c>
      <c r="L292" s="6">
        <v>8.0050000000000008</v>
      </c>
      <c r="M292" s="6">
        <v>8.0050000000000008</v>
      </c>
      <c r="N292" s="6">
        <v>8.0050000000000008</v>
      </c>
      <c r="O292" s="6">
        <v>8.0050000000000008</v>
      </c>
      <c r="P292" s="6">
        <v>0</v>
      </c>
      <c r="Q292" s="4" t="s">
        <v>26</v>
      </c>
      <c r="R292" s="4">
        <v>0</v>
      </c>
      <c r="S292" s="6">
        <v>0</v>
      </c>
      <c r="T292" s="6">
        <v>5</v>
      </c>
      <c r="U292" s="6">
        <v>75</v>
      </c>
      <c r="V292" s="6">
        <f>IF(ISERROR(VLOOKUP($S$292,'TAR FIN'!$A$1:$O$108,15,0)),0,VLOOKUP($S$292,'TAR FIN'!$A$1:$O$108,15,0))</f>
        <v>0</v>
      </c>
      <c r="W292" s="6">
        <f>IF(ISERROR(VLOOKUP($T$292,'TAR FIN'!$A$1:$O$108,15,0)),0,VLOOKUP($T$292,'TAR FIN'!$A$1:$O$108,15,0))</f>
        <v>1454.96</v>
      </c>
      <c r="X292" s="6">
        <f>IF(ISERROR(VLOOKUP($U$292,'TAR FIN'!$A$1:$O$108,15,0)),0,VLOOKUP($U$292,'TAR FIN'!$A$1:$O$108,15,0))</f>
        <v>159.43</v>
      </c>
      <c r="Y292" s="6"/>
      <c r="Z292" s="6">
        <f ca="1">('TUSD BE'!$AM$27+'TUSD BF'!$AM$27+'TUSD CVA'!$AM$27)*1</f>
        <v>1497.8900689999518</v>
      </c>
      <c r="AA292" s="6">
        <f>('TE BE'!$AB$10+'TE BF'!$AB$10+'TE CVA'!$AB$10)*1</f>
        <v>322.12477389224171</v>
      </c>
      <c r="AB292" s="6">
        <f>$K$292*$V$292</f>
        <v>0</v>
      </c>
      <c r="AC292" s="6">
        <f>$M$292*$W$292</f>
        <v>11646.954800000001</v>
      </c>
      <c r="AD292" s="6">
        <f>$O$292*$X$292</f>
        <v>1276.2371500000002</v>
      </c>
      <c r="AE292" s="6">
        <f>$K$292*$Y$292</f>
        <v>0</v>
      </c>
      <c r="AF292" s="6">
        <f ca="1">$M$292*$Z$292</f>
        <v>11990.610002344616</v>
      </c>
      <c r="AG292" s="6">
        <f>$O$292*$AA$292</f>
        <v>2578.6088150073952</v>
      </c>
    </row>
    <row r="293" spans="1:33" ht="11.25" customHeight="1" x14ac:dyDescent="0.25">
      <c r="A293" s="4" t="s">
        <v>21</v>
      </c>
      <c r="B293" s="4" t="s">
        <v>41</v>
      </c>
      <c r="C293" s="4" t="s">
        <v>43</v>
      </c>
      <c r="D293" s="4" t="s">
        <v>44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44743</v>
      </c>
      <c r="J293" s="6">
        <v>0</v>
      </c>
      <c r="K293" s="6">
        <v>0</v>
      </c>
      <c r="L293" s="6">
        <v>564.05899999999997</v>
      </c>
      <c r="M293" s="6">
        <v>564.05899999999997</v>
      </c>
      <c r="N293" s="6">
        <v>564.05899999999997</v>
      </c>
      <c r="O293" s="6">
        <v>564.05899999999997</v>
      </c>
      <c r="P293" s="6">
        <v>0</v>
      </c>
      <c r="Q293" s="4" t="s">
        <v>26</v>
      </c>
      <c r="R293" s="4">
        <v>0</v>
      </c>
      <c r="S293" s="6">
        <v>0</v>
      </c>
      <c r="T293" s="6">
        <v>5</v>
      </c>
      <c r="U293" s="6">
        <v>75</v>
      </c>
      <c r="V293" s="6">
        <f>IF(ISERROR(VLOOKUP($S$293,'TAR FIN'!$A$1:$O$108,15,0)),0,VLOOKUP($S$293,'TAR FIN'!$A$1:$O$108,15,0))</f>
        <v>0</v>
      </c>
      <c r="W293" s="6">
        <f>IF(ISERROR(VLOOKUP($T$293,'TAR FIN'!$A$1:$O$108,15,0)),0,VLOOKUP($T$293,'TAR FIN'!$A$1:$O$108,15,0))</f>
        <v>1454.96</v>
      </c>
      <c r="X293" s="6">
        <f>IF(ISERROR(VLOOKUP($U$293,'TAR FIN'!$A$1:$O$108,15,0)),0,VLOOKUP($U$293,'TAR FIN'!$A$1:$O$108,15,0))</f>
        <v>159.43</v>
      </c>
      <c r="Y293" s="6"/>
      <c r="Z293" s="6">
        <f ca="1">('TUSD BE'!$AM$27+'TUSD BF'!$AM$27+'TUSD CVA'!$AM$27)*1</f>
        <v>1497.8900689999518</v>
      </c>
      <c r="AA293" s="6">
        <f>('TE BE'!$AB$10+'TE BF'!$AB$10+'TE CVA'!$AB$10)*1</f>
        <v>322.12477389224171</v>
      </c>
      <c r="AB293" s="6">
        <f>$K$293*$V$293</f>
        <v>0</v>
      </c>
      <c r="AC293" s="6">
        <f>$M$293*$W$293</f>
        <v>820683.28263999999</v>
      </c>
      <c r="AD293" s="6">
        <f>$O$293*$X$293</f>
        <v>89927.926370000001</v>
      </c>
      <c r="AE293" s="6">
        <f>$K$293*$Y$293</f>
        <v>0</v>
      </c>
      <c r="AF293" s="6">
        <f ca="1">$M$293*$Z$293</f>
        <v>844898.37443004374</v>
      </c>
      <c r="AG293" s="6">
        <f>$O$293*$AA$293</f>
        <v>181697.37783688394</v>
      </c>
    </row>
    <row r="294" spans="1:33" ht="11.25" customHeight="1" x14ac:dyDescent="0.25">
      <c r="A294" s="4" t="s">
        <v>28</v>
      </c>
      <c r="B294" s="4" t="s">
        <v>41</v>
      </c>
      <c r="C294" s="4" t="s">
        <v>43</v>
      </c>
      <c r="D294" s="4" t="s">
        <v>44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44743</v>
      </c>
      <c r="J294" s="6">
        <v>0</v>
      </c>
      <c r="K294" s="6">
        <v>0</v>
      </c>
      <c r="L294" s="6">
        <v>7.3079999999999998</v>
      </c>
      <c r="M294" s="6">
        <v>7.3079999999999998</v>
      </c>
      <c r="N294" s="6">
        <v>7.3079999999999998</v>
      </c>
      <c r="O294" s="6">
        <v>7.3079999999999998</v>
      </c>
      <c r="P294" s="6">
        <v>0</v>
      </c>
      <c r="Q294" s="4" t="s">
        <v>26</v>
      </c>
      <c r="R294" s="4">
        <v>0</v>
      </c>
      <c r="S294" s="6">
        <v>0</v>
      </c>
      <c r="T294" s="6">
        <v>5</v>
      </c>
      <c r="U294" s="6">
        <v>75</v>
      </c>
      <c r="V294" s="6">
        <f>IF(ISERROR(VLOOKUP($S$294,'TAR FIN'!$A$1:$O$108,15,0)),0,VLOOKUP($S$294,'TAR FIN'!$A$1:$O$108,15,0))</f>
        <v>0</v>
      </c>
      <c r="W294" s="6">
        <f>IF(ISERROR(VLOOKUP($T$294,'TAR FIN'!$A$1:$O$108,15,0)),0,VLOOKUP($T$294,'TAR FIN'!$A$1:$O$108,15,0))</f>
        <v>1454.96</v>
      </c>
      <c r="X294" s="6">
        <f>IF(ISERROR(VLOOKUP($U$294,'TAR FIN'!$A$1:$O$108,15,0)),0,VLOOKUP($U$294,'TAR FIN'!$A$1:$O$108,15,0))</f>
        <v>159.43</v>
      </c>
      <c r="Y294" s="6"/>
      <c r="Z294" s="6">
        <f ca="1">('TUSD BE'!$AM$27+'TUSD BF'!$AM$27+'TUSD CVA'!$AM$27)*1</f>
        <v>1497.8900689999518</v>
      </c>
      <c r="AA294" s="6">
        <f>('TE BE'!$AB$10+'TE BF'!$AB$10+'TE CVA'!$AB$10)*1</f>
        <v>322.12477389224171</v>
      </c>
      <c r="AB294" s="6">
        <f>$K$294*$V$294</f>
        <v>0</v>
      </c>
      <c r="AC294" s="6">
        <f>$M$294*$W$294</f>
        <v>10632.847680000001</v>
      </c>
      <c r="AD294" s="6">
        <f>$O$294*$X$294</f>
        <v>1165.1144400000001</v>
      </c>
      <c r="AE294" s="6">
        <f>$K$294*$Y$294</f>
        <v>0</v>
      </c>
      <c r="AF294" s="6">
        <f ca="1">$M$294*$Z$294</f>
        <v>10946.580624251648</v>
      </c>
      <c r="AG294" s="6">
        <f>$O$294*$AA$294</f>
        <v>2354.0878476045023</v>
      </c>
    </row>
    <row r="295" spans="1:33" ht="11.25" customHeight="1" x14ac:dyDescent="0.25">
      <c r="A295" s="4" t="s">
        <v>21</v>
      </c>
      <c r="B295" s="4" t="s">
        <v>41</v>
      </c>
      <c r="C295" s="4" t="s">
        <v>43</v>
      </c>
      <c r="D295" s="4" t="s">
        <v>44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44774</v>
      </c>
      <c r="J295" s="6">
        <v>0</v>
      </c>
      <c r="K295" s="6">
        <v>0</v>
      </c>
      <c r="L295" s="6">
        <v>676.577</v>
      </c>
      <c r="M295" s="6">
        <v>676.577</v>
      </c>
      <c r="N295" s="6">
        <v>676.577</v>
      </c>
      <c r="O295" s="6">
        <v>676.577</v>
      </c>
      <c r="P295" s="6">
        <v>0</v>
      </c>
      <c r="Q295" s="4" t="s">
        <v>26</v>
      </c>
      <c r="R295" s="4">
        <v>0</v>
      </c>
      <c r="S295" s="6">
        <v>0</v>
      </c>
      <c r="T295" s="6">
        <v>5</v>
      </c>
      <c r="U295" s="6">
        <v>75</v>
      </c>
      <c r="V295" s="6">
        <f>IF(ISERROR(VLOOKUP($S$295,'TAR FIN'!$A$1:$O$108,15,0)),0,VLOOKUP($S$295,'TAR FIN'!$A$1:$O$108,15,0))</f>
        <v>0</v>
      </c>
      <c r="W295" s="6">
        <f>IF(ISERROR(VLOOKUP($T$295,'TAR FIN'!$A$1:$O$108,15,0)),0,VLOOKUP($T$295,'TAR FIN'!$A$1:$O$108,15,0))</f>
        <v>1454.96</v>
      </c>
      <c r="X295" s="6">
        <f>IF(ISERROR(VLOOKUP($U$295,'TAR FIN'!$A$1:$O$108,15,0)),0,VLOOKUP($U$295,'TAR FIN'!$A$1:$O$108,15,0))</f>
        <v>159.43</v>
      </c>
      <c r="Y295" s="6"/>
      <c r="Z295" s="6">
        <f ca="1">('TUSD BE'!$AM$27+'TUSD BF'!$AM$27+'TUSD CVA'!$AM$27)*1</f>
        <v>1497.8900689999518</v>
      </c>
      <c r="AA295" s="6">
        <f>('TE BE'!$AB$10+'TE BF'!$AB$10+'TE CVA'!$AB$10)*1</f>
        <v>322.12477389224171</v>
      </c>
      <c r="AB295" s="6">
        <f>$K$295*$V$295</f>
        <v>0</v>
      </c>
      <c r="AC295" s="6">
        <f>$M$295*$W$295</f>
        <v>984392.47192000004</v>
      </c>
      <c r="AD295" s="6">
        <f>$O$295*$X$295</f>
        <v>107866.67111000001</v>
      </c>
      <c r="AE295" s="6">
        <f>$K$295*$Y$295</f>
        <v>0</v>
      </c>
      <c r="AF295" s="6">
        <f ca="1">$M$295*$Z$295</f>
        <v>1013437.9692137804</v>
      </c>
      <c r="AG295" s="6">
        <f>$O$295*$AA$295</f>
        <v>217942.2131456912</v>
      </c>
    </row>
    <row r="296" spans="1:33" ht="11.25" customHeight="1" x14ac:dyDescent="0.25">
      <c r="A296" s="4" t="s">
        <v>27</v>
      </c>
      <c r="B296" s="4" t="s">
        <v>41</v>
      </c>
      <c r="C296" s="4" t="s">
        <v>43</v>
      </c>
      <c r="D296" s="4" t="s">
        <v>44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44774</v>
      </c>
      <c r="J296" s="6">
        <v>0</v>
      </c>
      <c r="K296" s="6">
        <v>0</v>
      </c>
      <c r="L296" s="6">
        <v>-34.831000000000003</v>
      </c>
      <c r="M296" s="6">
        <v>-34.831000000000003</v>
      </c>
      <c r="N296" s="6">
        <v>-34.831000000000003</v>
      </c>
      <c r="O296" s="6">
        <v>-34.831000000000003</v>
      </c>
      <c r="P296" s="6">
        <v>0</v>
      </c>
      <c r="Q296" s="4" t="s">
        <v>26</v>
      </c>
      <c r="R296" s="4">
        <v>0</v>
      </c>
      <c r="S296" s="6">
        <v>0</v>
      </c>
      <c r="T296" s="6">
        <v>5</v>
      </c>
      <c r="U296" s="6">
        <v>75</v>
      </c>
      <c r="V296" s="6">
        <f>IF(ISERROR(VLOOKUP($S$296,'TAR FIN'!$A$1:$O$108,15,0)),0,VLOOKUP($S$296,'TAR FIN'!$A$1:$O$108,15,0))</f>
        <v>0</v>
      </c>
      <c r="W296" s="6">
        <f>IF(ISERROR(VLOOKUP($T$296,'TAR FIN'!$A$1:$O$108,15,0)),0,VLOOKUP($T$296,'TAR FIN'!$A$1:$O$108,15,0))</f>
        <v>1454.96</v>
      </c>
      <c r="X296" s="6">
        <f>IF(ISERROR(VLOOKUP($U$296,'TAR FIN'!$A$1:$O$108,15,0)),0,VLOOKUP($U$296,'TAR FIN'!$A$1:$O$108,15,0))</f>
        <v>159.43</v>
      </c>
      <c r="Y296" s="6"/>
      <c r="Z296" s="6">
        <f ca="1">('TUSD BE'!$AM$27+'TUSD BF'!$AM$27+'TUSD CVA'!$AM$27)*1</f>
        <v>1497.8900689999518</v>
      </c>
      <c r="AA296" s="6">
        <f>('TE BE'!$AB$10+'TE BF'!$AB$10+'TE CVA'!$AB$10)*1</f>
        <v>322.12477389224171</v>
      </c>
      <c r="AB296" s="6">
        <f>$K$296*$V$296</f>
        <v>0</v>
      </c>
      <c r="AC296" s="6">
        <f>$M$296*$W$296</f>
        <v>-50677.711760000006</v>
      </c>
      <c r="AD296" s="6">
        <f>$O$296*$X$296</f>
        <v>-5553.1063300000005</v>
      </c>
      <c r="AE296" s="6">
        <f>$K$296*$Y$296</f>
        <v>0</v>
      </c>
      <c r="AF296" s="6">
        <f ca="1">$M$296*$Z$296</f>
        <v>-52173.008993337324</v>
      </c>
      <c r="AG296" s="6">
        <f>$O$296*$AA$296</f>
        <v>-11219.927999440672</v>
      </c>
    </row>
    <row r="297" spans="1:33" ht="11.25" customHeight="1" x14ac:dyDescent="0.25">
      <c r="A297" s="4" t="s">
        <v>28</v>
      </c>
      <c r="B297" s="4" t="s">
        <v>41</v>
      </c>
      <c r="C297" s="4" t="s">
        <v>43</v>
      </c>
      <c r="D297" s="4" t="s">
        <v>44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44774</v>
      </c>
      <c r="J297" s="6">
        <v>0</v>
      </c>
      <c r="K297" s="6">
        <v>0</v>
      </c>
      <c r="L297" s="6">
        <v>7.0030000000000001</v>
      </c>
      <c r="M297" s="6">
        <v>7.0030000000000001</v>
      </c>
      <c r="N297" s="6">
        <v>7.0030000000000001</v>
      </c>
      <c r="O297" s="6">
        <v>7.0030000000000001</v>
      </c>
      <c r="P297" s="6">
        <v>0</v>
      </c>
      <c r="Q297" s="4" t="s">
        <v>26</v>
      </c>
      <c r="R297" s="4">
        <v>0</v>
      </c>
      <c r="S297" s="6">
        <v>0</v>
      </c>
      <c r="T297" s="6">
        <v>5</v>
      </c>
      <c r="U297" s="6">
        <v>75</v>
      </c>
      <c r="V297" s="6">
        <f>IF(ISERROR(VLOOKUP($S$297,'TAR FIN'!$A$1:$O$108,15,0)),0,VLOOKUP($S$297,'TAR FIN'!$A$1:$O$108,15,0))</f>
        <v>0</v>
      </c>
      <c r="W297" s="6">
        <f>IF(ISERROR(VLOOKUP($T$297,'TAR FIN'!$A$1:$O$108,15,0)),0,VLOOKUP($T$297,'TAR FIN'!$A$1:$O$108,15,0))</f>
        <v>1454.96</v>
      </c>
      <c r="X297" s="6">
        <f>IF(ISERROR(VLOOKUP($U$297,'TAR FIN'!$A$1:$O$108,15,0)),0,VLOOKUP($U$297,'TAR FIN'!$A$1:$O$108,15,0))</f>
        <v>159.43</v>
      </c>
      <c r="Y297" s="6"/>
      <c r="Z297" s="6">
        <f ca="1">('TUSD BE'!$AM$27+'TUSD BF'!$AM$27+'TUSD CVA'!$AM$27)*1</f>
        <v>1497.8900689999518</v>
      </c>
      <c r="AA297" s="6">
        <f>('TE BE'!$AB$10+'TE BF'!$AB$10+'TE CVA'!$AB$10)*1</f>
        <v>322.12477389224171</v>
      </c>
      <c r="AB297" s="6">
        <f>$K$297*$V$297</f>
        <v>0</v>
      </c>
      <c r="AC297" s="6">
        <f>$M$297*$W$297</f>
        <v>10189.08488</v>
      </c>
      <c r="AD297" s="6">
        <f>$O$297*$X$297</f>
        <v>1116.48829</v>
      </c>
      <c r="AE297" s="6">
        <f>$K$297*$Y$297</f>
        <v>0</v>
      </c>
      <c r="AF297" s="6">
        <f ca="1">$M$297*$Z$297</f>
        <v>10489.724153206664</v>
      </c>
      <c r="AG297" s="6">
        <f>$O$297*$AA$297</f>
        <v>2255.8397915673686</v>
      </c>
    </row>
    <row r="298" spans="1:33" ht="11.25" customHeight="1" x14ac:dyDescent="0.25">
      <c r="A298" s="4" t="s">
        <v>21</v>
      </c>
      <c r="B298" s="4" t="s">
        <v>41</v>
      </c>
      <c r="C298" s="4" t="s">
        <v>43</v>
      </c>
      <c r="D298" s="4" t="s">
        <v>44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44805</v>
      </c>
      <c r="J298" s="6">
        <v>0</v>
      </c>
      <c r="K298" s="6">
        <v>0</v>
      </c>
      <c r="L298" s="6">
        <v>639.61699999999996</v>
      </c>
      <c r="M298" s="6">
        <v>639.61699999999996</v>
      </c>
      <c r="N298" s="6">
        <v>639.61699999999996</v>
      </c>
      <c r="O298" s="6">
        <v>639.61699999999996</v>
      </c>
      <c r="P298" s="6">
        <v>0</v>
      </c>
      <c r="Q298" s="4" t="s">
        <v>26</v>
      </c>
      <c r="R298" s="4">
        <v>0</v>
      </c>
      <c r="S298" s="6">
        <v>0</v>
      </c>
      <c r="T298" s="6">
        <v>5</v>
      </c>
      <c r="U298" s="6">
        <v>75</v>
      </c>
      <c r="V298" s="6">
        <f>IF(ISERROR(VLOOKUP($S$298,'TAR FIN'!$A$1:$O$108,15,0)),0,VLOOKUP($S$298,'TAR FIN'!$A$1:$O$108,15,0))</f>
        <v>0</v>
      </c>
      <c r="W298" s="6">
        <f>IF(ISERROR(VLOOKUP($T$298,'TAR FIN'!$A$1:$O$108,15,0)),0,VLOOKUP($T$298,'TAR FIN'!$A$1:$O$108,15,0))</f>
        <v>1454.96</v>
      </c>
      <c r="X298" s="6">
        <f>IF(ISERROR(VLOOKUP($U$298,'TAR FIN'!$A$1:$O$108,15,0)),0,VLOOKUP($U$298,'TAR FIN'!$A$1:$O$108,15,0))</f>
        <v>159.43</v>
      </c>
      <c r="Y298" s="6"/>
      <c r="Z298" s="6">
        <f ca="1">('TUSD BE'!$AM$27+'TUSD BF'!$AM$27+'TUSD CVA'!$AM$27)*1</f>
        <v>1497.8900689999518</v>
      </c>
      <c r="AA298" s="6">
        <f>('TE BE'!$AB$10+'TE BF'!$AB$10+'TE CVA'!$AB$10)*1</f>
        <v>322.12477389224171</v>
      </c>
      <c r="AB298" s="6">
        <f>$K$298*$V$298</f>
        <v>0</v>
      </c>
      <c r="AC298" s="6">
        <f>$M$298*$W$298</f>
        <v>930617.15032000002</v>
      </c>
      <c r="AD298" s="6">
        <f>$O$298*$X$298</f>
        <v>101974.13830999999</v>
      </c>
      <c r="AE298" s="6">
        <f>$K$298*$Y$298</f>
        <v>0</v>
      </c>
      <c r="AF298" s="6">
        <f ca="1">$M$298*$Z$298</f>
        <v>958075.9522635421</v>
      </c>
      <c r="AG298" s="6">
        <f>$O$298*$AA$298</f>
        <v>206036.48150263395</v>
      </c>
    </row>
    <row r="299" spans="1:33" ht="11.25" customHeight="1" x14ac:dyDescent="0.25">
      <c r="A299" s="4" t="s">
        <v>27</v>
      </c>
      <c r="B299" s="4" t="s">
        <v>41</v>
      </c>
      <c r="C299" s="4" t="s">
        <v>43</v>
      </c>
      <c r="D299" s="4" t="s">
        <v>44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44805</v>
      </c>
      <c r="J299" s="6">
        <v>0</v>
      </c>
      <c r="K299" s="6">
        <v>0</v>
      </c>
      <c r="L299" s="6">
        <v>8.4489999999999998</v>
      </c>
      <c r="M299" s="6">
        <v>8.4489999999999998</v>
      </c>
      <c r="N299" s="6">
        <v>8.4489999999999998</v>
      </c>
      <c r="O299" s="6">
        <v>8.4489999999999998</v>
      </c>
      <c r="P299" s="6">
        <v>0</v>
      </c>
      <c r="Q299" s="4" t="s">
        <v>26</v>
      </c>
      <c r="R299" s="4">
        <v>0</v>
      </c>
      <c r="S299" s="6">
        <v>0</v>
      </c>
      <c r="T299" s="6">
        <v>5</v>
      </c>
      <c r="U299" s="6">
        <v>75</v>
      </c>
      <c r="V299" s="6">
        <f>IF(ISERROR(VLOOKUP($S$299,'TAR FIN'!$A$1:$O$108,15,0)),0,VLOOKUP($S$299,'TAR FIN'!$A$1:$O$108,15,0))</f>
        <v>0</v>
      </c>
      <c r="W299" s="6">
        <f>IF(ISERROR(VLOOKUP($T$299,'TAR FIN'!$A$1:$O$108,15,0)),0,VLOOKUP($T$299,'TAR FIN'!$A$1:$O$108,15,0))</f>
        <v>1454.96</v>
      </c>
      <c r="X299" s="6">
        <f>IF(ISERROR(VLOOKUP($U$299,'TAR FIN'!$A$1:$O$108,15,0)),0,VLOOKUP($U$299,'TAR FIN'!$A$1:$O$108,15,0))</f>
        <v>159.43</v>
      </c>
      <c r="Y299" s="6"/>
      <c r="Z299" s="6">
        <f ca="1">('TUSD BE'!$AM$27+'TUSD BF'!$AM$27+'TUSD CVA'!$AM$27)*1</f>
        <v>1497.8900689999518</v>
      </c>
      <c r="AA299" s="6">
        <f>('TE BE'!$AB$10+'TE BF'!$AB$10+'TE CVA'!$AB$10)*1</f>
        <v>322.12477389224171</v>
      </c>
      <c r="AB299" s="6">
        <f>$K$299*$V$299</f>
        <v>0</v>
      </c>
      <c r="AC299" s="6">
        <f>$M$299*$W$299</f>
        <v>12292.957039999999</v>
      </c>
      <c r="AD299" s="6">
        <f>$O$299*$X$299</f>
        <v>1347.0240699999999</v>
      </c>
      <c r="AE299" s="6">
        <f>$K$299*$Y$299</f>
        <v>0</v>
      </c>
      <c r="AF299" s="6">
        <f ca="1">$M$299*$Z$299</f>
        <v>12655.673192980594</v>
      </c>
      <c r="AG299" s="6">
        <f>$O$299*$AA$299</f>
        <v>2721.6322146155503</v>
      </c>
    </row>
    <row r="300" spans="1:33" ht="11.25" customHeight="1" x14ac:dyDescent="0.25">
      <c r="A300" s="4" t="s">
        <v>28</v>
      </c>
      <c r="B300" s="4" t="s">
        <v>41</v>
      </c>
      <c r="C300" s="4" t="s">
        <v>43</v>
      </c>
      <c r="D300" s="4" t="s">
        <v>44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44805</v>
      </c>
      <c r="J300" s="6">
        <v>0</v>
      </c>
      <c r="K300" s="6">
        <v>0</v>
      </c>
      <c r="L300" s="6">
        <v>5.0990000000000002</v>
      </c>
      <c r="M300" s="6">
        <v>5.0990000000000002</v>
      </c>
      <c r="N300" s="6">
        <v>5.0990000000000002</v>
      </c>
      <c r="O300" s="6">
        <v>5.0990000000000002</v>
      </c>
      <c r="P300" s="6">
        <v>0</v>
      </c>
      <c r="Q300" s="4" t="s">
        <v>26</v>
      </c>
      <c r="R300" s="4">
        <v>0</v>
      </c>
      <c r="S300" s="6">
        <v>0</v>
      </c>
      <c r="T300" s="6">
        <v>5</v>
      </c>
      <c r="U300" s="6">
        <v>75</v>
      </c>
      <c r="V300" s="6">
        <f>IF(ISERROR(VLOOKUP($S$300,'TAR FIN'!$A$1:$O$108,15,0)),0,VLOOKUP($S$300,'TAR FIN'!$A$1:$O$108,15,0))</f>
        <v>0</v>
      </c>
      <c r="W300" s="6">
        <f>IF(ISERROR(VLOOKUP($T$300,'TAR FIN'!$A$1:$O$108,15,0)),0,VLOOKUP($T$300,'TAR FIN'!$A$1:$O$108,15,0))</f>
        <v>1454.96</v>
      </c>
      <c r="X300" s="6">
        <f>IF(ISERROR(VLOOKUP($U$300,'TAR FIN'!$A$1:$O$108,15,0)),0,VLOOKUP($U$300,'TAR FIN'!$A$1:$O$108,15,0))</f>
        <v>159.43</v>
      </c>
      <c r="Y300" s="6"/>
      <c r="Z300" s="6">
        <f ca="1">('TUSD BE'!$AM$27+'TUSD BF'!$AM$27+'TUSD CVA'!$AM$27)*1</f>
        <v>1497.8900689999518</v>
      </c>
      <c r="AA300" s="6">
        <f>('TE BE'!$AB$10+'TE BF'!$AB$10+'TE CVA'!$AB$10)*1</f>
        <v>322.12477389224171</v>
      </c>
      <c r="AB300" s="6">
        <f>$K$300*$V$300</f>
        <v>0</v>
      </c>
      <c r="AC300" s="6">
        <f>$M$300*$W$300</f>
        <v>7418.8410400000002</v>
      </c>
      <c r="AD300" s="6">
        <f>$O$300*$X$300</f>
        <v>812.93357000000003</v>
      </c>
      <c r="AE300" s="6">
        <f>$K$300*$Y$300</f>
        <v>0</v>
      </c>
      <c r="AF300" s="6">
        <f ca="1">$M$300*$Z$300</f>
        <v>7637.7414618307548</v>
      </c>
      <c r="AG300" s="6">
        <f>$O$300*$AA$300</f>
        <v>1642.5142220765406</v>
      </c>
    </row>
    <row r="301" spans="1:33" ht="11.25" customHeight="1" x14ac:dyDescent="0.25">
      <c r="A301" s="4" t="s">
        <v>21</v>
      </c>
      <c r="B301" s="4" t="s">
        <v>41</v>
      </c>
      <c r="C301" s="4" t="s">
        <v>43</v>
      </c>
      <c r="D301" s="4" t="s">
        <v>44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44835</v>
      </c>
      <c r="J301" s="6">
        <v>0</v>
      </c>
      <c r="K301" s="6">
        <v>0</v>
      </c>
      <c r="L301" s="6">
        <v>620.55999999999995</v>
      </c>
      <c r="M301" s="6">
        <v>620.55999999999995</v>
      </c>
      <c r="N301" s="6">
        <v>620.55999999999995</v>
      </c>
      <c r="O301" s="6">
        <v>620.55999999999995</v>
      </c>
      <c r="P301" s="6">
        <v>0</v>
      </c>
      <c r="Q301" s="4" t="s">
        <v>26</v>
      </c>
      <c r="R301" s="4">
        <v>0</v>
      </c>
      <c r="S301" s="6">
        <v>0</v>
      </c>
      <c r="T301" s="6">
        <v>5</v>
      </c>
      <c r="U301" s="6">
        <v>75</v>
      </c>
      <c r="V301" s="6">
        <f>IF(ISERROR(VLOOKUP($S$301,'TAR FIN'!$A$1:$O$108,15,0)),0,VLOOKUP($S$301,'TAR FIN'!$A$1:$O$108,15,0))</f>
        <v>0</v>
      </c>
      <c r="W301" s="6">
        <f>IF(ISERROR(VLOOKUP($T$301,'TAR FIN'!$A$1:$O$108,15,0)),0,VLOOKUP($T$301,'TAR FIN'!$A$1:$O$108,15,0))</f>
        <v>1454.96</v>
      </c>
      <c r="X301" s="6">
        <f>IF(ISERROR(VLOOKUP($U$301,'TAR FIN'!$A$1:$O$108,15,0)),0,VLOOKUP($U$301,'TAR FIN'!$A$1:$O$108,15,0))</f>
        <v>159.43</v>
      </c>
      <c r="Y301" s="6"/>
      <c r="Z301" s="6">
        <f ca="1">('TUSD BE'!$AM$27+'TUSD BF'!$AM$27+'TUSD CVA'!$AM$27)*1</f>
        <v>1497.8900689999518</v>
      </c>
      <c r="AA301" s="6">
        <f>('TE BE'!$AB$10+'TE BF'!$AB$10+'TE CVA'!$AB$10)*1</f>
        <v>322.12477389224171</v>
      </c>
      <c r="AB301" s="6">
        <f>$K$301*$V$301</f>
        <v>0</v>
      </c>
      <c r="AC301" s="6">
        <f>$M$301*$W$301</f>
        <v>902889.97759999998</v>
      </c>
      <c r="AD301" s="6">
        <f>$O$301*$X$301</f>
        <v>98935.880799999999</v>
      </c>
      <c r="AE301" s="6">
        <f>$K$301*$Y$301</f>
        <v>0</v>
      </c>
      <c r="AF301" s="6">
        <f ca="1">$M$301*$Z$301</f>
        <v>929530.66121861001</v>
      </c>
      <c r="AG301" s="6">
        <f>$O$301*$AA$301</f>
        <v>199897.7496865695</v>
      </c>
    </row>
    <row r="302" spans="1:33" ht="11.25" customHeight="1" x14ac:dyDescent="0.25">
      <c r="A302" s="4" t="s">
        <v>27</v>
      </c>
      <c r="B302" s="4" t="s">
        <v>41</v>
      </c>
      <c r="C302" s="4" t="s">
        <v>43</v>
      </c>
      <c r="D302" s="4" t="s">
        <v>44</v>
      </c>
      <c r="E302" s="4" t="s">
        <v>25</v>
      </c>
      <c r="F302" s="4" t="s">
        <v>25</v>
      </c>
      <c r="G302" s="4" t="s">
        <v>25</v>
      </c>
      <c r="H302" s="4" t="s">
        <v>34</v>
      </c>
      <c r="I302" s="5">
        <v>44835</v>
      </c>
      <c r="J302" s="6">
        <v>0</v>
      </c>
      <c r="K302" s="6">
        <v>0</v>
      </c>
      <c r="L302" s="6">
        <v>-12.052</v>
      </c>
      <c r="M302" s="6">
        <v>-12.052</v>
      </c>
      <c r="N302" s="6">
        <v>-12.052</v>
      </c>
      <c r="O302" s="6">
        <v>-12.052</v>
      </c>
      <c r="P302" s="6">
        <v>0</v>
      </c>
      <c r="Q302" s="4" t="s">
        <v>26</v>
      </c>
      <c r="R302" s="4">
        <v>0</v>
      </c>
      <c r="S302" s="6">
        <v>0</v>
      </c>
      <c r="T302" s="6">
        <v>5</v>
      </c>
      <c r="U302" s="6">
        <v>75</v>
      </c>
      <c r="V302" s="6">
        <f>IF(ISERROR(VLOOKUP($S$302,'TAR FIN'!$A$1:$O$108,15,0)),0,VLOOKUP($S$302,'TAR FIN'!$A$1:$O$108,15,0))</f>
        <v>0</v>
      </c>
      <c r="W302" s="6">
        <f>IF(ISERROR(VLOOKUP($T$302,'TAR FIN'!$A$1:$O$108,15,0)),0,VLOOKUP($T$302,'TAR FIN'!$A$1:$O$108,15,0))</f>
        <v>1454.96</v>
      </c>
      <c r="X302" s="6">
        <f>IF(ISERROR(VLOOKUP($U$302,'TAR FIN'!$A$1:$O$108,15,0)),0,VLOOKUP($U$302,'TAR FIN'!$A$1:$O$108,15,0))</f>
        <v>159.43</v>
      </c>
      <c r="Y302" s="6"/>
      <c r="Z302" s="6">
        <f ca="1">('TUSD BE'!$AM$27+'TUSD BF'!$AM$27+'TUSD CVA'!$AM$27)*1</f>
        <v>1497.8900689999518</v>
      </c>
      <c r="AA302" s="6">
        <f>('TE BE'!$AB$10+'TE BF'!$AB$10+'TE CVA'!$AB$10)*1</f>
        <v>322.12477389224171</v>
      </c>
      <c r="AB302" s="6">
        <f>$K$302*$V$302</f>
        <v>0</v>
      </c>
      <c r="AC302" s="6">
        <f>$M$302*$W$302</f>
        <v>-17535.177919999998</v>
      </c>
      <c r="AD302" s="6">
        <f>$O$302*$X$302</f>
        <v>-1921.45036</v>
      </c>
      <c r="AE302" s="6">
        <f>$K$302*$Y$302</f>
        <v>0</v>
      </c>
      <c r="AF302" s="6">
        <f ca="1">$M$302*$Z$302</f>
        <v>-18052.571111587418</v>
      </c>
      <c r="AG302" s="6">
        <f>$O$302*$AA$302</f>
        <v>-3882.2477749492969</v>
      </c>
    </row>
    <row r="303" spans="1:33" ht="11.25" customHeight="1" x14ac:dyDescent="0.25">
      <c r="A303" s="4" t="s">
        <v>28</v>
      </c>
      <c r="B303" s="4" t="s">
        <v>41</v>
      </c>
      <c r="C303" s="4" t="s">
        <v>43</v>
      </c>
      <c r="D303" s="4" t="s">
        <v>44</v>
      </c>
      <c r="E303" s="4" t="s">
        <v>25</v>
      </c>
      <c r="F303" s="4" t="s">
        <v>25</v>
      </c>
      <c r="G303" s="4" t="s">
        <v>25</v>
      </c>
      <c r="H303" s="4" t="s">
        <v>34</v>
      </c>
      <c r="I303" s="5">
        <v>44835</v>
      </c>
      <c r="J303" s="6">
        <v>0</v>
      </c>
      <c r="K303" s="6">
        <v>0</v>
      </c>
      <c r="L303" s="6">
        <v>12.87</v>
      </c>
      <c r="M303" s="6">
        <v>12.87</v>
      </c>
      <c r="N303" s="6">
        <v>12.87</v>
      </c>
      <c r="O303" s="6">
        <v>12.87</v>
      </c>
      <c r="P303" s="6">
        <v>0</v>
      </c>
      <c r="Q303" s="4" t="s">
        <v>26</v>
      </c>
      <c r="R303" s="4">
        <v>0</v>
      </c>
      <c r="S303" s="6">
        <v>0</v>
      </c>
      <c r="T303" s="6">
        <v>5</v>
      </c>
      <c r="U303" s="6">
        <v>75</v>
      </c>
      <c r="V303" s="6">
        <f>IF(ISERROR(VLOOKUP($S$303,'TAR FIN'!$A$1:$O$108,15,0)),0,VLOOKUP($S$303,'TAR FIN'!$A$1:$O$108,15,0))</f>
        <v>0</v>
      </c>
      <c r="W303" s="6">
        <f>IF(ISERROR(VLOOKUP($T$303,'TAR FIN'!$A$1:$O$108,15,0)),0,VLOOKUP($T$303,'TAR FIN'!$A$1:$O$108,15,0))</f>
        <v>1454.96</v>
      </c>
      <c r="X303" s="6">
        <f>IF(ISERROR(VLOOKUP($U$303,'TAR FIN'!$A$1:$O$108,15,0)),0,VLOOKUP($U$303,'TAR FIN'!$A$1:$O$108,15,0))</f>
        <v>159.43</v>
      </c>
      <c r="Y303" s="6"/>
      <c r="Z303" s="6">
        <f ca="1">('TUSD BE'!$AM$27+'TUSD BF'!$AM$27+'TUSD CVA'!$AM$27)*1</f>
        <v>1497.8900689999518</v>
      </c>
      <c r="AA303" s="6">
        <f>('TE BE'!$AB$10+'TE BF'!$AB$10+'TE CVA'!$AB$10)*1</f>
        <v>322.12477389224171</v>
      </c>
      <c r="AB303" s="6">
        <f>$K$303*$V$303</f>
        <v>0</v>
      </c>
      <c r="AC303" s="6">
        <f>$M$303*$W$303</f>
        <v>18725.335199999998</v>
      </c>
      <c r="AD303" s="6">
        <f>$O$303*$X$303</f>
        <v>2051.8640999999998</v>
      </c>
      <c r="AE303" s="6">
        <f>$K$303*$Y$303</f>
        <v>0</v>
      </c>
      <c r="AF303" s="6">
        <f ca="1">$M$303*$Z$303</f>
        <v>19277.84518802938</v>
      </c>
      <c r="AG303" s="6">
        <f>$O$303*$AA$303</f>
        <v>4145.7458399931502</v>
      </c>
    </row>
    <row r="304" spans="1:33" ht="11.25" customHeight="1" x14ac:dyDescent="0.25">
      <c r="A304" s="4" t="s">
        <v>54</v>
      </c>
      <c r="B304" s="4" t="s">
        <v>41</v>
      </c>
      <c r="C304" s="4" t="s">
        <v>43</v>
      </c>
      <c r="D304" s="4" t="s">
        <v>44</v>
      </c>
      <c r="E304" s="4" t="s">
        <v>25</v>
      </c>
      <c r="F304" s="4" t="s">
        <v>25</v>
      </c>
      <c r="G304" s="4" t="s">
        <v>25</v>
      </c>
      <c r="H304" s="4" t="s">
        <v>34</v>
      </c>
      <c r="I304" s="5">
        <v>44866</v>
      </c>
      <c r="J304" s="6">
        <v>0</v>
      </c>
      <c r="K304" s="6">
        <v>0</v>
      </c>
      <c r="L304" s="6">
        <v>620.55999999999995</v>
      </c>
      <c r="M304" s="6">
        <v>620.55999999999995</v>
      </c>
      <c r="N304" s="6">
        <v>620.55999999999995</v>
      </c>
      <c r="O304" s="6">
        <v>620.55999999999995</v>
      </c>
      <c r="P304" s="6">
        <v>0</v>
      </c>
      <c r="Q304" s="4" t="s">
        <v>26</v>
      </c>
      <c r="R304" s="4">
        <v>0</v>
      </c>
      <c r="S304" s="6">
        <v>0</v>
      </c>
      <c r="T304" s="6">
        <v>5</v>
      </c>
      <c r="U304" s="6">
        <v>75</v>
      </c>
      <c r="V304" s="6">
        <f>IF(ISERROR(VLOOKUP($S$304,'TAR FIN'!$A$1:$O$108,15,0)),0,VLOOKUP($S$304,'TAR FIN'!$A$1:$O$108,15,0))</f>
        <v>0</v>
      </c>
      <c r="W304" s="6">
        <f>IF(ISERROR(VLOOKUP($T$304,'TAR FIN'!$A$1:$O$108,15,0)),0,VLOOKUP($T$304,'TAR FIN'!$A$1:$O$108,15,0))</f>
        <v>1454.96</v>
      </c>
      <c r="X304" s="6">
        <f>IF(ISERROR(VLOOKUP($U$304,'TAR FIN'!$A$1:$O$108,15,0)),0,VLOOKUP($U$304,'TAR FIN'!$A$1:$O$108,15,0))</f>
        <v>159.43</v>
      </c>
      <c r="Y304" s="6"/>
      <c r="Z304" s="6">
        <f ca="1">('TUSD BE'!$AM$27+'TUSD BF'!$AM$27+'TUSD CVA'!$AM$27)*1</f>
        <v>1497.8900689999518</v>
      </c>
      <c r="AA304" s="6">
        <f>('TE BE'!$AB$10+'TE BF'!$AB$10+'TE CVA'!$AB$10)*1</f>
        <v>322.12477389224171</v>
      </c>
      <c r="AB304" s="6">
        <f>$K$304*$V$304</f>
        <v>0</v>
      </c>
      <c r="AC304" s="6">
        <f>$M$304*$W$304</f>
        <v>902889.97759999998</v>
      </c>
      <c r="AD304" s="6">
        <f>$O$304*$X$304</f>
        <v>98935.880799999999</v>
      </c>
      <c r="AE304" s="6">
        <f>$K$304*$Y$304</f>
        <v>0</v>
      </c>
      <c r="AF304" s="6">
        <f ca="1">$M$304*$Z$304</f>
        <v>929530.66121861001</v>
      </c>
      <c r="AG304" s="6">
        <f>$O$304*$AA$304</f>
        <v>199897.7496865695</v>
      </c>
    </row>
    <row r="305" spans="1:33" ht="11.25" customHeight="1" x14ac:dyDescent="0.25">
      <c r="A305" s="4" t="s">
        <v>54</v>
      </c>
      <c r="B305" s="4" t="s">
        <v>41</v>
      </c>
      <c r="C305" s="4" t="s">
        <v>43</v>
      </c>
      <c r="D305" s="4" t="s">
        <v>44</v>
      </c>
      <c r="E305" s="4" t="s">
        <v>25</v>
      </c>
      <c r="F305" s="4" t="s">
        <v>25</v>
      </c>
      <c r="G305" s="4" t="s">
        <v>25</v>
      </c>
      <c r="H305" s="4" t="s">
        <v>34</v>
      </c>
      <c r="I305" s="5">
        <v>44866</v>
      </c>
      <c r="J305" s="6">
        <v>0</v>
      </c>
      <c r="K305" s="6">
        <v>0</v>
      </c>
      <c r="L305" s="6">
        <v>-12.052</v>
      </c>
      <c r="M305" s="6">
        <v>-12.052</v>
      </c>
      <c r="N305" s="6">
        <v>-12.052</v>
      </c>
      <c r="O305" s="6">
        <v>-12.052</v>
      </c>
      <c r="P305" s="6">
        <v>0</v>
      </c>
      <c r="Q305" s="4" t="s">
        <v>26</v>
      </c>
      <c r="R305" s="4">
        <v>0</v>
      </c>
      <c r="S305" s="6">
        <v>0</v>
      </c>
      <c r="T305" s="6">
        <v>5</v>
      </c>
      <c r="U305" s="6">
        <v>75</v>
      </c>
      <c r="V305" s="6">
        <f>IF(ISERROR(VLOOKUP($S$305,'TAR FIN'!$A$1:$O$108,15,0)),0,VLOOKUP($S$305,'TAR FIN'!$A$1:$O$108,15,0))</f>
        <v>0</v>
      </c>
      <c r="W305" s="6">
        <f>IF(ISERROR(VLOOKUP($T$305,'TAR FIN'!$A$1:$O$108,15,0)),0,VLOOKUP($T$305,'TAR FIN'!$A$1:$O$108,15,0))</f>
        <v>1454.96</v>
      </c>
      <c r="X305" s="6">
        <f>IF(ISERROR(VLOOKUP($U$305,'TAR FIN'!$A$1:$O$108,15,0)),0,VLOOKUP($U$305,'TAR FIN'!$A$1:$O$108,15,0))</f>
        <v>159.43</v>
      </c>
      <c r="Y305" s="6"/>
      <c r="Z305" s="6">
        <f ca="1">('TUSD BE'!$AM$27+'TUSD BF'!$AM$27+'TUSD CVA'!$AM$27)*1</f>
        <v>1497.8900689999518</v>
      </c>
      <c r="AA305" s="6">
        <f>('TE BE'!$AB$10+'TE BF'!$AB$10+'TE CVA'!$AB$10)*1</f>
        <v>322.12477389224171</v>
      </c>
      <c r="AB305" s="6">
        <f>$K$305*$V$305</f>
        <v>0</v>
      </c>
      <c r="AC305" s="6">
        <f>$M$305*$W$305</f>
        <v>-17535.177919999998</v>
      </c>
      <c r="AD305" s="6">
        <f>$O$305*$X$305</f>
        <v>-1921.45036</v>
      </c>
      <c r="AE305" s="6">
        <f>$K$305*$Y$305</f>
        <v>0</v>
      </c>
      <c r="AF305" s="6">
        <f ca="1">$M$305*$Z$305</f>
        <v>-18052.571111587418</v>
      </c>
      <c r="AG305" s="6">
        <f>$O$305*$AA$305</f>
        <v>-3882.2477749492969</v>
      </c>
    </row>
    <row r="306" spans="1:33" ht="11.25" customHeight="1" x14ac:dyDescent="0.25">
      <c r="A306" s="4" t="s">
        <v>54</v>
      </c>
      <c r="B306" s="4" t="s">
        <v>41</v>
      </c>
      <c r="C306" s="4" t="s">
        <v>43</v>
      </c>
      <c r="D306" s="4" t="s">
        <v>44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44866</v>
      </c>
      <c r="J306" s="6">
        <v>0</v>
      </c>
      <c r="K306" s="6">
        <v>0</v>
      </c>
      <c r="L306" s="6">
        <v>12.87</v>
      </c>
      <c r="M306" s="6">
        <v>12.87</v>
      </c>
      <c r="N306" s="6">
        <v>12.87</v>
      </c>
      <c r="O306" s="6">
        <v>12.87</v>
      </c>
      <c r="P306" s="6">
        <v>0</v>
      </c>
      <c r="Q306" s="4" t="s">
        <v>26</v>
      </c>
      <c r="R306" s="4">
        <v>0</v>
      </c>
      <c r="S306" s="6">
        <v>0</v>
      </c>
      <c r="T306" s="6">
        <v>5</v>
      </c>
      <c r="U306" s="6">
        <v>75</v>
      </c>
      <c r="V306" s="6">
        <f>IF(ISERROR(VLOOKUP($S$306,'TAR FIN'!$A$1:$O$108,15,0)),0,VLOOKUP($S$306,'TAR FIN'!$A$1:$O$108,15,0))</f>
        <v>0</v>
      </c>
      <c r="W306" s="6">
        <f>IF(ISERROR(VLOOKUP($T$306,'TAR FIN'!$A$1:$O$108,15,0)),0,VLOOKUP($T$306,'TAR FIN'!$A$1:$O$108,15,0))</f>
        <v>1454.96</v>
      </c>
      <c r="X306" s="6">
        <f>IF(ISERROR(VLOOKUP($U$306,'TAR FIN'!$A$1:$O$108,15,0)),0,VLOOKUP($U$306,'TAR FIN'!$A$1:$O$108,15,0))</f>
        <v>159.43</v>
      </c>
      <c r="Y306" s="6"/>
      <c r="Z306" s="6">
        <f ca="1">('TUSD BE'!$AM$27+'TUSD BF'!$AM$27+'TUSD CVA'!$AM$27)*1</f>
        <v>1497.8900689999518</v>
      </c>
      <c r="AA306" s="6">
        <f>('TE BE'!$AB$10+'TE BF'!$AB$10+'TE CVA'!$AB$10)*1</f>
        <v>322.12477389224171</v>
      </c>
      <c r="AB306" s="6">
        <f>$K$306*$V$306</f>
        <v>0</v>
      </c>
      <c r="AC306" s="6">
        <f>$M$306*$W$306</f>
        <v>18725.335199999998</v>
      </c>
      <c r="AD306" s="6">
        <f>$O$306*$X$306</f>
        <v>2051.8640999999998</v>
      </c>
      <c r="AE306" s="6">
        <f>$K$306*$Y$306</f>
        <v>0</v>
      </c>
      <c r="AF306" s="6">
        <f ca="1">$M$306*$Z$306</f>
        <v>19277.84518802938</v>
      </c>
      <c r="AG306" s="6">
        <f>$O$306*$AA$306</f>
        <v>4145.7458399931502</v>
      </c>
    </row>
    <row r="307" spans="1:33" ht="11.25" customHeight="1" x14ac:dyDescent="0.25">
      <c r="A307" s="4" t="s">
        <v>21</v>
      </c>
      <c r="B307" s="4" t="s">
        <v>41</v>
      </c>
      <c r="C307" s="4" t="s">
        <v>43</v>
      </c>
      <c r="D307" s="4" t="s">
        <v>53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44531</v>
      </c>
      <c r="J307" s="6">
        <v>0</v>
      </c>
      <c r="K307" s="6">
        <v>0</v>
      </c>
      <c r="L307" s="6">
        <v>10.906000000000001</v>
      </c>
      <c r="M307" s="6">
        <v>10.906000000000001</v>
      </c>
      <c r="N307" s="6">
        <v>10.906000000000001</v>
      </c>
      <c r="O307" s="6">
        <v>10.906000000000001</v>
      </c>
      <c r="P307" s="6">
        <v>0</v>
      </c>
      <c r="Q307" s="4" t="s">
        <v>26</v>
      </c>
      <c r="R307" s="4">
        <v>0</v>
      </c>
      <c r="S307" s="6">
        <v>0</v>
      </c>
      <c r="T307" s="6">
        <v>7</v>
      </c>
      <c r="U307" s="6">
        <v>76</v>
      </c>
      <c r="V307" s="6">
        <f>IF(ISERROR(VLOOKUP($S$307,'TAR FIN'!$A$1:$O$108,15,0)),0,VLOOKUP($S$307,'TAR FIN'!$A$1:$O$108,15,0))</f>
        <v>0</v>
      </c>
      <c r="W307" s="6">
        <f>IF(ISERROR(VLOOKUP($T$307,'TAR FIN'!$A$1:$O$108,15,0)),0,VLOOKUP($T$307,'TAR FIN'!$A$1:$O$108,15,0))</f>
        <v>102.62</v>
      </c>
      <c r="X307" s="6">
        <f>IF(ISERROR(VLOOKUP($U$307,'TAR FIN'!$A$1:$O$108,15,0)),0,VLOOKUP($U$307,'TAR FIN'!$A$1:$O$108,15,0))</f>
        <v>103.1</v>
      </c>
      <c r="Y307" s="6"/>
      <c r="Z307" s="6">
        <f ca="1">('TUSD BE'!$AM$28+'TUSD BF'!$AM$28+'TUSD CVA'!$AM$28)*1</f>
        <v>181.47641369790719</v>
      </c>
      <c r="AA307" s="6">
        <f>('TE BE'!$AB$11+'TE BF'!$AB$11+'TE CVA'!$AB$11)*1</f>
        <v>215.60278025898469</v>
      </c>
      <c r="AB307" s="6">
        <f>$K$307*$V$307</f>
        <v>0</v>
      </c>
      <c r="AC307" s="6">
        <f>$M$307*$W$307</f>
        <v>1119.17372</v>
      </c>
      <c r="AD307" s="6">
        <f>$O$307*$X$307</f>
        <v>1124.4086</v>
      </c>
      <c r="AE307" s="6">
        <f>$K$307*$Y$307</f>
        <v>0</v>
      </c>
      <c r="AF307" s="6">
        <f ca="1">$M$307*$Z$307</f>
        <v>1979.181767789376</v>
      </c>
      <c r="AG307" s="6">
        <f>$O$307*$AA$307</f>
        <v>2351.3639215044873</v>
      </c>
    </row>
    <row r="308" spans="1:33" ht="11.25" customHeight="1" x14ac:dyDescent="0.25">
      <c r="A308" s="4" t="s">
        <v>21</v>
      </c>
      <c r="B308" s="4" t="s">
        <v>41</v>
      </c>
      <c r="C308" s="4" t="s">
        <v>43</v>
      </c>
      <c r="D308" s="4" t="s">
        <v>53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44562</v>
      </c>
      <c r="J308" s="6">
        <v>0</v>
      </c>
      <c r="K308" s="6">
        <v>0</v>
      </c>
      <c r="L308" s="6">
        <v>9.2889999999999997</v>
      </c>
      <c r="M308" s="6">
        <v>9.2889999999999997</v>
      </c>
      <c r="N308" s="6">
        <v>9.2889999999999997</v>
      </c>
      <c r="O308" s="6">
        <v>9.2889999999999997</v>
      </c>
      <c r="P308" s="6">
        <v>0</v>
      </c>
      <c r="Q308" s="4" t="s">
        <v>26</v>
      </c>
      <c r="R308" s="4">
        <v>0</v>
      </c>
      <c r="S308" s="6">
        <v>0</v>
      </c>
      <c r="T308" s="6">
        <v>7</v>
      </c>
      <c r="U308" s="6">
        <v>76</v>
      </c>
      <c r="V308" s="6">
        <f>IF(ISERROR(VLOOKUP($S$308,'TAR FIN'!$A$1:$O$108,15,0)),0,VLOOKUP($S$308,'TAR FIN'!$A$1:$O$108,15,0))</f>
        <v>0</v>
      </c>
      <c r="W308" s="6">
        <f>IF(ISERROR(VLOOKUP($T$308,'TAR FIN'!$A$1:$O$108,15,0)),0,VLOOKUP($T$308,'TAR FIN'!$A$1:$O$108,15,0))</f>
        <v>102.62</v>
      </c>
      <c r="X308" s="6">
        <f>IF(ISERROR(VLOOKUP($U$308,'TAR FIN'!$A$1:$O$108,15,0)),0,VLOOKUP($U$308,'TAR FIN'!$A$1:$O$108,15,0))</f>
        <v>103.1</v>
      </c>
      <c r="Y308" s="6"/>
      <c r="Z308" s="6">
        <f ca="1">('TUSD BE'!$AM$28+'TUSD BF'!$AM$28+'TUSD CVA'!$AM$28)*1</f>
        <v>181.47641369790719</v>
      </c>
      <c r="AA308" s="6">
        <f>('TE BE'!$AB$11+'TE BF'!$AB$11+'TE CVA'!$AB$11)*1</f>
        <v>215.60278025898469</v>
      </c>
      <c r="AB308" s="6">
        <f>$K$308*$V$308</f>
        <v>0</v>
      </c>
      <c r="AC308" s="6">
        <f>$M$308*$W$308</f>
        <v>953.23717999999997</v>
      </c>
      <c r="AD308" s="6">
        <f>$O$308*$X$308</f>
        <v>957.69589999999994</v>
      </c>
      <c r="AE308" s="6">
        <f>$K$308*$Y$308</f>
        <v>0</v>
      </c>
      <c r="AF308" s="6">
        <f ca="1">$M$308*$Z$308</f>
        <v>1685.7344068398597</v>
      </c>
      <c r="AG308" s="6">
        <f>$O$308*$AA$308</f>
        <v>2002.7342258257088</v>
      </c>
    </row>
    <row r="309" spans="1:33" ht="11.25" customHeight="1" x14ac:dyDescent="0.25">
      <c r="A309" s="4" t="s">
        <v>21</v>
      </c>
      <c r="B309" s="4" t="s">
        <v>41</v>
      </c>
      <c r="C309" s="4" t="s">
        <v>43</v>
      </c>
      <c r="D309" s="4" t="s">
        <v>53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44593</v>
      </c>
      <c r="J309" s="6">
        <v>0</v>
      </c>
      <c r="K309" s="6">
        <v>0</v>
      </c>
      <c r="L309" s="6">
        <v>11.365</v>
      </c>
      <c r="M309" s="6">
        <v>11.365</v>
      </c>
      <c r="N309" s="6">
        <v>11.365</v>
      </c>
      <c r="O309" s="6">
        <v>11.365</v>
      </c>
      <c r="P309" s="6">
        <v>0</v>
      </c>
      <c r="Q309" s="4" t="s">
        <v>26</v>
      </c>
      <c r="R309" s="4">
        <v>0</v>
      </c>
      <c r="S309" s="6">
        <v>0</v>
      </c>
      <c r="T309" s="6">
        <v>7</v>
      </c>
      <c r="U309" s="6">
        <v>76</v>
      </c>
      <c r="V309" s="6">
        <f>IF(ISERROR(VLOOKUP($S$309,'TAR FIN'!$A$1:$O$108,15,0)),0,VLOOKUP($S$309,'TAR FIN'!$A$1:$O$108,15,0))</f>
        <v>0</v>
      </c>
      <c r="W309" s="6">
        <f>IF(ISERROR(VLOOKUP($T$309,'TAR FIN'!$A$1:$O$108,15,0)),0,VLOOKUP($T$309,'TAR FIN'!$A$1:$O$108,15,0))</f>
        <v>102.62</v>
      </c>
      <c r="X309" s="6">
        <f>IF(ISERROR(VLOOKUP($U$309,'TAR FIN'!$A$1:$O$108,15,0)),0,VLOOKUP($U$309,'TAR FIN'!$A$1:$O$108,15,0))</f>
        <v>103.1</v>
      </c>
      <c r="Y309" s="6"/>
      <c r="Z309" s="6">
        <f ca="1">('TUSD BE'!$AM$28+'TUSD BF'!$AM$28+'TUSD CVA'!$AM$28)*1</f>
        <v>181.47641369790719</v>
      </c>
      <c r="AA309" s="6">
        <f>('TE BE'!$AB$11+'TE BF'!$AB$11+'TE CVA'!$AB$11)*1</f>
        <v>215.60278025898469</v>
      </c>
      <c r="AB309" s="6">
        <f>$K$309*$V$309</f>
        <v>0</v>
      </c>
      <c r="AC309" s="6">
        <f>$M$309*$W$309</f>
        <v>1166.2763</v>
      </c>
      <c r="AD309" s="6">
        <f>$O$309*$X$309</f>
        <v>1171.7314999999999</v>
      </c>
      <c r="AE309" s="6">
        <f>$K$309*$Y$309</f>
        <v>0</v>
      </c>
      <c r="AF309" s="6">
        <f ca="1">$M$309*$Z$309</f>
        <v>2062.4794416767154</v>
      </c>
      <c r="AG309" s="6">
        <f>$O$309*$AA$309</f>
        <v>2450.3255976433611</v>
      </c>
    </row>
    <row r="310" spans="1:33" ht="11.25" customHeight="1" x14ac:dyDescent="0.25">
      <c r="A310" s="4" t="s">
        <v>21</v>
      </c>
      <c r="B310" s="4" t="s">
        <v>41</v>
      </c>
      <c r="C310" s="4" t="s">
        <v>43</v>
      </c>
      <c r="D310" s="4" t="s">
        <v>53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44621</v>
      </c>
      <c r="J310" s="6">
        <v>0</v>
      </c>
      <c r="K310" s="6">
        <v>0</v>
      </c>
      <c r="L310" s="6">
        <v>12.824999999999999</v>
      </c>
      <c r="M310" s="6">
        <v>12.824999999999999</v>
      </c>
      <c r="N310" s="6">
        <v>12.824999999999999</v>
      </c>
      <c r="O310" s="6">
        <v>12.824999999999999</v>
      </c>
      <c r="P310" s="6">
        <v>0</v>
      </c>
      <c r="Q310" s="4" t="s">
        <v>26</v>
      </c>
      <c r="R310" s="4">
        <v>0</v>
      </c>
      <c r="S310" s="6">
        <v>0</v>
      </c>
      <c r="T310" s="6">
        <v>7</v>
      </c>
      <c r="U310" s="6">
        <v>76</v>
      </c>
      <c r="V310" s="6">
        <f>IF(ISERROR(VLOOKUP($S$310,'TAR FIN'!$A$1:$O$108,15,0)),0,VLOOKUP($S$310,'TAR FIN'!$A$1:$O$108,15,0))</f>
        <v>0</v>
      </c>
      <c r="W310" s="6">
        <f>IF(ISERROR(VLOOKUP($T$310,'TAR FIN'!$A$1:$O$108,15,0)),0,VLOOKUP($T$310,'TAR FIN'!$A$1:$O$108,15,0))</f>
        <v>102.62</v>
      </c>
      <c r="X310" s="6">
        <f>IF(ISERROR(VLOOKUP($U$310,'TAR FIN'!$A$1:$O$108,15,0)),0,VLOOKUP($U$310,'TAR FIN'!$A$1:$O$108,15,0))</f>
        <v>103.1</v>
      </c>
      <c r="Y310" s="6"/>
      <c r="Z310" s="6">
        <f ca="1">('TUSD BE'!$AM$28+'TUSD BF'!$AM$28+'TUSD CVA'!$AM$28)*1</f>
        <v>181.47641369790719</v>
      </c>
      <c r="AA310" s="6">
        <f>('TE BE'!$AB$11+'TE BF'!$AB$11+'TE CVA'!$AB$11)*1</f>
        <v>215.60278025898469</v>
      </c>
      <c r="AB310" s="6">
        <f>$K$310*$V$310</f>
        <v>0</v>
      </c>
      <c r="AC310" s="6">
        <f>$M$310*$W$310</f>
        <v>1316.1015</v>
      </c>
      <c r="AD310" s="6">
        <f>$O$310*$X$310</f>
        <v>1322.2574999999999</v>
      </c>
      <c r="AE310" s="6">
        <f>$K$310*$Y$310</f>
        <v>0</v>
      </c>
      <c r="AF310" s="6">
        <f ca="1">$M$310*$Z$310</f>
        <v>2327.4350056756598</v>
      </c>
      <c r="AG310" s="6">
        <f>$O$310*$AA$310</f>
        <v>2765.1056568214785</v>
      </c>
    </row>
    <row r="311" spans="1:33" ht="11.25" customHeight="1" x14ac:dyDescent="0.25">
      <c r="A311" s="4" t="s">
        <v>21</v>
      </c>
      <c r="B311" s="4" t="s">
        <v>41</v>
      </c>
      <c r="C311" s="4" t="s">
        <v>43</v>
      </c>
      <c r="D311" s="4" t="s">
        <v>53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44652</v>
      </c>
      <c r="J311" s="6">
        <v>0</v>
      </c>
      <c r="K311" s="6">
        <v>0</v>
      </c>
      <c r="L311" s="6">
        <v>11.499000000000001</v>
      </c>
      <c r="M311" s="6">
        <v>11.499000000000001</v>
      </c>
      <c r="N311" s="6">
        <v>11.499000000000001</v>
      </c>
      <c r="O311" s="6">
        <v>11.499000000000001</v>
      </c>
      <c r="P311" s="6">
        <v>0</v>
      </c>
      <c r="Q311" s="4" t="s">
        <v>26</v>
      </c>
      <c r="R311" s="4">
        <v>0</v>
      </c>
      <c r="S311" s="6">
        <v>0</v>
      </c>
      <c r="T311" s="6">
        <v>7</v>
      </c>
      <c r="U311" s="6">
        <v>76</v>
      </c>
      <c r="V311" s="6">
        <f>IF(ISERROR(VLOOKUP($S$311,'TAR FIN'!$A$1:$O$108,15,0)),0,VLOOKUP($S$311,'TAR FIN'!$A$1:$O$108,15,0))</f>
        <v>0</v>
      </c>
      <c r="W311" s="6">
        <f>IF(ISERROR(VLOOKUP($T$311,'TAR FIN'!$A$1:$O$108,15,0)),0,VLOOKUP($T$311,'TAR FIN'!$A$1:$O$108,15,0))</f>
        <v>102.62</v>
      </c>
      <c r="X311" s="6">
        <f>IF(ISERROR(VLOOKUP($U$311,'TAR FIN'!$A$1:$O$108,15,0)),0,VLOOKUP($U$311,'TAR FIN'!$A$1:$O$108,15,0))</f>
        <v>103.1</v>
      </c>
      <c r="Y311" s="6"/>
      <c r="Z311" s="6">
        <f ca="1">('TUSD BE'!$AM$28+'TUSD BF'!$AM$28+'TUSD CVA'!$AM$28)*1</f>
        <v>181.47641369790719</v>
      </c>
      <c r="AA311" s="6">
        <f>('TE BE'!$AB$11+'TE BF'!$AB$11+'TE CVA'!$AB$11)*1</f>
        <v>215.60278025898469</v>
      </c>
      <c r="AB311" s="6">
        <f>$K$311*$V$311</f>
        <v>0</v>
      </c>
      <c r="AC311" s="6">
        <f>$M$311*$W$311</f>
        <v>1180.0273800000002</v>
      </c>
      <c r="AD311" s="6">
        <f>$O$311*$X$311</f>
        <v>1185.5469000000001</v>
      </c>
      <c r="AE311" s="6">
        <f>$K$311*$Y$311</f>
        <v>0</v>
      </c>
      <c r="AF311" s="6">
        <f ca="1">$M$311*$Z$311</f>
        <v>2086.7972811122349</v>
      </c>
      <c r="AG311" s="6">
        <f>$O$311*$AA$311</f>
        <v>2479.2163701980653</v>
      </c>
    </row>
    <row r="312" spans="1:33" ht="11.25" customHeight="1" x14ac:dyDescent="0.25">
      <c r="A312" s="4" t="s">
        <v>21</v>
      </c>
      <c r="B312" s="4" t="s">
        <v>41</v>
      </c>
      <c r="C312" s="4" t="s">
        <v>43</v>
      </c>
      <c r="D312" s="4" t="s">
        <v>53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44682</v>
      </c>
      <c r="J312" s="6">
        <v>0</v>
      </c>
      <c r="K312" s="6">
        <v>0</v>
      </c>
      <c r="L312" s="6">
        <v>14.749000000000001</v>
      </c>
      <c r="M312" s="6">
        <v>14.749000000000001</v>
      </c>
      <c r="N312" s="6">
        <v>14.749000000000001</v>
      </c>
      <c r="O312" s="6">
        <v>14.749000000000001</v>
      </c>
      <c r="P312" s="6">
        <v>0</v>
      </c>
      <c r="Q312" s="4" t="s">
        <v>26</v>
      </c>
      <c r="R312" s="4">
        <v>0</v>
      </c>
      <c r="S312" s="6">
        <v>0</v>
      </c>
      <c r="T312" s="6">
        <v>7</v>
      </c>
      <c r="U312" s="6">
        <v>76</v>
      </c>
      <c r="V312" s="6">
        <f>IF(ISERROR(VLOOKUP($S$312,'TAR FIN'!$A$1:$O$108,15,0)),0,VLOOKUP($S$312,'TAR FIN'!$A$1:$O$108,15,0))</f>
        <v>0</v>
      </c>
      <c r="W312" s="6">
        <f>IF(ISERROR(VLOOKUP($T$312,'TAR FIN'!$A$1:$O$108,15,0)),0,VLOOKUP($T$312,'TAR FIN'!$A$1:$O$108,15,0))</f>
        <v>102.62</v>
      </c>
      <c r="X312" s="6">
        <f>IF(ISERROR(VLOOKUP($U$312,'TAR FIN'!$A$1:$O$108,15,0)),0,VLOOKUP($U$312,'TAR FIN'!$A$1:$O$108,15,0))</f>
        <v>103.1</v>
      </c>
      <c r="Y312" s="6"/>
      <c r="Z312" s="6">
        <f ca="1">('TUSD BE'!$AM$28+'TUSD BF'!$AM$28+'TUSD CVA'!$AM$28)*1</f>
        <v>181.47641369790719</v>
      </c>
      <c r="AA312" s="6">
        <f>('TE BE'!$AB$11+'TE BF'!$AB$11+'TE CVA'!$AB$11)*1</f>
        <v>215.60278025898469</v>
      </c>
      <c r="AB312" s="6">
        <f>$K$312*$V$312</f>
        <v>0</v>
      </c>
      <c r="AC312" s="6">
        <f>$M$312*$W$312</f>
        <v>1513.5423800000001</v>
      </c>
      <c r="AD312" s="6">
        <f>$O$312*$X$312</f>
        <v>1520.6218999999999</v>
      </c>
      <c r="AE312" s="6">
        <f>$K$312*$Y$312</f>
        <v>0</v>
      </c>
      <c r="AF312" s="6">
        <f ca="1">$M$312*$Z$312</f>
        <v>2676.5956256304335</v>
      </c>
      <c r="AG312" s="6">
        <f>$O$312*$AA$312</f>
        <v>3179.9254060397652</v>
      </c>
    </row>
    <row r="313" spans="1:33" ht="11.25" customHeight="1" x14ac:dyDescent="0.25">
      <c r="A313" s="4" t="s">
        <v>21</v>
      </c>
      <c r="B313" s="4" t="s">
        <v>41</v>
      </c>
      <c r="C313" s="4" t="s">
        <v>43</v>
      </c>
      <c r="D313" s="4" t="s">
        <v>53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44713</v>
      </c>
      <c r="J313" s="6">
        <v>0</v>
      </c>
      <c r="K313" s="6">
        <v>0</v>
      </c>
      <c r="L313" s="6">
        <v>15.952999999999999</v>
      </c>
      <c r="M313" s="6">
        <v>15.952999999999999</v>
      </c>
      <c r="N313" s="6">
        <v>15.952999999999999</v>
      </c>
      <c r="O313" s="6">
        <v>15.952999999999999</v>
      </c>
      <c r="P313" s="6">
        <v>0</v>
      </c>
      <c r="Q313" s="4" t="s">
        <v>26</v>
      </c>
      <c r="R313" s="4">
        <v>0</v>
      </c>
      <c r="S313" s="6">
        <v>0</v>
      </c>
      <c r="T313" s="6">
        <v>7</v>
      </c>
      <c r="U313" s="6">
        <v>76</v>
      </c>
      <c r="V313" s="6">
        <f>IF(ISERROR(VLOOKUP($S$313,'TAR FIN'!$A$1:$O$108,15,0)),0,VLOOKUP($S$313,'TAR FIN'!$A$1:$O$108,15,0))</f>
        <v>0</v>
      </c>
      <c r="W313" s="6">
        <f>IF(ISERROR(VLOOKUP($T$313,'TAR FIN'!$A$1:$O$108,15,0)),0,VLOOKUP($T$313,'TAR FIN'!$A$1:$O$108,15,0))</f>
        <v>102.62</v>
      </c>
      <c r="X313" s="6">
        <f>IF(ISERROR(VLOOKUP($U$313,'TAR FIN'!$A$1:$O$108,15,0)),0,VLOOKUP($U$313,'TAR FIN'!$A$1:$O$108,15,0))</f>
        <v>103.1</v>
      </c>
      <c r="Y313" s="6"/>
      <c r="Z313" s="6">
        <f ca="1">('TUSD BE'!$AM$28+'TUSD BF'!$AM$28+'TUSD CVA'!$AM$28)*1</f>
        <v>181.47641369790719</v>
      </c>
      <c r="AA313" s="6">
        <f>('TE BE'!$AB$11+'TE BF'!$AB$11+'TE CVA'!$AB$11)*1</f>
        <v>215.60278025898469</v>
      </c>
      <c r="AB313" s="6">
        <f>$K$313*$V$313</f>
        <v>0</v>
      </c>
      <c r="AC313" s="6">
        <f>$M$313*$W$313</f>
        <v>1637.0968600000001</v>
      </c>
      <c r="AD313" s="6">
        <f>$O$313*$X$313</f>
        <v>1644.7542999999998</v>
      </c>
      <c r="AE313" s="6">
        <f>$K$313*$Y$313</f>
        <v>0</v>
      </c>
      <c r="AF313" s="6">
        <f ca="1">$M$313*$Z$313</f>
        <v>2895.0932277227134</v>
      </c>
      <c r="AG313" s="6">
        <f>$O$313*$AA$313</f>
        <v>3439.5111534715825</v>
      </c>
    </row>
    <row r="314" spans="1:33" ht="11.25" customHeight="1" x14ac:dyDescent="0.25">
      <c r="A314" s="4" t="s">
        <v>21</v>
      </c>
      <c r="B314" s="4" t="s">
        <v>41</v>
      </c>
      <c r="C314" s="4" t="s">
        <v>43</v>
      </c>
      <c r="D314" s="4" t="s">
        <v>53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44743</v>
      </c>
      <c r="J314" s="6">
        <v>0</v>
      </c>
      <c r="K314" s="6">
        <v>0</v>
      </c>
      <c r="L314" s="6">
        <v>7.33</v>
      </c>
      <c r="M314" s="6">
        <v>7.33</v>
      </c>
      <c r="N314" s="6">
        <v>7.33</v>
      </c>
      <c r="O314" s="6">
        <v>7.33</v>
      </c>
      <c r="P314" s="6">
        <v>0</v>
      </c>
      <c r="Q314" s="4" t="s">
        <v>26</v>
      </c>
      <c r="R314" s="4">
        <v>0</v>
      </c>
      <c r="S314" s="6">
        <v>0</v>
      </c>
      <c r="T314" s="6">
        <v>7</v>
      </c>
      <c r="U314" s="6">
        <v>76</v>
      </c>
      <c r="V314" s="6">
        <f>IF(ISERROR(VLOOKUP($S$314,'TAR FIN'!$A$1:$O$108,15,0)),0,VLOOKUP($S$314,'TAR FIN'!$A$1:$O$108,15,0))</f>
        <v>0</v>
      </c>
      <c r="W314" s="6">
        <f>IF(ISERROR(VLOOKUP($T$314,'TAR FIN'!$A$1:$O$108,15,0)),0,VLOOKUP($T$314,'TAR FIN'!$A$1:$O$108,15,0))</f>
        <v>102.62</v>
      </c>
      <c r="X314" s="6">
        <f>IF(ISERROR(VLOOKUP($U$314,'TAR FIN'!$A$1:$O$108,15,0)),0,VLOOKUP($U$314,'TAR FIN'!$A$1:$O$108,15,0))</f>
        <v>103.1</v>
      </c>
      <c r="Y314" s="6"/>
      <c r="Z314" s="6">
        <f ca="1">('TUSD BE'!$AM$28+'TUSD BF'!$AM$28+'TUSD CVA'!$AM$28)*1</f>
        <v>181.47641369790719</v>
      </c>
      <c r="AA314" s="6">
        <f>('TE BE'!$AB$11+'TE BF'!$AB$11+'TE CVA'!$AB$11)*1</f>
        <v>215.60278025898469</v>
      </c>
      <c r="AB314" s="6">
        <f>$K$314*$V$314</f>
        <v>0</v>
      </c>
      <c r="AC314" s="6">
        <f>$M$314*$W$314</f>
        <v>752.20460000000003</v>
      </c>
      <c r="AD314" s="6">
        <f>$O$314*$X$314</f>
        <v>755.72299999999996</v>
      </c>
      <c r="AE314" s="6">
        <f>$K$314*$Y$314</f>
        <v>0</v>
      </c>
      <c r="AF314" s="6">
        <f ca="1">$M$314*$Z$314</f>
        <v>1330.2221124056598</v>
      </c>
      <c r="AG314" s="6">
        <f>$O$314*$AA$314</f>
        <v>1580.3683792983579</v>
      </c>
    </row>
    <row r="315" spans="1:33" ht="11.25" customHeight="1" x14ac:dyDescent="0.25">
      <c r="A315" s="4" t="s">
        <v>21</v>
      </c>
      <c r="B315" s="4" t="s">
        <v>41</v>
      </c>
      <c r="C315" s="4" t="s">
        <v>43</v>
      </c>
      <c r="D315" s="4" t="s">
        <v>53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44774</v>
      </c>
      <c r="J315" s="6">
        <v>0</v>
      </c>
      <c r="K315" s="6">
        <v>0</v>
      </c>
      <c r="L315" s="6">
        <v>8.3680000000000003</v>
      </c>
      <c r="M315" s="6">
        <v>8.3680000000000003</v>
      </c>
      <c r="N315" s="6">
        <v>8.3680000000000003</v>
      </c>
      <c r="O315" s="6">
        <v>8.3680000000000003</v>
      </c>
      <c r="P315" s="6">
        <v>0</v>
      </c>
      <c r="Q315" s="4" t="s">
        <v>26</v>
      </c>
      <c r="R315" s="4">
        <v>0</v>
      </c>
      <c r="S315" s="6">
        <v>0</v>
      </c>
      <c r="T315" s="6">
        <v>7</v>
      </c>
      <c r="U315" s="6">
        <v>76</v>
      </c>
      <c r="V315" s="6">
        <f>IF(ISERROR(VLOOKUP($S$315,'TAR FIN'!$A$1:$O$108,15,0)),0,VLOOKUP($S$315,'TAR FIN'!$A$1:$O$108,15,0))</f>
        <v>0</v>
      </c>
      <c r="W315" s="6">
        <f>IF(ISERROR(VLOOKUP($T$315,'TAR FIN'!$A$1:$O$108,15,0)),0,VLOOKUP($T$315,'TAR FIN'!$A$1:$O$108,15,0))</f>
        <v>102.62</v>
      </c>
      <c r="X315" s="6">
        <f>IF(ISERROR(VLOOKUP($U$315,'TAR FIN'!$A$1:$O$108,15,0)),0,VLOOKUP($U$315,'TAR FIN'!$A$1:$O$108,15,0))</f>
        <v>103.1</v>
      </c>
      <c r="Y315" s="6"/>
      <c r="Z315" s="6">
        <f ca="1">('TUSD BE'!$AM$28+'TUSD BF'!$AM$28+'TUSD CVA'!$AM$28)*1</f>
        <v>181.47641369790719</v>
      </c>
      <c r="AA315" s="6">
        <f>('TE BE'!$AB$11+'TE BF'!$AB$11+'TE CVA'!$AB$11)*1</f>
        <v>215.60278025898469</v>
      </c>
      <c r="AB315" s="6">
        <f>$K$315*$V$315</f>
        <v>0</v>
      </c>
      <c r="AC315" s="6">
        <f>$M$315*$W$315</f>
        <v>858.7241600000001</v>
      </c>
      <c r="AD315" s="6">
        <f>$O$315*$X$315</f>
        <v>862.74080000000004</v>
      </c>
      <c r="AE315" s="6">
        <f>$K$315*$Y$315</f>
        <v>0</v>
      </c>
      <c r="AF315" s="6">
        <f ca="1">$M$315*$Z$315</f>
        <v>1518.5946298240874</v>
      </c>
      <c r="AG315" s="6">
        <f>$O$315*$AA$315</f>
        <v>1804.164065207184</v>
      </c>
    </row>
    <row r="316" spans="1:33" ht="11.25" customHeight="1" x14ac:dyDescent="0.25">
      <c r="A316" s="4" t="s">
        <v>21</v>
      </c>
      <c r="B316" s="4" t="s">
        <v>41</v>
      </c>
      <c r="C316" s="4" t="s">
        <v>43</v>
      </c>
      <c r="D316" s="4" t="s">
        <v>53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44805</v>
      </c>
      <c r="J316" s="6">
        <v>0</v>
      </c>
      <c r="K316" s="6">
        <v>0</v>
      </c>
      <c r="L316" s="6">
        <v>7.6829999999999998</v>
      </c>
      <c r="M316" s="6">
        <v>7.6829999999999998</v>
      </c>
      <c r="N316" s="6">
        <v>7.6829999999999998</v>
      </c>
      <c r="O316" s="6">
        <v>7.6829999999999998</v>
      </c>
      <c r="P316" s="6">
        <v>0</v>
      </c>
      <c r="Q316" s="4" t="s">
        <v>26</v>
      </c>
      <c r="R316" s="4">
        <v>0</v>
      </c>
      <c r="S316" s="6">
        <v>0</v>
      </c>
      <c r="T316" s="6">
        <v>7</v>
      </c>
      <c r="U316" s="6">
        <v>76</v>
      </c>
      <c r="V316" s="6">
        <f>IF(ISERROR(VLOOKUP($S$316,'TAR FIN'!$A$1:$O$108,15,0)),0,VLOOKUP($S$316,'TAR FIN'!$A$1:$O$108,15,0))</f>
        <v>0</v>
      </c>
      <c r="W316" s="6">
        <f>IF(ISERROR(VLOOKUP($T$316,'TAR FIN'!$A$1:$O$108,15,0)),0,VLOOKUP($T$316,'TAR FIN'!$A$1:$O$108,15,0))</f>
        <v>102.62</v>
      </c>
      <c r="X316" s="6">
        <f>IF(ISERROR(VLOOKUP($U$316,'TAR FIN'!$A$1:$O$108,15,0)),0,VLOOKUP($U$316,'TAR FIN'!$A$1:$O$108,15,0))</f>
        <v>103.1</v>
      </c>
      <c r="Y316" s="6"/>
      <c r="Z316" s="6">
        <f ca="1">('TUSD BE'!$AM$28+'TUSD BF'!$AM$28+'TUSD CVA'!$AM$28)*1</f>
        <v>181.47641369790719</v>
      </c>
      <c r="AA316" s="6">
        <f>('TE BE'!$AB$11+'TE BF'!$AB$11+'TE CVA'!$AB$11)*1</f>
        <v>215.60278025898469</v>
      </c>
      <c r="AB316" s="6">
        <f>$K$316*$V$316</f>
        <v>0</v>
      </c>
      <c r="AC316" s="6">
        <f>$M$316*$W$316</f>
        <v>788.42946000000006</v>
      </c>
      <c r="AD316" s="6">
        <f>$O$316*$X$316</f>
        <v>792.11729999999989</v>
      </c>
      <c r="AE316" s="6">
        <f>$K$316*$Y$316</f>
        <v>0</v>
      </c>
      <c r="AF316" s="6">
        <f ca="1">$M$316*$Z$316</f>
        <v>1394.2832864410209</v>
      </c>
      <c r="AG316" s="6">
        <f>$O$316*$AA$316</f>
        <v>1656.4761607297794</v>
      </c>
    </row>
    <row r="317" spans="1:33" ht="11.25" customHeight="1" x14ac:dyDescent="0.25">
      <c r="A317" s="4" t="s">
        <v>21</v>
      </c>
      <c r="B317" s="4" t="s">
        <v>41</v>
      </c>
      <c r="C317" s="4" t="s">
        <v>43</v>
      </c>
      <c r="D317" s="4" t="s">
        <v>53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44835</v>
      </c>
      <c r="J317" s="6">
        <v>0</v>
      </c>
      <c r="K317" s="6">
        <v>0</v>
      </c>
      <c r="L317" s="6">
        <v>13.304</v>
      </c>
      <c r="M317" s="6">
        <v>13.304</v>
      </c>
      <c r="N317" s="6">
        <v>13.304</v>
      </c>
      <c r="O317" s="6">
        <v>13.304</v>
      </c>
      <c r="P317" s="6">
        <v>0</v>
      </c>
      <c r="Q317" s="4" t="s">
        <v>26</v>
      </c>
      <c r="R317" s="4">
        <v>0</v>
      </c>
      <c r="S317" s="6">
        <v>0</v>
      </c>
      <c r="T317" s="6">
        <v>7</v>
      </c>
      <c r="U317" s="6">
        <v>76</v>
      </c>
      <c r="V317" s="6">
        <f>IF(ISERROR(VLOOKUP($S$317,'TAR FIN'!$A$1:$O$108,15,0)),0,VLOOKUP($S$317,'TAR FIN'!$A$1:$O$108,15,0))</f>
        <v>0</v>
      </c>
      <c r="W317" s="6">
        <f>IF(ISERROR(VLOOKUP($T$317,'TAR FIN'!$A$1:$O$108,15,0)),0,VLOOKUP($T$317,'TAR FIN'!$A$1:$O$108,15,0))</f>
        <v>102.62</v>
      </c>
      <c r="X317" s="6">
        <f>IF(ISERROR(VLOOKUP($U$317,'TAR FIN'!$A$1:$O$108,15,0)),0,VLOOKUP($U$317,'TAR FIN'!$A$1:$O$108,15,0))</f>
        <v>103.1</v>
      </c>
      <c r="Y317" s="6"/>
      <c r="Z317" s="6">
        <f ca="1">('TUSD BE'!$AM$28+'TUSD BF'!$AM$28+'TUSD CVA'!$AM$28)*1</f>
        <v>181.47641369790719</v>
      </c>
      <c r="AA317" s="6">
        <f>('TE BE'!$AB$11+'TE BF'!$AB$11+'TE CVA'!$AB$11)*1</f>
        <v>215.60278025898469</v>
      </c>
      <c r="AB317" s="6">
        <f>$K$317*$V$317</f>
        <v>0</v>
      </c>
      <c r="AC317" s="6">
        <f>$M$317*$W$317</f>
        <v>1365.25648</v>
      </c>
      <c r="AD317" s="6">
        <f>$O$317*$X$317</f>
        <v>1371.6424</v>
      </c>
      <c r="AE317" s="6">
        <f>$K$317*$Y$317</f>
        <v>0</v>
      </c>
      <c r="AF317" s="6">
        <f ca="1">$M$317*$Z$317</f>
        <v>2414.3622078369572</v>
      </c>
      <c r="AG317" s="6">
        <f>$O$317*$AA$317</f>
        <v>2868.3793885655323</v>
      </c>
    </row>
    <row r="318" spans="1:33" ht="11.25" customHeight="1" x14ac:dyDescent="0.25">
      <c r="A318" s="4" t="s">
        <v>54</v>
      </c>
      <c r="B318" s="4" t="s">
        <v>41</v>
      </c>
      <c r="C318" s="4" t="s">
        <v>43</v>
      </c>
      <c r="D318" s="4" t="s">
        <v>53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44866</v>
      </c>
      <c r="J318" s="6">
        <v>0</v>
      </c>
      <c r="K318" s="6">
        <v>0</v>
      </c>
      <c r="L318" s="6">
        <v>13.304</v>
      </c>
      <c r="M318" s="6">
        <v>13.304</v>
      </c>
      <c r="N318" s="6">
        <v>13.304</v>
      </c>
      <c r="O318" s="6">
        <v>13.304</v>
      </c>
      <c r="P318" s="6">
        <v>0</v>
      </c>
      <c r="Q318" s="4" t="s">
        <v>26</v>
      </c>
      <c r="R318" s="4">
        <v>0</v>
      </c>
      <c r="S318" s="6">
        <v>0</v>
      </c>
      <c r="T318" s="6">
        <v>7</v>
      </c>
      <c r="U318" s="6">
        <v>76</v>
      </c>
      <c r="V318" s="6">
        <f>IF(ISERROR(VLOOKUP($S$318,'TAR FIN'!$A$1:$O$108,15,0)),0,VLOOKUP($S$318,'TAR FIN'!$A$1:$O$108,15,0))</f>
        <v>0</v>
      </c>
      <c r="W318" s="6">
        <f>IF(ISERROR(VLOOKUP($T$318,'TAR FIN'!$A$1:$O$108,15,0)),0,VLOOKUP($T$318,'TAR FIN'!$A$1:$O$108,15,0))</f>
        <v>102.62</v>
      </c>
      <c r="X318" s="6">
        <f>IF(ISERROR(VLOOKUP($U$318,'TAR FIN'!$A$1:$O$108,15,0)),0,VLOOKUP($U$318,'TAR FIN'!$A$1:$O$108,15,0))</f>
        <v>103.1</v>
      </c>
      <c r="Y318" s="6"/>
      <c r="Z318" s="6">
        <f ca="1">('TUSD BE'!$AM$28+'TUSD BF'!$AM$28+'TUSD CVA'!$AM$28)*1</f>
        <v>181.47641369790719</v>
      </c>
      <c r="AA318" s="6">
        <f>('TE BE'!$AB$11+'TE BF'!$AB$11+'TE CVA'!$AB$11)*1</f>
        <v>215.60278025898469</v>
      </c>
      <c r="AB318" s="6">
        <f>$K$318*$V$318</f>
        <v>0</v>
      </c>
      <c r="AC318" s="6">
        <f>$M$318*$W$318</f>
        <v>1365.25648</v>
      </c>
      <c r="AD318" s="6">
        <f>$O$318*$X$318</f>
        <v>1371.6424</v>
      </c>
      <c r="AE318" s="6">
        <f>$K$318*$Y$318</f>
        <v>0</v>
      </c>
      <c r="AF318" s="6">
        <f ca="1">$M$318*$Z$318</f>
        <v>2414.3622078369572</v>
      </c>
      <c r="AG318" s="6">
        <f>$O$318*$AA$318</f>
        <v>2868.3793885655323</v>
      </c>
    </row>
    <row r="319" spans="1:33" ht="11.25" customHeight="1" x14ac:dyDescent="0.25">
      <c r="A319" s="4" t="s">
        <v>21</v>
      </c>
      <c r="B319" s="4" t="s">
        <v>41</v>
      </c>
      <c r="C319" s="4" t="s">
        <v>43</v>
      </c>
      <c r="D319" s="4" t="s">
        <v>53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44531</v>
      </c>
      <c r="J319" s="6">
        <v>155</v>
      </c>
      <c r="K319" s="6">
        <v>155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4" t="s">
        <v>26</v>
      </c>
      <c r="R319" s="4">
        <v>0</v>
      </c>
      <c r="S319" s="6">
        <v>2</v>
      </c>
      <c r="T319" s="6">
        <v>0</v>
      </c>
      <c r="U319" s="6">
        <v>0</v>
      </c>
      <c r="V319" s="6">
        <f>IF(ISERROR(VLOOKUP($S$319,'TAR FIN'!$A$1:$O$108,15,0)),0,VLOOKUP($S$319,'TAR FIN'!$A$1:$O$108,15,0))</f>
        <v>21.38</v>
      </c>
      <c r="W319" s="6">
        <f>IF(ISERROR(VLOOKUP($T$319,'TAR FIN'!$A$1:$O$108,15,0)),0,VLOOKUP($T$319,'TAR FIN'!$A$1:$O$108,15,0))</f>
        <v>0</v>
      </c>
      <c r="X319" s="6">
        <f>IF(ISERROR(VLOOKUP($U$319,'TAR FIN'!$A$1:$O$108,15,0)),0,VLOOKUP($U$319,'TAR FIN'!$A$1:$O$108,15,0))</f>
        <v>0</v>
      </c>
      <c r="Y319" s="6">
        <f ca="1">('TUSD BE'!$AM$26+'TUSD BF'!$AM$26+'TUSD CVA'!$AM$26)*1</f>
        <v>21.189390814529755</v>
      </c>
      <c r="Z319" s="6"/>
      <c r="AA319" s="6"/>
      <c r="AB319" s="6">
        <f>$K$319*$V$319</f>
        <v>3313.8999999999996</v>
      </c>
      <c r="AC319" s="6">
        <f>$M$319*$W$319</f>
        <v>0</v>
      </c>
      <c r="AD319" s="6">
        <f>$O$319*$X$319</f>
        <v>0</v>
      </c>
      <c r="AE319" s="6">
        <f ca="1">$K$319*$Y$319</f>
        <v>3284.3555762521119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41</v>
      </c>
      <c r="C320" s="4" t="s">
        <v>43</v>
      </c>
      <c r="D320" s="4" t="s">
        <v>53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44562</v>
      </c>
      <c r="J320" s="6">
        <v>155</v>
      </c>
      <c r="K320" s="6">
        <v>155</v>
      </c>
      <c r="L320" s="6">
        <v>0</v>
      </c>
      <c r="M320" s="6">
        <v>0</v>
      </c>
      <c r="N320" s="6">
        <v>0</v>
      </c>
      <c r="O320" s="6">
        <v>0</v>
      </c>
      <c r="P320" s="6">
        <v>1</v>
      </c>
      <c r="Q320" s="4" t="s">
        <v>26</v>
      </c>
      <c r="R320" s="4">
        <v>0</v>
      </c>
      <c r="S320" s="6">
        <v>2</v>
      </c>
      <c r="T320" s="6">
        <v>0</v>
      </c>
      <c r="U320" s="6">
        <v>0</v>
      </c>
      <c r="V320" s="6">
        <f>IF(ISERROR(VLOOKUP($S$320,'TAR FIN'!$A$1:$O$108,15,0)),0,VLOOKUP($S$320,'TAR FIN'!$A$1:$O$108,15,0))</f>
        <v>21.38</v>
      </c>
      <c r="W320" s="6">
        <f>IF(ISERROR(VLOOKUP($T$320,'TAR FIN'!$A$1:$O$108,15,0)),0,VLOOKUP($T$320,'TAR FIN'!$A$1:$O$108,15,0))</f>
        <v>0</v>
      </c>
      <c r="X320" s="6">
        <f>IF(ISERROR(VLOOKUP($U$320,'TAR FIN'!$A$1:$O$108,15,0)),0,VLOOKUP($U$320,'TAR FIN'!$A$1:$O$108,15,0))</f>
        <v>0</v>
      </c>
      <c r="Y320" s="6">
        <f ca="1">('TUSD BE'!$AM$26+'TUSD BF'!$AM$26+'TUSD CVA'!$AM$26)*1</f>
        <v>21.189390814529755</v>
      </c>
      <c r="Z320" s="6"/>
      <c r="AA320" s="6"/>
      <c r="AB320" s="6">
        <f>$K$320*$V$320</f>
        <v>3313.8999999999996</v>
      </c>
      <c r="AC320" s="6">
        <f>$M$320*$W$320</f>
        <v>0</v>
      </c>
      <c r="AD320" s="6">
        <f>$O$320*$X$320</f>
        <v>0</v>
      </c>
      <c r="AE320" s="6">
        <f ca="1">$K$320*$Y$320</f>
        <v>3284.3555762521119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41</v>
      </c>
      <c r="C321" s="4" t="s">
        <v>43</v>
      </c>
      <c r="D321" s="4" t="s">
        <v>53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44593</v>
      </c>
      <c r="J321" s="6">
        <v>155</v>
      </c>
      <c r="K321" s="6">
        <v>155</v>
      </c>
      <c r="L321" s="6">
        <v>0</v>
      </c>
      <c r="M321" s="6">
        <v>0</v>
      </c>
      <c r="N321" s="6">
        <v>0</v>
      </c>
      <c r="O321" s="6">
        <v>0</v>
      </c>
      <c r="P321" s="6">
        <v>1</v>
      </c>
      <c r="Q321" s="4" t="s">
        <v>26</v>
      </c>
      <c r="R321" s="4">
        <v>0</v>
      </c>
      <c r="S321" s="6">
        <v>2</v>
      </c>
      <c r="T321" s="6">
        <v>0</v>
      </c>
      <c r="U321" s="6">
        <v>0</v>
      </c>
      <c r="V321" s="6">
        <f>IF(ISERROR(VLOOKUP($S$321,'TAR FIN'!$A$1:$O$108,15,0)),0,VLOOKUP($S$321,'TAR FIN'!$A$1:$O$108,15,0))</f>
        <v>21.38</v>
      </c>
      <c r="W321" s="6">
        <f>IF(ISERROR(VLOOKUP($T$321,'TAR FIN'!$A$1:$O$108,15,0)),0,VLOOKUP($T$321,'TAR FIN'!$A$1:$O$108,15,0))</f>
        <v>0</v>
      </c>
      <c r="X321" s="6">
        <f>IF(ISERROR(VLOOKUP($U$321,'TAR FIN'!$A$1:$O$108,15,0)),0,VLOOKUP($U$321,'TAR FIN'!$A$1:$O$108,15,0))</f>
        <v>0</v>
      </c>
      <c r="Y321" s="6">
        <f ca="1">('TUSD BE'!$AM$26+'TUSD BF'!$AM$26+'TUSD CVA'!$AM$26)*1</f>
        <v>21.189390814529755</v>
      </c>
      <c r="Z321" s="6"/>
      <c r="AA321" s="6"/>
      <c r="AB321" s="6">
        <f>$K$321*$V$321</f>
        <v>3313.8999999999996</v>
      </c>
      <c r="AC321" s="6">
        <f>$M$321*$W$321</f>
        <v>0</v>
      </c>
      <c r="AD321" s="6">
        <f>$O$321*$X$321</f>
        <v>0</v>
      </c>
      <c r="AE321" s="6">
        <f ca="1">$K$321*$Y$321</f>
        <v>3284.3555762521119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41</v>
      </c>
      <c r="C322" s="4" t="s">
        <v>43</v>
      </c>
      <c r="D322" s="4" t="s">
        <v>53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44621</v>
      </c>
      <c r="J322" s="6">
        <v>155</v>
      </c>
      <c r="K322" s="6">
        <v>155</v>
      </c>
      <c r="L322" s="6">
        <v>0</v>
      </c>
      <c r="M322" s="6">
        <v>0</v>
      </c>
      <c r="N322" s="6">
        <v>0</v>
      </c>
      <c r="O322" s="6">
        <v>0</v>
      </c>
      <c r="P322" s="6">
        <v>1</v>
      </c>
      <c r="Q322" s="4" t="s">
        <v>26</v>
      </c>
      <c r="R322" s="4">
        <v>0</v>
      </c>
      <c r="S322" s="6">
        <v>2</v>
      </c>
      <c r="T322" s="6">
        <v>0</v>
      </c>
      <c r="U322" s="6">
        <v>0</v>
      </c>
      <c r="V322" s="6">
        <f>IF(ISERROR(VLOOKUP($S$322,'TAR FIN'!$A$1:$O$108,15,0)),0,VLOOKUP($S$322,'TAR FIN'!$A$1:$O$108,15,0))</f>
        <v>21.38</v>
      </c>
      <c r="W322" s="6">
        <f>IF(ISERROR(VLOOKUP($T$322,'TAR FIN'!$A$1:$O$108,15,0)),0,VLOOKUP($T$322,'TAR FIN'!$A$1:$O$108,15,0))</f>
        <v>0</v>
      </c>
      <c r="X322" s="6">
        <f>IF(ISERROR(VLOOKUP($U$322,'TAR FIN'!$A$1:$O$108,15,0)),0,VLOOKUP($U$322,'TAR FIN'!$A$1:$O$108,15,0))</f>
        <v>0</v>
      </c>
      <c r="Y322" s="6">
        <f ca="1">('TUSD BE'!$AM$26+'TUSD BF'!$AM$26+'TUSD CVA'!$AM$26)*1</f>
        <v>21.189390814529755</v>
      </c>
      <c r="Z322" s="6"/>
      <c r="AA322" s="6"/>
      <c r="AB322" s="6">
        <f>$K$322*$V$322</f>
        <v>3313.8999999999996</v>
      </c>
      <c r="AC322" s="6">
        <f>$M$322*$W$322</f>
        <v>0</v>
      </c>
      <c r="AD322" s="6">
        <f>$O$322*$X$322</f>
        <v>0</v>
      </c>
      <c r="AE322" s="6">
        <f ca="1">$K$322*$Y$322</f>
        <v>3284.3555762521119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41</v>
      </c>
      <c r="C323" s="4" t="s">
        <v>43</v>
      </c>
      <c r="D323" s="4" t="s">
        <v>53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44652</v>
      </c>
      <c r="J323" s="6">
        <v>155</v>
      </c>
      <c r="K323" s="6">
        <v>155</v>
      </c>
      <c r="L323" s="6">
        <v>0</v>
      </c>
      <c r="M323" s="6">
        <v>0</v>
      </c>
      <c r="N323" s="6">
        <v>0</v>
      </c>
      <c r="O323" s="6">
        <v>0</v>
      </c>
      <c r="P323" s="6">
        <v>1</v>
      </c>
      <c r="Q323" s="4" t="s">
        <v>26</v>
      </c>
      <c r="R323" s="4">
        <v>0</v>
      </c>
      <c r="S323" s="6">
        <v>2</v>
      </c>
      <c r="T323" s="6">
        <v>0</v>
      </c>
      <c r="U323" s="6">
        <v>0</v>
      </c>
      <c r="V323" s="6">
        <f>IF(ISERROR(VLOOKUP($S$323,'TAR FIN'!$A$1:$O$108,15,0)),0,VLOOKUP($S$323,'TAR FIN'!$A$1:$O$108,15,0))</f>
        <v>21.38</v>
      </c>
      <c r="W323" s="6">
        <f>IF(ISERROR(VLOOKUP($T$323,'TAR FIN'!$A$1:$O$108,15,0)),0,VLOOKUP($T$323,'TAR FIN'!$A$1:$O$108,15,0))</f>
        <v>0</v>
      </c>
      <c r="X323" s="6">
        <f>IF(ISERROR(VLOOKUP($U$323,'TAR FIN'!$A$1:$O$108,15,0)),0,VLOOKUP($U$323,'TAR FIN'!$A$1:$O$108,15,0))</f>
        <v>0</v>
      </c>
      <c r="Y323" s="6">
        <f ca="1">('TUSD BE'!$AM$26+'TUSD BF'!$AM$26+'TUSD CVA'!$AM$26)*1</f>
        <v>21.189390814529755</v>
      </c>
      <c r="Z323" s="6"/>
      <c r="AA323" s="6"/>
      <c r="AB323" s="6">
        <f>$K$323*$V$323</f>
        <v>3313.8999999999996</v>
      </c>
      <c r="AC323" s="6">
        <f>$M$323*$W$323</f>
        <v>0</v>
      </c>
      <c r="AD323" s="6">
        <f>$O$323*$X$323</f>
        <v>0</v>
      </c>
      <c r="AE323" s="6">
        <f ca="1">$K$323*$Y$323</f>
        <v>3284.3555762521119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41</v>
      </c>
      <c r="C324" s="4" t="s">
        <v>43</v>
      </c>
      <c r="D324" s="4" t="s">
        <v>53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44682</v>
      </c>
      <c r="J324" s="6">
        <v>155</v>
      </c>
      <c r="K324" s="6">
        <v>155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4" t="s">
        <v>26</v>
      </c>
      <c r="R324" s="4">
        <v>0</v>
      </c>
      <c r="S324" s="6">
        <v>2</v>
      </c>
      <c r="T324" s="6">
        <v>0</v>
      </c>
      <c r="U324" s="6">
        <v>0</v>
      </c>
      <c r="V324" s="6">
        <f>IF(ISERROR(VLOOKUP($S$324,'TAR FIN'!$A$1:$O$108,15,0)),0,VLOOKUP($S$324,'TAR FIN'!$A$1:$O$108,15,0))</f>
        <v>21.38</v>
      </c>
      <c r="W324" s="6">
        <f>IF(ISERROR(VLOOKUP($T$324,'TAR FIN'!$A$1:$O$108,15,0)),0,VLOOKUP($T$324,'TAR FIN'!$A$1:$O$108,15,0))</f>
        <v>0</v>
      </c>
      <c r="X324" s="6">
        <f>IF(ISERROR(VLOOKUP($U$324,'TAR FIN'!$A$1:$O$108,15,0)),0,VLOOKUP($U$324,'TAR FIN'!$A$1:$O$108,15,0))</f>
        <v>0</v>
      </c>
      <c r="Y324" s="6">
        <f ca="1">('TUSD BE'!$AM$26+'TUSD BF'!$AM$26+'TUSD CVA'!$AM$26)*1</f>
        <v>21.189390814529755</v>
      </c>
      <c r="Z324" s="6"/>
      <c r="AA324" s="6"/>
      <c r="AB324" s="6">
        <f>$K$324*$V$324</f>
        <v>3313.8999999999996</v>
      </c>
      <c r="AC324" s="6">
        <f>$M$324*$W$324</f>
        <v>0</v>
      </c>
      <c r="AD324" s="6">
        <f>$O$324*$X$324</f>
        <v>0</v>
      </c>
      <c r="AE324" s="6">
        <f ca="1">$K$324*$Y$324</f>
        <v>3284.3555762521119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41</v>
      </c>
      <c r="C325" s="4" t="s">
        <v>43</v>
      </c>
      <c r="D325" s="4" t="s">
        <v>53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44713</v>
      </c>
      <c r="J325" s="6">
        <v>155</v>
      </c>
      <c r="K325" s="6">
        <v>155</v>
      </c>
      <c r="L325" s="6">
        <v>0</v>
      </c>
      <c r="M325" s="6">
        <v>0</v>
      </c>
      <c r="N325" s="6">
        <v>0</v>
      </c>
      <c r="O325" s="6">
        <v>0</v>
      </c>
      <c r="P325" s="6">
        <v>1</v>
      </c>
      <c r="Q325" s="4" t="s">
        <v>26</v>
      </c>
      <c r="R325" s="4">
        <v>0</v>
      </c>
      <c r="S325" s="6">
        <v>2</v>
      </c>
      <c r="T325" s="6">
        <v>0</v>
      </c>
      <c r="U325" s="6">
        <v>0</v>
      </c>
      <c r="V325" s="6">
        <f>IF(ISERROR(VLOOKUP($S$325,'TAR FIN'!$A$1:$O$108,15,0)),0,VLOOKUP($S$325,'TAR FIN'!$A$1:$O$108,15,0))</f>
        <v>21.38</v>
      </c>
      <c r="W325" s="6">
        <f>IF(ISERROR(VLOOKUP($T$325,'TAR FIN'!$A$1:$O$108,15,0)),0,VLOOKUP($T$325,'TAR FIN'!$A$1:$O$108,15,0))</f>
        <v>0</v>
      </c>
      <c r="X325" s="6">
        <f>IF(ISERROR(VLOOKUP($U$325,'TAR FIN'!$A$1:$O$108,15,0)),0,VLOOKUP($U$325,'TAR FIN'!$A$1:$O$108,15,0))</f>
        <v>0</v>
      </c>
      <c r="Y325" s="6">
        <f ca="1">('TUSD BE'!$AM$26+'TUSD BF'!$AM$26+'TUSD CVA'!$AM$26)*1</f>
        <v>21.189390814529755</v>
      </c>
      <c r="Z325" s="6"/>
      <c r="AA325" s="6"/>
      <c r="AB325" s="6">
        <f>$K$325*$V$325</f>
        <v>3313.8999999999996</v>
      </c>
      <c r="AC325" s="6">
        <f>$M$325*$W$325</f>
        <v>0</v>
      </c>
      <c r="AD325" s="6">
        <f>$O$325*$X$325</f>
        <v>0</v>
      </c>
      <c r="AE325" s="6">
        <f ca="1">$K$325*$Y$325</f>
        <v>3284.3555762521119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41</v>
      </c>
      <c r="C326" s="4" t="s">
        <v>43</v>
      </c>
      <c r="D326" s="4" t="s">
        <v>53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44743</v>
      </c>
      <c r="J326" s="6">
        <v>155</v>
      </c>
      <c r="K326" s="6">
        <v>155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4" t="s">
        <v>26</v>
      </c>
      <c r="R326" s="4">
        <v>0</v>
      </c>
      <c r="S326" s="6">
        <v>2</v>
      </c>
      <c r="T326" s="6">
        <v>0</v>
      </c>
      <c r="U326" s="6">
        <v>0</v>
      </c>
      <c r="V326" s="6">
        <f>IF(ISERROR(VLOOKUP($S$326,'TAR FIN'!$A$1:$O$108,15,0)),0,VLOOKUP($S$326,'TAR FIN'!$A$1:$O$108,15,0))</f>
        <v>21.38</v>
      </c>
      <c r="W326" s="6">
        <f>IF(ISERROR(VLOOKUP($T$326,'TAR FIN'!$A$1:$O$108,15,0)),0,VLOOKUP($T$326,'TAR FIN'!$A$1:$O$108,15,0))</f>
        <v>0</v>
      </c>
      <c r="X326" s="6">
        <f>IF(ISERROR(VLOOKUP($U$326,'TAR FIN'!$A$1:$O$108,15,0)),0,VLOOKUP($U$326,'TAR FIN'!$A$1:$O$108,15,0))</f>
        <v>0</v>
      </c>
      <c r="Y326" s="6">
        <f ca="1">('TUSD BE'!$AM$26+'TUSD BF'!$AM$26+'TUSD CVA'!$AM$26)*1</f>
        <v>21.189390814529755</v>
      </c>
      <c r="Z326" s="6"/>
      <c r="AA326" s="6"/>
      <c r="AB326" s="6">
        <f>$K$326*$V$326</f>
        <v>3313.8999999999996</v>
      </c>
      <c r="AC326" s="6">
        <f>$M$326*$W$326</f>
        <v>0</v>
      </c>
      <c r="AD326" s="6">
        <f>$O$326*$X$326</f>
        <v>0</v>
      </c>
      <c r="AE326" s="6">
        <f ca="1">$K$326*$Y$326</f>
        <v>3284.3555762521119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41</v>
      </c>
      <c r="C327" s="4" t="s">
        <v>43</v>
      </c>
      <c r="D327" s="4" t="s">
        <v>53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44774</v>
      </c>
      <c r="J327" s="6">
        <v>155</v>
      </c>
      <c r="K327" s="6">
        <v>155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4" t="s">
        <v>26</v>
      </c>
      <c r="R327" s="4">
        <v>0</v>
      </c>
      <c r="S327" s="6">
        <v>2</v>
      </c>
      <c r="T327" s="6">
        <v>0</v>
      </c>
      <c r="U327" s="6">
        <v>0</v>
      </c>
      <c r="V327" s="6">
        <f>IF(ISERROR(VLOOKUP($S$327,'TAR FIN'!$A$1:$O$108,15,0)),0,VLOOKUP($S$327,'TAR FIN'!$A$1:$O$108,15,0))</f>
        <v>21.38</v>
      </c>
      <c r="W327" s="6">
        <f>IF(ISERROR(VLOOKUP($T$327,'TAR FIN'!$A$1:$O$108,15,0)),0,VLOOKUP($T$327,'TAR FIN'!$A$1:$O$108,15,0))</f>
        <v>0</v>
      </c>
      <c r="X327" s="6">
        <f>IF(ISERROR(VLOOKUP($U$327,'TAR FIN'!$A$1:$O$108,15,0)),0,VLOOKUP($U$327,'TAR FIN'!$A$1:$O$108,15,0))</f>
        <v>0</v>
      </c>
      <c r="Y327" s="6">
        <f ca="1">('TUSD BE'!$AM$26+'TUSD BF'!$AM$26+'TUSD CVA'!$AM$26)*1</f>
        <v>21.189390814529755</v>
      </c>
      <c r="Z327" s="6"/>
      <c r="AA327" s="6"/>
      <c r="AB327" s="6">
        <f>$K$327*$V$327</f>
        <v>3313.8999999999996</v>
      </c>
      <c r="AC327" s="6">
        <f>$M$327*$W$327</f>
        <v>0</v>
      </c>
      <c r="AD327" s="6">
        <f>$O$327*$X$327</f>
        <v>0</v>
      </c>
      <c r="AE327" s="6">
        <f ca="1">$K$327*$Y$327</f>
        <v>3284.3555762521119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41</v>
      </c>
      <c r="C328" s="4" t="s">
        <v>43</v>
      </c>
      <c r="D328" s="4" t="s">
        <v>53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44805</v>
      </c>
      <c r="J328" s="6">
        <v>155</v>
      </c>
      <c r="K328" s="6">
        <v>155</v>
      </c>
      <c r="L328" s="6">
        <v>0</v>
      </c>
      <c r="M328" s="6">
        <v>0</v>
      </c>
      <c r="N328" s="6">
        <v>0</v>
      </c>
      <c r="O328" s="6">
        <v>0</v>
      </c>
      <c r="P328" s="6">
        <v>1</v>
      </c>
      <c r="Q328" s="4" t="s">
        <v>26</v>
      </c>
      <c r="R328" s="4">
        <v>0</v>
      </c>
      <c r="S328" s="6">
        <v>2</v>
      </c>
      <c r="T328" s="6">
        <v>0</v>
      </c>
      <c r="U328" s="6">
        <v>0</v>
      </c>
      <c r="V328" s="6">
        <f>IF(ISERROR(VLOOKUP($S$328,'TAR FIN'!$A$1:$O$108,15,0)),0,VLOOKUP($S$328,'TAR FIN'!$A$1:$O$108,15,0))</f>
        <v>21.38</v>
      </c>
      <c r="W328" s="6">
        <f>IF(ISERROR(VLOOKUP($T$328,'TAR FIN'!$A$1:$O$108,15,0)),0,VLOOKUP($T$328,'TAR FIN'!$A$1:$O$108,15,0))</f>
        <v>0</v>
      </c>
      <c r="X328" s="6">
        <f>IF(ISERROR(VLOOKUP($U$328,'TAR FIN'!$A$1:$O$108,15,0)),0,VLOOKUP($U$328,'TAR FIN'!$A$1:$O$108,15,0))</f>
        <v>0</v>
      </c>
      <c r="Y328" s="6">
        <f ca="1">('TUSD BE'!$AM$26+'TUSD BF'!$AM$26+'TUSD CVA'!$AM$26)*1</f>
        <v>21.189390814529755</v>
      </c>
      <c r="Z328" s="6"/>
      <c r="AA328" s="6"/>
      <c r="AB328" s="6">
        <f>$K$328*$V$328</f>
        <v>3313.8999999999996</v>
      </c>
      <c r="AC328" s="6">
        <f>$M$328*$W$328</f>
        <v>0</v>
      </c>
      <c r="AD328" s="6">
        <f>$O$328*$X$328</f>
        <v>0</v>
      </c>
      <c r="AE328" s="6">
        <f ca="1">$K$328*$Y$328</f>
        <v>3284.3555762521119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41</v>
      </c>
      <c r="C329" s="4" t="s">
        <v>43</v>
      </c>
      <c r="D329" s="4" t="s">
        <v>53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44835</v>
      </c>
      <c r="J329" s="6">
        <v>155</v>
      </c>
      <c r="K329" s="6">
        <v>155</v>
      </c>
      <c r="L329" s="6">
        <v>0</v>
      </c>
      <c r="M329" s="6">
        <v>0</v>
      </c>
      <c r="N329" s="6">
        <v>0</v>
      </c>
      <c r="O329" s="6">
        <v>0</v>
      </c>
      <c r="P329" s="6">
        <v>2</v>
      </c>
      <c r="Q329" s="4" t="s">
        <v>26</v>
      </c>
      <c r="R329" s="4">
        <v>0</v>
      </c>
      <c r="S329" s="6">
        <v>2</v>
      </c>
      <c r="T329" s="6">
        <v>0</v>
      </c>
      <c r="U329" s="6">
        <v>0</v>
      </c>
      <c r="V329" s="6">
        <f>IF(ISERROR(VLOOKUP($S$329,'TAR FIN'!$A$1:$O$108,15,0)),0,VLOOKUP($S$329,'TAR FIN'!$A$1:$O$108,15,0))</f>
        <v>21.38</v>
      </c>
      <c r="W329" s="6">
        <f>IF(ISERROR(VLOOKUP($T$329,'TAR FIN'!$A$1:$O$108,15,0)),0,VLOOKUP($T$329,'TAR FIN'!$A$1:$O$108,15,0))</f>
        <v>0</v>
      </c>
      <c r="X329" s="6">
        <f>IF(ISERROR(VLOOKUP($U$329,'TAR FIN'!$A$1:$O$108,15,0)),0,VLOOKUP($U$329,'TAR FIN'!$A$1:$O$108,15,0))</f>
        <v>0</v>
      </c>
      <c r="Y329" s="6">
        <f ca="1">('TUSD BE'!$AM$26+'TUSD BF'!$AM$26+'TUSD CVA'!$AM$26)*1</f>
        <v>21.189390814529755</v>
      </c>
      <c r="Z329" s="6"/>
      <c r="AA329" s="6"/>
      <c r="AB329" s="6">
        <f>$K$329*$V$329</f>
        <v>3313.8999999999996</v>
      </c>
      <c r="AC329" s="6">
        <f>$M$329*$W$329</f>
        <v>0</v>
      </c>
      <c r="AD329" s="6">
        <f>$O$329*$X$329</f>
        <v>0</v>
      </c>
      <c r="AE329" s="6">
        <f ca="1">$K$329*$Y$329</f>
        <v>3284.3555762521119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54</v>
      </c>
      <c r="B330" s="4" t="s">
        <v>41</v>
      </c>
      <c r="C330" s="4" t="s">
        <v>43</v>
      </c>
      <c r="D330" s="4" t="s">
        <v>53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44866</v>
      </c>
      <c r="J330" s="6">
        <v>155</v>
      </c>
      <c r="K330" s="6">
        <v>155</v>
      </c>
      <c r="L330" s="6">
        <v>0</v>
      </c>
      <c r="M330" s="6">
        <v>0</v>
      </c>
      <c r="N330" s="6">
        <v>0</v>
      </c>
      <c r="O330" s="6">
        <v>0</v>
      </c>
      <c r="P330" s="6">
        <v>2</v>
      </c>
      <c r="Q330" s="4" t="s">
        <v>26</v>
      </c>
      <c r="R330" s="4">
        <v>0</v>
      </c>
      <c r="S330" s="6">
        <v>2</v>
      </c>
      <c r="T330" s="6">
        <v>0</v>
      </c>
      <c r="U330" s="6">
        <v>0</v>
      </c>
      <c r="V330" s="6">
        <f>IF(ISERROR(VLOOKUP($S$330,'TAR FIN'!$A$1:$O$108,15,0)),0,VLOOKUP($S$330,'TAR FIN'!$A$1:$O$108,15,0))</f>
        <v>21.38</v>
      </c>
      <c r="W330" s="6">
        <f>IF(ISERROR(VLOOKUP($T$330,'TAR FIN'!$A$1:$O$108,15,0)),0,VLOOKUP($T$330,'TAR FIN'!$A$1:$O$108,15,0))</f>
        <v>0</v>
      </c>
      <c r="X330" s="6">
        <f>IF(ISERROR(VLOOKUP($U$330,'TAR FIN'!$A$1:$O$108,15,0)),0,VLOOKUP($U$330,'TAR FIN'!$A$1:$O$108,15,0))</f>
        <v>0</v>
      </c>
      <c r="Y330" s="6">
        <f ca="1">('TUSD BE'!$AM$26+'TUSD BF'!$AM$26+'TUSD CVA'!$AM$26)*1</f>
        <v>21.189390814529755</v>
      </c>
      <c r="Z330" s="6"/>
      <c r="AA330" s="6"/>
      <c r="AB330" s="6">
        <f>$K$330*$V$330</f>
        <v>3313.8999999999996</v>
      </c>
      <c r="AC330" s="6">
        <f>$M$330*$W$330</f>
        <v>0</v>
      </c>
      <c r="AD330" s="6">
        <f>$O$330*$X$330</f>
        <v>0</v>
      </c>
      <c r="AE330" s="6">
        <f ca="1">$K$330*$Y$330</f>
        <v>3284.3555762521119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41</v>
      </c>
      <c r="C331" s="4" t="s">
        <v>43</v>
      </c>
      <c r="D331" s="4" t="s">
        <v>53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44531</v>
      </c>
      <c r="J331" s="6">
        <v>0</v>
      </c>
      <c r="K331" s="6">
        <v>0</v>
      </c>
      <c r="L331" s="6">
        <v>0.41</v>
      </c>
      <c r="M331" s="6">
        <v>0.41</v>
      </c>
      <c r="N331" s="6">
        <v>0.41</v>
      </c>
      <c r="O331" s="6">
        <v>0.41</v>
      </c>
      <c r="P331" s="6">
        <v>0</v>
      </c>
      <c r="Q331" s="4" t="s">
        <v>26</v>
      </c>
      <c r="R331" s="4">
        <v>0</v>
      </c>
      <c r="S331" s="6">
        <v>0</v>
      </c>
      <c r="T331" s="6">
        <v>5</v>
      </c>
      <c r="U331" s="6">
        <v>75</v>
      </c>
      <c r="V331" s="6">
        <f>IF(ISERROR(VLOOKUP($S$331,'TAR FIN'!$A$1:$O$108,15,0)),0,VLOOKUP($S$331,'TAR FIN'!$A$1:$O$108,15,0))</f>
        <v>0</v>
      </c>
      <c r="W331" s="6">
        <f>IF(ISERROR(VLOOKUP($T$331,'TAR FIN'!$A$1:$O$108,15,0)),0,VLOOKUP($T$331,'TAR FIN'!$A$1:$O$108,15,0))</f>
        <v>1454.96</v>
      </c>
      <c r="X331" s="6">
        <f>IF(ISERROR(VLOOKUP($U$331,'TAR FIN'!$A$1:$O$108,15,0)),0,VLOOKUP($U$331,'TAR FIN'!$A$1:$O$108,15,0))</f>
        <v>159.43</v>
      </c>
      <c r="Y331" s="6"/>
      <c r="Z331" s="6">
        <f ca="1">('TUSD BE'!$AM$27+'TUSD BF'!$AM$27+'TUSD CVA'!$AM$27)*1</f>
        <v>1497.8900689999518</v>
      </c>
      <c r="AA331" s="6">
        <f>('TE BE'!$AB$10+'TE BF'!$AB$10+'TE CVA'!$AB$10)*1</f>
        <v>322.12477389224171</v>
      </c>
      <c r="AB331" s="6">
        <f>$K$331*$V$331</f>
        <v>0</v>
      </c>
      <c r="AC331" s="6">
        <f>$M$331*$W$331</f>
        <v>596.53359999999998</v>
      </c>
      <c r="AD331" s="6">
        <f>$O$331*$X$331</f>
        <v>65.366299999999995</v>
      </c>
      <c r="AE331" s="6">
        <f>$K$331*$Y$331</f>
        <v>0</v>
      </c>
      <c r="AF331" s="6">
        <f ca="1">$M$331*$Z$331</f>
        <v>614.13492828998017</v>
      </c>
      <c r="AG331" s="6">
        <f>$O$331*$AA$331</f>
        <v>132.07115729581909</v>
      </c>
    </row>
    <row r="332" spans="1:33" ht="11.25" customHeight="1" x14ac:dyDescent="0.25">
      <c r="A332" s="4" t="s">
        <v>21</v>
      </c>
      <c r="B332" s="4" t="s">
        <v>41</v>
      </c>
      <c r="C332" s="4" t="s">
        <v>43</v>
      </c>
      <c r="D332" s="4" t="s">
        <v>53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44562</v>
      </c>
      <c r="J332" s="6">
        <v>0</v>
      </c>
      <c r="K332" s="6">
        <v>0</v>
      </c>
      <c r="L332" s="6">
        <v>0.52500000000000002</v>
      </c>
      <c r="M332" s="6">
        <v>0.52500000000000002</v>
      </c>
      <c r="N332" s="6">
        <v>0.52500000000000002</v>
      </c>
      <c r="O332" s="6">
        <v>0.52500000000000002</v>
      </c>
      <c r="P332" s="6">
        <v>0</v>
      </c>
      <c r="Q332" s="4" t="s">
        <v>26</v>
      </c>
      <c r="R332" s="4">
        <v>0</v>
      </c>
      <c r="S332" s="6">
        <v>0</v>
      </c>
      <c r="T332" s="6">
        <v>5</v>
      </c>
      <c r="U332" s="6">
        <v>75</v>
      </c>
      <c r="V332" s="6">
        <f>IF(ISERROR(VLOOKUP($S$332,'TAR FIN'!$A$1:$O$108,15,0)),0,VLOOKUP($S$332,'TAR FIN'!$A$1:$O$108,15,0))</f>
        <v>0</v>
      </c>
      <c r="W332" s="6">
        <f>IF(ISERROR(VLOOKUP($T$332,'TAR FIN'!$A$1:$O$108,15,0)),0,VLOOKUP($T$332,'TAR FIN'!$A$1:$O$108,15,0))</f>
        <v>1454.96</v>
      </c>
      <c r="X332" s="6">
        <f>IF(ISERROR(VLOOKUP($U$332,'TAR FIN'!$A$1:$O$108,15,0)),0,VLOOKUP($U$332,'TAR FIN'!$A$1:$O$108,15,0))</f>
        <v>159.43</v>
      </c>
      <c r="Y332" s="6"/>
      <c r="Z332" s="6">
        <f ca="1">('TUSD BE'!$AM$27+'TUSD BF'!$AM$27+'TUSD CVA'!$AM$27)*1</f>
        <v>1497.8900689999518</v>
      </c>
      <c r="AA332" s="6">
        <f>('TE BE'!$AB$10+'TE BF'!$AB$10+'TE CVA'!$AB$10)*1</f>
        <v>322.12477389224171</v>
      </c>
      <c r="AB332" s="6">
        <f>$K$332*$V$332</f>
        <v>0</v>
      </c>
      <c r="AC332" s="6">
        <f>$M$332*$W$332</f>
        <v>763.85400000000004</v>
      </c>
      <c r="AD332" s="6">
        <f>$O$332*$X$332</f>
        <v>83.700750000000014</v>
      </c>
      <c r="AE332" s="6">
        <f>$K$332*$Y$332</f>
        <v>0</v>
      </c>
      <c r="AF332" s="6">
        <f ca="1">$M$332*$Z$332</f>
        <v>786.39228622497478</v>
      </c>
      <c r="AG332" s="6">
        <f>$O$332*$AA$332</f>
        <v>169.1155062934269</v>
      </c>
    </row>
    <row r="333" spans="1:33" ht="11.25" customHeight="1" x14ac:dyDescent="0.25">
      <c r="A333" s="4" t="s">
        <v>21</v>
      </c>
      <c r="B333" s="4" t="s">
        <v>41</v>
      </c>
      <c r="C333" s="4" t="s">
        <v>43</v>
      </c>
      <c r="D333" s="4" t="s">
        <v>53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44593</v>
      </c>
      <c r="J333" s="6">
        <v>0</v>
      </c>
      <c r="K333" s="6">
        <v>0</v>
      </c>
      <c r="L333" s="6">
        <v>0.63900000000000001</v>
      </c>
      <c r="M333" s="6">
        <v>0.63900000000000001</v>
      </c>
      <c r="N333" s="6">
        <v>0.63900000000000001</v>
      </c>
      <c r="O333" s="6">
        <v>0.63900000000000001</v>
      </c>
      <c r="P333" s="6">
        <v>0</v>
      </c>
      <c r="Q333" s="4" t="s">
        <v>26</v>
      </c>
      <c r="R333" s="4">
        <v>0</v>
      </c>
      <c r="S333" s="6">
        <v>0</v>
      </c>
      <c r="T333" s="6">
        <v>5</v>
      </c>
      <c r="U333" s="6">
        <v>75</v>
      </c>
      <c r="V333" s="6">
        <f>IF(ISERROR(VLOOKUP($S$333,'TAR FIN'!$A$1:$O$108,15,0)),0,VLOOKUP($S$333,'TAR FIN'!$A$1:$O$108,15,0))</f>
        <v>0</v>
      </c>
      <c r="W333" s="6">
        <f>IF(ISERROR(VLOOKUP($T$333,'TAR FIN'!$A$1:$O$108,15,0)),0,VLOOKUP($T$333,'TAR FIN'!$A$1:$O$108,15,0))</f>
        <v>1454.96</v>
      </c>
      <c r="X333" s="6">
        <f>IF(ISERROR(VLOOKUP($U$333,'TAR FIN'!$A$1:$O$108,15,0)),0,VLOOKUP($U$333,'TAR FIN'!$A$1:$O$108,15,0))</f>
        <v>159.43</v>
      </c>
      <c r="Y333" s="6"/>
      <c r="Z333" s="6">
        <f ca="1">('TUSD BE'!$AM$27+'TUSD BF'!$AM$27+'TUSD CVA'!$AM$27)*1</f>
        <v>1497.8900689999518</v>
      </c>
      <c r="AA333" s="6">
        <f>('TE BE'!$AB$10+'TE BF'!$AB$10+'TE CVA'!$AB$10)*1</f>
        <v>322.12477389224171</v>
      </c>
      <c r="AB333" s="6">
        <f>$K$333*$V$333</f>
        <v>0</v>
      </c>
      <c r="AC333" s="6">
        <f>$M$333*$W$333</f>
        <v>929.71944000000008</v>
      </c>
      <c r="AD333" s="6">
        <f>$O$333*$X$333</f>
        <v>101.87577</v>
      </c>
      <c r="AE333" s="6">
        <f>$K$333*$Y$333</f>
        <v>0</v>
      </c>
      <c r="AF333" s="6">
        <f ca="1">$M$333*$Z$333</f>
        <v>957.15175409096923</v>
      </c>
      <c r="AG333" s="6">
        <f>$O$333*$AA$333</f>
        <v>205.83773051714246</v>
      </c>
    </row>
    <row r="334" spans="1:33" ht="11.25" customHeight="1" x14ac:dyDescent="0.25">
      <c r="A334" s="4" t="s">
        <v>21</v>
      </c>
      <c r="B334" s="4" t="s">
        <v>41</v>
      </c>
      <c r="C334" s="4" t="s">
        <v>43</v>
      </c>
      <c r="D334" s="4" t="s">
        <v>53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44621</v>
      </c>
      <c r="J334" s="6">
        <v>0</v>
      </c>
      <c r="K334" s="6">
        <v>0</v>
      </c>
      <c r="L334" s="6">
        <v>0.81</v>
      </c>
      <c r="M334" s="6">
        <v>0.81</v>
      </c>
      <c r="N334" s="6">
        <v>0.81</v>
      </c>
      <c r="O334" s="6">
        <v>0.81</v>
      </c>
      <c r="P334" s="6">
        <v>0</v>
      </c>
      <c r="Q334" s="4" t="s">
        <v>26</v>
      </c>
      <c r="R334" s="4">
        <v>0</v>
      </c>
      <c r="S334" s="6">
        <v>0</v>
      </c>
      <c r="T334" s="6">
        <v>5</v>
      </c>
      <c r="U334" s="6">
        <v>75</v>
      </c>
      <c r="V334" s="6">
        <f>IF(ISERROR(VLOOKUP($S$334,'TAR FIN'!$A$1:$O$108,15,0)),0,VLOOKUP($S$334,'TAR FIN'!$A$1:$O$108,15,0))</f>
        <v>0</v>
      </c>
      <c r="W334" s="6">
        <f>IF(ISERROR(VLOOKUP($T$334,'TAR FIN'!$A$1:$O$108,15,0)),0,VLOOKUP($T$334,'TAR FIN'!$A$1:$O$108,15,0))</f>
        <v>1454.96</v>
      </c>
      <c r="X334" s="6">
        <f>IF(ISERROR(VLOOKUP($U$334,'TAR FIN'!$A$1:$O$108,15,0)),0,VLOOKUP($U$334,'TAR FIN'!$A$1:$O$108,15,0))</f>
        <v>159.43</v>
      </c>
      <c r="Y334" s="6"/>
      <c r="Z334" s="6">
        <f ca="1">('TUSD BE'!$AM$27+'TUSD BF'!$AM$27+'TUSD CVA'!$AM$27)*1</f>
        <v>1497.8900689999518</v>
      </c>
      <c r="AA334" s="6">
        <f>('TE BE'!$AB$10+'TE BF'!$AB$10+'TE CVA'!$AB$10)*1</f>
        <v>322.12477389224171</v>
      </c>
      <c r="AB334" s="6">
        <f>$K$334*$V$334</f>
        <v>0</v>
      </c>
      <c r="AC334" s="6">
        <f>$M$334*$W$334</f>
        <v>1178.5176000000001</v>
      </c>
      <c r="AD334" s="6">
        <f>$O$334*$X$334</f>
        <v>129.13830000000002</v>
      </c>
      <c r="AE334" s="6">
        <f>$K$334*$Y$334</f>
        <v>0</v>
      </c>
      <c r="AF334" s="6">
        <f ca="1">$M$334*$Z$334</f>
        <v>1213.290955889961</v>
      </c>
      <c r="AG334" s="6">
        <f>$O$334*$AA$334</f>
        <v>260.9210668527158</v>
      </c>
    </row>
    <row r="335" spans="1:33" ht="11.25" customHeight="1" x14ac:dyDescent="0.25">
      <c r="A335" s="4" t="s">
        <v>21</v>
      </c>
      <c r="B335" s="4" t="s">
        <v>41</v>
      </c>
      <c r="C335" s="4" t="s">
        <v>43</v>
      </c>
      <c r="D335" s="4" t="s">
        <v>53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44652</v>
      </c>
      <c r="J335" s="6">
        <v>0</v>
      </c>
      <c r="K335" s="6">
        <v>0</v>
      </c>
      <c r="L335" s="6">
        <v>0.69399999999999995</v>
      </c>
      <c r="M335" s="6">
        <v>0.69399999999999995</v>
      </c>
      <c r="N335" s="6">
        <v>0.69399999999999995</v>
      </c>
      <c r="O335" s="6">
        <v>0.69399999999999995</v>
      </c>
      <c r="P335" s="6">
        <v>0</v>
      </c>
      <c r="Q335" s="4" t="s">
        <v>26</v>
      </c>
      <c r="R335" s="4">
        <v>0</v>
      </c>
      <c r="S335" s="6">
        <v>0</v>
      </c>
      <c r="T335" s="6">
        <v>5</v>
      </c>
      <c r="U335" s="6">
        <v>75</v>
      </c>
      <c r="V335" s="6">
        <f>IF(ISERROR(VLOOKUP($S$335,'TAR FIN'!$A$1:$O$108,15,0)),0,VLOOKUP($S$335,'TAR FIN'!$A$1:$O$108,15,0))</f>
        <v>0</v>
      </c>
      <c r="W335" s="6">
        <f>IF(ISERROR(VLOOKUP($T$335,'TAR FIN'!$A$1:$O$108,15,0)),0,VLOOKUP($T$335,'TAR FIN'!$A$1:$O$108,15,0))</f>
        <v>1454.96</v>
      </c>
      <c r="X335" s="6">
        <f>IF(ISERROR(VLOOKUP($U$335,'TAR FIN'!$A$1:$O$108,15,0)),0,VLOOKUP($U$335,'TAR FIN'!$A$1:$O$108,15,0))</f>
        <v>159.43</v>
      </c>
      <c r="Y335" s="6"/>
      <c r="Z335" s="6">
        <f ca="1">('TUSD BE'!$AM$27+'TUSD BF'!$AM$27+'TUSD CVA'!$AM$27)*1</f>
        <v>1497.8900689999518</v>
      </c>
      <c r="AA335" s="6">
        <f>('TE BE'!$AB$10+'TE BF'!$AB$10+'TE CVA'!$AB$10)*1</f>
        <v>322.12477389224171</v>
      </c>
      <c r="AB335" s="6">
        <f>$K$335*$V$335</f>
        <v>0</v>
      </c>
      <c r="AC335" s="6">
        <f>$M$335*$W$335</f>
        <v>1009.7422399999999</v>
      </c>
      <c r="AD335" s="6">
        <f>$O$335*$X$335</f>
        <v>110.64442</v>
      </c>
      <c r="AE335" s="6">
        <f>$K$335*$Y$335</f>
        <v>0</v>
      </c>
      <c r="AF335" s="6">
        <f ca="1">$M$335*$Z$335</f>
        <v>1039.5357078859665</v>
      </c>
      <c r="AG335" s="6">
        <f>$O$335*$AA$335</f>
        <v>223.55459308121573</v>
      </c>
    </row>
    <row r="336" spans="1:33" ht="11.25" customHeight="1" x14ac:dyDescent="0.25">
      <c r="A336" s="4" t="s">
        <v>21</v>
      </c>
      <c r="B336" s="4" t="s">
        <v>41</v>
      </c>
      <c r="C336" s="4" t="s">
        <v>43</v>
      </c>
      <c r="D336" s="4" t="s">
        <v>53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44682</v>
      </c>
      <c r="J336" s="6">
        <v>0</v>
      </c>
      <c r="K336" s="6">
        <v>0</v>
      </c>
      <c r="L336" s="6">
        <v>0.88600000000000001</v>
      </c>
      <c r="M336" s="6">
        <v>0.88600000000000001</v>
      </c>
      <c r="N336" s="6">
        <v>0.88600000000000001</v>
      </c>
      <c r="O336" s="6">
        <v>0.88600000000000001</v>
      </c>
      <c r="P336" s="6">
        <v>0</v>
      </c>
      <c r="Q336" s="4" t="s">
        <v>26</v>
      </c>
      <c r="R336" s="4">
        <v>0</v>
      </c>
      <c r="S336" s="6">
        <v>0</v>
      </c>
      <c r="T336" s="6">
        <v>5</v>
      </c>
      <c r="U336" s="6">
        <v>75</v>
      </c>
      <c r="V336" s="6">
        <f>IF(ISERROR(VLOOKUP($S$336,'TAR FIN'!$A$1:$O$108,15,0)),0,VLOOKUP($S$336,'TAR FIN'!$A$1:$O$108,15,0))</f>
        <v>0</v>
      </c>
      <c r="W336" s="6">
        <f>IF(ISERROR(VLOOKUP($T$336,'TAR FIN'!$A$1:$O$108,15,0)),0,VLOOKUP($T$336,'TAR FIN'!$A$1:$O$108,15,0))</f>
        <v>1454.96</v>
      </c>
      <c r="X336" s="6">
        <f>IF(ISERROR(VLOOKUP($U$336,'TAR FIN'!$A$1:$O$108,15,0)),0,VLOOKUP($U$336,'TAR FIN'!$A$1:$O$108,15,0))</f>
        <v>159.43</v>
      </c>
      <c r="Y336" s="6"/>
      <c r="Z336" s="6">
        <f ca="1">('TUSD BE'!$AM$27+'TUSD BF'!$AM$27+'TUSD CVA'!$AM$27)*1</f>
        <v>1497.8900689999518</v>
      </c>
      <c r="AA336" s="6">
        <f>('TE BE'!$AB$10+'TE BF'!$AB$10+'TE CVA'!$AB$10)*1</f>
        <v>322.12477389224171</v>
      </c>
      <c r="AB336" s="6">
        <f>$K$336*$V$336</f>
        <v>0</v>
      </c>
      <c r="AC336" s="6">
        <f>$M$336*$W$336</f>
        <v>1289.09456</v>
      </c>
      <c r="AD336" s="6">
        <f>$O$336*$X$336</f>
        <v>141.25498000000002</v>
      </c>
      <c r="AE336" s="6">
        <f>$K$336*$Y$336</f>
        <v>0</v>
      </c>
      <c r="AF336" s="6">
        <f ca="1">$M$336*$Z$336</f>
        <v>1327.1306011339573</v>
      </c>
      <c r="AG336" s="6">
        <f>$O$336*$AA$336</f>
        <v>285.40254966852615</v>
      </c>
    </row>
    <row r="337" spans="1:33" ht="11.25" customHeight="1" x14ac:dyDescent="0.25">
      <c r="A337" s="4" t="s">
        <v>21</v>
      </c>
      <c r="B337" s="4" t="s">
        <v>41</v>
      </c>
      <c r="C337" s="4" t="s">
        <v>43</v>
      </c>
      <c r="D337" s="4" t="s">
        <v>53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44713</v>
      </c>
      <c r="J337" s="6">
        <v>0</v>
      </c>
      <c r="K337" s="6">
        <v>0</v>
      </c>
      <c r="L337" s="6">
        <v>0.999</v>
      </c>
      <c r="M337" s="6">
        <v>0.999</v>
      </c>
      <c r="N337" s="6">
        <v>0.999</v>
      </c>
      <c r="O337" s="6">
        <v>0.999</v>
      </c>
      <c r="P337" s="6">
        <v>0</v>
      </c>
      <c r="Q337" s="4" t="s">
        <v>26</v>
      </c>
      <c r="R337" s="4">
        <v>0</v>
      </c>
      <c r="S337" s="6">
        <v>0</v>
      </c>
      <c r="T337" s="6">
        <v>5</v>
      </c>
      <c r="U337" s="6">
        <v>75</v>
      </c>
      <c r="V337" s="6">
        <f>IF(ISERROR(VLOOKUP($S$337,'TAR FIN'!$A$1:$O$108,15,0)),0,VLOOKUP($S$337,'TAR FIN'!$A$1:$O$108,15,0))</f>
        <v>0</v>
      </c>
      <c r="W337" s="6">
        <f>IF(ISERROR(VLOOKUP($T$337,'TAR FIN'!$A$1:$O$108,15,0)),0,VLOOKUP($T$337,'TAR FIN'!$A$1:$O$108,15,0))</f>
        <v>1454.96</v>
      </c>
      <c r="X337" s="6">
        <f>IF(ISERROR(VLOOKUP($U$337,'TAR FIN'!$A$1:$O$108,15,0)),0,VLOOKUP($U$337,'TAR FIN'!$A$1:$O$108,15,0))</f>
        <v>159.43</v>
      </c>
      <c r="Y337" s="6"/>
      <c r="Z337" s="6">
        <f ca="1">('TUSD BE'!$AM$27+'TUSD BF'!$AM$27+'TUSD CVA'!$AM$27)*1</f>
        <v>1497.8900689999518</v>
      </c>
      <c r="AA337" s="6">
        <f>('TE BE'!$AB$10+'TE BF'!$AB$10+'TE CVA'!$AB$10)*1</f>
        <v>322.12477389224171</v>
      </c>
      <c r="AB337" s="6">
        <f>$K$337*$V$337</f>
        <v>0</v>
      </c>
      <c r="AC337" s="6">
        <f>$M$337*$W$337</f>
        <v>1453.50504</v>
      </c>
      <c r="AD337" s="6">
        <f>$O$337*$X$337</f>
        <v>159.27057000000002</v>
      </c>
      <c r="AE337" s="6">
        <f>$K$337*$Y$337</f>
        <v>0</v>
      </c>
      <c r="AF337" s="6">
        <f ca="1">$M$337*$Z$337</f>
        <v>1496.3921789309518</v>
      </c>
      <c r="AG337" s="6">
        <f>$O$337*$AA$337</f>
        <v>321.80264911834945</v>
      </c>
    </row>
    <row r="338" spans="1:33" ht="11.25" customHeight="1" x14ac:dyDescent="0.25">
      <c r="A338" s="4" t="s">
        <v>21</v>
      </c>
      <c r="B338" s="4" t="s">
        <v>41</v>
      </c>
      <c r="C338" s="4" t="s">
        <v>43</v>
      </c>
      <c r="D338" s="4" t="s">
        <v>53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44743</v>
      </c>
      <c r="J338" s="6">
        <v>0</v>
      </c>
      <c r="K338" s="6">
        <v>0</v>
      </c>
      <c r="L338" s="6">
        <v>0.441</v>
      </c>
      <c r="M338" s="6">
        <v>0.441</v>
      </c>
      <c r="N338" s="6">
        <v>0.441</v>
      </c>
      <c r="O338" s="6">
        <v>0.441</v>
      </c>
      <c r="P338" s="6">
        <v>0</v>
      </c>
      <c r="Q338" s="4" t="s">
        <v>26</v>
      </c>
      <c r="R338" s="4">
        <v>0</v>
      </c>
      <c r="S338" s="6">
        <v>0</v>
      </c>
      <c r="T338" s="6">
        <v>5</v>
      </c>
      <c r="U338" s="6">
        <v>75</v>
      </c>
      <c r="V338" s="6">
        <f>IF(ISERROR(VLOOKUP($S$338,'TAR FIN'!$A$1:$O$108,15,0)),0,VLOOKUP($S$338,'TAR FIN'!$A$1:$O$108,15,0))</f>
        <v>0</v>
      </c>
      <c r="W338" s="6">
        <f>IF(ISERROR(VLOOKUP($T$338,'TAR FIN'!$A$1:$O$108,15,0)),0,VLOOKUP($T$338,'TAR FIN'!$A$1:$O$108,15,0))</f>
        <v>1454.96</v>
      </c>
      <c r="X338" s="6">
        <f>IF(ISERROR(VLOOKUP($U$338,'TAR FIN'!$A$1:$O$108,15,0)),0,VLOOKUP($U$338,'TAR FIN'!$A$1:$O$108,15,0))</f>
        <v>159.43</v>
      </c>
      <c r="Y338" s="6"/>
      <c r="Z338" s="6">
        <f ca="1">('TUSD BE'!$AM$27+'TUSD BF'!$AM$27+'TUSD CVA'!$AM$27)*1</f>
        <v>1497.8900689999518</v>
      </c>
      <c r="AA338" s="6">
        <f>('TE BE'!$AB$10+'TE BF'!$AB$10+'TE CVA'!$AB$10)*1</f>
        <v>322.12477389224171</v>
      </c>
      <c r="AB338" s="6">
        <f>$K$338*$V$338</f>
        <v>0</v>
      </c>
      <c r="AC338" s="6">
        <f>$M$338*$W$338</f>
        <v>641.63736000000006</v>
      </c>
      <c r="AD338" s="6">
        <f>$O$338*$X$338</f>
        <v>70.308630000000008</v>
      </c>
      <c r="AE338" s="6">
        <f>$K$338*$Y$338</f>
        <v>0</v>
      </c>
      <c r="AF338" s="6">
        <f ca="1">$M$338*$Z$338</f>
        <v>660.56952042897876</v>
      </c>
      <c r="AG338" s="6">
        <f>$O$338*$AA$338</f>
        <v>142.05702528647859</v>
      </c>
    </row>
    <row r="339" spans="1:33" ht="11.25" customHeight="1" x14ac:dyDescent="0.25">
      <c r="A339" s="4" t="s">
        <v>21</v>
      </c>
      <c r="B339" s="4" t="s">
        <v>41</v>
      </c>
      <c r="C339" s="4" t="s">
        <v>43</v>
      </c>
      <c r="D339" s="4" t="s">
        <v>53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44774</v>
      </c>
      <c r="J339" s="6">
        <v>0</v>
      </c>
      <c r="K339" s="6">
        <v>0</v>
      </c>
      <c r="L339" s="6">
        <v>0.57899999999999996</v>
      </c>
      <c r="M339" s="6">
        <v>0.57899999999999996</v>
      </c>
      <c r="N339" s="6">
        <v>0.57899999999999996</v>
      </c>
      <c r="O339" s="6">
        <v>0.57899999999999996</v>
      </c>
      <c r="P339" s="6">
        <v>0</v>
      </c>
      <c r="Q339" s="4" t="s">
        <v>26</v>
      </c>
      <c r="R339" s="4">
        <v>0</v>
      </c>
      <c r="S339" s="6">
        <v>0</v>
      </c>
      <c r="T339" s="6">
        <v>5</v>
      </c>
      <c r="U339" s="6">
        <v>75</v>
      </c>
      <c r="V339" s="6">
        <f>IF(ISERROR(VLOOKUP($S$339,'TAR FIN'!$A$1:$O$108,15,0)),0,VLOOKUP($S$339,'TAR FIN'!$A$1:$O$108,15,0))</f>
        <v>0</v>
      </c>
      <c r="W339" s="6">
        <f>IF(ISERROR(VLOOKUP($T$339,'TAR FIN'!$A$1:$O$108,15,0)),0,VLOOKUP($T$339,'TAR FIN'!$A$1:$O$108,15,0))</f>
        <v>1454.96</v>
      </c>
      <c r="X339" s="6">
        <f>IF(ISERROR(VLOOKUP($U$339,'TAR FIN'!$A$1:$O$108,15,0)),0,VLOOKUP($U$339,'TAR FIN'!$A$1:$O$108,15,0))</f>
        <v>159.43</v>
      </c>
      <c r="Y339" s="6"/>
      <c r="Z339" s="6">
        <f ca="1">('TUSD BE'!$AM$27+'TUSD BF'!$AM$27+'TUSD CVA'!$AM$27)*1</f>
        <v>1497.8900689999518</v>
      </c>
      <c r="AA339" s="6">
        <f>('TE BE'!$AB$10+'TE BF'!$AB$10+'TE CVA'!$AB$10)*1</f>
        <v>322.12477389224171</v>
      </c>
      <c r="AB339" s="6">
        <f>$K$339*$V$339</f>
        <v>0</v>
      </c>
      <c r="AC339" s="6">
        <f>$M$339*$W$339</f>
        <v>842.42183999999997</v>
      </c>
      <c r="AD339" s="6">
        <f>$O$339*$X$339</f>
        <v>92.309969999999993</v>
      </c>
      <c r="AE339" s="6">
        <f>$K$339*$Y$339</f>
        <v>0</v>
      </c>
      <c r="AF339" s="6">
        <f ca="1">$M$339*$Z$339</f>
        <v>867.27834995097203</v>
      </c>
      <c r="AG339" s="6">
        <f>$O$339*$AA$339</f>
        <v>186.51024408360794</v>
      </c>
    </row>
    <row r="340" spans="1:33" ht="11.25" customHeight="1" x14ac:dyDescent="0.25">
      <c r="A340" s="4" t="s">
        <v>21</v>
      </c>
      <c r="B340" s="4" t="s">
        <v>41</v>
      </c>
      <c r="C340" s="4" t="s">
        <v>43</v>
      </c>
      <c r="D340" s="4" t="s">
        <v>53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44805</v>
      </c>
      <c r="J340" s="6">
        <v>0</v>
      </c>
      <c r="K340" s="6">
        <v>0</v>
      </c>
      <c r="L340" s="6">
        <v>0.45400000000000001</v>
      </c>
      <c r="M340" s="6">
        <v>0.45400000000000001</v>
      </c>
      <c r="N340" s="6">
        <v>0.45400000000000001</v>
      </c>
      <c r="O340" s="6">
        <v>0.45400000000000001</v>
      </c>
      <c r="P340" s="6">
        <v>0</v>
      </c>
      <c r="Q340" s="4" t="s">
        <v>26</v>
      </c>
      <c r="R340" s="4">
        <v>0</v>
      </c>
      <c r="S340" s="6">
        <v>0</v>
      </c>
      <c r="T340" s="6">
        <v>5</v>
      </c>
      <c r="U340" s="6">
        <v>75</v>
      </c>
      <c r="V340" s="6">
        <f>IF(ISERROR(VLOOKUP($S$340,'TAR FIN'!$A$1:$O$108,15,0)),0,VLOOKUP($S$340,'TAR FIN'!$A$1:$O$108,15,0))</f>
        <v>0</v>
      </c>
      <c r="W340" s="6">
        <f>IF(ISERROR(VLOOKUP($T$340,'TAR FIN'!$A$1:$O$108,15,0)),0,VLOOKUP($T$340,'TAR FIN'!$A$1:$O$108,15,0))</f>
        <v>1454.96</v>
      </c>
      <c r="X340" s="6">
        <f>IF(ISERROR(VLOOKUP($U$340,'TAR FIN'!$A$1:$O$108,15,0)),0,VLOOKUP($U$340,'TAR FIN'!$A$1:$O$108,15,0))</f>
        <v>159.43</v>
      </c>
      <c r="Y340" s="6"/>
      <c r="Z340" s="6">
        <f ca="1">('TUSD BE'!$AM$27+'TUSD BF'!$AM$27+'TUSD CVA'!$AM$27)*1</f>
        <v>1497.8900689999518</v>
      </c>
      <c r="AA340" s="6">
        <f>('TE BE'!$AB$10+'TE BF'!$AB$10+'TE CVA'!$AB$10)*1</f>
        <v>322.12477389224171</v>
      </c>
      <c r="AB340" s="6">
        <f>$K$340*$V$340</f>
        <v>0</v>
      </c>
      <c r="AC340" s="6">
        <f>$M$340*$W$340</f>
        <v>660.55184000000008</v>
      </c>
      <c r="AD340" s="6">
        <f>$O$340*$X$340</f>
        <v>72.381219999999999</v>
      </c>
      <c r="AE340" s="6">
        <f>$K$340*$Y$340</f>
        <v>0</v>
      </c>
      <c r="AF340" s="6">
        <f ca="1">$M$340*$Z$340</f>
        <v>680.04209132597816</v>
      </c>
      <c r="AG340" s="6">
        <f>$O$340*$AA$340</f>
        <v>146.24464734707774</v>
      </c>
    </row>
    <row r="341" spans="1:33" ht="11.25" customHeight="1" x14ac:dyDescent="0.25">
      <c r="A341" s="4" t="s">
        <v>21</v>
      </c>
      <c r="B341" s="4" t="s">
        <v>41</v>
      </c>
      <c r="C341" s="4" t="s">
        <v>43</v>
      </c>
      <c r="D341" s="4" t="s">
        <v>53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44835</v>
      </c>
      <c r="J341" s="6">
        <v>0</v>
      </c>
      <c r="K341" s="6">
        <v>0</v>
      </c>
      <c r="L341" s="6">
        <v>0.51500000000000001</v>
      </c>
      <c r="M341" s="6">
        <v>0.51500000000000001</v>
      </c>
      <c r="N341" s="6">
        <v>0.51500000000000001</v>
      </c>
      <c r="O341" s="6">
        <v>0.51500000000000001</v>
      </c>
      <c r="P341" s="6">
        <v>0</v>
      </c>
      <c r="Q341" s="4" t="s">
        <v>26</v>
      </c>
      <c r="R341" s="4">
        <v>0</v>
      </c>
      <c r="S341" s="6">
        <v>0</v>
      </c>
      <c r="T341" s="6">
        <v>5</v>
      </c>
      <c r="U341" s="6">
        <v>75</v>
      </c>
      <c r="V341" s="6">
        <f>IF(ISERROR(VLOOKUP($S$341,'TAR FIN'!$A$1:$O$108,15,0)),0,VLOOKUP($S$341,'TAR FIN'!$A$1:$O$108,15,0))</f>
        <v>0</v>
      </c>
      <c r="W341" s="6">
        <f>IF(ISERROR(VLOOKUP($T$341,'TAR FIN'!$A$1:$O$108,15,0)),0,VLOOKUP($T$341,'TAR FIN'!$A$1:$O$108,15,0))</f>
        <v>1454.96</v>
      </c>
      <c r="X341" s="6">
        <f>IF(ISERROR(VLOOKUP($U$341,'TAR FIN'!$A$1:$O$108,15,0)),0,VLOOKUP($U$341,'TAR FIN'!$A$1:$O$108,15,0))</f>
        <v>159.43</v>
      </c>
      <c r="Y341" s="6"/>
      <c r="Z341" s="6">
        <f ca="1">('TUSD BE'!$AM$27+'TUSD BF'!$AM$27+'TUSD CVA'!$AM$27)*1</f>
        <v>1497.8900689999518</v>
      </c>
      <c r="AA341" s="6">
        <f>('TE BE'!$AB$10+'TE BF'!$AB$10+'TE CVA'!$AB$10)*1</f>
        <v>322.12477389224171</v>
      </c>
      <c r="AB341" s="6">
        <f>$K$341*$V$341</f>
        <v>0</v>
      </c>
      <c r="AC341" s="6">
        <f>$M$341*$W$341</f>
        <v>749.30439999999999</v>
      </c>
      <c r="AD341" s="6">
        <f>$O$341*$X$341</f>
        <v>82.106450000000009</v>
      </c>
      <c r="AE341" s="6">
        <f>$K$341*$Y$341</f>
        <v>0</v>
      </c>
      <c r="AF341" s="6">
        <f ca="1">$M$341*$Z$341</f>
        <v>771.41338553497519</v>
      </c>
      <c r="AG341" s="6">
        <f>$O$341*$AA$341</f>
        <v>165.89425855450449</v>
      </c>
    </row>
    <row r="342" spans="1:33" ht="11.25" customHeight="1" x14ac:dyDescent="0.25">
      <c r="A342" s="4" t="s">
        <v>54</v>
      </c>
      <c r="B342" s="4" t="s">
        <v>41</v>
      </c>
      <c r="C342" s="4" t="s">
        <v>43</v>
      </c>
      <c r="D342" s="4" t="s">
        <v>53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44866</v>
      </c>
      <c r="J342" s="6">
        <v>0</v>
      </c>
      <c r="K342" s="6">
        <v>0</v>
      </c>
      <c r="L342" s="6">
        <v>0.51500000000000001</v>
      </c>
      <c r="M342" s="6">
        <v>0.51500000000000001</v>
      </c>
      <c r="N342" s="6">
        <v>0.51500000000000001</v>
      </c>
      <c r="O342" s="6">
        <v>0.51500000000000001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5</v>
      </c>
      <c r="U342" s="6">
        <v>75</v>
      </c>
      <c r="V342" s="6">
        <f>IF(ISERROR(VLOOKUP($S$342,'TAR FIN'!$A$1:$O$108,15,0)),0,VLOOKUP($S$342,'TAR FIN'!$A$1:$O$108,15,0))</f>
        <v>0</v>
      </c>
      <c r="W342" s="6">
        <f>IF(ISERROR(VLOOKUP($T$342,'TAR FIN'!$A$1:$O$108,15,0)),0,VLOOKUP($T$342,'TAR FIN'!$A$1:$O$108,15,0))</f>
        <v>1454.96</v>
      </c>
      <c r="X342" s="6">
        <f>IF(ISERROR(VLOOKUP($U$342,'TAR FIN'!$A$1:$O$108,15,0)),0,VLOOKUP($U$342,'TAR FIN'!$A$1:$O$108,15,0))</f>
        <v>159.43</v>
      </c>
      <c r="Y342" s="6"/>
      <c r="Z342" s="6">
        <f ca="1">('TUSD BE'!$AM$27+'TUSD BF'!$AM$27+'TUSD CVA'!$AM$27)*1</f>
        <v>1497.8900689999518</v>
      </c>
      <c r="AA342" s="6">
        <f>('TE BE'!$AB$10+'TE BF'!$AB$10+'TE CVA'!$AB$10)*1</f>
        <v>322.12477389224171</v>
      </c>
      <c r="AB342" s="6">
        <f>$K$342*$V$342</f>
        <v>0</v>
      </c>
      <c r="AC342" s="6">
        <f>$M$342*$W$342</f>
        <v>749.30439999999999</v>
      </c>
      <c r="AD342" s="6">
        <f>$O$342*$X$342</f>
        <v>82.106450000000009</v>
      </c>
      <c r="AE342" s="6">
        <f>$K$342*$Y$342</f>
        <v>0</v>
      </c>
      <c r="AF342" s="6">
        <f ca="1">$M$342*$Z$342</f>
        <v>771.41338553497519</v>
      </c>
      <c r="AG342" s="6">
        <f>$O$342*$AA$342</f>
        <v>165.89425855450449</v>
      </c>
    </row>
    <row r="343" spans="1:33" ht="11.25" customHeight="1" x14ac:dyDescent="0.25">
      <c r="A343" s="4" t="s">
        <v>21</v>
      </c>
      <c r="B343" s="4" t="s">
        <v>41</v>
      </c>
      <c r="C343" s="4" t="s">
        <v>43</v>
      </c>
      <c r="D343" s="4" t="s">
        <v>38</v>
      </c>
      <c r="E343" s="4" t="s">
        <v>25</v>
      </c>
      <c r="F343" s="4" t="s">
        <v>55</v>
      </c>
      <c r="G343" s="4" t="s">
        <v>25</v>
      </c>
      <c r="H343" s="4" t="s">
        <v>35</v>
      </c>
      <c r="I343" s="5">
        <v>44531</v>
      </c>
      <c r="J343" s="6">
        <v>0</v>
      </c>
      <c r="K343" s="6">
        <v>0</v>
      </c>
      <c r="L343" s="6">
        <v>705.88300000000004</v>
      </c>
      <c r="M343" s="6">
        <v>705.88300000000004</v>
      </c>
      <c r="N343" s="6">
        <v>0</v>
      </c>
      <c r="O343" s="6">
        <v>0</v>
      </c>
      <c r="P343" s="6">
        <v>0</v>
      </c>
      <c r="Q343" s="4" t="s">
        <v>56</v>
      </c>
      <c r="R343" s="4">
        <v>0</v>
      </c>
      <c r="S343" s="6">
        <v>0</v>
      </c>
      <c r="T343" s="6">
        <v>7</v>
      </c>
      <c r="U343" s="6">
        <v>0</v>
      </c>
      <c r="V343" s="6">
        <f>IF(ISERROR(VLOOKUP($S$343,'TAR FIN'!$A$1:$O$108,15,0)),0,VLOOKUP($S$343,'TAR FIN'!$A$1:$O$108,15,0))</f>
        <v>0</v>
      </c>
      <c r="W343" s="6">
        <f>IF(ISERROR(VLOOKUP($T$343,'TAR FIN'!$A$1:$O$108,15,0)),0,VLOOKUP($T$343,'TAR FIN'!$A$1:$O$108,15,0))</f>
        <v>102.62</v>
      </c>
      <c r="X343" s="6">
        <f>IF(ISERROR(VLOOKUP($U$343,'TAR FIN'!$A$1:$O$108,15,0)),0,VLOOKUP($U$343,'TAR FIN'!$A$1:$O$108,15,0))</f>
        <v>0</v>
      </c>
      <c r="Y343" s="6"/>
      <c r="Z343" s="6">
        <f ca="1">('TUSD BE'!$AM$28+'TUSD BF'!$AM$28+'TUSD CVA'!$AM$28)*1</f>
        <v>181.47641369790719</v>
      </c>
      <c r="AA343" s="6"/>
      <c r="AB343" s="6">
        <f>$K$343*$V$343</f>
        <v>0</v>
      </c>
      <c r="AC343" s="6">
        <f>$M$343*$W$343</f>
        <v>72437.713460000014</v>
      </c>
      <c r="AD343" s="6">
        <f>$O$343*$X$343</f>
        <v>0</v>
      </c>
      <c r="AE343" s="6">
        <f>$K$343*$Y$343</f>
        <v>0</v>
      </c>
      <c r="AF343" s="6">
        <f ca="1">$M$343*$Z$343</f>
        <v>128101.11533031982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41</v>
      </c>
      <c r="C344" s="4" t="s">
        <v>43</v>
      </c>
      <c r="D344" s="4" t="s">
        <v>38</v>
      </c>
      <c r="E344" s="4" t="s">
        <v>25</v>
      </c>
      <c r="F344" s="4" t="s">
        <v>55</v>
      </c>
      <c r="G344" s="4" t="s">
        <v>25</v>
      </c>
      <c r="H344" s="4" t="s">
        <v>35</v>
      </c>
      <c r="I344" s="5">
        <v>44562</v>
      </c>
      <c r="J344" s="6">
        <v>0</v>
      </c>
      <c r="K344" s="6">
        <v>0</v>
      </c>
      <c r="L344" s="6">
        <v>66.093000000000004</v>
      </c>
      <c r="M344" s="6">
        <v>66.093000000000004</v>
      </c>
      <c r="N344" s="6">
        <v>0</v>
      </c>
      <c r="O344" s="6">
        <v>0</v>
      </c>
      <c r="P344" s="6">
        <v>0</v>
      </c>
      <c r="Q344" s="4" t="s">
        <v>56</v>
      </c>
      <c r="R344" s="4">
        <v>0</v>
      </c>
      <c r="S344" s="6">
        <v>0</v>
      </c>
      <c r="T344" s="6">
        <v>7</v>
      </c>
      <c r="U344" s="6">
        <v>0</v>
      </c>
      <c r="V344" s="6">
        <f>IF(ISERROR(VLOOKUP($S$344,'TAR FIN'!$A$1:$O$108,15,0)),0,VLOOKUP($S$344,'TAR FIN'!$A$1:$O$108,15,0))</f>
        <v>0</v>
      </c>
      <c r="W344" s="6">
        <f>IF(ISERROR(VLOOKUP($T$344,'TAR FIN'!$A$1:$O$108,15,0)),0,VLOOKUP($T$344,'TAR FIN'!$A$1:$O$108,15,0))</f>
        <v>102.62</v>
      </c>
      <c r="X344" s="6">
        <f>IF(ISERROR(VLOOKUP($U$344,'TAR FIN'!$A$1:$O$108,15,0)),0,VLOOKUP($U$344,'TAR FIN'!$A$1:$O$108,15,0))</f>
        <v>0</v>
      </c>
      <c r="Y344" s="6"/>
      <c r="Z344" s="6">
        <f ca="1">('TUSD BE'!$AM$28+'TUSD BF'!$AM$28+'TUSD CVA'!$AM$28)*1</f>
        <v>181.47641369790719</v>
      </c>
      <c r="AA344" s="6"/>
      <c r="AB344" s="6">
        <f>$K$344*$V$344</f>
        <v>0</v>
      </c>
      <c r="AC344" s="6">
        <f>$M$344*$W$344</f>
        <v>6782.4636600000003</v>
      </c>
      <c r="AD344" s="6">
        <f>$O$344*$X$344</f>
        <v>0</v>
      </c>
      <c r="AE344" s="6">
        <f>$K$344*$Y$344</f>
        <v>0</v>
      </c>
      <c r="AF344" s="6">
        <f ca="1">$M$344*$Z$344</f>
        <v>11994.32061053578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41</v>
      </c>
      <c r="C345" s="4" t="s">
        <v>43</v>
      </c>
      <c r="D345" s="4" t="s">
        <v>38</v>
      </c>
      <c r="E345" s="4" t="s">
        <v>25</v>
      </c>
      <c r="F345" s="4" t="s">
        <v>55</v>
      </c>
      <c r="G345" s="4" t="s">
        <v>25</v>
      </c>
      <c r="H345" s="4" t="s">
        <v>35</v>
      </c>
      <c r="I345" s="5">
        <v>44593</v>
      </c>
      <c r="J345" s="6">
        <v>0</v>
      </c>
      <c r="K345" s="6">
        <v>0</v>
      </c>
      <c r="L345" s="6">
        <v>71.325999999999993</v>
      </c>
      <c r="M345" s="6">
        <v>71.325999999999993</v>
      </c>
      <c r="N345" s="6">
        <v>0</v>
      </c>
      <c r="O345" s="6">
        <v>0</v>
      </c>
      <c r="P345" s="6">
        <v>0</v>
      </c>
      <c r="Q345" s="4" t="s">
        <v>56</v>
      </c>
      <c r="R345" s="4">
        <v>0</v>
      </c>
      <c r="S345" s="6">
        <v>0</v>
      </c>
      <c r="T345" s="6">
        <v>7</v>
      </c>
      <c r="U345" s="6">
        <v>0</v>
      </c>
      <c r="V345" s="6">
        <f>IF(ISERROR(VLOOKUP($S$345,'TAR FIN'!$A$1:$O$108,15,0)),0,VLOOKUP($S$345,'TAR FIN'!$A$1:$O$108,15,0))</f>
        <v>0</v>
      </c>
      <c r="W345" s="6">
        <f>IF(ISERROR(VLOOKUP($T$345,'TAR FIN'!$A$1:$O$108,15,0)),0,VLOOKUP($T$345,'TAR FIN'!$A$1:$O$108,15,0))</f>
        <v>102.62</v>
      </c>
      <c r="X345" s="6">
        <f>IF(ISERROR(VLOOKUP($U$345,'TAR FIN'!$A$1:$O$108,15,0)),0,VLOOKUP($U$345,'TAR FIN'!$A$1:$O$108,15,0))</f>
        <v>0</v>
      </c>
      <c r="Y345" s="6"/>
      <c r="Z345" s="6">
        <f ca="1">('TUSD BE'!$AM$28+'TUSD BF'!$AM$28+'TUSD CVA'!$AM$28)*1</f>
        <v>181.47641369790719</v>
      </c>
      <c r="AA345" s="6"/>
      <c r="AB345" s="6">
        <f>$K$345*$V$345</f>
        <v>0</v>
      </c>
      <c r="AC345" s="6">
        <f>$M$345*$W$345</f>
        <v>7319.4741199999999</v>
      </c>
      <c r="AD345" s="6">
        <f>$O$345*$X$345</f>
        <v>0</v>
      </c>
      <c r="AE345" s="6">
        <f>$K$345*$Y$345</f>
        <v>0</v>
      </c>
      <c r="AF345" s="6">
        <f ca="1">$M$345*$Z$345</f>
        <v>12943.986683416928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41</v>
      </c>
      <c r="C346" s="4" t="s">
        <v>43</v>
      </c>
      <c r="D346" s="4" t="s">
        <v>38</v>
      </c>
      <c r="E346" s="4" t="s">
        <v>25</v>
      </c>
      <c r="F346" s="4" t="s">
        <v>55</v>
      </c>
      <c r="G346" s="4" t="s">
        <v>25</v>
      </c>
      <c r="H346" s="4" t="s">
        <v>35</v>
      </c>
      <c r="I346" s="5">
        <v>44621</v>
      </c>
      <c r="J346" s="6">
        <v>0</v>
      </c>
      <c r="K346" s="6">
        <v>0</v>
      </c>
      <c r="L346" s="6">
        <v>87.573999999999998</v>
      </c>
      <c r="M346" s="6">
        <v>87.573999999999998</v>
      </c>
      <c r="N346" s="6">
        <v>0</v>
      </c>
      <c r="O346" s="6">
        <v>0</v>
      </c>
      <c r="P346" s="6">
        <v>0</v>
      </c>
      <c r="Q346" s="4" t="s">
        <v>56</v>
      </c>
      <c r="R346" s="4">
        <v>0</v>
      </c>
      <c r="S346" s="6">
        <v>0</v>
      </c>
      <c r="T346" s="6">
        <v>7</v>
      </c>
      <c r="U346" s="6">
        <v>0</v>
      </c>
      <c r="V346" s="6">
        <f>IF(ISERROR(VLOOKUP($S$346,'TAR FIN'!$A$1:$O$108,15,0)),0,VLOOKUP($S$346,'TAR FIN'!$A$1:$O$108,15,0))</f>
        <v>0</v>
      </c>
      <c r="W346" s="6">
        <f>IF(ISERROR(VLOOKUP($T$346,'TAR FIN'!$A$1:$O$108,15,0)),0,VLOOKUP($T$346,'TAR FIN'!$A$1:$O$108,15,0))</f>
        <v>102.62</v>
      </c>
      <c r="X346" s="6">
        <f>IF(ISERROR(VLOOKUP($U$346,'TAR FIN'!$A$1:$O$108,15,0)),0,VLOOKUP($U$346,'TAR FIN'!$A$1:$O$108,15,0))</f>
        <v>0</v>
      </c>
      <c r="Y346" s="6"/>
      <c r="Z346" s="6">
        <f ca="1">('TUSD BE'!$AM$28+'TUSD BF'!$AM$28+'TUSD CVA'!$AM$28)*1</f>
        <v>181.47641369790719</v>
      </c>
      <c r="AA346" s="6"/>
      <c r="AB346" s="6">
        <f>$K$346*$V$346</f>
        <v>0</v>
      </c>
      <c r="AC346" s="6">
        <f>$M$346*$W$346</f>
        <v>8986.8438800000004</v>
      </c>
      <c r="AD346" s="6">
        <f>$O$346*$X$346</f>
        <v>0</v>
      </c>
      <c r="AE346" s="6">
        <f>$K$346*$Y$346</f>
        <v>0</v>
      </c>
      <c r="AF346" s="6">
        <f ca="1">$M$346*$Z$346</f>
        <v>15892.615453180524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41</v>
      </c>
      <c r="C347" s="4" t="s">
        <v>43</v>
      </c>
      <c r="D347" s="4" t="s">
        <v>38</v>
      </c>
      <c r="E347" s="4" t="s">
        <v>25</v>
      </c>
      <c r="F347" s="4" t="s">
        <v>55</v>
      </c>
      <c r="G347" s="4" t="s">
        <v>25</v>
      </c>
      <c r="H347" s="4" t="s">
        <v>35</v>
      </c>
      <c r="I347" s="5">
        <v>44652</v>
      </c>
      <c r="J347" s="6">
        <v>0</v>
      </c>
      <c r="K347" s="6">
        <v>0</v>
      </c>
      <c r="L347" s="6">
        <v>112.223</v>
      </c>
      <c r="M347" s="6">
        <v>112.223</v>
      </c>
      <c r="N347" s="6">
        <v>0</v>
      </c>
      <c r="O347" s="6">
        <v>0</v>
      </c>
      <c r="P347" s="6">
        <v>0</v>
      </c>
      <c r="Q347" s="4" t="s">
        <v>56</v>
      </c>
      <c r="R347" s="4">
        <v>0</v>
      </c>
      <c r="S347" s="6">
        <v>0</v>
      </c>
      <c r="T347" s="6">
        <v>7</v>
      </c>
      <c r="U347" s="6">
        <v>0</v>
      </c>
      <c r="V347" s="6">
        <f>IF(ISERROR(VLOOKUP($S$347,'TAR FIN'!$A$1:$O$108,15,0)),0,VLOOKUP($S$347,'TAR FIN'!$A$1:$O$108,15,0))</f>
        <v>0</v>
      </c>
      <c r="W347" s="6">
        <f>IF(ISERROR(VLOOKUP($T$347,'TAR FIN'!$A$1:$O$108,15,0)),0,VLOOKUP($T$347,'TAR FIN'!$A$1:$O$108,15,0))</f>
        <v>102.62</v>
      </c>
      <c r="X347" s="6">
        <f>IF(ISERROR(VLOOKUP($U$347,'TAR FIN'!$A$1:$O$108,15,0)),0,VLOOKUP($U$347,'TAR FIN'!$A$1:$O$108,15,0))</f>
        <v>0</v>
      </c>
      <c r="Y347" s="6"/>
      <c r="Z347" s="6">
        <f ca="1">('TUSD BE'!$AM$28+'TUSD BF'!$AM$28+'TUSD CVA'!$AM$28)*1</f>
        <v>181.47641369790719</v>
      </c>
      <c r="AA347" s="6"/>
      <c r="AB347" s="6">
        <f>$K$347*$V$347</f>
        <v>0</v>
      </c>
      <c r="AC347" s="6">
        <f>$M$347*$W$347</f>
        <v>11516.324260000001</v>
      </c>
      <c r="AD347" s="6">
        <f>$O$347*$X$347</f>
        <v>0</v>
      </c>
      <c r="AE347" s="6">
        <f>$K$347*$Y$347</f>
        <v>0</v>
      </c>
      <c r="AF347" s="6">
        <f ca="1">$M$347*$Z$347</f>
        <v>20365.82757442024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41</v>
      </c>
      <c r="C348" s="4" t="s">
        <v>43</v>
      </c>
      <c r="D348" s="4" t="s">
        <v>38</v>
      </c>
      <c r="E348" s="4" t="s">
        <v>25</v>
      </c>
      <c r="F348" s="4" t="s">
        <v>55</v>
      </c>
      <c r="G348" s="4" t="s">
        <v>25</v>
      </c>
      <c r="H348" s="4" t="s">
        <v>35</v>
      </c>
      <c r="I348" s="5">
        <v>44682</v>
      </c>
      <c r="J348" s="6">
        <v>0</v>
      </c>
      <c r="K348" s="6">
        <v>0</v>
      </c>
      <c r="L348" s="6">
        <v>131.78</v>
      </c>
      <c r="M348" s="6">
        <v>131.78</v>
      </c>
      <c r="N348" s="6">
        <v>0</v>
      </c>
      <c r="O348" s="6">
        <v>0</v>
      </c>
      <c r="P348" s="6">
        <v>0</v>
      </c>
      <c r="Q348" s="4" t="s">
        <v>56</v>
      </c>
      <c r="R348" s="4">
        <v>0</v>
      </c>
      <c r="S348" s="6">
        <v>0</v>
      </c>
      <c r="T348" s="6">
        <v>7</v>
      </c>
      <c r="U348" s="6">
        <v>0</v>
      </c>
      <c r="V348" s="6">
        <f>IF(ISERROR(VLOOKUP($S$348,'TAR FIN'!$A$1:$O$108,15,0)),0,VLOOKUP($S$348,'TAR FIN'!$A$1:$O$108,15,0))</f>
        <v>0</v>
      </c>
      <c r="W348" s="6">
        <f>IF(ISERROR(VLOOKUP($T$348,'TAR FIN'!$A$1:$O$108,15,0)),0,VLOOKUP($T$348,'TAR FIN'!$A$1:$O$108,15,0))</f>
        <v>102.62</v>
      </c>
      <c r="X348" s="6">
        <f>IF(ISERROR(VLOOKUP($U$348,'TAR FIN'!$A$1:$O$108,15,0)),0,VLOOKUP($U$348,'TAR FIN'!$A$1:$O$108,15,0))</f>
        <v>0</v>
      </c>
      <c r="Y348" s="6"/>
      <c r="Z348" s="6">
        <f ca="1">('TUSD BE'!$AM$28+'TUSD BF'!$AM$28+'TUSD CVA'!$AM$28)*1</f>
        <v>181.47641369790719</v>
      </c>
      <c r="AA348" s="6"/>
      <c r="AB348" s="6">
        <f>$K$348*$V$348</f>
        <v>0</v>
      </c>
      <c r="AC348" s="6">
        <f>$M$348*$W$348</f>
        <v>13523.2636</v>
      </c>
      <c r="AD348" s="6">
        <f>$O$348*$X$348</f>
        <v>0</v>
      </c>
      <c r="AE348" s="6">
        <f>$K$348*$Y$348</f>
        <v>0</v>
      </c>
      <c r="AF348" s="6">
        <f ca="1">$M$348*$Z$348</f>
        <v>23914.961797110209</v>
      </c>
      <c r="AG348" s="6">
        <f>$O$348*$AA$348</f>
        <v>0</v>
      </c>
    </row>
    <row r="349" spans="1:33" ht="11.25" customHeight="1" x14ac:dyDescent="0.25">
      <c r="A349" s="4" t="s">
        <v>21</v>
      </c>
      <c r="B349" s="4" t="s">
        <v>41</v>
      </c>
      <c r="C349" s="4" t="s">
        <v>43</v>
      </c>
      <c r="D349" s="4" t="s">
        <v>38</v>
      </c>
      <c r="E349" s="4" t="s">
        <v>25</v>
      </c>
      <c r="F349" s="4" t="s">
        <v>55</v>
      </c>
      <c r="G349" s="4" t="s">
        <v>25</v>
      </c>
      <c r="H349" s="4" t="s">
        <v>35</v>
      </c>
      <c r="I349" s="5">
        <v>44713</v>
      </c>
      <c r="J349" s="6">
        <v>0</v>
      </c>
      <c r="K349" s="6">
        <v>0</v>
      </c>
      <c r="L349" s="6">
        <v>130.40799999999999</v>
      </c>
      <c r="M349" s="6">
        <v>130.40799999999999</v>
      </c>
      <c r="N349" s="6">
        <v>0</v>
      </c>
      <c r="O349" s="6">
        <v>0</v>
      </c>
      <c r="P349" s="6">
        <v>0</v>
      </c>
      <c r="Q349" s="4" t="s">
        <v>56</v>
      </c>
      <c r="R349" s="4">
        <v>0</v>
      </c>
      <c r="S349" s="6">
        <v>0</v>
      </c>
      <c r="T349" s="6">
        <v>7</v>
      </c>
      <c r="U349" s="6">
        <v>0</v>
      </c>
      <c r="V349" s="6">
        <f>IF(ISERROR(VLOOKUP($S$349,'TAR FIN'!$A$1:$O$108,15,0)),0,VLOOKUP($S$349,'TAR FIN'!$A$1:$O$108,15,0))</f>
        <v>0</v>
      </c>
      <c r="W349" s="6">
        <f>IF(ISERROR(VLOOKUP($T$349,'TAR FIN'!$A$1:$O$108,15,0)),0,VLOOKUP($T$349,'TAR FIN'!$A$1:$O$108,15,0))</f>
        <v>102.62</v>
      </c>
      <c r="X349" s="6">
        <f>IF(ISERROR(VLOOKUP($U$349,'TAR FIN'!$A$1:$O$108,15,0)),0,VLOOKUP($U$349,'TAR FIN'!$A$1:$O$108,15,0))</f>
        <v>0</v>
      </c>
      <c r="Y349" s="6"/>
      <c r="Z349" s="6">
        <f ca="1">('TUSD BE'!$AM$28+'TUSD BF'!$AM$28+'TUSD CVA'!$AM$28)*1</f>
        <v>181.47641369790719</v>
      </c>
      <c r="AA349" s="6"/>
      <c r="AB349" s="6">
        <f>$K$349*$V$349</f>
        <v>0</v>
      </c>
      <c r="AC349" s="6">
        <f>$M$349*$W$349</f>
        <v>13382.46896</v>
      </c>
      <c r="AD349" s="6">
        <f>$O$349*$X$349</f>
        <v>0</v>
      </c>
      <c r="AE349" s="6">
        <f>$K$349*$Y$349</f>
        <v>0</v>
      </c>
      <c r="AF349" s="6">
        <f ca="1">$M$349*$Z$349</f>
        <v>23665.976157516678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41</v>
      </c>
      <c r="C350" s="4" t="s">
        <v>43</v>
      </c>
      <c r="D350" s="4" t="s">
        <v>38</v>
      </c>
      <c r="E350" s="4" t="s">
        <v>25</v>
      </c>
      <c r="F350" s="4" t="s">
        <v>55</v>
      </c>
      <c r="G350" s="4" t="s">
        <v>25</v>
      </c>
      <c r="H350" s="4" t="s">
        <v>35</v>
      </c>
      <c r="I350" s="5">
        <v>44743</v>
      </c>
      <c r="J350" s="6">
        <v>0</v>
      </c>
      <c r="K350" s="6">
        <v>0</v>
      </c>
      <c r="L350" s="6">
        <v>116.18899999999999</v>
      </c>
      <c r="M350" s="6">
        <v>116.18899999999999</v>
      </c>
      <c r="N350" s="6">
        <v>0</v>
      </c>
      <c r="O350" s="6">
        <v>0</v>
      </c>
      <c r="P350" s="6">
        <v>0</v>
      </c>
      <c r="Q350" s="4" t="s">
        <v>56</v>
      </c>
      <c r="R350" s="4">
        <v>0</v>
      </c>
      <c r="S350" s="6">
        <v>0</v>
      </c>
      <c r="T350" s="6">
        <v>7</v>
      </c>
      <c r="U350" s="6">
        <v>0</v>
      </c>
      <c r="V350" s="6">
        <f>IF(ISERROR(VLOOKUP($S$350,'TAR FIN'!$A$1:$O$108,15,0)),0,VLOOKUP($S$350,'TAR FIN'!$A$1:$O$108,15,0))</f>
        <v>0</v>
      </c>
      <c r="W350" s="6">
        <f>IF(ISERROR(VLOOKUP($T$350,'TAR FIN'!$A$1:$O$108,15,0)),0,VLOOKUP($T$350,'TAR FIN'!$A$1:$O$108,15,0))</f>
        <v>102.62</v>
      </c>
      <c r="X350" s="6">
        <f>IF(ISERROR(VLOOKUP($U$350,'TAR FIN'!$A$1:$O$108,15,0)),0,VLOOKUP($U$350,'TAR FIN'!$A$1:$O$108,15,0))</f>
        <v>0</v>
      </c>
      <c r="Y350" s="6"/>
      <c r="Z350" s="6">
        <f ca="1">('TUSD BE'!$AM$28+'TUSD BF'!$AM$28+'TUSD CVA'!$AM$28)*1</f>
        <v>181.47641369790719</v>
      </c>
      <c r="AA350" s="6"/>
      <c r="AB350" s="6">
        <f>$K$350*$V$350</f>
        <v>0</v>
      </c>
      <c r="AC350" s="6">
        <f>$M$350*$W$350</f>
        <v>11923.31518</v>
      </c>
      <c r="AD350" s="6">
        <f>$O$350*$X$350</f>
        <v>0</v>
      </c>
      <c r="AE350" s="6">
        <f>$K$350*$Y$350</f>
        <v>0</v>
      </c>
      <c r="AF350" s="6">
        <f ca="1">$M$350*$Z$350</f>
        <v>21085.563031146139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41</v>
      </c>
      <c r="C351" s="4" t="s">
        <v>43</v>
      </c>
      <c r="D351" s="4" t="s">
        <v>38</v>
      </c>
      <c r="E351" s="4" t="s">
        <v>25</v>
      </c>
      <c r="F351" s="4" t="s">
        <v>55</v>
      </c>
      <c r="G351" s="4" t="s">
        <v>25</v>
      </c>
      <c r="H351" s="4" t="s">
        <v>35</v>
      </c>
      <c r="I351" s="5">
        <v>44774</v>
      </c>
      <c r="J351" s="6">
        <v>0</v>
      </c>
      <c r="K351" s="6">
        <v>0</v>
      </c>
      <c r="L351" s="6">
        <v>148.827</v>
      </c>
      <c r="M351" s="6">
        <v>148.827</v>
      </c>
      <c r="N351" s="6">
        <v>0</v>
      </c>
      <c r="O351" s="6">
        <v>0</v>
      </c>
      <c r="P351" s="6">
        <v>0</v>
      </c>
      <c r="Q351" s="4" t="s">
        <v>56</v>
      </c>
      <c r="R351" s="4">
        <v>0</v>
      </c>
      <c r="S351" s="6">
        <v>0</v>
      </c>
      <c r="T351" s="6">
        <v>7</v>
      </c>
      <c r="U351" s="6">
        <v>0</v>
      </c>
      <c r="V351" s="6">
        <f>IF(ISERROR(VLOOKUP($S$351,'TAR FIN'!$A$1:$O$108,15,0)),0,VLOOKUP($S$351,'TAR FIN'!$A$1:$O$108,15,0))</f>
        <v>0</v>
      </c>
      <c r="W351" s="6">
        <f>IF(ISERROR(VLOOKUP($T$351,'TAR FIN'!$A$1:$O$108,15,0)),0,VLOOKUP($T$351,'TAR FIN'!$A$1:$O$108,15,0))</f>
        <v>102.62</v>
      </c>
      <c r="X351" s="6">
        <f>IF(ISERROR(VLOOKUP($U$351,'TAR FIN'!$A$1:$O$108,15,0)),0,VLOOKUP($U$351,'TAR FIN'!$A$1:$O$108,15,0))</f>
        <v>0</v>
      </c>
      <c r="Y351" s="6"/>
      <c r="Z351" s="6">
        <f ca="1">('TUSD BE'!$AM$28+'TUSD BF'!$AM$28+'TUSD CVA'!$AM$28)*1</f>
        <v>181.47641369790719</v>
      </c>
      <c r="AA351" s="6"/>
      <c r="AB351" s="6">
        <f>$K$351*$V$351</f>
        <v>0</v>
      </c>
      <c r="AC351" s="6">
        <f>$M$351*$W$351</f>
        <v>15272.62674</v>
      </c>
      <c r="AD351" s="6">
        <f>$O$351*$X$351</f>
        <v>0</v>
      </c>
      <c r="AE351" s="6">
        <f>$K$351*$Y$351</f>
        <v>0</v>
      </c>
      <c r="AF351" s="6">
        <f ca="1">$M$351*$Z$351</f>
        <v>27008.590221418432</v>
      </c>
      <c r="AG351" s="6">
        <f>$O$351*$AA$351</f>
        <v>0</v>
      </c>
    </row>
    <row r="352" spans="1:33" ht="11.25" customHeight="1" x14ac:dyDescent="0.25">
      <c r="A352" s="4" t="s">
        <v>21</v>
      </c>
      <c r="B352" s="4" t="s">
        <v>41</v>
      </c>
      <c r="C352" s="4" t="s">
        <v>43</v>
      </c>
      <c r="D352" s="4" t="s">
        <v>38</v>
      </c>
      <c r="E352" s="4" t="s">
        <v>25</v>
      </c>
      <c r="F352" s="4" t="s">
        <v>55</v>
      </c>
      <c r="G352" s="4" t="s">
        <v>25</v>
      </c>
      <c r="H352" s="4" t="s">
        <v>35</v>
      </c>
      <c r="I352" s="5">
        <v>44805</v>
      </c>
      <c r="J352" s="6">
        <v>0</v>
      </c>
      <c r="K352" s="6">
        <v>0</v>
      </c>
      <c r="L352" s="6">
        <v>137.489</v>
      </c>
      <c r="M352" s="6">
        <v>137.489</v>
      </c>
      <c r="N352" s="6">
        <v>0</v>
      </c>
      <c r="O352" s="6">
        <v>0</v>
      </c>
      <c r="P352" s="6">
        <v>0</v>
      </c>
      <c r="Q352" s="4" t="s">
        <v>56</v>
      </c>
      <c r="R352" s="4">
        <v>0</v>
      </c>
      <c r="S352" s="6">
        <v>0</v>
      </c>
      <c r="T352" s="6">
        <v>7</v>
      </c>
      <c r="U352" s="6">
        <v>0</v>
      </c>
      <c r="V352" s="6">
        <f>IF(ISERROR(VLOOKUP($S$352,'TAR FIN'!$A$1:$O$108,15,0)),0,VLOOKUP($S$352,'TAR FIN'!$A$1:$O$108,15,0))</f>
        <v>0</v>
      </c>
      <c r="W352" s="6">
        <f>IF(ISERROR(VLOOKUP($T$352,'TAR FIN'!$A$1:$O$108,15,0)),0,VLOOKUP($T$352,'TAR FIN'!$A$1:$O$108,15,0))</f>
        <v>102.62</v>
      </c>
      <c r="X352" s="6">
        <f>IF(ISERROR(VLOOKUP($U$352,'TAR FIN'!$A$1:$O$108,15,0)),0,VLOOKUP($U$352,'TAR FIN'!$A$1:$O$108,15,0))</f>
        <v>0</v>
      </c>
      <c r="Y352" s="6"/>
      <c r="Z352" s="6">
        <f ca="1">('TUSD BE'!$AM$28+'TUSD BF'!$AM$28+'TUSD CVA'!$AM$28)*1</f>
        <v>181.47641369790719</v>
      </c>
      <c r="AA352" s="6"/>
      <c r="AB352" s="6">
        <f>$K$352*$V$352</f>
        <v>0</v>
      </c>
      <c r="AC352" s="6">
        <f>$M$352*$W$352</f>
        <v>14109.121180000002</v>
      </c>
      <c r="AD352" s="6">
        <f>$O$352*$X$352</f>
        <v>0</v>
      </c>
      <c r="AE352" s="6">
        <f>$K$352*$Y$352</f>
        <v>0</v>
      </c>
      <c r="AF352" s="6">
        <f ca="1">$M$352*$Z$352</f>
        <v>24951.010642911562</v>
      </c>
      <c r="AG352" s="6">
        <f>$O$352*$AA$352</f>
        <v>0</v>
      </c>
    </row>
    <row r="353" spans="1:33" ht="11.25" customHeight="1" x14ac:dyDescent="0.25">
      <c r="A353" s="4" t="s">
        <v>21</v>
      </c>
      <c r="B353" s="4" t="s">
        <v>41</v>
      </c>
      <c r="C353" s="4" t="s">
        <v>43</v>
      </c>
      <c r="D353" s="4" t="s">
        <v>38</v>
      </c>
      <c r="E353" s="4" t="s">
        <v>25</v>
      </c>
      <c r="F353" s="4" t="s">
        <v>55</v>
      </c>
      <c r="G353" s="4" t="s">
        <v>25</v>
      </c>
      <c r="H353" s="4" t="s">
        <v>35</v>
      </c>
      <c r="I353" s="5">
        <v>44835</v>
      </c>
      <c r="J353" s="6">
        <v>0</v>
      </c>
      <c r="K353" s="6">
        <v>0</v>
      </c>
      <c r="L353" s="6">
        <v>143.334</v>
      </c>
      <c r="M353" s="6">
        <v>143.334</v>
      </c>
      <c r="N353" s="6">
        <v>0</v>
      </c>
      <c r="O353" s="6">
        <v>0</v>
      </c>
      <c r="P353" s="6">
        <v>0</v>
      </c>
      <c r="Q353" s="4" t="s">
        <v>56</v>
      </c>
      <c r="R353" s="4">
        <v>0</v>
      </c>
      <c r="S353" s="6">
        <v>0</v>
      </c>
      <c r="T353" s="6">
        <v>7</v>
      </c>
      <c r="U353" s="6">
        <v>0</v>
      </c>
      <c r="V353" s="6">
        <f>IF(ISERROR(VLOOKUP($S$353,'TAR FIN'!$A$1:$O$108,15,0)),0,VLOOKUP($S$353,'TAR FIN'!$A$1:$O$108,15,0))</f>
        <v>0</v>
      </c>
      <c r="W353" s="6">
        <f>IF(ISERROR(VLOOKUP($T$353,'TAR FIN'!$A$1:$O$108,15,0)),0,VLOOKUP($T$353,'TAR FIN'!$A$1:$O$108,15,0))</f>
        <v>102.62</v>
      </c>
      <c r="X353" s="6">
        <f>IF(ISERROR(VLOOKUP($U$353,'TAR FIN'!$A$1:$O$108,15,0)),0,VLOOKUP($U$353,'TAR FIN'!$A$1:$O$108,15,0))</f>
        <v>0</v>
      </c>
      <c r="Y353" s="6"/>
      <c r="Z353" s="6">
        <f ca="1">('TUSD BE'!$AM$28+'TUSD BF'!$AM$28+'TUSD CVA'!$AM$28)*1</f>
        <v>181.47641369790719</v>
      </c>
      <c r="AA353" s="6"/>
      <c r="AB353" s="6">
        <f>$K$353*$V$353</f>
        <v>0</v>
      </c>
      <c r="AC353" s="6">
        <f>$M$353*$W$353</f>
        <v>14708.935080000001</v>
      </c>
      <c r="AD353" s="6">
        <f>$O$353*$X$353</f>
        <v>0</v>
      </c>
      <c r="AE353" s="6">
        <f>$K$353*$Y$353</f>
        <v>0</v>
      </c>
      <c r="AF353" s="6">
        <f ca="1">$M$353*$Z$353</f>
        <v>26011.740280975831</v>
      </c>
      <c r="AG353" s="6">
        <f>$O$353*$AA$353</f>
        <v>0</v>
      </c>
    </row>
    <row r="354" spans="1:33" ht="11.25" customHeight="1" x14ac:dyDescent="0.25">
      <c r="A354" s="4" t="s">
        <v>54</v>
      </c>
      <c r="B354" s="4" t="s">
        <v>41</v>
      </c>
      <c r="C354" s="4" t="s">
        <v>43</v>
      </c>
      <c r="D354" s="4" t="s">
        <v>38</v>
      </c>
      <c r="E354" s="4" t="s">
        <v>25</v>
      </c>
      <c r="F354" s="4" t="s">
        <v>55</v>
      </c>
      <c r="G354" s="4" t="s">
        <v>25</v>
      </c>
      <c r="H354" s="4" t="s">
        <v>35</v>
      </c>
      <c r="I354" s="5">
        <v>44866</v>
      </c>
      <c r="J354" s="6">
        <v>0</v>
      </c>
      <c r="K354" s="6">
        <v>0</v>
      </c>
      <c r="L354" s="6">
        <v>143.334</v>
      </c>
      <c r="M354" s="6">
        <v>143.334</v>
      </c>
      <c r="N354" s="6">
        <v>0</v>
      </c>
      <c r="O354" s="6">
        <v>0</v>
      </c>
      <c r="P354" s="6">
        <v>0</v>
      </c>
      <c r="Q354" s="4" t="s">
        <v>56</v>
      </c>
      <c r="R354" s="4">
        <v>0</v>
      </c>
      <c r="S354" s="6">
        <v>0</v>
      </c>
      <c r="T354" s="6">
        <v>7</v>
      </c>
      <c r="U354" s="6">
        <v>0</v>
      </c>
      <c r="V354" s="6">
        <f>IF(ISERROR(VLOOKUP($S$354,'TAR FIN'!$A$1:$O$108,15,0)),0,VLOOKUP($S$354,'TAR FIN'!$A$1:$O$108,15,0))</f>
        <v>0</v>
      </c>
      <c r="W354" s="6">
        <f>IF(ISERROR(VLOOKUP($T$354,'TAR FIN'!$A$1:$O$108,15,0)),0,VLOOKUP($T$354,'TAR FIN'!$A$1:$O$108,15,0))</f>
        <v>102.62</v>
      </c>
      <c r="X354" s="6">
        <f>IF(ISERROR(VLOOKUP($U$354,'TAR FIN'!$A$1:$O$108,15,0)),0,VLOOKUP($U$354,'TAR FIN'!$A$1:$O$108,15,0))</f>
        <v>0</v>
      </c>
      <c r="Y354" s="6"/>
      <c r="Z354" s="6">
        <f ca="1">('TUSD BE'!$AM$28+'TUSD BF'!$AM$28+'TUSD CVA'!$AM$28)*1</f>
        <v>181.47641369790719</v>
      </c>
      <c r="AA354" s="6"/>
      <c r="AB354" s="6">
        <f>$K$354*$V$354</f>
        <v>0</v>
      </c>
      <c r="AC354" s="6">
        <f>$M$354*$W$354</f>
        <v>14708.935080000001</v>
      </c>
      <c r="AD354" s="6">
        <f>$O$354*$X$354</f>
        <v>0</v>
      </c>
      <c r="AE354" s="6">
        <f>$K$354*$Y$354</f>
        <v>0</v>
      </c>
      <c r="AF354" s="6">
        <f ca="1">$M$354*$Z$354</f>
        <v>26011.740280975831</v>
      </c>
      <c r="AG354" s="6">
        <f>$O$354*$AA$354</f>
        <v>0</v>
      </c>
    </row>
    <row r="355" spans="1:33" ht="11.25" customHeight="1" x14ac:dyDescent="0.25">
      <c r="A355" s="4" t="s">
        <v>21</v>
      </c>
      <c r="B355" s="4" t="s">
        <v>41</v>
      </c>
      <c r="C355" s="4" t="s">
        <v>43</v>
      </c>
      <c r="D355" s="4" t="s">
        <v>38</v>
      </c>
      <c r="E355" s="4" t="s">
        <v>25</v>
      </c>
      <c r="F355" s="4" t="s">
        <v>55</v>
      </c>
      <c r="G355" s="4" t="s">
        <v>25</v>
      </c>
      <c r="H355" s="4" t="s">
        <v>25</v>
      </c>
      <c r="I355" s="5">
        <v>44531</v>
      </c>
      <c r="J355" s="6">
        <v>3683</v>
      </c>
      <c r="K355" s="6">
        <v>752.18008440999995</v>
      </c>
      <c r="L355" s="6">
        <v>0</v>
      </c>
      <c r="M355" s="6">
        <v>0</v>
      </c>
      <c r="N355" s="6">
        <v>0</v>
      </c>
      <c r="O355" s="6">
        <v>0</v>
      </c>
      <c r="P355" s="6">
        <v>9</v>
      </c>
      <c r="Q355" s="4" t="s">
        <v>56</v>
      </c>
      <c r="R355" s="4">
        <v>0</v>
      </c>
      <c r="S355" s="6">
        <v>2</v>
      </c>
      <c r="T355" s="6">
        <v>0</v>
      </c>
      <c r="U355" s="6">
        <v>0</v>
      </c>
      <c r="V355" s="6">
        <f>IF(ISERROR(VLOOKUP($S$355,'TAR FIN'!$A$1:$O$108,15,0)),0,VLOOKUP($S$355,'TAR FIN'!$A$1:$O$108,15,0))</f>
        <v>21.38</v>
      </c>
      <c r="W355" s="6">
        <f>IF(ISERROR(VLOOKUP($T$355,'TAR FIN'!$A$1:$O$108,15,0)),0,VLOOKUP($T$355,'TAR FIN'!$A$1:$O$108,15,0))</f>
        <v>0</v>
      </c>
      <c r="X355" s="6">
        <f>IF(ISERROR(VLOOKUP($U$355,'TAR FIN'!$A$1:$O$108,15,0)),0,VLOOKUP($U$355,'TAR FIN'!$A$1:$O$108,15,0))</f>
        <v>0</v>
      </c>
      <c r="Y355" s="6">
        <f ca="1">('TUSD BE'!$AM$26+'TUSD BF'!$AM$26+'TUSD CVA'!$AM$26)*1</f>
        <v>21.189390814529755</v>
      </c>
      <c r="Z355" s="6"/>
      <c r="AA355" s="6"/>
      <c r="AB355" s="6">
        <f>$K$355*$V$355</f>
        <v>16081.610204685798</v>
      </c>
      <c r="AC355" s="6">
        <f>$M$355*$W$355</f>
        <v>0</v>
      </c>
      <c r="AD355" s="6">
        <f>$O$355*$X$355</f>
        <v>0</v>
      </c>
      <c r="AE355" s="6">
        <f ca="1">$K$355*$Y$355</f>
        <v>15938.237771469468</v>
      </c>
      <c r="AF355" s="6">
        <f>$M$355*$Z$355</f>
        <v>0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41</v>
      </c>
      <c r="C356" s="4" t="s">
        <v>43</v>
      </c>
      <c r="D356" s="4" t="s">
        <v>38</v>
      </c>
      <c r="E356" s="4" t="s">
        <v>25</v>
      </c>
      <c r="F356" s="4" t="s">
        <v>55</v>
      </c>
      <c r="G356" s="4" t="s">
        <v>25</v>
      </c>
      <c r="H356" s="4" t="s">
        <v>25</v>
      </c>
      <c r="I356" s="5">
        <v>44562</v>
      </c>
      <c r="J356" s="6">
        <v>3678</v>
      </c>
      <c r="K356" s="6">
        <v>1327.758</v>
      </c>
      <c r="L356" s="6">
        <v>0</v>
      </c>
      <c r="M356" s="6">
        <v>0</v>
      </c>
      <c r="N356" s="6">
        <v>0</v>
      </c>
      <c r="O356" s="6">
        <v>0</v>
      </c>
      <c r="P356" s="6">
        <v>9</v>
      </c>
      <c r="Q356" s="4" t="s">
        <v>56</v>
      </c>
      <c r="R356" s="4">
        <v>0</v>
      </c>
      <c r="S356" s="6">
        <v>2</v>
      </c>
      <c r="T356" s="6">
        <v>0</v>
      </c>
      <c r="U356" s="6">
        <v>0</v>
      </c>
      <c r="V356" s="6">
        <f>IF(ISERROR(VLOOKUP($S$356,'TAR FIN'!$A$1:$O$108,15,0)),0,VLOOKUP($S$356,'TAR FIN'!$A$1:$O$108,15,0))</f>
        <v>21.38</v>
      </c>
      <c r="W356" s="6">
        <f>IF(ISERROR(VLOOKUP($T$356,'TAR FIN'!$A$1:$O$108,15,0)),0,VLOOKUP($T$356,'TAR FIN'!$A$1:$O$108,15,0))</f>
        <v>0</v>
      </c>
      <c r="X356" s="6">
        <f>IF(ISERROR(VLOOKUP($U$356,'TAR FIN'!$A$1:$O$108,15,0)),0,VLOOKUP($U$356,'TAR FIN'!$A$1:$O$108,15,0))</f>
        <v>0</v>
      </c>
      <c r="Y356" s="6">
        <f ca="1">('TUSD BE'!$AM$26+'TUSD BF'!$AM$26+'TUSD CVA'!$AM$26)*1</f>
        <v>21.189390814529755</v>
      </c>
      <c r="Z356" s="6"/>
      <c r="AA356" s="6"/>
      <c r="AB356" s="6">
        <f>$K$356*$V$356</f>
        <v>28387.466039999999</v>
      </c>
      <c r="AC356" s="6">
        <f>$M$356*$W$356</f>
        <v>0</v>
      </c>
      <c r="AD356" s="6">
        <f>$O$356*$X$356</f>
        <v>0</v>
      </c>
      <c r="AE356" s="6">
        <f ca="1">$K$356*$Y$356</f>
        <v>28134.383169118399</v>
      </c>
      <c r="AF356" s="6">
        <f>$M$356*$Z$356</f>
        <v>0</v>
      </c>
      <c r="AG356" s="6">
        <f>$O$356*$AA$356</f>
        <v>0</v>
      </c>
    </row>
    <row r="357" spans="1:33" ht="11.25" customHeight="1" x14ac:dyDescent="0.25">
      <c r="A357" s="4" t="s">
        <v>21</v>
      </c>
      <c r="B357" s="4" t="s">
        <v>41</v>
      </c>
      <c r="C357" s="4" t="s">
        <v>43</v>
      </c>
      <c r="D357" s="4" t="s">
        <v>38</v>
      </c>
      <c r="E357" s="4" t="s">
        <v>25</v>
      </c>
      <c r="F357" s="4" t="s">
        <v>55</v>
      </c>
      <c r="G357" s="4" t="s">
        <v>25</v>
      </c>
      <c r="H357" s="4" t="s">
        <v>25</v>
      </c>
      <c r="I357" s="5">
        <v>44593</v>
      </c>
      <c r="J357" s="6">
        <v>3681</v>
      </c>
      <c r="K357" s="6">
        <v>1500.3756000000001</v>
      </c>
      <c r="L357" s="6">
        <v>0</v>
      </c>
      <c r="M357" s="6">
        <v>0</v>
      </c>
      <c r="N357" s="6">
        <v>0</v>
      </c>
      <c r="O357" s="6">
        <v>0</v>
      </c>
      <c r="P357" s="6">
        <v>9</v>
      </c>
      <c r="Q357" s="4" t="s">
        <v>56</v>
      </c>
      <c r="R357" s="4">
        <v>0</v>
      </c>
      <c r="S357" s="6">
        <v>2</v>
      </c>
      <c r="T357" s="6">
        <v>0</v>
      </c>
      <c r="U357" s="6">
        <v>0</v>
      </c>
      <c r="V357" s="6">
        <f>IF(ISERROR(VLOOKUP($S$357,'TAR FIN'!$A$1:$O$108,15,0)),0,VLOOKUP($S$357,'TAR FIN'!$A$1:$O$108,15,0))</f>
        <v>21.38</v>
      </c>
      <c r="W357" s="6">
        <f>IF(ISERROR(VLOOKUP($T$357,'TAR FIN'!$A$1:$O$108,15,0)),0,VLOOKUP($T$357,'TAR FIN'!$A$1:$O$108,15,0))</f>
        <v>0</v>
      </c>
      <c r="X357" s="6">
        <f>IF(ISERROR(VLOOKUP($U$357,'TAR FIN'!$A$1:$O$108,15,0)),0,VLOOKUP($U$357,'TAR FIN'!$A$1:$O$108,15,0))</f>
        <v>0</v>
      </c>
      <c r="Y357" s="6">
        <f ca="1">('TUSD BE'!$AM$26+'TUSD BF'!$AM$26+'TUSD CVA'!$AM$26)*1</f>
        <v>21.189390814529755</v>
      </c>
      <c r="Z357" s="6"/>
      <c r="AA357" s="6"/>
      <c r="AB357" s="6">
        <f>$K$357*$V$357</f>
        <v>32078.030328000001</v>
      </c>
      <c r="AC357" s="6">
        <f>$M$357*$W$357</f>
        <v>0</v>
      </c>
      <c r="AD357" s="6">
        <f>$O$357*$X$357</f>
        <v>0</v>
      </c>
      <c r="AE357" s="6">
        <f ca="1">$K$357*$Y$357</f>
        <v>31792.044956984573</v>
      </c>
      <c r="AF357" s="6">
        <f>$M$357*$Z$357</f>
        <v>0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41</v>
      </c>
      <c r="C358" s="4" t="s">
        <v>43</v>
      </c>
      <c r="D358" s="4" t="s">
        <v>38</v>
      </c>
      <c r="E358" s="4" t="s">
        <v>25</v>
      </c>
      <c r="F358" s="4" t="s">
        <v>55</v>
      </c>
      <c r="G358" s="4" t="s">
        <v>25</v>
      </c>
      <c r="H358" s="4" t="s">
        <v>25</v>
      </c>
      <c r="I358" s="5">
        <v>44621</v>
      </c>
      <c r="J358" s="6">
        <v>3684</v>
      </c>
      <c r="K358" s="6">
        <v>1918.6271999999999</v>
      </c>
      <c r="L358" s="6">
        <v>0</v>
      </c>
      <c r="M358" s="6">
        <v>0</v>
      </c>
      <c r="N358" s="6">
        <v>0</v>
      </c>
      <c r="O358" s="6">
        <v>0</v>
      </c>
      <c r="P358" s="6">
        <v>9</v>
      </c>
      <c r="Q358" s="4" t="s">
        <v>56</v>
      </c>
      <c r="R358" s="4">
        <v>0</v>
      </c>
      <c r="S358" s="6">
        <v>2</v>
      </c>
      <c r="T358" s="6">
        <v>0</v>
      </c>
      <c r="U358" s="6">
        <v>0</v>
      </c>
      <c r="V358" s="6">
        <f>IF(ISERROR(VLOOKUP($S$358,'TAR FIN'!$A$1:$O$108,15,0)),0,VLOOKUP($S$358,'TAR FIN'!$A$1:$O$108,15,0))</f>
        <v>21.38</v>
      </c>
      <c r="W358" s="6">
        <f>IF(ISERROR(VLOOKUP($T$358,'TAR FIN'!$A$1:$O$108,15,0)),0,VLOOKUP($T$358,'TAR FIN'!$A$1:$O$108,15,0))</f>
        <v>0</v>
      </c>
      <c r="X358" s="6">
        <f>IF(ISERROR(VLOOKUP($U$358,'TAR FIN'!$A$1:$O$108,15,0)),0,VLOOKUP($U$358,'TAR FIN'!$A$1:$O$108,15,0))</f>
        <v>0</v>
      </c>
      <c r="Y358" s="6">
        <f ca="1">('TUSD BE'!$AM$26+'TUSD BF'!$AM$26+'TUSD CVA'!$AM$26)*1</f>
        <v>21.189390814529755</v>
      </c>
      <c r="Z358" s="6"/>
      <c r="AA358" s="6"/>
      <c r="AB358" s="6">
        <f>$K$358*$V$358</f>
        <v>41020.249535999996</v>
      </c>
      <c r="AC358" s="6">
        <f>$M$358*$W$358</f>
        <v>0</v>
      </c>
      <c r="AD358" s="6">
        <f>$O$358*$X$358</f>
        <v>0</v>
      </c>
      <c r="AE358" s="6">
        <f ca="1">$K$358*$Y$358</f>
        <v>40654.541568186942</v>
      </c>
      <c r="AF358" s="6">
        <f>$M$358*$Z$358</f>
        <v>0</v>
      </c>
      <c r="AG358" s="6">
        <f>$O$358*$AA$358</f>
        <v>0</v>
      </c>
    </row>
    <row r="359" spans="1:33" ht="11.25" customHeight="1" x14ac:dyDescent="0.25">
      <c r="A359" s="4" t="s">
        <v>21</v>
      </c>
      <c r="B359" s="4" t="s">
        <v>41</v>
      </c>
      <c r="C359" s="4" t="s">
        <v>43</v>
      </c>
      <c r="D359" s="4" t="s">
        <v>38</v>
      </c>
      <c r="E359" s="4" t="s">
        <v>25</v>
      </c>
      <c r="F359" s="4" t="s">
        <v>55</v>
      </c>
      <c r="G359" s="4" t="s">
        <v>25</v>
      </c>
      <c r="H359" s="4" t="s">
        <v>25</v>
      </c>
      <c r="I359" s="5">
        <v>44652</v>
      </c>
      <c r="J359" s="6">
        <v>4528</v>
      </c>
      <c r="K359" s="6">
        <v>2571.904</v>
      </c>
      <c r="L359" s="6">
        <v>0</v>
      </c>
      <c r="M359" s="6">
        <v>0</v>
      </c>
      <c r="N359" s="6">
        <v>0</v>
      </c>
      <c r="O359" s="6">
        <v>0</v>
      </c>
      <c r="P359" s="6">
        <v>10</v>
      </c>
      <c r="Q359" s="4" t="s">
        <v>56</v>
      </c>
      <c r="R359" s="4">
        <v>0</v>
      </c>
      <c r="S359" s="6">
        <v>2</v>
      </c>
      <c r="T359" s="6">
        <v>0</v>
      </c>
      <c r="U359" s="6">
        <v>0</v>
      </c>
      <c r="V359" s="6">
        <f>IF(ISERROR(VLOOKUP($S$359,'TAR FIN'!$A$1:$O$108,15,0)),0,VLOOKUP($S$359,'TAR FIN'!$A$1:$O$108,15,0))</f>
        <v>21.38</v>
      </c>
      <c r="W359" s="6">
        <f>IF(ISERROR(VLOOKUP($T$359,'TAR FIN'!$A$1:$O$108,15,0)),0,VLOOKUP($T$359,'TAR FIN'!$A$1:$O$108,15,0))</f>
        <v>0</v>
      </c>
      <c r="X359" s="6">
        <f>IF(ISERROR(VLOOKUP($U$359,'TAR FIN'!$A$1:$O$108,15,0)),0,VLOOKUP($U$359,'TAR FIN'!$A$1:$O$108,15,0))</f>
        <v>0</v>
      </c>
      <c r="Y359" s="6">
        <f ca="1">('TUSD BE'!$AM$26+'TUSD BF'!$AM$26+'TUSD CVA'!$AM$26)*1</f>
        <v>21.189390814529755</v>
      </c>
      <c r="Z359" s="6"/>
      <c r="AA359" s="6"/>
      <c r="AB359" s="6">
        <f>$K$359*$V$359</f>
        <v>54987.307519999995</v>
      </c>
      <c r="AC359" s="6">
        <f>$M$359*$W$359</f>
        <v>0</v>
      </c>
      <c r="AD359" s="6">
        <f>$O$359*$X$359</f>
        <v>0</v>
      </c>
      <c r="AE359" s="6">
        <f ca="1">$K$359*$Y$359</f>
        <v>54497.078993452335</v>
      </c>
      <c r="AF359" s="6">
        <f>$M$359*$Z$359</f>
        <v>0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41</v>
      </c>
      <c r="C360" s="4" t="s">
        <v>43</v>
      </c>
      <c r="D360" s="4" t="s">
        <v>38</v>
      </c>
      <c r="E360" s="4" t="s">
        <v>25</v>
      </c>
      <c r="F360" s="4" t="s">
        <v>55</v>
      </c>
      <c r="G360" s="4" t="s">
        <v>25</v>
      </c>
      <c r="H360" s="4" t="s">
        <v>25</v>
      </c>
      <c r="I360" s="5">
        <v>44682</v>
      </c>
      <c r="J360" s="6">
        <v>4635</v>
      </c>
      <c r="K360" s="6">
        <v>2917.7325000000001</v>
      </c>
      <c r="L360" s="6">
        <v>0</v>
      </c>
      <c r="M360" s="6">
        <v>0</v>
      </c>
      <c r="N360" s="6">
        <v>0</v>
      </c>
      <c r="O360" s="6">
        <v>0</v>
      </c>
      <c r="P360" s="6">
        <v>11</v>
      </c>
      <c r="Q360" s="4" t="s">
        <v>56</v>
      </c>
      <c r="R360" s="4">
        <v>0</v>
      </c>
      <c r="S360" s="6">
        <v>2</v>
      </c>
      <c r="T360" s="6">
        <v>0</v>
      </c>
      <c r="U360" s="6">
        <v>0</v>
      </c>
      <c r="V360" s="6">
        <f>IF(ISERROR(VLOOKUP($S$360,'TAR FIN'!$A$1:$O$108,15,0)),0,VLOOKUP($S$360,'TAR FIN'!$A$1:$O$108,15,0))</f>
        <v>21.38</v>
      </c>
      <c r="W360" s="6">
        <f>IF(ISERROR(VLOOKUP($T$360,'TAR FIN'!$A$1:$O$108,15,0)),0,VLOOKUP($T$360,'TAR FIN'!$A$1:$O$108,15,0))</f>
        <v>0</v>
      </c>
      <c r="X360" s="6">
        <f>IF(ISERROR(VLOOKUP($U$360,'TAR FIN'!$A$1:$O$108,15,0)),0,VLOOKUP($U$360,'TAR FIN'!$A$1:$O$108,15,0))</f>
        <v>0</v>
      </c>
      <c r="Y360" s="6">
        <f ca="1">('TUSD BE'!$AM$26+'TUSD BF'!$AM$26+'TUSD CVA'!$AM$26)*1</f>
        <v>21.189390814529755</v>
      </c>
      <c r="Z360" s="6"/>
      <c r="AA360" s="6"/>
      <c r="AB360" s="6">
        <f>$K$360*$V$360</f>
        <v>62381.120849999999</v>
      </c>
      <c r="AC360" s="6">
        <f>$M$360*$W$360</f>
        <v>0</v>
      </c>
      <c r="AD360" s="6">
        <f>$O$360*$X$360</f>
        <v>0</v>
      </c>
      <c r="AE360" s="6">
        <f ca="1">$K$360*$Y$360</f>
        <v>61824.97423475494</v>
      </c>
      <c r="AF360" s="6">
        <f>$M$360*$Z$360</f>
        <v>0</v>
      </c>
      <c r="AG360" s="6">
        <f>$O$360*$AA$360</f>
        <v>0</v>
      </c>
    </row>
    <row r="361" spans="1:33" ht="11.25" customHeight="1" x14ac:dyDescent="0.25">
      <c r="A361" s="4" t="s">
        <v>21</v>
      </c>
      <c r="B361" s="4" t="s">
        <v>41</v>
      </c>
      <c r="C361" s="4" t="s">
        <v>43</v>
      </c>
      <c r="D361" s="4" t="s">
        <v>38</v>
      </c>
      <c r="E361" s="4" t="s">
        <v>25</v>
      </c>
      <c r="F361" s="4" t="s">
        <v>55</v>
      </c>
      <c r="G361" s="4" t="s">
        <v>25</v>
      </c>
      <c r="H361" s="4" t="s">
        <v>25</v>
      </c>
      <c r="I361" s="5">
        <v>44713</v>
      </c>
      <c r="J361" s="6">
        <v>4694</v>
      </c>
      <c r="K361" s="6">
        <v>2970.8326000000002</v>
      </c>
      <c r="L361" s="6">
        <v>0</v>
      </c>
      <c r="M361" s="6">
        <v>0</v>
      </c>
      <c r="N361" s="6">
        <v>0</v>
      </c>
      <c r="O361" s="6">
        <v>0</v>
      </c>
      <c r="P361" s="6">
        <v>12</v>
      </c>
      <c r="Q361" s="4" t="s">
        <v>56</v>
      </c>
      <c r="R361" s="4">
        <v>0</v>
      </c>
      <c r="S361" s="6">
        <v>2</v>
      </c>
      <c r="T361" s="6">
        <v>0</v>
      </c>
      <c r="U361" s="6">
        <v>0</v>
      </c>
      <c r="V361" s="6">
        <f>IF(ISERROR(VLOOKUP($S$361,'TAR FIN'!$A$1:$O$108,15,0)),0,VLOOKUP($S$361,'TAR FIN'!$A$1:$O$108,15,0))</f>
        <v>21.38</v>
      </c>
      <c r="W361" s="6">
        <f>IF(ISERROR(VLOOKUP($T$361,'TAR FIN'!$A$1:$O$108,15,0)),0,VLOOKUP($T$361,'TAR FIN'!$A$1:$O$108,15,0))</f>
        <v>0</v>
      </c>
      <c r="X361" s="6">
        <f>IF(ISERROR(VLOOKUP($U$361,'TAR FIN'!$A$1:$O$108,15,0)),0,VLOOKUP($U$361,'TAR FIN'!$A$1:$O$108,15,0))</f>
        <v>0</v>
      </c>
      <c r="Y361" s="6">
        <f ca="1">('TUSD BE'!$AM$26+'TUSD BF'!$AM$26+'TUSD CVA'!$AM$26)*1</f>
        <v>21.189390814529755</v>
      </c>
      <c r="Z361" s="6"/>
      <c r="AA361" s="6"/>
      <c r="AB361" s="6">
        <f>$K$361*$V$361</f>
        <v>63516.400988000001</v>
      </c>
      <c r="AC361" s="6">
        <f>$M$361*$W$361</f>
        <v>0</v>
      </c>
      <c r="AD361" s="6">
        <f>$O$361*$X$361</f>
        <v>0</v>
      </c>
      <c r="AE361" s="6">
        <f ca="1">$K$361*$Y$361</f>
        <v>62950.133005945558</v>
      </c>
      <c r="AF361" s="6">
        <f>$M$361*$Z$361</f>
        <v>0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41</v>
      </c>
      <c r="C362" s="4" t="s">
        <v>43</v>
      </c>
      <c r="D362" s="4" t="s">
        <v>38</v>
      </c>
      <c r="E362" s="4" t="s">
        <v>25</v>
      </c>
      <c r="F362" s="4" t="s">
        <v>55</v>
      </c>
      <c r="G362" s="4" t="s">
        <v>25</v>
      </c>
      <c r="H362" s="4" t="s">
        <v>25</v>
      </c>
      <c r="I362" s="5">
        <v>44743</v>
      </c>
      <c r="J362" s="6">
        <v>5006</v>
      </c>
      <c r="K362" s="6">
        <v>2841.9061999999999</v>
      </c>
      <c r="L362" s="6">
        <v>0</v>
      </c>
      <c r="M362" s="6">
        <v>0</v>
      </c>
      <c r="N362" s="6">
        <v>0</v>
      </c>
      <c r="O362" s="6">
        <v>0</v>
      </c>
      <c r="P362" s="6">
        <v>13</v>
      </c>
      <c r="Q362" s="4" t="s">
        <v>56</v>
      </c>
      <c r="R362" s="4">
        <v>0</v>
      </c>
      <c r="S362" s="6">
        <v>2</v>
      </c>
      <c r="T362" s="6">
        <v>0</v>
      </c>
      <c r="U362" s="6">
        <v>0</v>
      </c>
      <c r="V362" s="6">
        <f>IF(ISERROR(VLOOKUP($S$362,'TAR FIN'!$A$1:$O$108,15,0)),0,VLOOKUP($S$362,'TAR FIN'!$A$1:$O$108,15,0))</f>
        <v>21.38</v>
      </c>
      <c r="W362" s="6">
        <f>IF(ISERROR(VLOOKUP($T$362,'TAR FIN'!$A$1:$O$108,15,0)),0,VLOOKUP($T$362,'TAR FIN'!$A$1:$O$108,15,0))</f>
        <v>0</v>
      </c>
      <c r="X362" s="6">
        <f>IF(ISERROR(VLOOKUP($U$362,'TAR FIN'!$A$1:$O$108,15,0)),0,VLOOKUP($U$362,'TAR FIN'!$A$1:$O$108,15,0))</f>
        <v>0</v>
      </c>
      <c r="Y362" s="6">
        <f ca="1">('TUSD BE'!$AM$26+'TUSD BF'!$AM$26+'TUSD CVA'!$AM$26)*1</f>
        <v>21.189390814529755</v>
      </c>
      <c r="Z362" s="6"/>
      <c r="AA362" s="6"/>
      <c r="AB362" s="6">
        <f>$K$362*$V$362</f>
        <v>60759.954555999997</v>
      </c>
      <c r="AC362" s="6">
        <f>$M$362*$W$362</f>
        <v>0</v>
      </c>
      <c r="AD362" s="6">
        <f>$O$362*$X$362</f>
        <v>0</v>
      </c>
      <c r="AE362" s="6">
        <f ca="1">$K$362*$Y$362</f>
        <v>60218.261130035156</v>
      </c>
      <c r="AF362" s="6">
        <f>$M$362*$Z$362</f>
        <v>0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41</v>
      </c>
      <c r="C363" s="4" t="s">
        <v>43</v>
      </c>
      <c r="D363" s="4" t="s">
        <v>38</v>
      </c>
      <c r="E363" s="4" t="s">
        <v>25</v>
      </c>
      <c r="F363" s="4" t="s">
        <v>55</v>
      </c>
      <c r="G363" s="4" t="s">
        <v>25</v>
      </c>
      <c r="H363" s="4" t="s">
        <v>25</v>
      </c>
      <c r="I363" s="5">
        <v>44774</v>
      </c>
      <c r="J363" s="6">
        <v>5132</v>
      </c>
      <c r="K363" s="6">
        <v>3368.1316000000002</v>
      </c>
      <c r="L363" s="6">
        <v>0</v>
      </c>
      <c r="M363" s="6">
        <v>0</v>
      </c>
      <c r="N363" s="6">
        <v>0</v>
      </c>
      <c r="O363" s="6">
        <v>0</v>
      </c>
      <c r="P363" s="6">
        <v>13</v>
      </c>
      <c r="Q363" s="4" t="s">
        <v>56</v>
      </c>
      <c r="R363" s="4">
        <v>0</v>
      </c>
      <c r="S363" s="6">
        <v>2</v>
      </c>
      <c r="T363" s="6">
        <v>0</v>
      </c>
      <c r="U363" s="6">
        <v>0</v>
      </c>
      <c r="V363" s="6">
        <f>IF(ISERROR(VLOOKUP($S$363,'TAR FIN'!$A$1:$O$108,15,0)),0,VLOOKUP($S$363,'TAR FIN'!$A$1:$O$108,15,0))</f>
        <v>21.38</v>
      </c>
      <c r="W363" s="6">
        <f>IF(ISERROR(VLOOKUP($T$363,'TAR FIN'!$A$1:$O$108,15,0)),0,VLOOKUP($T$363,'TAR FIN'!$A$1:$O$108,15,0))</f>
        <v>0</v>
      </c>
      <c r="X363" s="6">
        <f>IF(ISERROR(VLOOKUP($U$363,'TAR FIN'!$A$1:$O$108,15,0)),0,VLOOKUP($U$363,'TAR FIN'!$A$1:$O$108,15,0))</f>
        <v>0</v>
      </c>
      <c r="Y363" s="6">
        <f ca="1">('TUSD BE'!$AM$26+'TUSD BF'!$AM$26+'TUSD CVA'!$AM$26)*1</f>
        <v>21.189390814529755</v>
      </c>
      <c r="Z363" s="6"/>
      <c r="AA363" s="6"/>
      <c r="AB363" s="6">
        <f>$K$363*$V$363</f>
        <v>72010.653607999993</v>
      </c>
      <c r="AC363" s="6">
        <f>$M$363*$W$363</f>
        <v>0</v>
      </c>
      <c r="AD363" s="6">
        <f>$O$363*$X$363</f>
        <v>0</v>
      </c>
      <c r="AE363" s="6">
        <f ca="1">$K$363*$Y$363</f>
        <v>71368.656787167405</v>
      </c>
      <c r="AF363" s="6">
        <f>$M$363*$Z$363</f>
        <v>0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41</v>
      </c>
      <c r="C364" s="4" t="s">
        <v>43</v>
      </c>
      <c r="D364" s="4" t="s">
        <v>38</v>
      </c>
      <c r="E364" s="4" t="s">
        <v>25</v>
      </c>
      <c r="F364" s="4" t="s">
        <v>55</v>
      </c>
      <c r="G364" s="4" t="s">
        <v>25</v>
      </c>
      <c r="H364" s="4" t="s">
        <v>25</v>
      </c>
      <c r="I364" s="5">
        <v>44805</v>
      </c>
      <c r="J364" s="6">
        <v>5029</v>
      </c>
      <c r="K364" s="6">
        <v>3364.9038999999998</v>
      </c>
      <c r="L364" s="6">
        <v>0</v>
      </c>
      <c r="M364" s="6">
        <v>0</v>
      </c>
      <c r="N364" s="6">
        <v>0</v>
      </c>
      <c r="O364" s="6">
        <v>0</v>
      </c>
      <c r="P364" s="6">
        <v>13</v>
      </c>
      <c r="Q364" s="4" t="s">
        <v>56</v>
      </c>
      <c r="R364" s="4">
        <v>0</v>
      </c>
      <c r="S364" s="6">
        <v>2</v>
      </c>
      <c r="T364" s="6">
        <v>0</v>
      </c>
      <c r="U364" s="6">
        <v>0</v>
      </c>
      <c r="V364" s="6">
        <f>IF(ISERROR(VLOOKUP($S$364,'TAR FIN'!$A$1:$O$108,15,0)),0,VLOOKUP($S$364,'TAR FIN'!$A$1:$O$108,15,0))</f>
        <v>21.38</v>
      </c>
      <c r="W364" s="6">
        <f>IF(ISERROR(VLOOKUP($T$364,'TAR FIN'!$A$1:$O$108,15,0)),0,VLOOKUP($T$364,'TAR FIN'!$A$1:$O$108,15,0))</f>
        <v>0</v>
      </c>
      <c r="X364" s="6">
        <f>IF(ISERROR(VLOOKUP($U$364,'TAR FIN'!$A$1:$O$108,15,0)),0,VLOOKUP($U$364,'TAR FIN'!$A$1:$O$108,15,0))</f>
        <v>0</v>
      </c>
      <c r="Y364" s="6">
        <f ca="1">('TUSD BE'!$AM$26+'TUSD BF'!$AM$26+'TUSD CVA'!$AM$26)*1</f>
        <v>21.189390814529755</v>
      </c>
      <c r="Z364" s="6"/>
      <c r="AA364" s="6"/>
      <c r="AB364" s="6">
        <f>$K$364*$V$364</f>
        <v>71941.645381999988</v>
      </c>
      <c r="AC364" s="6">
        <f>$M$364*$W$364</f>
        <v>0</v>
      </c>
      <c r="AD364" s="6">
        <f>$O$364*$X$364</f>
        <v>0</v>
      </c>
      <c r="AE364" s="6">
        <f ca="1">$K$364*$Y$364</f>
        <v>71300.263790435347</v>
      </c>
      <c r="AF364" s="6">
        <f>$M$364*$Z$364</f>
        <v>0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41</v>
      </c>
      <c r="C365" s="4" t="s">
        <v>43</v>
      </c>
      <c r="D365" s="4" t="s">
        <v>38</v>
      </c>
      <c r="E365" s="4" t="s">
        <v>25</v>
      </c>
      <c r="F365" s="4" t="s">
        <v>55</v>
      </c>
      <c r="G365" s="4" t="s">
        <v>25</v>
      </c>
      <c r="H365" s="4" t="s">
        <v>25</v>
      </c>
      <c r="I365" s="5">
        <v>44835</v>
      </c>
      <c r="J365" s="6">
        <v>5023</v>
      </c>
      <c r="K365" s="6">
        <v>3196.6372000000001</v>
      </c>
      <c r="L365" s="6">
        <v>0</v>
      </c>
      <c r="M365" s="6">
        <v>0</v>
      </c>
      <c r="N365" s="6">
        <v>0</v>
      </c>
      <c r="O365" s="6">
        <v>0</v>
      </c>
      <c r="P365" s="6">
        <v>13</v>
      </c>
      <c r="Q365" s="4" t="s">
        <v>56</v>
      </c>
      <c r="R365" s="4">
        <v>0</v>
      </c>
      <c r="S365" s="6">
        <v>2</v>
      </c>
      <c r="T365" s="6">
        <v>0</v>
      </c>
      <c r="U365" s="6">
        <v>0</v>
      </c>
      <c r="V365" s="6">
        <f>IF(ISERROR(VLOOKUP($S$365,'TAR FIN'!$A$1:$O$108,15,0)),0,VLOOKUP($S$365,'TAR FIN'!$A$1:$O$108,15,0))</f>
        <v>21.38</v>
      </c>
      <c r="W365" s="6">
        <f>IF(ISERROR(VLOOKUP($T$365,'TAR FIN'!$A$1:$O$108,15,0)),0,VLOOKUP($T$365,'TAR FIN'!$A$1:$O$108,15,0))</f>
        <v>0</v>
      </c>
      <c r="X365" s="6">
        <f>IF(ISERROR(VLOOKUP($U$365,'TAR FIN'!$A$1:$O$108,15,0)),0,VLOOKUP($U$365,'TAR FIN'!$A$1:$O$108,15,0))</f>
        <v>0</v>
      </c>
      <c r="Y365" s="6">
        <f ca="1">('TUSD BE'!$AM$26+'TUSD BF'!$AM$26+'TUSD CVA'!$AM$26)*1</f>
        <v>21.189390814529755</v>
      </c>
      <c r="Z365" s="6"/>
      <c r="AA365" s="6"/>
      <c r="AB365" s="6">
        <f>$K$365*$V$365</f>
        <v>68344.103336</v>
      </c>
      <c r="AC365" s="6">
        <f>$M$365*$W$365</f>
        <v>0</v>
      </c>
      <c r="AD365" s="6">
        <f>$O$365*$X$365</f>
        <v>0</v>
      </c>
      <c r="AE365" s="6">
        <f ca="1">$K$365*$Y$365</f>
        <v>67734.794923064124</v>
      </c>
      <c r="AF365" s="6">
        <f>$M$365*$Z$365</f>
        <v>0</v>
      </c>
      <c r="AG365" s="6">
        <f>$O$365*$AA$365</f>
        <v>0</v>
      </c>
    </row>
    <row r="366" spans="1:33" ht="11.25" customHeight="1" x14ac:dyDescent="0.25">
      <c r="A366" s="4" t="s">
        <v>54</v>
      </c>
      <c r="B366" s="4" t="s">
        <v>41</v>
      </c>
      <c r="C366" s="4" t="s">
        <v>43</v>
      </c>
      <c r="D366" s="4" t="s">
        <v>38</v>
      </c>
      <c r="E366" s="4" t="s">
        <v>25</v>
      </c>
      <c r="F366" s="4" t="s">
        <v>55</v>
      </c>
      <c r="G366" s="4" t="s">
        <v>25</v>
      </c>
      <c r="H366" s="4" t="s">
        <v>25</v>
      </c>
      <c r="I366" s="5">
        <v>44866</v>
      </c>
      <c r="J366" s="6">
        <v>5023</v>
      </c>
      <c r="K366" s="6">
        <v>3196.6372000000001</v>
      </c>
      <c r="L366" s="6">
        <v>0</v>
      </c>
      <c r="M366" s="6">
        <v>0</v>
      </c>
      <c r="N366" s="6">
        <v>0</v>
      </c>
      <c r="O366" s="6">
        <v>0</v>
      </c>
      <c r="P366" s="6">
        <v>13</v>
      </c>
      <c r="Q366" s="4" t="s">
        <v>56</v>
      </c>
      <c r="R366" s="4">
        <v>0</v>
      </c>
      <c r="S366" s="6">
        <v>2</v>
      </c>
      <c r="T366" s="6">
        <v>0</v>
      </c>
      <c r="U366" s="6">
        <v>0</v>
      </c>
      <c r="V366" s="6">
        <f>IF(ISERROR(VLOOKUP($S$366,'TAR FIN'!$A$1:$O$108,15,0)),0,VLOOKUP($S$366,'TAR FIN'!$A$1:$O$108,15,0))</f>
        <v>21.38</v>
      </c>
      <c r="W366" s="6">
        <f>IF(ISERROR(VLOOKUP($T$366,'TAR FIN'!$A$1:$O$108,15,0)),0,VLOOKUP($T$366,'TAR FIN'!$A$1:$O$108,15,0))</f>
        <v>0</v>
      </c>
      <c r="X366" s="6">
        <f>IF(ISERROR(VLOOKUP($U$366,'TAR FIN'!$A$1:$O$108,15,0)),0,VLOOKUP($U$366,'TAR FIN'!$A$1:$O$108,15,0))</f>
        <v>0</v>
      </c>
      <c r="Y366" s="6">
        <f ca="1">('TUSD BE'!$AM$26+'TUSD BF'!$AM$26+'TUSD CVA'!$AM$26)*1</f>
        <v>21.189390814529755</v>
      </c>
      <c r="Z366" s="6"/>
      <c r="AA366" s="6"/>
      <c r="AB366" s="6">
        <f>$K$366*$V$366</f>
        <v>68344.103336</v>
      </c>
      <c r="AC366" s="6">
        <f>$M$366*$W$366</f>
        <v>0</v>
      </c>
      <c r="AD366" s="6">
        <f>$O$366*$X$366</f>
        <v>0</v>
      </c>
      <c r="AE366" s="6">
        <f ca="1">$K$366*$Y$366</f>
        <v>67734.794923064124</v>
      </c>
      <c r="AF366" s="6">
        <f>$M$366*$Z$366</f>
        <v>0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41</v>
      </c>
      <c r="C367" s="4" t="s">
        <v>43</v>
      </c>
      <c r="D367" s="4" t="s">
        <v>38</v>
      </c>
      <c r="E367" s="4" t="s">
        <v>25</v>
      </c>
      <c r="F367" s="4" t="s">
        <v>55</v>
      </c>
      <c r="G367" s="4" t="s">
        <v>25</v>
      </c>
      <c r="H367" s="4" t="s">
        <v>34</v>
      </c>
      <c r="I367" s="5">
        <v>44531</v>
      </c>
      <c r="J367" s="6">
        <v>0</v>
      </c>
      <c r="K367" s="6">
        <v>0</v>
      </c>
      <c r="L367" s="6">
        <v>79.353999999999999</v>
      </c>
      <c r="M367" s="6">
        <v>32.726844186740003</v>
      </c>
      <c r="N367" s="6">
        <v>0</v>
      </c>
      <c r="O367" s="6">
        <v>0</v>
      </c>
      <c r="P367" s="6">
        <v>0</v>
      </c>
      <c r="Q367" s="4" t="s">
        <v>56</v>
      </c>
      <c r="R367" s="4">
        <v>0</v>
      </c>
      <c r="S367" s="6">
        <v>0</v>
      </c>
      <c r="T367" s="6">
        <v>5</v>
      </c>
      <c r="U367" s="6">
        <v>0</v>
      </c>
      <c r="V367" s="6">
        <f>IF(ISERROR(VLOOKUP($S$367,'TAR FIN'!$A$1:$O$108,15,0)),0,VLOOKUP($S$367,'TAR FIN'!$A$1:$O$108,15,0))</f>
        <v>0</v>
      </c>
      <c r="W367" s="6">
        <f>IF(ISERROR(VLOOKUP($T$367,'TAR FIN'!$A$1:$O$108,15,0)),0,VLOOKUP($T$367,'TAR FIN'!$A$1:$O$108,15,0))</f>
        <v>1454.96</v>
      </c>
      <c r="X367" s="6">
        <f>IF(ISERROR(VLOOKUP($U$367,'TAR FIN'!$A$1:$O$108,15,0)),0,VLOOKUP($U$367,'TAR FIN'!$A$1:$O$108,15,0))</f>
        <v>0</v>
      </c>
      <c r="Y367" s="6"/>
      <c r="Z367" s="6">
        <f ca="1">('TUSD BE'!$AM$27+'TUSD BF'!$AM$27+'TUSD CVA'!$AM$27)*1</f>
        <v>1497.8900689999518</v>
      </c>
      <c r="AA367" s="6"/>
      <c r="AB367" s="6">
        <f>$K$367*$V$367</f>
        <v>0</v>
      </c>
      <c r="AC367" s="6">
        <f>$M$367*$W$367</f>
        <v>47616.249217939236</v>
      </c>
      <c r="AD367" s="6">
        <f>$O$367*$X$367</f>
        <v>0</v>
      </c>
      <c r="AE367" s="6">
        <f>$K$367*$Y$367</f>
        <v>0</v>
      </c>
      <c r="AF367" s="6">
        <f ca="1">$M$367*$Z$367</f>
        <v>49021.214897026657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41</v>
      </c>
      <c r="C368" s="4" t="s">
        <v>43</v>
      </c>
      <c r="D368" s="4" t="s">
        <v>38</v>
      </c>
      <c r="E368" s="4" t="s">
        <v>25</v>
      </c>
      <c r="F368" s="4" t="s">
        <v>55</v>
      </c>
      <c r="G368" s="4" t="s">
        <v>25</v>
      </c>
      <c r="H368" s="4" t="s">
        <v>34</v>
      </c>
      <c r="I368" s="5">
        <v>44562</v>
      </c>
      <c r="J368" s="6">
        <v>0</v>
      </c>
      <c r="K368" s="6">
        <v>0</v>
      </c>
      <c r="L368" s="6">
        <v>656.43799999999999</v>
      </c>
      <c r="M368" s="6">
        <v>248.461783</v>
      </c>
      <c r="N368" s="6">
        <v>0</v>
      </c>
      <c r="O368" s="6">
        <v>0</v>
      </c>
      <c r="P368" s="6">
        <v>0</v>
      </c>
      <c r="Q368" s="4" t="s">
        <v>56</v>
      </c>
      <c r="R368" s="4">
        <v>0</v>
      </c>
      <c r="S368" s="6">
        <v>0</v>
      </c>
      <c r="T368" s="6">
        <v>5</v>
      </c>
      <c r="U368" s="6">
        <v>0</v>
      </c>
      <c r="V368" s="6">
        <f>IF(ISERROR(VLOOKUP($S$368,'TAR FIN'!$A$1:$O$108,15,0)),0,VLOOKUP($S$368,'TAR FIN'!$A$1:$O$108,15,0))</f>
        <v>0</v>
      </c>
      <c r="W368" s="6">
        <f>IF(ISERROR(VLOOKUP($T$368,'TAR FIN'!$A$1:$O$108,15,0)),0,VLOOKUP($T$368,'TAR FIN'!$A$1:$O$108,15,0))</f>
        <v>1454.96</v>
      </c>
      <c r="X368" s="6">
        <f>IF(ISERROR(VLOOKUP($U$368,'TAR FIN'!$A$1:$O$108,15,0)),0,VLOOKUP($U$368,'TAR FIN'!$A$1:$O$108,15,0))</f>
        <v>0</v>
      </c>
      <c r="Y368" s="6"/>
      <c r="Z368" s="6">
        <f ca="1">('TUSD BE'!$AM$27+'TUSD BF'!$AM$27+'TUSD CVA'!$AM$27)*1</f>
        <v>1497.8900689999518</v>
      </c>
      <c r="AA368" s="6"/>
      <c r="AB368" s="6">
        <f>$K$368*$V$368</f>
        <v>0</v>
      </c>
      <c r="AC368" s="6">
        <f>$M$368*$W$368</f>
        <v>361501.95579367998</v>
      </c>
      <c r="AD368" s="6">
        <f>$O$368*$X$368</f>
        <v>0</v>
      </c>
      <c r="AE368" s="6">
        <f>$K$368*$Y$368</f>
        <v>0</v>
      </c>
      <c r="AF368" s="6">
        <f ca="1">$M$368*$Z$368</f>
        <v>372168.43728172104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41</v>
      </c>
      <c r="C369" s="4" t="s">
        <v>43</v>
      </c>
      <c r="D369" s="4" t="s">
        <v>38</v>
      </c>
      <c r="E369" s="4" t="s">
        <v>25</v>
      </c>
      <c r="F369" s="4" t="s">
        <v>55</v>
      </c>
      <c r="G369" s="4" t="s">
        <v>25</v>
      </c>
      <c r="H369" s="4" t="s">
        <v>34</v>
      </c>
      <c r="I369" s="5">
        <v>44593</v>
      </c>
      <c r="J369" s="6">
        <v>0</v>
      </c>
      <c r="K369" s="6">
        <v>0</v>
      </c>
      <c r="L369" s="6">
        <v>636.64099999999996</v>
      </c>
      <c r="M369" s="6">
        <v>311.44477719999998</v>
      </c>
      <c r="N369" s="6">
        <v>0</v>
      </c>
      <c r="O369" s="6">
        <v>0</v>
      </c>
      <c r="P369" s="6">
        <v>0</v>
      </c>
      <c r="Q369" s="4" t="s">
        <v>56</v>
      </c>
      <c r="R369" s="4">
        <v>0</v>
      </c>
      <c r="S369" s="6">
        <v>0</v>
      </c>
      <c r="T369" s="6">
        <v>5</v>
      </c>
      <c r="U369" s="6">
        <v>0</v>
      </c>
      <c r="V369" s="6">
        <f>IF(ISERROR(VLOOKUP($S$369,'TAR FIN'!$A$1:$O$108,15,0)),0,VLOOKUP($S$369,'TAR FIN'!$A$1:$O$108,15,0))</f>
        <v>0</v>
      </c>
      <c r="W369" s="6">
        <f>IF(ISERROR(VLOOKUP($T$369,'TAR FIN'!$A$1:$O$108,15,0)),0,VLOOKUP($T$369,'TAR FIN'!$A$1:$O$108,15,0))</f>
        <v>1454.96</v>
      </c>
      <c r="X369" s="6">
        <f>IF(ISERROR(VLOOKUP($U$369,'TAR FIN'!$A$1:$O$108,15,0)),0,VLOOKUP($U$369,'TAR FIN'!$A$1:$O$108,15,0))</f>
        <v>0</v>
      </c>
      <c r="Y369" s="6"/>
      <c r="Z369" s="6">
        <f ca="1">('TUSD BE'!$AM$27+'TUSD BF'!$AM$27+'TUSD CVA'!$AM$27)*1</f>
        <v>1497.8900689999518</v>
      </c>
      <c r="AA369" s="6"/>
      <c r="AB369" s="6">
        <f>$K$369*$V$369</f>
        <v>0</v>
      </c>
      <c r="AC369" s="6">
        <f>$M$369*$W$369</f>
        <v>453139.69303491199</v>
      </c>
      <c r="AD369" s="6">
        <f>$O$369*$X$369</f>
        <v>0</v>
      </c>
      <c r="AE369" s="6">
        <f>$K$369*$Y$369</f>
        <v>0</v>
      </c>
      <c r="AF369" s="6">
        <f ca="1">$M$369*$Z$369</f>
        <v>466510.03880978259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41</v>
      </c>
      <c r="C370" s="4" t="s">
        <v>43</v>
      </c>
      <c r="D370" s="4" t="s">
        <v>38</v>
      </c>
      <c r="E370" s="4" t="s">
        <v>25</v>
      </c>
      <c r="F370" s="4" t="s">
        <v>55</v>
      </c>
      <c r="G370" s="4" t="s">
        <v>25</v>
      </c>
      <c r="H370" s="4" t="s">
        <v>34</v>
      </c>
      <c r="I370" s="5">
        <v>44621</v>
      </c>
      <c r="J370" s="6">
        <v>0</v>
      </c>
      <c r="K370" s="6">
        <v>0</v>
      </c>
      <c r="L370" s="6">
        <v>724.59900000000005</v>
      </c>
      <c r="M370" s="6">
        <v>61.953214500000001</v>
      </c>
      <c r="N370" s="6">
        <v>0</v>
      </c>
      <c r="O370" s="6">
        <v>0</v>
      </c>
      <c r="P370" s="6">
        <v>0</v>
      </c>
      <c r="Q370" s="4" t="s">
        <v>56</v>
      </c>
      <c r="R370" s="4">
        <v>0</v>
      </c>
      <c r="S370" s="6">
        <v>0</v>
      </c>
      <c r="T370" s="6">
        <v>5</v>
      </c>
      <c r="U370" s="6">
        <v>0</v>
      </c>
      <c r="V370" s="6">
        <f>IF(ISERROR(VLOOKUP($S$370,'TAR FIN'!$A$1:$O$108,15,0)),0,VLOOKUP($S$370,'TAR FIN'!$A$1:$O$108,15,0))</f>
        <v>0</v>
      </c>
      <c r="W370" s="6">
        <f>IF(ISERROR(VLOOKUP($T$370,'TAR FIN'!$A$1:$O$108,15,0)),0,VLOOKUP($T$370,'TAR FIN'!$A$1:$O$108,15,0))</f>
        <v>1454.96</v>
      </c>
      <c r="X370" s="6">
        <f>IF(ISERROR(VLOOKUP($U$370,'TAR FIN'!$A$1:$O$108,15,0)),0,VLOOKUP($U$370,'TAR FIN'!$A$1:$O$108,15,0))</f>
        <v>0</v>
      </c>
      <c r="Y370" s="6"/>
      <c r="Z370" s="6">
        <f ca="1">('TUSD BE'!$AM$27+'TUSD BF'!$AM$27+'TUSD CVA'!$AM$27)*1</f>
        <v>1497.8900689999518</v>
      </c>
      <c r="AA370" s="6"/>
      <c r="AB370" s="6">
        <f>$K$370*$V$370</f>
        <v>0</v>
      </c>
      <c r="AC370" s="6">
        <f>$M$370*$W$370</f>
        <v>90139.448968919998</v>
      </c>
      <c r="AD370" s="6">
        <f>$O$370*$X$370</f>
        <v>0</v>
      </c>
      <c r="AE370" s="6">
        <f>$K$370*$Y$370</f>
        <v>0</v>
      </c>
      <c r="AF370" s="6">
        <f ca="1">$M$370*$Z$370</f>
        <v>92799.104742173819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41</v>
      </c>
      <c r="C371" s="4" t="s">
        <v>43</v>
      </c>
      <c r="D371" s="4" t="s">
        <v>38</v>
      </c>
      <c r="E371" s="4" t="s">
        <v>25</v>
      </c>
      <c r="F371" s="4" t="s">
        <v>55</v>
      </c>
      <c r="G371" s="4" t="s">
        <v>25</v>
      </c>
      <c r="H371" s="4" t="s">
        <v>34</v>
      </c>
      <c r="I371" s="5">
        <v>44652</v>
      </c>
      <c r="J371" s="6">
        <v>0</v>
      </c>
      <c r="K371" s="6">
        <v>0</v>
      </c>
      <c r="L371" s="6">
        <v>1063.9159999999999</v>
      </c>
      <c r="M371" s="6">
        <v>128.0954864</v>
      </c>
      <c r="N371" s="6">
        <v>0</v>
      </c>
      <c r="O371" s="6">
        <v>0</v>
      </c>
      <c r="P371" s="6">
        <v>0</v>
      </c>
      <c r="Q371" s="4" t="s">
        <v>56</v>
      </c>
      <c r="R371" s="4">
        <v>0</v>
      </c>
      <c r="S371" s="6">
        <v>0</v>
      </c>
      <c r="T371" s="6">
        <v>5</v>
      </c>
      <c r="U371" s="6">
        <v>0</v>
      </c>
      <c r="V371" s="6">
        <f>IF(ISERROR(VLOOKUP($S$371,'TAR FIN'!$A$1:$O$108,15,0)),0,VLOOKUP($S$371,'TAR FIN'!$A$1:$O$108,15,0))</f>
        <v>0</v>
      </c>
      <c r="W371" s="6">
        <f>IF(ISERROR(VLOOKUP($T$371,'TAR FIN'!$A$1:$O$108,15,0)),0,VLOOKUP($T$371,'TAR FIN'!$A$1:$O$108,15,0))</f>
        <v>1454.96</v>
      </c>
      <c r="X371" s="6">
        <f>IF(ISERROR(VLOOKUP($U$371,'TAR FIN'!$A$1:$O$108,15,0)),0,VLOOKUP($U$371,'TAR FIN'!$A$1:$O$108,15,0))</f>
        <v>0</v>
      </c>
      <c r="Y371" s="6"/>
      <c r="Z371" s="6">
        <f ca="1">('TUSD BE'!$AM$27+'TUSD BF'!$AM$27+'TUSD CVA'!$AM$27)*1</f>
        <v>1497.8900689999518</v>
      </c>
      <c r="AA371" s="6"/>
      <c r="AB371" s="6">
        <f>$K$371*$V$371</f>
        <v>0</v>
      </c>
      <c r="AC371" s="6">
        <f>$M$371*$W$371</f>
        <v>186373.80889254401</v>
      </c>
      <c r="AD371" s="6">
        <f>$O$371*$X$371</f>
        <v>0</v>
      </c>
      <c r="AE371" s="6">
        <f>$K$371*$Y$371</f>
        <v>0</v>
      </c>
      <c r="AF371" s="6">
        <f ca="1">$M$371*$Z$371</f>
        <v>191872.9569622784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41</v>
      </c>
      <c r="C372" s="4" t="s">
        <v>43</v>
      </c>
      <c r="D372" s="4" t="s">
        <v>38</v>
      </c>
      <c r="E372" s="4" t="s">
        <v>25</v>
      </c>
      <c r="F372" s="4" t="s">
        <v>55</v>
      </c>
      <c r="G372" s="4" t="s">
        <v>25</v>
      </c>
      <c r="H372" s="4" t="s">
        <v>34</v>
      </c>
      <c r="I372" s="5">
        <v>44682</v>
      </c>
      <c r="J372" s="6">
        <v>0</v>
      </c>
      <c r="K372" s="6">
        <v>0</v>
      </c>
      <c r="L372" s="6">
        <v>1145.528</v>
      </c>
      <c r="M372" s="6">
        <v>-11.684385600000001</v>
      </c>
      <c r="N372" s="6">
        <v>0</v>
      </c>
      <c r="O372" s="6">
        <v>0</v>
      </c>
      <c r="P372" s="6">
        <v>0</v>
      </c>
      <c r="Q372" s="4" t="s">
        <v>56</v>
      </c>
      <c r="R372" s="4">
        <v>0</v>
      </c>
      <c r="S372" s="6">
        <v>0</v>
      </c>
      <c r="T372" s="6">
        <v>5</v>
      </c>
      <c r="U372" s="6">
        <v>0</v>
      </c>
      <c r="V372" s="6">
        <f>IF(ISERROR(VLOOKUP($S$372,'TAR FIN'!$A$1:$O$108,15,0)),0,VLOOKUP($S$372,'TAR FIN'!$A$1:$O$108,15,0))</f>
        <v>0</v>
      </c>
      <c r="W372" s="6">
        <f>IF(ISERROR(VLOOKUP($T$372,'TAR FIN'!$A$1:$O$108,15,0)),0,VLOOKUP($T$372,'TAR FIN'!$A$1:$O$108,15,0))</f>
        <v>1454.96</v>
      </c>
      <c r="X372" s="6">
        <f>IF(ISERROR(VLOOKUP($U$372,'TAR FIN'!$A$1:$O$108,15,0)),0,VLOOKUP($U$372,'TAR FIN'!$A$1:$O$108,15,0))</f>
        <v>0</v>
      </c>
      <c r="Y372" s="6"/>
      <c r="Z372" s="6">
        <f ca="1">('TUSD BE'!$AM$27+'TUSD BF'!$AM$27+'TUSD CVA'!$AM$27)*1</f>
        <v>1497.8900689999518</v>
      </c>
      <c r="AA372" s="6"/>
      <c r="AB372" s="6">
        <f>$K$372*$V$372</f>
        <v>0</v>
      </c>
      <c r="AC372" s="6">
        <f>$M$372*$W$372</f>
        <v>-17000.313672576001</v>
      </c>
      <c r="AD372" s="6">
        <f>$O$372*$X$372</f>
        <v>0</v>
      </c>
      <c r="AE372" s="6">
        <f>$K$372*$Y$372</f>
        <v>0</v>
      </c>
      <c r="AF372" s="6">
        <f ca="1">$M$372*$Z$372</f>
        <v>-17501.925152606043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41</v>
      </c>
      <c r="C373" s="4" t="s">
        <v>43</v>
      </c>
      <c r="D373" s="4" t="s">
        <v>38</v>
      </c>
      <c r="E373" s="4" t="s">
        <v>25</v>
      </c>
      <c r="F373" s="4" t="s">
        <v>55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1190.585</v>
      </c>
      <c r="M373" s="6">
        <v>95.842092500000007</v>
      </c>
      <c r="N373" s="6">
        <v>0</v>
      </c>
      <c r="O373" s="6">
        <v>0</v>
      </c>
      <c r="P373" s="6">
        <v>0</v>
      </c>
      <c r="Q373" s="4" t="s">
        <v>56</v>
      </c>
      <c r="R373" s="4">
        <v>0</v>
      </c>
      <c r="S373" s="6">
        <v>0</v>
      </c>
      <c r="T373" s="6">
        <v>5</v>
      </c>
      <c r="U373" s="6">
        <v>0</v>
      </c>
      <c r="V373" s="6">
        <f>IF(ISERROR(VLOOKUP($S$373,'TAR FIN'!$A$1:$O$108,15,0)),0,VLOOKUP($S$373,'TAR FIN'!$A$1:$O$108,15,0))</f>
        <v>0</v>
      </c>
      <c r="W373" s="6">
        <f>IF(ISERROR(VLOOKUP($T$373,'TAR FIN'!$A$1:$O$108,15,0)),0,VLOOKUP($T$373,'TAR FIN'!$A$1:$O$108,15,0))</f>
        <v>1454.96</v>
      </c>
      <c r="X373" s="6">
        <f>IF(ISERROR(VLOOKUP($U$373,'TAR FIN'!$A$1:$O$108,15,0)),0,VLOOKUP($U$373,'TAR FIN'!$A$1:$O$108,15,0))</f>
        <v>0</v>
      </c>
      <c r="Y373" s="6"/>
      <c r="Z373" s="6">
        <f ca="1">('TUSD BE'!$AM$27+'TUSD BF'!$AM$27+'TUSD CVA'!$AM$27)*1</f>
        <v>1497.8900689999518</v>
      </c>
      <c r="AA373" s="6"/>
      <c r="AB373" s="6">
        <f>$K$373*$V$373</f>
        <v>0</v>
      </c>
      <c r="AC373" s="6">
        <f>$M$373*$W$373</f>
        <v>139446.41090380002</v>
      </c>
      <c r="AD373" s="6">
        <f>$O$373*$X$373</f>
        <v>0</v>
      </c>
      <c r="AE373" s="6">
        <f>$K$373*$Y$373</f>
        <v>0</v>
      </c>
      <c r="AF373" s="6">
        <f ca="1">$M$373*$Z$373</f>
        <v>143560.91854792478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41</v>
      </c>
      <c r="C374" s="4" t="s">
        <v>43</v>
      </c>
      <c r="D374" s="4" t="s">
        <v>38</v>
      </c>
      <c r="E374" s="4" t="s">
        <v>25</v>
      </c>
      <c r="F374" s="4" t="s">
        <v>55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1201.797</v>
      </c>
      <c r="M374" s="6">
        <v>332.5372299</v>
      </c>
      <c r="N374" s="6">
        <v>0</v>
      </c>
      <c r="O374" s="6">
        <v>0</v>
      </c>
      <c r="P374" s="6">
        <v>0</v>
      </c>
      <c r="Q374" s="4" t="s">
        <v>56</v>
      </c>
      <c r="R374" s="4">
        <v>0</v>
      </c>
      <c r="S374" s="6">
        <v>0</v>
      </c>
      <c r="T374" s="6">
        <v>5</v>
      </c>
      <c r="U374" s="6">
        <v>0</v>
      </c>
      <c r="V374" s="6">
        <f>IF(ISERROR(VLOOKUP($S$374,'TAR FIN'!$A$1:$O$108,15,0)),0,VLOOKUP($S$374,'TAR FIN'!$A$1:$O$108,15,0))</f>
        <v>0</v>
      </c>
      <c r="W374" s="6">
        <f>IF(ISERROR(VLOOKUP($T$374,'TAR FIN'!$A$1:$O$108,15,0)),0,VLOOKUP($T$374,'TAR FIN'!$A$1:$O$108,15,0))</f>
        <v>1454.96</v>
      </c>
      <c r="X374" s="6">
        <f>IF(ISERROR(VLOOKUP($U$374,'TAR FIN'!$A$1:$O$108,15,0)),0,VLOOKUP($U$374,'TAR FIN'!$A$1:$O$108,15,0))</f>
        <v>0</v>
      </c>
      <c r="Y374" s="6"/>
      <c r="Z374" s="6">
        <f ca="1">('TUSD BE'!$AM$27+'TUSD BF'!$AM$27+'TUSD CVA'!$AM$27)*1</f>
        <v>1497.8900689999518</v>
      </c>
      <c r="AA374" s="6"/>
      <c r="AB374" s="6">
        <f>$K$374*$V$374</f>
        <v>0</v>
      </c>
      <c r="AC374" s="6">
        <f>$M$374*$W$374</f>
        <v>483828.36801530403</v>
      </c>
      <c r="AD374" s="6">
        <f>$O$374*$X$374</f>
        <v>0</v>
      </c>
      <c r="AE374" s="6">
        <f>$K$374*$Y$374</f>
        <v>0</v>
      </c>
      <c r="AF374" s="6">
        <f ca="1">$M$374*$Z$374</f>
        <v>498104.21423996385</v>
      </c>
      <c r="AG374" s="6">
        <f>$O$374*$AA$374</f>
        <v>0</v>
      </c>
    </row>
    <row r="375" spans="1:33" ht="11.25" customHeight="1" x14ac:dyDescent="0.25">
      <c r="A375" s="4" t="s">
        <v>21</v>
      </c>
      <c r="B375" s="4" t="s">
        <v>41</v>
      </c>
      <c r="C375" s="4" t="s">
        <v>43</v>
      </c>
      <c r="D375" s="4" t="s">
        <v>38</v>
      </c>
      <c r="E375" s="4" t="s">
        <v>25</v>
      </c>
      <c r="F375" s="4" t="s">
        <v>55</v>
      </c>
      <c r="G375" s="4" t="s">
        <v>25</v>
      </c>
      <c r="H375" s="4" t="s">
        <v>34</v>
      </c>
      <c r="I375" s="5">
        <v>44774</v>
      </c>
      <c r="J375" s="6">
        <v>0</v>
      </c>
      <c r="K375" s="6">
        <v>0</v>
      </c>
      <c r="L375" s="6">
        <v>1344.97</v>
      </c>
      <c r="M375" s="6">
        <v>-158.033975</v>
      </c>
      <c r="N375" s="6">
        <v>0</v>
      </c>
      <c r="O375" s="6">
        <v>0</v>
      </c>
      <c r="P375" s="6">
        <v>0</v>
      </c>
      <c r="Q375" s="4" t="s">
        <v>56</v>
      </c>
      <c r="R375" s="4">
        <v>0</v>
      </c>
      <c r="S375" s="6">
        <v>0</v>
      </c>
      <c r="T375" s="6">
        <v>5</v>
      </c>
      <c r="U375" s="6">
        <v>0</v>
      </c>
      <c r="V375" s="6">
        <f>IF(ISERROR(VLOOKUP($S$375,'TAR FIN'!$A$1:$O$108,15,0)),0,VLOOKUP($S$375,'TAR FIN'!$A$1:$O$108,15,0))</f>
        <v>0</v>
      </c>
      <c r="W375" s="6">
        <f>IF(ISERROR(VLOOKUP($T$375,'TAR FIN'!$A$1:$O$108,15,0)),0,VLOOKUP($T$375,'TAR FIN'!$A$1:$O$108,15,0))</f>
        <v>1454.96</v>
      </c>
      <c r="X375" s="6">
        <f>IF(ISERROR(VLOOKUP($U$375,'TAR FIN'!$A$1:$O$108,15,0)),0,VLOOKUP($U$375,'TAR FIN'!$A$1:$O$108,15,0))</f>
        <v>0</v>
      </c>
      <c r="Y375" s="6"/>
      <c r="Z375" s="6">
        <f ca="1">('TUSD BE'!$AM$27+'TUSD BF'!$AM$27+'TUSD CVA'!$AM$27)*1</f>
        <v>1497.8900689999518</v>
      </c>
      <c r="AA375" s="6"/>
      <c r="AB375" s="6">
        <f>$K$375*$V$375</f>
        <v>0</v>
      </c>
      <c r="AC375" s="6">
        <f>$M$375*$W$375</f>
        <v>-229933.11226600001</v>
      </c>
      <c r="AD375" s="6">
        <f>$O$375*$X$375</f>
        <v>0</v>
      </c>
      <c r="AE375" s="6">
        <f>$K$375*$Y$375</f>
        <v>0</v>
      </c>
      <c r="AF375" s="6">
        <f ca="1">$M$375*$Z$375</f>
        <v>-236717.52171708667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41</v>
      </c>
      <c r="C376" s="4" t="s">
        <v>43</v>
      </c>
      <c r="D376" s="4" t="s">
        <v>38</v>
      </c>
      <c r="E376" s="4" t="s">
        <v>25</v>
      </c>
      <c r="F376" s="4" t="s">
        <v>55</v>
      </c>
      <c r="G376" s="4" t="s">
        <v>25</v>
      </c>
      <c r="H376" s="4" t="s">
        <v>34</v>
      </c>
      <c r="I376" s="5">
        <v>44805</v>
      </c>
      <c r="J376" s="6">
        <v>0</v>
      </c>
      <c r="K376" s="6">
        <v>0</v>
      </c>
      <c r="L376" s="6">
        <v>1285.78</v>
      </c>
      <c r="M376" s="6">
        <v>150.43626</v>
      </c>
      <c r="N376" s="6">
        <v>0</v>
      </c>
      <c r="O376" s="6">
        <v>0</v>
      </c>
      <c r="P376" s="6">
        <v>0</v>
      </c>
      <c r="Q376" s="4" t="s">
        <v>56</v>
      </c>
      <c r="R376" s="4">
        <v>0</v>
      </c>
      <c r="S376" s="6">
        <v>0</v>
      </c>
      <c r="T376" s="6">
        <v>5</v>
      </c>
      <c r="U376" s="6">
        <v>0</v>
      </c>
      <c r="V376" s="6">
        <f>IF(ISERROR(VLOOKUP($S$376,'TAR FIN'!$A$1:$O$108,15,0)),0,VLOOKUP($S$376,'TAR FIN'!$A$1:$O$108,15,0))</f>
        <v>0</v>
      </c>
      <c r="W376" s="6">
        <f>IF(ISERROR(VLOOKUP($T$376,'TAR FIN'!$A$1:$O$108,15,0)),0,VLOOKUP($T$376,'TAR FIN'!$A$1:$O$108,15,0))</f>
        <v>1454.96</v>
      </c>
      <c r="X376" s="6">
        <f>IF(ISERROR(VLOOKUP($U$376,'TAR FIN'!$A$1:$O$108,15,0)),0,VLOOKUP($U$376,'TAR FIN'!$A$1:$O$108,15,0))</f>
        <v>0</v>
      </c>
      <c r="Y376" s="6"/>
      <c r="Z376" s="6">
        <f ca="1">('TUSD BE'!$AM$27+'TUSD BF'!$AM$27+'TUSD CVA'!$AM$27)*1</f>
        <v>1497.8900689999518</v>
      </c>
      <c r="AA376" s="6"/>
      <c r="AB376" s="6">
        <f>$K$376*$V$376</f>
        <v>0</v>
      </c>
      <c r="AC376" s="6">
        <f>$M$376*$W$376</f>
        <v>218878.7408496</v>
      </c>
      <c r="AD376" s="6">
        <f>$O$376*$X$376</f>
        <v>0</v>
      </c>
      <c r="AE376" s="6">
        <f>$K$376*$Y$376</f>
        <v>0</v>
      </c>
      <c r="AF376" s="6">
        <f ca="1">$M$376*$Z$376</f>
        <v>225336.9798714947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41</v>
      </c>
      <c r="C377" s="4" t="s">
        <v>43</v>
      </c>
      <c r="D377" s="4" t="s">
        <v>38</v>
      </c>
      <c r="E377" s="4" t="s">
        <v>25</v>
      </c>
      <c r="F377" s="4" t="s">
        <v>55</v>
      </c>
      <c r="G377" s="4" t="s">
        <v>25</v>
      </c>
      <c r="H377" s="4" t="s">
        <v>34</v>
      </c>
      <c r="I377" s="5">
        <v>44835</v>
      </c>
      <c r="J377" s="6">
        <v>0</v>
      </c>
      <c r="K377" s="6">
        <v>0</v>
      </c>
      <c r="L377" s="6">
        <v>1357.423</v>
      </c>
      <c r="M377" s="6">
        <v>-199.8126656</v>
      </c>
      <c r="N377" s="6">
        <v>0</v>
      </c>
      <c r="O377" s="6">
        <v>0</v>
      </c>
      <c r="P377" s="6">
        <v>0</v>
      </c>
      <c r="Q377" s="4" t="s">
        <v>56</v>
      </c>
      <c r="R377" s="4">
        <v>0</v>
      </c>
      <c r="S377" s="6">
        <v>0</v>
      </c>
      <c r="T377" s="6">
        <v>5</v>
      </c>
      <c r="U377" s="6">
        <v>0</v>
      </c>
      <c r="V377" s="6">
        <f>IF(ISERROR(VLOOKUP($S$377,'TAR FIN'!$A$1:$O$108,15,0)),0,VLOOKUP($S$377,'TAR FIN'!$A$1:$O$108,15,0))</f>
        <v>0</v>
      </c>
      <c r="W377" s="6">
        <f>IF(ISERROR(VLOOKUP($T$377,'TAR FIN'!$A$1:$O$108,15,0)),0,VLOOKUP($T$377,'TAR FIN'!$A$1:$O$108,15,0))</f>
        <v>1454.96</v>
      </c>
      <c r="X377" s="6">
        <f>IF(ISERROR(VLOOKUP($U$377,'TAR FIN'!$A$1:$O$108,15,0)),0,VLOOKUP($U$377,'TAR FIN'!$A$1:$O$108,15,0))</f>
        <v>0</v>
      </c>
      <c r="Y377" s="6"/>
      <c r="Z377" s="6">
        <f ca="1">('TUSD BE'!$AM$27+'TUSD BF'!$AM$27+'TUSD CVA'!$AM$27)*1</f>
        <v>1497.8900689999518</v>
      </c>
      <c r="AA377" s="6"/>
      <c r="AB377" s="6">
        <f>$K$377*$V$377</f>
        <v>0</v>
      </c>
      <c r="AC377" s="6">
        <f>$M$377*$W$377</f>
        <v>-290719.43594137602</v>
      </c>
      <c r="AD377" s="6">
        <f>$O$377*$X$377</f>
        <v>0</v>
      </c>
      <c r="AE377" s="6">
        <f>$K$377*$Y$377</f>
        <v>0</v>
      </c>
      <c r="AF377" s="6">
        <f ca="1">$M$377*$Z$377</f>
        <v>-299297.40746264829</v>
      </c>
      <c r="AG377" s="6">
        <f>$O$377*$AA$377</f>
        <v>0</v>
      </c>
    </row>
    <row r="378" spans="1:33" ht="11.25" customHeight="1" x14ac:dyDescent="0.25">
      <c r="A378" s="4" t="s">
        <v>54</v>
      </c>
      <c r="B378" s="4" t="s">
        <v>41</v>
      </c>
      <c r="C378" s="4" t="s">
        <v>43</v>
      </c>
      <c r="D378" s="4" t="s">
        <v>38</v>
      </c>
      <c r="E378" s="4" t="s">
        <v>25</v>
      </c>
      <c r="F378" s="4" t="s">
        <v>55</v>
      </c>
      <c r="G378" s="4" t="s">
        <v>25</v>
      </c>
      <c r="H378" s="4" t="s">
        <v>34</v>
      </c>
      <c r="I378" s="5">
        <v>44866</v>
      </c>
      <c r="J378" s="6">
        <v>0</v>
      </c>
      <c r="K378" s="6">
        <v>0</v>
      </c>
      <c r="L378" s="6">
        <v>1357.423</v>
      </c>
      <c r="M378" s="6">
        <v>-199.8126656</v>
      </c>
      <c r="N378" s="6">
        <v>0</v>
      </c>
      <c r="O378" s="6">
        <v>0</v>
      </c>
      <c r="P378" s="6">
        <v>0</v>
      </c>
      <c r="Q378" s="4" t="s">
        <v>56</v>
      </c>
      <c r="R378" s="4">
        <v>0</v>
      </c>
      <c r="S378" s="6">
        <v>0</v>
      </c>
      <c r="T378" s="6">
        <v>5</v>
      </c>
      <c r="U378" s="6">
        <v>0</v>
      </c>
      <c r="V378" s="6">
        <f>IF(ISERROR(VLOOKUP($S$378,'TAR FIN'!$A$1:$O$108,15,0)),0,VLOOKUP($S$378,'TAR FIN'!$A$1:$O$108,15,0))</f>
        <v>0</v>
      </c>
      <c r="W378" s="6">
        <f>IF(ISERROR(VLOOKUP($T$378,'TAR FIN'!$A$1:$O$108,15,0)),0,VLOOKUP($T$378,'TAR FIN'!$A$1:$O$108,15,0))</f>
        <v>1454.96</v>
      </c>
      <c r="X378" s="6">
        <f>IF(ISERROR(VLOOKUP($U$378,'TAR FIN'!$A$1:$O$108,15,0)),0,VLOOKUP($U$378,'TAR FIN'!$A$1:$O$108,15,0))</f>
        <v>0</v>
      </c>
      <c r="Y378" s="6"/>
      <c r="Z378" s="6">
        <f ca="1">('TUSD BE'!$AM$27+'TUSD BF'!$AM$27+'TUSD CVA'!$AM$27)*1</f>
        <v>1497.8900689999518</v>
      </c>
      <c r="AA378" s="6"/>
      <c r="AB378" s="6">
        <f>$K$378*$V$378</f>
        <v>0</v>
      </c>
      <c r="AC378" s="6">
        <f>$M$378*$W$378</f>
        <v>-290719.43594137602</v>
      </c>
      <c r="AD378" s="6">
        <f>$O$378*$X$378</f>
        <v>0</v>
      </c>
      <c r="AE378" s="6">
        <f>$K$378*$Y$378</f>
        <v>0</v>
      </c>
      <c r="AF378" s="6">
        <f ca="1">$M$378*$Z$378</f>
        <v>-299297.40746264829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41</v>
      </c>
      <c r="C379" s="4" t="s">
        <v>43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44531</v>
      </c>
      <c r="J379" s="6">
        <v>0</v>
      </c>
      <c r="K379" s="6">
        <v>0</v>
      </c>
      <c r="L379" s="6">
        <v>1329.452</v>
      </c>
      <c r="M379" s="6">
        <v>1329.452</v>
      </c>
      <c r="N379" s="6">
        <v>1329.452</v>
      </c>
      <c r="O379" s="6">
        <v>1329.452</v>
      </c>
      <c r="P379" s="6">
        <v>0</v>
      </c>
      <c r="Q379" s="4" t="s">
        <v>26</v>
      </c>
      <c r="R379" s="4">
        <v>0</v>
      </c>
      <c r="S379" s="6">
        <v>0</v>
      </c>
      <c r="T379" s="6">
        <v>7</v>
      </c>
      <c r="U379" s="6">
        <v>76</v>
      </c>
      <c r="V379" s="6">
        <f>IF(ISERROR(VLOOKUP($S$379,'TAR FIN'!$A$1:$O$108,15,0)),0,VLOOKUP($S$379,'TAR FIN'!$A$1:$O$108,15,0))</f>
        <v>0</v>
      </c>
      <c r="W379" s="6">
        <f>IF(ISERROR(VLOOKUP($T$379,'TAR FIN'!$A$1:$O$108,15,0)),0,VLOOKUP($T$379,'TAR FIN'!$A$1:$O$108,15,0))</f>
        <v>102.62</v>
      </c>
      <c r="X379" s="6">
        <f>IF(ISERROR(VLOOKUP($U$379,'TAR FIN'!$A$1:$O$108,15,0)),0,VLOOKUP($U$379,'TAR FIN'!$A$1:$O$108,15,0))</f>
        <v>103.1</v>
      </c>
      <c r="Y379" s="6"/>
      <c r="Z379" s="6">
        <f ca="1">('TUSD BE'!$AM$28+'TUSD BF'!$AM$28+'TUSD CVA'!$AM$28)*1</f>
        <v>181.47641369790719</v>
      </c>
      <c r="AA379" s="6">
        <f>('TE BE'!$AB$11+'TE BF'!$AB$11+'TE CVA'!$AB$11)*1</f>
        <v>215.60278025898469</v>
      </c>
      <c r="AB379" s="6">
        <f>$K$379*$V$379</f>
        <v>0</v>
      </c>
      <c r="AC379" s="6">
        <f>$M$379*$W$379</f>
        <v>136428.36424</v>
      </c>
      <c r="AD379" s="6">
        <f>$O$379*$X$379</f>
        <v>137066.5012</v>
      </c>
      <c r="AE379" s="6">
        <f>$K$379*$Y$379</f>
        <v>0</v>
      </c>
      <c r="AF379" s="6">
        <f ca="1">$M$379*$Z$379</f>
        <v>241264.1811435101</v>
      </c>
      <c r="AG379" s="6">
        <f>$O$379*$AA$379</f>
        <v>286633.54742086772</v>
      </c>
    </row>
    <row r="380" spans="1:33" ht="11.25" customHeight="1" x14ac:dyDescent="0.25">
      <c r="A380" s="4" t="s">
        <v>28</v>
      </c>
      <c r="B380" s="4" t="s">
        <v>41</v>
      </c>
      <c r="C380" s="4" t="s">
        <v>43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18.178000000000001</v>
      </c>
      <c r="M380" s="6">
        <v>18.178000000000001</v>
      </c>
      <c r="N380" s="6">
        <v>18.178000000000001</v>
      </c>
      <c r="O380" s="6">
        <v>18.178000000000001</v>
      </c>
      <c r="P380" s="6">
        <v>0</v>
      </c>
      <c r="Q380" s="4" t="s">
        <v>26</v>
      </c>
      <c r="R380" s="4">
        <v>0</v>
      </c>
      <c r="S380" s="6">
        <v>0</v>
      </c>
      <c r="T380" s="6">
        <v>7</v>
      </c>
      <c r="U380" s="6">
        <v>76</v>
      </c>
      <c r="V380" s="6">
        <f>IF(ISERROR(VLOOKUP($S$380,'TAR FIN'!$A$1:$O$108,15,0)),0,VLOOKUP($S$380,'TAR FIN'!$A$1:$O$108,15,0))</f>
        <v>0</v>
      </c>
      <c r="W380" s="6">
        <f>IF(ISERROR(VLOOKUP($T$380,'TAR FIN'!$A$1:$O$108,15,0)),0,VLOOKUP($T$380,'TAR FIN'!$A$1:$O$108,15,0))</f>
        <v>102.62</v>
      </c>
      <c r="X380" s="6">
        <f>IF(ISERROR(VLOOKUP($U$380,'TAR FIN'!$A$1:$O$108,15,0)),0,VLOOKUP($U$380,'TAR FIN'!$A$1:$O$108,15,0))</f>
        <v>103.1</v>
      </c>
      <c r="Y380" s="6"/>
      <c r="Z380" s="6">
        <f ca="1">('TUSD BE'!$AM$28+'TUSD BF'!$AM$28+'TUSD CVA'!$AM$28)*1</f>
        <v>181.47641369790719</v>
      </c>
      <c r="AA380" s="6">
        <f>('TE BE'!$AB$11+'TE BF'!$AB$11+'TE CVA'!$AB$11)*1</f>
        <v>215.60278025898469</v>
      </c>
      <c r="AB380" s="6">
        <f>$K$380*$V$380</f>
        <v>0</v>
      </c>
      <c r="AC380" s="6">
        <f>$M$380*$W$380</f>
        <v>1865.4263600000002</v>
      </c>
      <c r="AD380" s="6">
        <f>$O$380*$X$380</f>
        <v>1874.1518000000001</v>
      </c>
      <c r="AE380" s="6">
        <f>$K$380*$Y$380</f>
        <v>0</v>
      </c>
      <c r="AF380" s="6">
        <f ca="1">$M$380*$Z$380</f>
        <v>3298.8782482005572</v>
      </c>
      <c r="AG380" s="6">
        <f>$O$380*$AA$380</f>
        <v>3919.2273395478242</v>
      </c>
    </row>
    <row r="381" spans="1:33" ht="11.25" customHeight="1" x14ac:dyDescent="0.25">
      <c r="A381" s="4" t="s">
        <v>21</v>
      </c>
      <c r="B381" s="4" t="s">
        <v>41</v>
      </c>
      <c r="C381" s="4" t="s">
        <v>43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1329.62</v>
      </c>
      <c r="M381" s="6">
        <v>1329.62</v>
      </c>
      <c r="N381" s="6">
        <v>1329.62</v>
      </c>
      <c r="O381" s="6">
        <v>1329.62</v>
      </c>
      <c r="P381" s="6">
        <v>0</v>
      </c>
      <c r="Q381" s="4" t="s">
        <v>26</v>
      </c>
      <c r="R381" s="4">
        <v>0</v>
      </c>
      <c r="S381" s="6">
        <v>0</v>
      </c>
      <c r="T381" s="6">
        <v>7</v>
      </c>
      <c r="U381" s="6">
        <v>76</v>
      </c>
      <c r="V381" s="6">
        <f>IF(ISERROR(VLOOKUP($S$381,'TAR FIN'!$A$1:$O$108,15,0)),0,VLOOKUP($S$381,'TAR FIN'!$A$1:$O$108,15,0))</f>
        <v>0</v>
      </c>
      <c r="W381" s="6">
        <f>IF(ISERROR(VLOOKUP($T$381,'TAR FIN'!$A$1:$O$108,15,0)),0,VLOOKUP($T$381,'TAR FIN'!$A$1:$O$108,15,0))</f>
        <v>102.62</v>
      </c>
      <c r="X381" s="6">
        <f>IF(ISERROR(VLOOKUP($U$381,'TAR FIN'!$A$1:$O$108,15,0)),0,VLOOKUP($U$381,'TAR FIN'!$A$1:$O$108,15,0))</f>
        <v>103.1</v>
      </c>
      <c r="Y381" s="6"/>
      <c r="Z381" s="6">
        <f ca="1">('TUSD BE'!$AM$28+'TUSD BF'!$AM$28+'TUSD CVA'!$AM$28)*1</f>
        <v>181.47641369790719</v>
      </c>
      <c r="AA381" s="6">
        <f>('TE BE'!$AB$11+'TE BF'!$AB$11+'TE CVA'!$AB$11)*1</f>
        <v>215.60278025898469</v>
      </c>
      <c r="AB381" s="6">
        <f>$K$381*$V$381</f>
        <v>0</v>
      </c>
      <c r="AC381" s="6">
        <f>$M$381*$W$381</f>
        <v>136445.60439999998</v>
      </c>
      <c r="AD381" s="6">
        <f>$O$381*$X$381</f>
        <v>137083.82199999999</v>
      </c>
      <c r="AE381" s="6">
        <f>$K$381*$Y$381</f>
        <v>0</v>
      </c>
      <c r="AF381" s="6">
        <f ca="1">$M$381*$Z$381</f>
        <v>241294.66918101133</v>
      </c>
      <c r="AG381" s="6">
        <f>$O$381*$AA$381</f>
        <v>286669.7686879512</v>
      </c>
    </row>
    <row r="382" spans="1:33" ht="11.25" customHeight="1" x14ac:dyDescent="0.25">
      <c r="A382" s="4" t="s">
        <v>28</v>
      </c>
      <c r="B382" s="4" t="s">
        <v>41</v>
      </c>
      <c r="C382" s="4" t="s">
        <v>43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44562</v>
      </c>
      <c r="J382" s="6">
        <v>0</v>
      </c>
      <c r="K382" s="6">
        <v>0</v>
      </c>
      <c r="L382" s="6">
        <v>20.651</v>
      </c>
      <c r="M382" s="6">
        <v>20.651</v>
      </c>
      <c r="N382" s="6">
        <v>20.651</v>
      </c>
      <c r="O382" s="6">
        <v>20.651</v>
      </c>
      <c r="P382" s="6">
        <v>0</v>
      </c>
      <c r="Q382" s="4" t="s">
        <v>26</v>
      </c>
      <c r="R382" s="4">
        <v>0</v>
      </c>
      <c r="S382" s="6">
        <v>0</v>
      </c>
      <c r="T382" s="6">
        <v>7</v>
      </c>
      <c r="U382" s="6">
        <v>76</v>
      </c>
      <c r="V382" s="6">
        <f>IF(ISERROR(VLOOKUP($S$382,'TAR FIN'!$A$1:$O$108,15,0)),0,VLOOKUP($S$382,'TAR FIN'!$A$1:$O$108,15,0))</f>
        <v>0</v>
      </c>
      <c r="W382" s="6">
        <f>IF(ISERROR(VLOOKUP($T$382,'TAR FIN'!$A$1:$O$108,15,0)),0,VLOOKUP($T$382,'TAR FIN'!$A$1:$O$108,15,0))</f>
        <v>102.62</v>
      </c>
      <c r="X382" s="6">
        <f>IF(ISERROR(VLOOKUP($U$382,'TAR FIN'!$A$1:$O$108,15,0)),0,VLOOKUP($U$382,'TAR FIN'!$A$1:$O$108,15,0))</f>
        <v>103.1</v>
      </c>
      <c r="Y382" s="6"/>
      <c r="Z382" s="6">
        <f ca="1">('TUSD BE'!$AM$28+'TUSD BF'!$AM$28+'TUSD CVA'!$AM$28)*1</f>
        <v>181.47641369790719</v>
      </c>
      <c r="AA382" s="6">
        <f>('TE BE'!$AB$11+'TE BF'!$AB$11+'TE CVA'!$AB$11)*1</f>
        <v>215.60278025898469</v>
      </c>
      <c r="AB382" s="6">
        <f>$K$382*$V$382</f>
        <v>0</v>
      </c>
      <c r="AC382" s="6">
        <f>$M$382*$W$382</f>
        <v>2119.2056200000002</v>
      </c>
      <c r="AD382" s="6">
        <f>$O$382*$X$382</f>
        <v>2129.1180999999997</v>
      </c>
      <c r="AE382" s="6">
        <f>$K$382*$Y$382</f>
        <v>0</v>
      </c>
      <c r="AF382" s="6">
        <f ca="1">$M$382*$Z$382</f>
        <v>3747.6694192754812</v>
      </c>
      <c r="AG382" s="6">
        <f>$O$382*$AA$382</f>
        <v>4452.4130151282925</v>
      </c>
    </row>
    <row r="383" spans="1:33" ht="11.25" customHeight="1" x14ac:dyDescent="0.25">
      <c r="A383" s="4" t="s">
        <v>21</v>
      </c>
      <c r="B383" s="4" t="s">
        <v>41</v>
      </c>
      <c r="C383" s="4" t="s">
        <v>43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44593</v>
      </c>
      <c r="J383" s="6">
        <v>0</v>
      </c>
      <c r="K383" s="6">
        <v>0</v>
      </c>
      <c r="L383" s="6">
        <v>1111.395</v>
      </c>
      <c r="M383" s="6">
        <v>1111.395</v>
      </c>
      <c r="N383" s="6">
        <v>1111.395</v>
      </c>
      <c r="O383" s="6">
        <v>1111.395</v>
      </c>
      <c r="P383" s="6">
        <v>0</v>
      </c>
      <c r="Q383" s="4" t="s">
        <v>26</v>
      </c>
      <c r="R383" s="4">
        <v>0</v>
      </c>
      <c r="S383" s="6">
        <v>0</v>
      </c>
      <c r="T383" s="6">
        <v>7</v>
      </c>
      <c r="U383" s="6">
        <v>76</v>
      </c>
      <c r="V383" s="6">
        <f>IF(ISERROR(VLOOKUP($S$383,'TAR FIN'!$A$1:$O$108,15,0)),0,VLOOKUP($S$383,'TAR FIN'!$A$1:$O$108,15,0))</f>
        <v>0</v>
      </c>
      <c r="W383" s="6">
        <f>IF(ISERROR(VLOOKUP($T$383,'TAR FIN'!$A$1:$O$108,15,0)),0,VLOOKUP($T$383,'TAR FIN'!$A$1:$O$108,15,0))</f>
        <v>102.62</v>
      </c>
      <c r="X383" s="6">
        <f>IF(ISERROR(VLOOKUP($U$383,'TAR FIN'!$A$1:$O$108,15,0)),0,VLOOKUP($U$383,'TAR FIN'!$A$1:$O$108,15,0))</f>
        <v>103.1</v>
      </c>
      <c r="Y383" s="6"/>
      <c r="Z383" s="6">
        <f ca="1">('TUSD BE'!$AM$28+'TUSD BF'!$AM$28+'TUSD CVA'!$AM$28)*1</f>
        <v>181.47641369790719</v>
      </c>
      <c r="AA383" s="6">
        <f>('TE BE'!$AB$11+'TE BF'!$AB$11+'TE CVA'!$AB$11)*1</f>
        <v>215.60278025898469</v>
      </c>
      <c r="AB383" s="6">
        <f>$K$383*$V$383</f>
        <v>0</v>
      </c>
      <c r="AC383" s="6">
        <f>$M$383*$W$383</f>
        <v>114051.35490000001</v>
      </c>
      <c r="AD383" s="6">
        <f>$O$383*$X$383</f>
        <v>114584.82449999999</v>
      </c>
      <c r="AE383" s="6">
        <f>$K$383*$Y$383</f>
        <v>0</v>
      </c>
      <c r="AF383" s="6">
        <f ca="1">$M$383*$Z$383</f>
        <v>201691.97880178556</v>
      </c>
      <c r="AG383" s="6">
        <f>$O$383*$AA$383</f>
        <v>239619.8519659343</v>
      </c>
    </row>
    <row r="384" spans="1:33" ht="11.25" customHeight="1" x14ac:dyDescent="0.25">
      <c r="A384" s="4" t="s">
        <v>28</v>
      </c>
      <c r="B384" s="4" t="s">
        <v>41</v>
      </c>
      <c r="C384" s="4" t="s">
        <v>43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44593</v>
      </c>
      <c r="J384" s="6">
        <v>0</v>
      </c>
      <c r="K384" s="6">
        <v>0</v>
      </c>
      <c r="L384" s="6">
        <v>13.91</v>
      </c>
      <c r="M384" s="6">
        <v>13.91</v>
      </c>
      <c r="N384" s="6">
        <v>13.91</v>
      </c>
      <c r="O384" s="6">
        <v>13.91</v>
      </c>
      <c r="P384" s="6">
        <v>0</v>
      </c>
      <c r="Q384" s="4" t="s">
        <v>26</v>
      </c>
      <c r="R384" s="4">
        <v>0</v>
      </c>
      <c r="S384" s="6">
        <v>0</v>
      </c>
      <c r="T384" s="6">
        <v>7</v>
      </c>
      <c r="U384" s="6">
        <v>76</v>
      </c>
      <c r="V384" s="6">
        <f>IF(ISERROR(VLOOKUP($S$384,'TAR FIN'!$A$1:$O$108,15,0)),0,VLOOKUP($S$384,'TAR FIN'!$A$1:$O$108,15,0))</f>
        <v>0</v>
      </c>
      <c r="W384" s="6">
        <f>IF(ISERROR(VLOOKUP($T$384,'TAR FIN'!$A$1:$O$108,15,0)),0,VLOOKUP($T$384,'TAR FIN'!$A$1:$O$108,15,0))</f>
        <v>102.62</v>
      </c>
      <c r="X384" s="6">
        <f>IF(ISERROR(VLOOKUP($U$384,'TAR FIN'!$A$1:$O$108,15,0)),0,VLOOKUP($U$384,'TAR FIN'!$A$1:$O$108,15,0))</f>
        <v>103.1</v>
      </c>
      <c r="Y384" s="6"/>
      <c r="Z384" s="6">
        <f ca="1">('TUSD BE'!$AM$28+'TUSD BF'!$AM$28+'TUSD CVA'!$AM$28)*1</f>
        <v>181.47641369790719</v>
      </c>
      <c r="AA384" s="6">
        <f>('TE BE'!$AB$11+'TE BF'!$AB$11+'TE CVA'!$AB$11)*1</f>
        <v>215.60278025898469</v>
      </c>
      <c r="AB384" s="6">
        <f>$K$384*$V$384</f>
        <v>0</v>
      </c>
      <c r="AC384" s="6">
        <f>$M$384*$W$384</f>
        <v>1427.4442000000001</v>
      </c>
      <c r="AD384" s="6">
        <f>$O$384*$X$384</f>
        <v>1434.1209999999999</v>
      </c>
      <c r="AE384" s="6">
        <f>$K$384*$Y$384</f>
        <v>0</v>
      </c>
      <c r="AF384" s="6">
        <f ca="1">$M$384*$Z$384</f>
        <v>2524.3369145378892</v>
      </c>
      <c r="AG384" s="6">
        <f>$O$384*$AA$384</f>
        <v>2999.034673402477</v>
      </c>
    </row>
    <row r="385" spans="1:33" ht="11.25" customHeight="1" x14ac:dyDescent="0.25">
      <c r="A385" s="4" t="s">
        <v>21</v>
      </c>
      <c r="B385" s="4" t="s">
        <v>41</v>
      </c>
      <c r="C385" s="4" t="s">
        <v>43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44621</v>
      </c>
      <c r="J385" s="6">
        <v>0</v>
      </c>
      <c r="K385" s="6">
        <v>0</v>
      </c>
      <c r="L385" s="6">
        <v>1456.5519999999999</v>
      </c>
      <c r="M385" s="6">
        <v>1456.5519999999999</v>
      </c>
      <c r="N385" s="6">
        <v>1456.5519999999999</v>
      </c>
      <c r="O385" s="6">
        <v>1456.5519999999999</v>
      </c>
      <c r="P385" s="6">
        <v>0</v>
      </c>
      <c r="Q385" s="4" t="s">
        <v>26</v>
      </c>
      <c r="R385" s="4">
        <v>0</v>
      </c>
      <c r="S385" s="6">
        <v>0</v>
      </c>
      <c r="T385" s="6">
        <v>7</v>
      </c>
      <c r="U385" s="6">
        <v>76</v>
      </c>
      <c r="V385" s="6">
        <f>IF(ISERROR(VLOOKUP($S$385,'TAR FIN'!$A$1:$O$108,15,0)),0,VLOOKUP($S$385,'TAR FIN'!$A$1:$O$108,15,0))</f>
        <v>0</v>
      </c>
      <c r="W385" s="6">
        <f>IF(ISERROR(VLOOKUP($T$385,'TAR FIN'!$A$1:$O$108,15,0)),0,VLOOKUP($T$385,'TAR FIN'!$A$1:$O$108,15,0))</f>
        <v>102.62</v>
      </c>
      <c r="X385" s="6">
        <f>IF(ISERROR(VLOOKUP($U$385,'TAR FIN'!$A$1:$O$108,15,0)),0,VLOOKUP($U$385,'TAR FIN'!$A$1:$O$108,15,0))</f>
        <v>103.1</v>
      </c>
      <c r="Y385" s="6"/>
      <c r="Z385" s="6">
        <f ca="1">('TUSD BE'!$AM$28+'TUSD BF'!$AM$28+'TUSD CVA'!$AM$28)*1</f>
        <v>181.47641369790719</v>
      </c>
      <c r="AA385" s="6">
        <f>('TE BE'!$AB$11+'TE BF'!$AB$11+'TE CVA'!$AB$11)*1</f>
        <v>215.60278025898469</v>
      </c>
      <c r="AB385" s="6">
        <f>$K$385*$V$385</f>
        <v>0</v>
      </c>
      <c r="AC385" s="6">
        <f>$M$385*$W$385</f>
        <v>149471.36624</v>
      </c>
      <c r="AD385" s="6">
        <f>$O$385*$X$385</f>
        <v>150170.51119999998</v>
      </c>
      <c r="AE385" s="6">
        <f>$K$385*$Y$385</f>
        <v>0</v>
      </c>
      <c r="AF385" s="6">
        <f ca="1">$M$385*$Z$385</f>
        <v>264329.8333245141</v>
      </c>
      <c r="AG385" s="6">
        <f>$O$385*$AA$385</f>
        <v>314036.66079178464</v>
      </c>
    </row>
    <row r="386" spans="1:33" ht="11.25" customHeight="1" x14ac:dyDescent="0.25">
      <c r="A386" s="4" t="s">
        <v>28</v>
      </c>
      <c r="B386" s="4" t="s">
        <v>41</v>
      </c>
      <c r="C386" s="4" t="s">
        <v>43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44621</v>
      </c>
      <c r="J386" s="6">
        <v>0</v>
      </c>
      <c r="K386" s="6">
        <v>0</v>
      </c>
      <c r="L386" s="6">
        <v>22.111999999999998</v>
      </c>
      <c r="M386" s="6">
        <v>22.111999999999998</v>
      </c>
      <c r="N386" s="6">
        <v>22.111999999999998</v>
      </c>
      <c r="O386" s="6">
        <v>22.111999999999998</v>
      </c>
      <c r="P386" s="6">
        <v>0</v>
      </c>
      <c r="Q386" s="4" t="s">
        <v>26</v>
      </c>
      <c r="R386" s="4">
        <v>0</v>
      </c>
      <c r="S386" s="6">
        <v>0</v>
      </c>
      <c r="T386" s="6">
        <v>7</v>
      </c>
      <c r="U386" s="6">
        <v>76</v>
      </c>
      <c r="V386" s="6">
        <f>IF(ISERROR(VLOOKUP($S$386,'TAR FIN'!$A$1:$O$108,15,0)),0,VLOOKUP($S$386,'TAR FIN'!$A$1:$O$108,15,0))</f>
        <v>0</v>
      </c>
      <c r="W386" s="6">
        <f>IF(ISERROR(VLOOKUP($T$386,'TAR FIN'!$A$1:$O$108,15,0)),0,VLOOKUP($T$386,'TAR FIN'!$A$1:$O$108,15,0))</f>
        <v>102.62</v>
      </c>
      <c r="X386" s="6">
        <f>IF(ISERROR(VLOOKUP($U$386,'TAR FIN'!$A$1:$O$108,15,0)),0,VLOOKUP($U$386,'TAR FIN'!$A$1:$O$108,15,0))</f>
        <v>103.1</v>
      </c>
      <c r="Y386" s="6"/>
      <c r="Z386" s="6">
        <f ca="1">('TUSD BE'!$AM$28+'TUSD BF'!$AM$28+'TUSD CVA'!$AM$28)*1</f>
        <v>181.47641369790719</v>
      </c>
      <c r="AA386" s="6">
        <f>('TE BE'!$AB$11+'TE BF'!$AB$11+'TE CVA'!$AB$11)*1</f>
        <v>215.60278025898469</v>
      </c>
      <c r="AB386" s="6">
        <f>$K$386*$V$386</f>
        <v>0</v>
      </c>
      <c r="AC386" s="6">
        <f>$M$386*$W$386</f>
        <v>2269.1334400000001</v>
      </c>
      <c r="AD386" s="6">
        <f>$O$386*$X$386</f>
        <v>2279.7471999999998</v>
      </c>
      <c r="AE386" s="6">
        <f>$K$386*$Y$386</f>
        <v>0</v>
      </c>
      <c r="AF386" s="6">
        <f ca="1">$M$386*$Z$386</f>
        <v>4012.8064596881236</v>
      </c>
      <c r="AG386" s="6">
        <f>$O$386*$AA$386</f>
        <v>4767.4086770866688</v>
      </c>
    </row>
    <row r="387" spans="1:33" ht="11.25" customHeight="1" x14ac:dyDescent="0.25">
      <c r="A387" s="4" t="s">
        <v>21</v>
      </c>
      <c r="B387" s="4" t="s">
        <v>41</v>
      </c>
      <c r="C387" s="4" t="s">
        <v>43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44652</v>
      </c>
      <c r="J387" s="6">
        <v>0</v>
      </c>
      <c r="K387" s="6">
        <v>0</v>
      </c>
      <c r="L387" s="6">
        <v>1076.3869999999999</v>
      </c>
      <c r="M387" s="6">
        <v>1076.3869999999999</v>
      </c>
      <c r="N387" s="6">
        <v>1076.3869999999999</v>
      </c>
      <c r="O387" s="6">
        <v>1076.3869999999999</v>
      </c>
      <c r="P387" s="6">
        <v>0</v>
      </c>
      <c r="Q387" s="4" t="s">
        <v>26</v>
      </c>
      <c r="R387" s="4">
        <v>0</v>
      </c>
      <c r="S387" s="6">
        <v>0</v>
      </c>
      <c r="T387" s="6">
        <v>7</v>
      </c>
      <c r="U387" s="6">
        <v>76</v>
      </c>
      <c r="V387" s="6">
        <f>IF(ISERROR(VLOOKUP($S$387,'TAR FIN'!$A$1:$O$108,15,0)),0,VLOOKUP($S$387,'TAR FIN'!$A$1:$O$108,15,0))</f>
        <v>0</v>
      </c>
      <c r="W387" s="6">
        <f>IF(ISERROR(VLOOKUP($T$387,'TAR FIN'!$A$1:$O$108,15,0)),0,VLOOKUP($T$387,'TAR FIN'!$A$1:$O$108,15,0))</f>
        <v>102.62</v>
      </c>
      <c r="X387" s="6">
        <f>IF(ISERROR(VLOOKUP($U$387,'TAR FIN'!$A$1:$O$108,15,0)),0,VLOOKUP($U$387,'TAR FIN'!$A$1:$O$108,15,0))</f>
        <v>103.1</v>
      </c>
      <c r="Y387" s="6"/>
      <c r="Z387" s="6">
        <f ca="1">('TUSD BE'!$AM$28+'TUSD BF'!$AM$28+'TUSD CVA'!$AM$28)*1</f>
        <v>181.47641369790719</v>
      </c>
      <c r="AA387" s="6">
        <f>('TE BE'!$AB$11+'TE BF'!$AB$11+'TE CVA'!$AB$11)*1</f>
        <v>215.60278025898469</v>
      </c>
      <c r="AB387" s="6">
        <f>$K$387*$V$387</f>
        <v>0</v>
      </c>
      <c r="AC387" s="6">
        <f>$M$387*$W$387</f>
        <v>110458.83394</v>
      </c>
      <c r="AD387" s="6">
        <f>$O$387*$X$387</f>
        <v>110975.49969999999</v>
      </c>
      <c r="AE387" s="6">
        <f>$K$387*$Y$387</f>
        <v>0</v>
      </c>
      <c r="AF387" s="6">
        <f ca="1">$M$387*$Z$387</f>
        <v>195338.85251104922</v>
      </c>
      <c r="AG387" s="6">
        <f>$O$387*$AA$387</f>
        <v>232072.02983462776</v>
      </c>
    </row>
    <row r="388" spans="1:33" ht="11.25" customHeight="1" x14ac:dyDescent="0.25">
      <c r="A388" s="4" t="s">
        <v>28</v>
      </c>
      <c r="B388" s="4" t="s">
        <v>41</v>
      </c>
      <c r="C388" s="4" t="s">
        <v>43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44652</v>
      </c>
      <c r="J388" s="6">
        <v>0</v>
      </c>
      <c r="K388" s="6">
        <v>0</v>
      </c>
      <c r="L388" s="6">
        <v>17.192</v>
      </c>
      <c r="M388" s="6">
        <v>17.192</v>
      </c>
      <c r="N388" s="6">
        <v>17.192</v>
      </c>
      <c r="O388" s="6">
        <v>17.192</v>
      </c>
      <c r="P388" s="6">
        <v>0</v>
      </c>
      <c r="Q388" s="4" t="s">
        <v>26</v>
      </c>
      <c r="R388" s="4">
        <v>0</v>
      </c>
      <c r="S388" s="6">
        <v>0</v>
      </c>
      <c r="T388" s="6">
        <v>7</v>
      </c>
      <c r="U388" s="6">
        <v>76</v>
      </c>
      <c r="V388" s="6">
        <f>IF(ISERROR(VLOOKUP($S$388,'TAR FIN'!$A$1:$O$108,15,0)),0,VLOOKUP($S$388,'TAR FIN'!$A$1:$O$108,15,0))</f>
        <v>0</v>
      </c>
      <c r="W388" s="6">
        <f>IF(ISERROR(VLOOKUP($T$388,'TAR FIN'!$A$1:$O$108,15,0)),0,VLOOKUP($T$388,'TAR FIN'!$A$1:$O$108,15,0))</f>
        <v>102.62</v>
      </c>
      <c r="X388" s="6">
        <f>IF(ISERROR(VLOOKUP($U$388,'TAR FIN'!$A$1:$O$108,15,0)),0,VLOOKUP($U$388,'TAR FIN'!$A$1:$O$108,15,0))</f>
        <v>103.1</v>
      </c>
      <c r="Y388" s="6"/>
      <c r="Z388" s="6">
        <f ca="1">('TUSD BE'!$AM$28+'TUSD BF'!$AM$28+'TUSD CVA'!$AM$28)*1</f>
        <v>181.47641369790719</v>
      </c>
      <c r="AA388" s="6">
        <f>('TE BE'!$AB$11+'TE BF'!$AB$11+'TE CVA'!$AB$11)*1</f>
        <v>215.60278025898469</v>
      </c>
      <c r="AB388" s="6">
        <f>$K$388*$V$388</f>
        <v>0</v>
      </c>
      <c r="AC388" s="6">
        <f>$M$388*$W$388</f>
        <v>1764.2430400000001</v>
      </c>
      <c r="AD388" s="6">
        <f>$O$388*$X$388</f>
        <v>1772.4951999999998</v>
      </c>
      <c r="AE388" s="6">
        <f>$K$388*$Y$388</f>
        <v>0</v>
      </c>
      <c r="AF388" s="6">
        <f ca="1">$M$388*$Z$388</f>
        <v>3119.9425042944204</v>
      </c>
      <c r="AG388" s="6">
        <f>$O$388*$AA$388</f>
        <v>3706.642998212465</v>
      </c>
    </row>
    <row r="389" spans="1:33" ht="11.25" customHeight="1" x14ac:dyDescent="0.25">
      <c r="A389" s="4" t="s">
        <v>21</v>
      </c>
      <c r="B389" s="4" t="s">
        <v>41</v>
      </c>
      <c r="C389" s="4" t="s">
        <v>43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44682</v>
      </c>
      <c r="J389" s="6">
        <v>0</v>
      </c>
      <c r="K389" s="6">
        <v>0</v>
      </c>
      <c r="L389" s="6">
        <v>1233.008</v>
      </c>
      <c r="M389" s="6">
        <v>1233.008</v>
      </c>
      <c r="N389" s="6">
        <v>1233.008</v>
      </c>
      <c r="O389" s="6">
        <v>1233.008</v>
      </c>
      <c r="P389" s="6">
        <v>0</v>
      </c>
      <c r="Q389" s="4" t="s">
        <v>26</v>
      </c>
      <c r="R389" s="4">
        <v>0</v>
      </c>
      <c r="S389" s="6">
        <v>0</v>
      </c>
      <c r="T389" s="6">
        <v>7</v>
      </c>
      <c r="U389" s="6">
        <v>76</v>
      </c>
      <c r="V389" s="6">
        <f>IF(ISERROR(VLOOKUP($S$389,'TAR FIN'!$A$1:$O$108,15,0)),0,VLOOKUP($S$389,'TAR FIN'!$A$1:$O$108,15,0))</f>
        <v>0</v>
      </c>
      <c r="W389" s="6">
        <f>IF(ISERROR(VLOOKUP($T$389,'TAR FIN'!$A$1:$O$108,15,0)),0,VLOOKUP($T$389,'TAR FIN'!$A$1:$O$108,15,0))</f>
        <v>102.62</v>
      </c>
      <c r="X389" s="6">
        <f>IF(ISERROR(VLOOKUP($U$389,'TAR FIN'!$A$1:$O$108,15,0)),0,VLOOKUP($U$389,'TAR FIN'!$A$1:$O$108,15,0))</f>
        <v>103.1</v>
      </c>
      <c r="Y389" s="6"/>
      <c r="Z389" s="6">
        <f ca="1">('TUSD BE'!$AM$28+'TUSD BF'!$AM$28+'TUSD CVA'!$AM$28)*1</f>
        <v>181.47641369790719</v>
      </c>
      <c r="AA389" s="6">
        <f>('TE BE'!$AB$11+'TE BF'!$AB$11+'TE CVA'!$AB$11)*1</f>
        <v>215.60278025898469</v>
      </c>
      <c r="AB389" s="6">
        <f>$K$389*$V$389</f>
        <v>0</v>
      </c>
      <c r="AC389" s="6">
        <f>$M$389*$W$389</f>
        <v>126531.28096</v>
      </c>
      <c r="AD389" s="6">
        <f>$O$389*$X$389</f>
        <v>127123.12479999999</v>
      </c>
      <c r="AE389" s="6">
        <f>$K$389*$Y$389</f>
        <v>0</v>
      </c>
      <c r="AF389" s="6">
        <f ca="1">$M$389*$Z$389</f>
        <v>223761.86990082916</v>
      </c>
      <c r="AG389" s="6">
        <f>$O$389*$AA$389</f>
        <v>265839.95288157021</v>
      </c>
    </row>
    <row r="390" spans="1:33" ht="11.25" customHeight="1" x14ac:dyDescent="0.25">
      <c r="A390" s="4" t="s">
        <v>27</v>
      </c>
      <c r="B390" s="4" t="s">
        <v>41</v>
      </c>
      <c r="C390" s="4" t="s">
        <v>43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44682</v>
      </c>
      <c r="J390" s="6">
        <v>0</v>
      </c>
      <c r="K390" s="6">
        <v>0</v>
      </c>
      <c r="L390" s="6">
        <v>91.399000000000001</v>
      </c>
      <c r="M390" s="6">
        <v>91.399000000000001</v>
      </c>
      <c r="N390" s="6">
        <v>91.399000000000001</v>
      </c>
      <c r="O390" s="6">
        <v>91.399000000000001</v>
      </c>
      <c r="P390" s="6">
        <v>0</v>
      </c>
      <c r="Q390" s="4" t="s">
        <v>26</v>
      </c>
      <c r="R390" s="4">
        <v>0</v>
      </c>
      <c r="S390" s="6">
        <v>0</v>
      </c>
      <c r="T390" s="6">
        <v>7</v>
      </c>
      <c r="U390" s="6">
        <v>76</v>
      </c>
      <c r="V390" s="6">
        <f>IF(ISERROR(VLOOKUP($S$390,'TAR FIN'!$A$1:$O$108,15,0)),0,VLOOKUP($S$390,'TAR FIN'!$A$1:$O$108,15,0))</f>
        <v>0</v>
      </c>
      <c r="W390" s="6">
        <f>IF(ISERROR(VLOOKUP($T$390,'TAR FIN'!$A$1:$O$108,15,0)),0,VLOOKUP($T$390,'TAR FIN'!$A$1:$O$108,15,0))</f>
        <v>102.62</v>
      </c>
      <c r="X390" s="6">
        <f>IF(ISERROR(VLOOKUP($U$390,'TAR FIN'!$A$1:$O$108,15,0)),0,VLOOKUP($U$390,'TAR FIN'!$A$1:$O$108,15,0))</f>
        <v>103.1</v>
      </c>
      <c r="Y390" s="6"/>
      <c r="Z390" s="6">
        <f ca="1">('TUSD BE'!$AM$28+'TUSD BF'!$AM$28+'TUSD CVA'!$AM$28)*1</f>
        <v>181.47641369790719</v>
      </c>
      <c r="AA390" s="6">
        <f>('TE BE'!$AB$11+'TE BF'!$AB$11+'TE CVA'!$AB$11)*1</f>
        <v>215.60278025898469</v>
      </c>
      <c r="AB390" s="6">
        <f>$K$390*$V$390</f>
        <v>0</v>
      </c>
      <c r="AC390" s="6">
        <f>$M$390*$W$390</f>
        <v>9379.3653800000011</v>
      </c>
      <c r="AD390" s="6">
        <f>$O$390*$X$390</f>
        <v>9423.2368999999999</v>
      </c>
      <c r="AE390" s="6">
        <f>$K$390*$Y$390</f>
        <v>0</v>
      </c>
      <c r="AF390" s="6">
        <f ca="1">$M$390*$Z$390</f>
        <v>16586.762735575019</v>
      </c>
      <c r="AG390" s="6">
        <f>$O$390*$AA$390</f>
        <v>19705.878512890944</v>
      </c>
    </row>
    <row r="391" spans="1:33" ht="11.25" customHeight="1" x14ac:dyDescent="0.25">
      <c r="A391" s="4" t="s">
        <v>28</v>
      </c>
      <c r="B391" s="4" t="s">
        <v>41</v>
      </c>
      <c r="C391" s="4" t="s">
        <v>43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44682</v>
      </c>
      <c r="J391" s="6">
        <v>0</v>
      </c>
      <c r="K391" s="6">
        <v>0</v>
      </c>
      <c r="L391" s="6">
        <v>30.978999999999999</v>
      </c>
      <c r="M391" s="6">
        <v>30.978999999999999</v>
      </c>
      <c r="N391" s="6">
        <v>30.978999999999999</v>
      </c>
      <c r="O391" s="6">
        <v>30.978999999999999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7</v>
      </c>
      <c r="U391" s="6">
        <v>76</v>
      </c>
      <c r="V391" s="6">
        <f>IF(ISERROR(VLOOKUP($S$391,'TAR FIN'!$A$1:$O$108,15,0)),0,VLOOKUP($S$391,'TAR FIN'!$A$1:$O$108,15,0))</f>
        <v>0</v>
      </c>
      <c r="W391" s="6">
        <f>IF(ISERROR(VLOOKUP($T$391,'TAR FIN'!$A$1:$O$108,15,0)),0,VLOOKUP($T$391,'TAR FIN'!$A$1:$O$108,15,0))</f>
        <v>102.62</v>
      </c>
      <c r="X391" s="6">
        <f>IF(ISERROR(VLOOKUP($U$391,'TAR FIN'!$A$1:$O$108,15,0)),0,VLOOKUP($U$391,'TAR FIN'!$A$1:$O$108,15,0))</f>
        <v>103.1</v>
      </c>
      <c r="Y391" s="6"/>
      <c r="Z391" s="6">
        <f ca="1">('TUSD BE'!$AM$28+'TUSD BF'!$AM$28+'TUSD CVA'!$AM$28)*1</f>
        <v>181.47641369790719</v>
      </c>
      <c r="AA391" s="6">
        <f>('TE BE'!$AB$11+'TE BF'!$AB$11+'TE CVA'!$AB$11)*1</f>
        <v>215.60278025898469</v>
      </c>
      <c r="AB391" s="6">
        <f>$K$391*$V$391</f>
        <v>0</v>
      </c>
      <c r="AC391" s="6">
        <f>$M$391*$W$391</f>
        <v>3179.0649800000001</v>
      </c>
      <c r="AD391" s="6">
        <f>$O$391*$X$391</f>
        <v>3193.9348999999997</v>
      </c>
      <c r="AE391" s="6">
        <f>$K$391*$Y$391</f>
        <v>0</v>
      </c>
      <c r="AF391" s="6">
        <f ca="1">$M$391*$Z$391</f>
        <v>5621.9578199474663</v>
      </c>
      <c r="AG391" s="6">
        <f>$O$391*$AA$391</f>
        <v>6679.1585296430867</v>
      </c>
    </row>
    <row r="392" spans="1:33" ht="11.25" customHeight="1" x14ac:dyDescent="0.25">
      <c r="A392" s="4" t="s">
        <v>21</v>
      </c>
      <c r="B392" s="4" t="s">
        <v>41</v>
      </c>
      <c r="C392" s="4" t="s">
        <v>43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44713</v>
      </c>
      <c r="J392" s="6">
        <v>0</v>
      </c>
      <c r="K392" s="6">
        <v>0</v>
      </c>
      <c r="L392" s="6">
        <v>1219.1420000000001</v>
      </c>
      <c r="M392" s="6">
        <v>1219.1420000000001</v>
      </c>
      <c r="N392" s="6">
        <v>1219.1420000000001</v>
      </c>
      <c r="O392" s="6">
        <v>1219.1420000000001</v>
      </c>
      <c r="P392" s="6">
        <v>0</v>
      </c>
      <c r="Q392" s="4" t="s">
        <v>26</v>
      </c>
      <c r="R392" s="4">
        <v>0</v>
      </c>
      <c r="S392" s="6">
        <v>0</v>
      </c>
      <c r="T392" s="6">
        <v>7</v>
      </c>
      <c r="U392" s="6">
        <v>76</v>
      </c>
      <c r="V392" s="6">
        <f>IF(ISERROR(VLOOKUP($S$392,'TAR FIN'!$A$1:$O$108,15,0)),0,VLOOKUP($S$392,'TAR FIN'!$A$1:$O$108,15,0))</f>
        <v>0</v>
      </c>
      <c r="W392" s="6">
        <f>IF(ISERROR(VLOOKUP($T$392,'TAR FIN'!$A$1:$O$108,15,0)),0,VLOOKUP($T$392,'TAR FIN'!$A$1:$O$108,15,0))</f>
        <v>102.62</v>
      </c>
      <c r="X392" s="6">
        <f>IF(ISERROR(VLOOKUP($U$392,'TAR FIN'!$A$1:$O$108,15,0)),0,VLOOKUP($U$392,'TAR FIN'!$A$1:$O$108,15,0))</f>
        <v>103.1</v>
      </c>
      <c r="Y392" s="6"/>
      <c r="Z392" s="6">
        <f ca="1">('TUSD BE'!$AM$28+'TUSD BF'!$AM$28+'TUSD CVA'!$AM$28)*1</f>
        <v>181.47641369790719</v>
      </c>
      <c r="AA392" s="6">
        <f>('TE BE'!$AB$11+'TE BF'!$AB$11+'TE CVA'!$AB$11)*1</f>
        <v>215.60278025898469</v>
      </c>
      <c r="AB392" s="6">
        <f>$K$392*$V$392</f>
        <v>0</v>
      </c>
      <c r="AC392" s="6">
        <f>$M$392*$W$392</f>
        <v>125108.35204000001</v>
      </c>
      <c r="AD392" s="6">
        <f>$O$392*$X$392</f>
        <v>125693.5402</v>
      </c>
      <c r="AE392" s="6">
        <f>$K$392*$Y$392</f>
        <v>0</v>
      </c>
      <c r="AF392" s="6">
        <f ca="1">$M$392*$Z$392</f>
        <v>221245.51794849397</v>
      </c>
      <c r="AG392" s="6">
        <f>$O$392*$AA$392</f>
        <v>262850.40473049914</v>
      </c>
    </row>
    <row r="393" spans="1:33" ht="11.25" customHeight="1" x14ac:dyDescent="0.25">
      <c r="A393" s="4" t="s">
        <v>28</v>
      </c>
      <c r="B393" s="4" t="s">
        <v>41</v>
      </c>
      <c r="C393" s="4" t="s">
        <v>43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44713</v>
      </c>
      <c r="J393" s="6">
        <v>0</v>
      </c>
      <c r="K393" s="6">
        <v>0</v>
      </c>
      <c r="L393" s="6">
        <v>40.295999999999999</v>
      </c>
      <c r="M393" s="6">
        <v>40.295999999999999</v>
      </c>
      <c r="N393" s="6">
        <v>40.295999999999999</v>
      </c>
      <c r="O393" s="6">
        <v>40.295999999999999</v>
      </c>
      <c r="P393" s="6">
        <v>0</v>
      </c>
      <c r="Q393" s="4" t="s">
        <v>26</v>
      </c>
      <c r="R393" s="4">
        <v>0</v>
      </c>
      <c r="S393" s="6">
        <v>0</v>
      </c>
      <c r="T393" s="6">
        <v>7</v>
      </c>
      <c r="U393" s="6">
        <v>76</v>
      </c>
      <c r="V393" s="6">
        <f>IF(ISERROR(VLOOKUP($S$393,'TAR FIN'!$A$1:$O$108,15,0)),0,VLOOKUP($S$393,'TAR FIN'!$A$1:$O$108,15,0))</f>
        <v>0</v>
      </c>
      <c r="W393" s="6">
        <f>IF(ISERROR(VLOOKUP($T$393,'TAR FIN'!$A$1:$O$108,15,0)),0,VLOOKUP($T$393,'TAR FIN'!$A$1:$O$108,15,0))</f>
        <v>102.62</v>
      </c>
      <c r="X393" s="6">
        <f>IF(ISERROR(VLOOKUP($U$393,'TAR FIN'!$A$1:$O$108,15,0)),0,VLOOKUP($U$393,'TAR FIN'!$A$1:$O$108,15,0))</f>
        <v>103.1</v>
      </c>
      <c r="Y393" s="6"/>
      <c r="Z393" s="6">
        <f ca="1">('TUSD BE'!$AM$28+'TUSD BF'!$AM$28+'TUSD CVA'!$AM$28)*1</f>
        <v>181.47641369790719</v>
      </c>
      <c r="AA393" s="6">
        <f>('TE BE'!$AB$11+'TE BF'!$AB$11+'TE CVA'!$AB$11)*1</f>
        <v>215.60278025898469</v>
      </c>
      <c r="AB393" s="6">
        <f>$K$393*$V$393</f>
        <v>0</v>
      </c>
      <c r="AC393" s="6">
        <f>$M$393*$W$393</f>
        <v>4135.1755199999998</v>
      </c>
      <c r="AD393" s="6">
        <f>$O$393*$X$393</f>
        <v>4154.5176000000001</v>
      </c>
      <c r="AE393" s="6">
        <f>$K$393*$Y$393</f>
        <v>0</v>
      </c>
      <c r="AF393" s="6">
        <f ca="1">$M$393*$Z$393</f>
        <v>7312.7735663708681</v>
      </c>
      <c r="AG393" s="6">
        <f>$O$393*$AA$393</f>
        <v>8687.9296333160473</v>
      </c>
    </row>
    <row r="394" spans="1:33" ht="11.25" customHeight="1" x14ac:dyDescent="0.25">
      <c r="A394" s="4" t="s">
        <v>21</v>
      </c>
      <c r="B394" s="4" t="s">
        <v>41</v>
      </c>
      <c r="C394" s="4" t="s">
        <v>43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44743</v>
      </c>
      <c r="J394" s="6">
        <v>0</v>
      </c>
      <c r="K394" s="6">
        <v>0</v>
      </c>
      <c r="L394" s="6">
        <v>1342.5150000000001</v>
      </c>
      <c r="M394" s="6">
        <v>1342.5150000000001</v>
      </c>
      <c r="N394" s="6">
        <v>1342.5150000000001</v>
      </c>
      <c r="O394" s="6">
        <v>1342.5150000000001</v>
      </c>
      <c r="P394" s="6">
        <v>0</v>
      </c>
      <c r="Q394" s="4" t="s">
        <v>26</v>
      </c>
      <c r="R394" s="4">
        <v>0</v>
      </c>
      <c r="S394" s="6">
        <v>0</v>
      </c>
      <c r="T394" s="6">
        <v>7</v>
      </c>
      <c r="U394" s="6">
        <v>76</v>
      </c>
      <c r="V394" s="6">
        <f>IF(ISERROR(VLOOKUP($S$394,'TAR FIN'!$A$1:$O$108,15,0)),0,VLOOKUP($S$394,'TAR FIN'!$A$1:$O$108,15,0))</f>
        <v>0</v>
      </c>
      <c r="W394" s="6">
        <f>IF(ISERROR(VLOOKUP($T$394,'TAR FIN'!$A$1:$O$108,15,0)),0,VLOOKUP($T$394,'TAR FIN'!$A$1:$O$108,15,0))</f>
        <v>102.62</v>
      </c>
      <c r="X394" s="6">
        <f>IF(ISERROR(VLOOKUP($U$394,'TAR FIN'!$A$1:$O$108,15,0)),0,VLOOKUP($U$394,'TAR FIN'!$A$1:$O$108,15,0))</f>
        <v>103.1</v>
      </c>
      <c r="Y394" s="6"/>
      <c r="Z394" s="6">
        <f ca="1">('TUSD BE'!$AM$28+'TUSD BF'!$AM$28+'TUSD CVA'!$AM$28)*1</f>
        <v>181.47641369790719</v>
      </c>
      <c r="AA394" s="6">
        <f>('TE BE'!$AB$11+'TE BF'!$AB$11+'TE CVA'!$AB$11)*1</f>
        <v>215.60278025898469</v>
      </c>
      <c r="AB394" s="6">
        <f>$K$394*$V$394</f>
        <v>0</v>
      </c>
      <c r="AC394" s="6">
        <f>$M$394*$W$394</f>
        <v>137768.88930000001</v>
      </c>
      <c r="AD394" s="6">
        <f>$O$394*$X$394</f>
        <v>138413.2965</v>
      </c>
      <c r="AE394" s="6">
        <f>$K$394*$Y$394</f>
        <v>0</v>
      </c>
      <c r="AF394" s="6">
        <f ca="1">$M$394*$Z$394</f>
        <v>243634.8075356459</v>
      </c>
      <c r="AG394" s="6">
        <f>$O$394*$AA$394</f>
        <v>289449.96653939085</v>
      </c>
    </row>
    <row r="395" spans="1:33" ht="11.25" customHeight="1" x14ac:dyDescent="0.25">
      <c r="A395" s="4" t="s">
        <v>28</v>
      </c>
      <c r="B395" s="4" t="s">
        <v>41</v>
      </c>
      <c r="C395" s="4" t="s">
        <v>43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44743</v>
      </c>
      <c r="J395" s="6">
        <v>0</v>
      </c>
      <c r="K395" s="6">
        <v>0</v>
      </c>
      <c r="L395" s="6">
        <v>30.295000000000002</v>
      </c>
      <c r="M395" s="6">
        <v>30.295000000000002</v>
      </c>
      <c r="N395" s="6">
        <v>30.295000000000002</v>
      </c>
      <c r="O395" s="6">
        <v>30.295000000000002</v>
      </c>
      <c r="P395" s="6">
        <v>0</v>
      </c>
      <c r="Q395" s="4" t="s">
        <v>26</v>
      </c>
      <c r="R395" s="4">
        <v>0</v>
      </c>
      <c r="S395" s="6">
        <v>0</v>
      </c>
      <c r="T395" s="6">
        <v>7</v>
      </c>
      <c r="U395" s="6">
        <v>76</v>
      </c>
      <c r="V395" s="6">
        <f>IF(ISERROR(VLOOKUP($S$395,'TAR FIN'!$A$1:$O$108,15,0)),0,VLOOKUP($S$395,'TAR FIN'!$A$1:$O$108,15,0))</f>
        <v>0</v>
      </c>
      <c r="W395" s="6">
        <f>IF(ISERROR(VLOOKUP($T$395,'TAR FIN'!$A$1:$O$108,15,0)),0,VLOOKUP($T$395,'TAR FIN'!$A$1:$O$108,15,0))</f>
        <v>102.62</v>
      </c>
      <c r="X395" s="6">
        <f>IF(ISERROR(VLOOKUP($U$395,'TAR FIN'!$A$1:$O$108,15,0)),0,VLOOKUP($U$395,'TAR FIN'!$A$1:$O$108,15,0))</f>
        <v>103.1</v>
      </c>
      <c r="Y395" s="6"/>
      <c r="Z395" s="6">
        <f ca="1">('TUSD BE'!$AM$28+'TUSD BF'!$AM$28+'TUSD CVA'!$AM$28)*1</f>
        <v>181.47641369790719</v>
      </c>
      <c r="AA395" s="6">
        <f>('TE BE'!$AB$11+'TE BF'!$AB$11+'TE CVA'!$AB$11)*1</f>
        <v>215.60278025898469</v>
      </c>
      <c r="AB395" s="6">
        <f>$K$395*$V$395</f>
        <v>0</v>
      </c>
      <c r="AC395" s="6">
        <f>$M$395*$W$395</f>
        <v>3108.8729000000003</v>
      </c>
      <c r="AD395" s="6">
        <f>$O$395*$X$395</f>
        <v>3123.4144999999999</v>
      </c>
      <c r="AE395" s="6">
        <f>$K$395*$Y$395</f>
        <v>0</v>
      </c>
      <c r="AF395" s="6">
        <f ca="1">$M$395*$Z$395</f>
        <v>5497.8279529780984</v>
      </c>
      <c r="AG395" s="6">
        <f>$O$395*$AA$395</f>
        <v>6531.6862279459419</v>
      </c>
    </row>
    <row r="396" spans="1:33" ht="11.25" customHeight="1" x14ac:dyDescent="0.25">
      <c r="A396" s="4" t="s">
        <v>21</v>
      </c>
      <c r="B396" s="4" t="s">
        <v>41</v>
      </c>
      <c r="C396" s="4" t="s">
        <v>43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44774</v>
      </c>
      <c r="J396" s="6">
        <v>0</v>
      </c>
      <c r="K396" s="6">
        <v>0</v>
      </c>
      <c r="L396" s="6">
        <v>1379.3009999999999</v>
      </c>
      <c r="M396" s="6">
        <v>1379.3009999999999</v>
      </c>
      <c r="N396" s="6">
        <v>1379.3009999999999</v>
      </c>
      <c r="O396" s="6">
        <v>1379.3009999999999</v>
      </c>
      <c r="P396" s="6">
        <v>0</v>
      </c>
      <c r="Q396" s="4" t="s">
        <v>26</v>
      </c>
      <c r="R396" s="4">
        <v>0</v>
      </c>
      <c r="S396" s="6">
        <v>0</v>
      </c>
      <c r="T396" s="6">
        <v>7</v>
      </c>
      <c r="U396" s="6">
        <v>76</v>
      </c>
      <c r="V396" s="6">
        <f>IF(ISERROR(VLOOKUP($S$396,'TAR FIN'!$A$1:$O$108,15,0)),0,VLOOKUP($S$396,'TAR FIN'!$A$1:$O$108,15,0))</f>
        <v>0</v>
      </c>
      <c r="W396" s="6">
        <f>IF(ISERROR(VLOOKUP($T$396,'TAR FIN'!$A$1:$O$108,15,0)),0,VLOOKUP($T$396,'TAR FIN'!$A$1:$O$108,15,0))</f>
        <v>102.62</v>
      </c>
      <c r="X396" s="6">
        <f>IF(ISERROR(VLOOKUP($U$396,'TAR FIN'!$A$1:$O$108,15,0)),0,VLOOKUP($U$396,'TAR FIN'!$A$1:$O$108,15,0))</f>
        <v>103.1</v>
      </c>
      <c r="Y396" s="6"/>
      <c r="Z396" s="6">
        <f ca="1">('TUSD BE'!$AM$28+'TUSD BF'!$AM$28+'TUSD CVA'!$AM$28)*1</f>
        <v>181.47641369790719</v>
      </c>
      <c r="AA396" s="6">
        <f>('TE BE'!$AB$11+'TE BF'!$AB$11+'TE CVA'!$AB$11)*1</f>
        <v>215.60278025898469</v>
      </c>
      <c r="AB396" s="6">
        <f>$K$396*$V$396</f>
        <v>0</v>
      </c>
      <c r="AC396" s="6">
        <f>$M$396*$W$396</f>
        <v>141543.86861999999</v>
      </c>
      <c r="AD396" s="6">
        <f>$O$396*$X$396</f>
        <v>142205.93309999999</v>
      </c>
      <c r="AE396" s="6">
        <f>$K$396*$Y$396</f>
        <v>0</v>
      </c>
      <c r="AF396" s="6">
        <f ca="1">$M$396*$Z$396</f>
        <v>250310.59888993707</v>
      </c>
      <c r="AG396" s="6">
        <f>$O$396*$AA$396</f>
        <v>297381.13041399786</v>
      </c>
    </row>
    <row r="397" spans="1:33" ht="11.25" customHeight="1" x14ac:dyDescent="0.25">
      <c r="A397" s="4" t="s">
        <v>28</v>
      </c>
      <c r="B397" s="4" t="s">
        <v>41</v>
      </c>
      <c r="C397" s="4" t="s">
        <v>43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44774</v>
      </c>
      <c r="J397" s="6">
        <v>0</v>
      </c>
      <c r="K397" s="6">
        <v>0</v>
      </c>
      <c r="L397" s="6">
        <v>30.385999999999999</v>
      </c>
      <c r="M397" s="6">
        <v>30.385999999999999</v>
      </c>
      <c r="N397" s="6">
        <v>30.385999999999999</v>
      </c>
      <c r="O397" s="6">
        <v>30.385999999999999</v>
      </c>
      <c r="P397" s="6">
        <v>0</v>
      </c>
      <c r="Q397" s="4" t="s">
        <v>26</v>
      </c>
      <c r="R397" s="4">
        <v>0</v>
      </c>
      <c r="S397" s="6">
        <v>0</v>
      </c>
      <c r="T397" s="6">
        <v>7</v>
      </c>
      <c r="U397" s="6">
        <v>76</v>
      </c>
      <c r="V397" s="6">
        <f>IF(ISERROR(VLOOKUP($S$397,'TAR FIN'!$A$1:$O$108,15,0)),0,VLOOKUP($S$397,'TAR FIN'!$A$1:$O$108,15,0))</f>
        <v>0</v>
      </c>
      <c r="W397" s="6">
        <f>IF(ISERROR(VLOOKUP($T$397,'TAR FIN'!$A$1:$O$108,15,0)),0,VLOOKUP($T$397,'TAR FIN'!$A$1:$O$108,15,0))</f>
        <v>102.62</v>
      </c>
      <c r="X397" s="6">
        <f>IF(ISERROR(VLOOKUP($U$397,'TAR FIN'!$A$1:$O$108,15,0)),0,VLOOKUP($U$397,'TAR FIN'!$A$1:$O$108,15,0))</f>
        <v>103.1</v>
      </c>
      <c r="Y397" s="6"/>
      <c r="Z397" s="6">
        <f ca="1">('TUSD BE'!$AM$28+'TUSD BF'!$AM$28+'TUSD CVA'!$AM$28)*1</f>
        <v>181.47641369790719</v>
      </c>
      <c r="AA397" s="6">
        <f>('TE BE'!$AB$11+'TE BF'!$AB$11+'TE CVA'!$AB$11)*1</f>
        <v>215.60278025898469</v>
      </c>
      <c r="AB397" s="6">
        <f>$K$397*$V$397</f>
        <v>0</v>
      </c>
      <c r="AC397" s="6">
        <f>$M$397*$W$397</f>
        <v>3118.2113199999999</v>
      </c>
      <c r="AD397" s="6">
        <f>$O$397*$X$397</f>
        <v>3132.7965999999997</v>
      </c>
      <c r="AE397" s="6">
        <f>$K$397*$Y$397</f>
        <v>0</v>
      </c>
      <c r="AF397" s="6">
        <f ca="1">$M$397*$Z$397</f>
        <v>5514.3423066246078</v>
      </c>
      <c r="AG397" s="6">
        <f>$O$397*$AA$397</f>
        <v>6551.3060809495091</v>
      </c>
    </row>
    <row r="398" spans="1:33" ht="11.25" customHeight="1" x14ac:dyDescent="0.25">
      <c r="A398" s="4" t="s">
        <v>21</v>
      </c>
      <c r="B398" s="4" t="s">
        <v>41</v>
      </c>
      <c r="C398" s="4" t="s">
        <v>43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44805</v>
      </c>
      <c r="J398" s="6">
        <v>0</v>
      </c>
      <c r="K398" s="6">
        <v>0</v>
      </c>
      <c r="L398" s="6">
        <v>1306.277</v>
      </c>
      <c r="M398" s="6">
        <v>1306.277</v>
      </c>
      <c r="N398" s="6">
        <v>1306.277</v>
      </c>
      <c r="O398" s="6">
        <v>1306.277</v>
      </c>
      <c r="P398" s="6">
        <v>0</v>
      </c>
      <c r="Q398" s="4" t="s">
        <v>26</v>
      </c>
      <c r="R398" s="4">
        <v>0</v>
      </c>
      <c r="S398" s="6">
        <v>0</v>
      </c>
      <c r="T398" s="6">
        <v>7</v>
      </c>
      <c r="U398" s="6">
        <v>76</v>
      </c>
      <c r="V398" s="6">
        <f>IF(ISERROR(VLOOKUP($S$398,'TAR FIN'!$A$1:$O$108,15,0)),0,VLOOKUP($S$398,'TAR FIN'!$A$1:$O$108,15,0))</f>
        <v>0</v>
      </c>
      <c r="W398" s="6">
        <f>IF(ISERROR(VLOOKUP($T$398,'TAR FIN'!$A$1:$O$108,15,0)),0,VLOOKUP($T$398,'TAR FIN'!$A$1:$O$108,15,0))</f>
        <v>102.62</v>
      </c>
      <c r="X398" s="6">
        <f>IF(ISERROR(VLOOKUP($U$398,'TAR FIN'!$A$1:$O$108,15,0)),0,VLOOKUP($U$398,'TAR FIN'!$A$1:$O$108,15,0))</f>
        <v>103.1</v>
      </c>
      <c r="Y398" s="6"/>
      <c r="Z398" s="6">
        <f ca="1">('TUSD BE'!$AM$28+'TUSD BF'!$AM$28+'TUSD CVA'!$AM$28)*1</f>
        <v>181.47641369790719</v>
      </c>
      <c r="AA398" s="6">
        <f>('TE BE'!$AB$11+'TE BF'!$AB$11+'TE CVA'!$AB$11)*1</f>
        <v>215.60278025898469</v>
      </c>
      <c r="AB398" s="6">
        <f>$K$398*$V$398</f>
        <v>0</v>
      </c>
      <c r="AC398" s="6">
        <f>$M$398*$W$398</f>
        <v>134050.14574000001</v>
      </c>
      <c r="AD398" s="6">
        <f>$O$398*$X$398</f>
        <v>134677.1587</v>
      </c>
      <c r="AE398" s="6">
        <f>$K$398*$Y$398</f>
        <v>0</v>
      </c>
      <c r="AF398" s="6">
        <f ca="1">$M$398*$Z$398</f>
        <v>237058.46525606111</v>
      </c>
      <c r="AG398" s="6">
        <f>$O$398*$AA$398</f>
        <v>281636.95298836578</v>
      </c>
    </row>
    <row r="399" spans="1:33" ht="11.25" customHeight="1" x14ac:dyDescent="0.25">
      <c r="A399" s="4" t="s">
        <v>28</v>
      </c>
      <c r="B399" s="4" t="s">
        <v>41</v>
      </c>
      <c r="C399" s="4" t="s">
        <v>43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44805</v>
      </c>
      <c r="J399" s="6">
        <v>0</v>
      </c>
      <c r="K399" s="6">
        <v>0</v>
      </c>
      <c r="L399" s="6">
        <v>25.713999999999999</v>
      </c>
      <c r="M399" s="6">
        <v>25.713999999999999</v>
      </c>
      <c r="N399" s="6">
        <v>25.713999999999999</v>
      </c>
      <c r="O399" s="6">
        <v>25.713999999999999</v>
      </c>
      <c r="P399" s="6">
        <v>0</v>
      </c>
      <c r="Q399" s="4" t="s">
        <v>26</v>
      </c>
      <c r="R399" s="4">
        <v>0</v>
      </c>
      <c r="S399" s="6">
        <v>0</v>
      </c>
      <c r="T399" s="6">
        <v>7</v>
      </c>
      <c r="U399" s="6">
        <v>76</v>
      </c>
      <c r="V399" s="6">
        <f>IF(ISERROR(VLOOKUP($S$399,'TAR FIN'!$A$1:$O$108,15,0)),0,VLOOKUP($S$399,'TAR FIN'!$A$1:$O$108,15,0))</f>
        <v>0</v>
      </c>
      <c r="W399" s="6">
        <f>IF(ISERROR(VLOOKUP($T$399,'TAR FIN'!$A$1:$O$108,15,0)),0,VLOOKUP($T$399,'TAR FIN'!$A$1:$O$108,15,0))</f>
        <v>102.62</v>
      </c>
      <c r="X399" s="6">
        <f>IF(ISERROR(VLOOKUP($U$399,'TAR FIN'!$A$1:$O$108,15,0)),0,VLOOKUP($U$399,'TAR FIN'!$A$1:$O$108,15,0))</f>
        <v>103.1</v>
      </c>
      <c r="Y399" s="6"/>
      <c r="Z399" s="6">
        <f ca="1">('TUSD BE'!$AM$28+'TUSD BF'!$AM$28+'TUSD CVA'!$AM$28)*1</f>
        <v>181.47641369790719</v>
      </c>
      <c r="AA399" s="6">
        <f>('TE BE'!$AB$11+'TE BF'!$AB$11+'TE CVA'!$AB$11)*1</f>
        <v>215.60278025898469</v>
      </c>
      <c r="AB399" s="6">
        <f>$K$399*$V$399</f>
        <v>0</v>
      </c>
      <c r="AC399" s="6">
        <f>$M$399*$W$399</f>
        <v>2638.7706800000001</v>
      </c>
      <c r="AD399" s="6">
        <f>$O$399*$X$399</f>
        <v>2651.1133999999997</v>
      </c>
      <c r="AE399" s="6">
        <f>$K$399*$Y$399</f>
        <v>0</v>
      </c>
      <c r="AF399" s="6">
        <f ca="1">$M$399*$Z$399</f>
        <v>4666.4845018279857</v>
      </c>
      <c r="AG399" s="6">
        <f>$O$399*$AA$399</f>
        <v>5544.0098915795325</v>
      </c>
    </row>
    <row r="400" spans="1:33" ht="11.25" customHeight="1" x14ac:dyDescent="0.25">
      <c r="A400" s="4" t="s">
        <v>21</v>
      </c>
      <c r="B400" s="4" t="s">
        <v>41</v>
      </c>
      <c r="C400" s="4" t="s">
        <v>43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44835</v>
      </c>
      <c r="J400" s="6">
        <v>0</v>
      </c>
      <c r="K400" s="6">
        <v>0</v>
      </c>
      <c r="L400" s="6">
        <v>1231.605</v>
      </c>
      <c r="M400" s="6">
        <v>1231.605</v>
      </c>
      <c r="N400" s="6">
        <v>1231.605</v>
      </c>
      <c r="O400" s="6">
        <v>1231.605</v>
      </c>
      <c r="P400" s="6">
        <v>0</v>
      </c>
      <c r="Q400" s="4" t="s">
        <v>26</v>
      </c>
      <c r="R400" s="4">
        <v>0</v>
      </c>
      <c r="S400" s="6">
        <v>0</v>
      </c>
      <c r="T400" s="6">
        <v>7</v>
      </c>
      <c r="U400" s="6">
        <v>76</v>
      </c>
      <c r="V400" s="6">
        <f>IF(ISERROR(VLOOKUP($S$400,'TAR FIN'!$A$1:$O$108,15,0)),0,VLOOKUP($S$400,'TAR FIN'!$A$1:$O$108,15,0))</f>
        <v>0</v>
      </c>
      <c r="W400" s="6">
        <f>IF(ISERROR(VLOOKUP($T$400,'TAR FIN'!$A$1:$O$108,15,0)),0,VLOOKUP($T$400,'TAR FIN'!$A$1:$O$108,15,0))</f>
        <v>102.62</v>
      </c>
      <c r="X400" s="6">
        <f>IF(ISERROR(VLOOKUP($U$400,'TAR FIN'!$A$1:$O$108,15,0)),0,VLOOKUP($U$400,'TAR FIN'!$A$1:$O$108,15,0))</f>
        <v>103.1</v>
      </c>
      <c r="Y400" s="6"/>
      <c r="Z400" s="6">
        <f ca="1">('TUSD BE'!$AM$28+'TUSD BF'!$AM$28+'TUSD CVA'!$AM$28)*1</f>
        <v>181.47641369790719</v>
      </c>
      <c r="AA400" s="6">
        <f>('TE BE'!$AB$11+'TE BF'!$AB$11+'TE CVA'!$AB$11)*1</f>
        <v>215.60278025898469</v>
      </c>
      <c r="AB400" s="6">
        <f>$K$400*$V$400</f>
        <v>0</v>
      </c>
      <c r="AC400" s="6">
        <f>$M$400*$W$400</f>
        <v>126387.30510000001</v>
      </c>
      <c r="AD400" s="6">
        <f>$O$400*$X$400</f>
        <v>126978.4755</v>
      </c>
      <c r="AE400" s="6">
        <f>$K$400*$Y$400</f>
        <v>0</v>
      </c>
      <c r="AF400" s="6">
        <f ca="1">$M$400*$Z$400</f>
        <v>223507.258492411</v>
      </c>
      <c r="AG400" s="6">
        <f>$O$400*$AA$400</f>
        <v>265537.46218086686</v>
      </c>
    </row>
    <row r="401" spans="1:33" ht="11.25" customHeight="1" x14ac:dyDescent="0.25">
      <c r="A401" s="4" t="s">
        <v>28</v>
      </c>
      <c r="B401" s="4" t="s">
        <v>41</v>
      </c>
      <c r="C401" s="4" t="s">
        <v>43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44835</v>
      </c>
      <c r="J401" s="6">
        <v>0</v>
      </c>
      <c r="K401" s="6">
        <v>0</v>
      </c>
      <c r="L401" s="6">
        <v>22.917000000000002</v>
      </c>
      <c r="M401" s="6">
        <v>22.917000000000002</v>
      </c>
      <c r="N401" s="6">
        <v>22.917000000000002</v>
      </c>
      <c r="O401" s="6">
        <v>22.917000000000002</v>
      </c>
      <c r="P401" s="6">
        <v>0</v>
      </c>
      <c r="Q401" s="4" t="s">
        <v>26</v>
      </c>
      <c r="R401" s="4">
        <v>0</v>
      </c>
      <c r="S401" s="6">
        <v>0</v>
      </c>
      <c r="T401" s="6">
        <v>7</v>
      </c>
      <c r="U401" s="6">
        <v>76</v>
      </c>
      <c r="V401" s="6">
        <f>IF(ISERROR(VLOOKUP($S$401,'TAR FIN'!$A$1:$O$108,15,0)),0,VLOOKUP($S$401,'TAR FIN'!$A$1:$O$108,15,0))</f>
        <v>0</v>
      </c>
      <c r="W401" s="6">
        <f>IF(ISERROR(VLOOKUP($T$401,'TAR FIN'!$A$1:$O$108,15,0)),0,VLOOKUP($T$401,'TAR FIN'!$A$1:$O$108,15,0))</f>
        <v>102.62</v>
      </c>
      <c r="X401" s="6">
        <f>IF(ISERROR(VLOOKUP($U$401,'TAR FIN'!$A$1:$O$108,15,0)),0,VLOOKUP($U$401,'TAR FIN'!$A$1:$O$108,15,0))</f>
        <v>103.1</v>
      </c>
      <c r="Y401" s="6"/>
      <c r="Z401" s="6">
        <f ca="1">('TUSD BE'!$AM$28+'TUSD BF'!$AM$28+'TUSD CVA'!$AM$28)*1</f>
        <v>181.47641369790719</v>
      </c>
      <c r="AA401" s="6">
        <f>('TE BE'!$AB$11+'TE BF'!$AB$11+'TE CVA'!$AB$11)*1</f>
        <v>215.60278025898469</v>
      </c>
      <c r="AB401" s="6">
        <f>$K$401*$V$401</f>
        <v>0</v>
      </c>
      <c r="AC401" s="6">
        <f>$M$401*$W$401</f>
        <v>2351.7425400000002</v>
      </c>
      <c r="AD401" s="6">
        <f>$O$401*$X$401</f>
        <v>2362.7427000000002</v>
      </c>
      <c r="AE401" s="6">
        <f>$K$401*$Y$401</f>
        <v>0</v>
      </c>
      <c r="AF401" s="6">
        <f ca="1">$M$401*$Z$401</f>
        <v>4158.8949727149393</v>
      </c>
      <c r="AG401" s="6">
        <f>$O$401*$AA$401</f>
        <v>4940.9689151951525</v>
      </c>
    </row>
    <row r="402" spans="1:33" ht="11.25" customHeight="1" x14ac:dyDescent="0.25">
      <c r="A402" s="4" t="s">
        <v>54</v>
      </c>
      <c r="B402" s="4" t="s">
        <v>41</v>
      </c>
      <c r="C402" s="4" t="s">
        <v>43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44866</v>
      </c>
      <c r="J402" s="6">
        <v>0</v>
      </c>
      <c r="K402" s="6">
        <v>0</v>
      </c>
      <c r="L402" s="6">
        <v>1231.605</v>
      </c>
      <c r="M402" s="6">
        <v>1231.605</v>
      </c>
      <c r="N402" s="6">
        <v>1231.605</v>
      </c>
      <c r="O402" s="6">
        <v>1231.605</v>
      </c>
      <c r="P402" s="6">
        <v>0</v>
      </c>
      <c r="Q402" s="4" t="s">
        <v>26</v>
      </c>
      <c r="R402" s="4">
        <v>0</v>
      </c>
      <c r="S402" s="6">
        <v>0</v>
      </c>
      <c r="T402" s="6">
        <v>7</v>
      </c>
      <c r="U402" s="6">
        <v>76</v>
      </c>
      <c r="V402" s="6">
        <f>IF(ISERROR(VLOOKUP($S$402,'TAR FIN'!$A$1:$O$108,15,0)),0,VLOOKUP($S$402,'TAR FIN'!$A$1:$O$108,15,0))</f>
        <v>0</v>
      </c>
      <c r="W402" s="6">
        <f>IF(ISERROR(VLOOKUP($T$402,'TAR FIN'!$A$1:$O$108,15,0)),0,VLOOKUP($T$402,'TAR FIN'!$A$1:$O$108,15,0))</f>
        <v>102.62</v>
      </c>
      <c r="X402" s="6">
        <f>IF(ISERROR(VLOOKUP($U$402,'TAR FIN'!$A$1:$O$108,15,0)),0,VLOOKUP($U$402,'TAR FIN'!$A$1:$O$108,15,0))</f>
        <v>103.1</v>
      </c>
      <c r="Y402" s="6"/>
      <c r="Z402" s="6">
        <f ca="1">('TUSD BE'!$AM$28+'TUSD BF'!$AM$28+'TUSD CVA'!$AM$28)*1</f>
        <v>181.47641369790719</v>
      </c>
      <c r="AA402" s="6">
        <f>('TE BE'!$AB$11+'TE BF'!$AB$11+'TE CVA'!$AB$11)*1</f>
        <v>215.60278025898469</v>
      </c>
      <c r="AB402" s="6">
        <f>$K$402*$V$402</f>
        <v>0</v>
      </c>
      <c r="AC402" s="6">
        <f>$M$402*$W$402</f>
        <v>126387.30510000001</v>
      </c>
      <c r="AD402" s="6">
        <f>$O$402*$X$402</f>
        <v>126978.4755</v>
      </c>
      <c r="AE402" s="6">
        <f>$K$402*$Y$402</f>
        <v>0</v>
      </c>
      <c r="AF402" s="6">
        <f ca="1">$M$402*$Z$402</f>
        <v>223507.258492411</v>
      </c>
      <c r="AG402" s="6">
        <f>$O$402*$AA$402</f>
        <v>265537.46218086686</v>
      </c>
    </row>
    <row r="403" spans="1:33" ht="11.25" customHeight="1" x14ac:dyDescent="0.25">
      <c r="A403" s="4" t="s">
        <v>54</v>
      </c>
      <c r="B403" s="4" t="s">
        <v>41</v>
      </c>
      <c r="C403" s="4" t="s">
        <v>43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44866</v>
      </c>
      <c r="J403" s="6">
        <v>0</v>
      </c>
      <c r="K403" s="6">
        <v>0</v>
      </c>
      <c r="L403" s="6">
        <v>22.917000000000002</v>
      </c>
      <c r="M403" s="6">
        <v>22.917000000000002</v>
      </c>
      <c r="N403" s="6">
        <v>22.917000000000002</v>
      </c>
      <c r="O403" s="6">
        <v>22.917000000000002</v>
      </c>
      <c r="P403" s="6">
        <v>0</v>
      </c>
      <c r="Q403" s="4" t="s">
        <v>26</v>
      </c>
      <c r="R403" s="4">
        <v>0</v>
      </c>
      <c r="S403" s="6">
        <v>0</v>
      </c>
      <c r="T403" s="6">
        <v>7</v>
      </c>
      <c r="U403" s="6">
        <v>76</v>
      </c>
      <c r="V403" s="6">
        <f>IF(ISERROR(VLOOKUP($S$403,'TAR FIN'!$A$1:$O$108,15,0)),0,VLOOKUP($S$403,'TAR FIN'!$A$1:$O$108,15,0))</f>
        <v>0</v>
      </c>
      <c r="W403" s="6">
        <f>IF(ISERROR(VLOOKUP($T$403,'TAR FIN'!$A$1:$O$108,15,0)),0,VLOOKUP($T$403,'TAR FIN'!$A$1:$O$108,15,0))</f>
        <v>102.62</v>
      </c>
      <c r="X403" s="6">
        <f>IF(ISERROR(VLOOKUP($U$403,'TAR FIN'!$A$1:$O$108,15,0)),0,VLOOKUP($U$403,'TAR FIN'!$A$1:$O$108,15,0))</f>
        <v>103.1</v>
      </c>
      <c r="Y403" s="6"/>
      <c r="Z403" s="6">
        <f ca="1">('TUSD BE'!$AM$28+'TUSD BF'!$AM$28+'TUSD CVA'!$AM$28)*1</f>
        <v>181.47641369790719</v>
      </c>
      <c r="AA403" s="6">
        <f>('TE BE'!$AB$11+'TE BF'!$AB$11+'TE CVA'!$AB$11)*1</f>
        <v>215.60278025898469</v>
      </c>
      <c r="AB403" s="6">
        <f>$K$403*$V$403</f>
        <v>0</v>
      </c>
      <c r="AC403" s="6">
        <f>$M$403*$W$403</f>
        <v>2351.7425400000002</v>
      </c>
      <c r="AD403" s="6">
        <f>$O$403*$X$403</f>
        <v>2362.7427000000002</v>
      </c>
      <c r="AE403" s="6">
        <f>$K$403*$Y$403</f>
        <v>0</v>
      </c>
      <c r="AF403" s="6">
        <f ca="1">$M$403*$Z$403</f>
        <v>4158.8949727149393</v>
      </c>
      <c r="AG403" s="6">
        <f>$O$403*$AA$403</f>
        <v>4940.9689151951525</v>
      </c>
    </row>
    <row r="404" spans="1:33" ht="11.25" customHeight="1" x14ac:dyDescent="0.25">
      <c r="A404" s="4" t="s">
        <v>21</v>
      </c>
      <c r="B404" s="4" t="s">
        <v>41</v>
      </c>
      <c r="C404" s="4" t="s">
        <v>43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44531</v>
      </c>
      <c r="J404" s="6">
        <v>6591</v>
      </c>
      <c r="K404" s="6">
        <v>6591</v>
      </c>
      <c r="L404" s="6">
        <v>0</v>
      </c>
      <c r="M404" s="6">
        <v>0</v>
      </c>
      <c r="N404" s="6">
        <v>0</v>
      </c>
      <c r="O404" s="6">
        <v>0</v>
      </c>
      <c r="P404" s="6">
        <v>27</v>
      </c>
      <c r="Q404" s="4" t="s">
        <v>26</v>
      </c>
      <c r="R404" s="4">
        <v>0</v>
      </c>
      <c r="S404" s="6">
        <v>2</v>
      </c>
      <c r="T404" s="6">
        <v>0</v>
      </c>
      <c r="U404" s="6">
        <v>0</v>
      </c>
      <c r="V404" s="6">
        <f>IF(ISERROR(VLOOKUP($S$404,'TAR FIN'!$A$1:$O$108,15,0)),0,VLOOKUP($S$404,'TAR FIN'!$A$1:$O$108,15,0))</f>
        <v>21.38</v>
      </c>
      <c r="W404" s="6">
        <f>IF(ISERROR(VLOOKUP($T$404,'TAR FIN'!$A$1:$O$108,15,0)),0,VLOOKUP($T$404,'TAR FIN'!$A$1:$O$108,15,0))</f>
        <v>0</v>
      </c>
      <c r="X404" s="6">
        <f>IF(ISERROR(VLOOKUP($U$404,'TAR FIN'!$A$1:$O$108,15,0)),0,VLOOKUP($U$404,'TAR FIN'!$A$1:$O$108,15,0))</f>
        <v>0</v>
      </c>
      <c r="Y404" s="6">
        <f ca="1">('TUSD BE'!$AM$26+'TUSD BF'!$AM$26+'TUSD CVA'!$AM$26)*1</f>
        <v>21.189390814529755</v>
      </c>
      <c r="Z404" s="6"/>
      <c r="AA404" s="6"/>
      <c r="AB404" s="6">
        <f>$K$404*$V$404</f>
        <v>140915.57999999999</v>
      </c>
      <c r="AC404" s="6">
        <f>$M$404*$W$404</f>
        <v>0</v>
      </c>
      <c r="AD404" s="6">
        <f>$O$404*$X$404</f>
        <v>0</v>
      </c>
      <c r="AE404" s="6">
        <f ca="1">$K$404*$Y$404</f>
        <v>139659.27485856562</v>
      </c>
      <c r="AF404" s="6">
        <f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41</v>
      </c>
      <c r="C405" s="4" t="s">
        <v>43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44531</v>
      </c>
      <c r="J405" s="6">
        <v>330</v>
      </c>
      <c r="K405" s="6">
        <v>330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4" t="s">
        <v>26</v>
      </c>
      <c r="R405" s="4">
        <v>0</v>
      </c>
      <c r="S405" s="6">
        <v>2</v>
      </c>
      <c r="T405" s="6">
        <v>0</v>
      </c>
      <c r="U405" s="6">
        <v>0</v>
      </c>
      <c r="V405" s="6">
        <f>IF(ISERROR(VLOOKUP($S$405,'TAR FIN'!$A$1:$O$108,15,0)),0,VLOOKUP($S$405,'TAR FIN'!$A$1:$O$108,15,0))</f>
        <v>21.38</v>
      </c>
      <c r="W405" s="6">
        <f>IF(ISERROR(VLOOKUP($T$405,'TAR FIN'!$A$1:$O$108,15,0)),0,VLOOKUP($T$405,'TAR FIN'!$A$1:$O$108,15,0))</f>
        <v>0</v>
      </c>
      <c r="X405" s="6">
        <f>IF(ISERROR(VLOOKUP($U$405,'TAR FIN'!$A$1:$O$108,15,0)),0,VLOOKUP($U$405,'TAR FIN'!$A$1:$O$108,15,0))</f>
        <v>0</v>
      </c>
      <c r="Y405" s="6">
        <f ca="1">('TUSD BE'!$AM$26+'TUSD BF'!$AM$26+'TUSD CVA'!$AM$26)*1</f>
        <v>21.189390814529755</v>
      </c>
      <c r="Z405" s="6"/>
      <c r="AA405" s="6"/>
      <c r="AB405" s="6">
        <f>$K$405*$V$405</f>
        <v>7055.4</v>
      </c>
      <c r="AC405" s="6">
        <f>$M$405*$W$405</f>
        <v>0</v>
      </c>
      <c r="AD405" s="6">
        <f>$O$405*$X$405</f>
        <v>0</v>
      </c>
      <c r="AE405" s="6">
        <f ca="1">$K$405*$Y$405</f>
        <v>6992.4989687948191</v>
      </c>
      <c r="AF405" s="6">
        <f>$M$405*$Z$405</f>
        <v>0</v>
      </c>
      <c r="AG405" s="6">
        <f>$O$405*$AA$405</f>
        <v>0</v>
      </c>
    </row>
    <row r="406" spans="1:33" ht="11.25" customHeight="1" x14ac:dyDescent="0.25">
      <c r="A406" s="4" t="s">
        <v>21</v>
      </c>
      <c r="B406" s="4" t="s">
        <v>41</v>
      </c>
      <c r="C406" s="4" t="s">
        <v>43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6511</v>
      </c>
      <c r="K406" s="6">
        <v>6511</v>
      </c>
      <c r="L406" s="6">
        <v>0</v>
      </c>
      <c r="M406" s="6">
        <v>0</v>
      </c>
      <c r="N406" s="6">
        <v>0</v>
      </c>
      <c r="O406" s="6">
        <v>0</v>
      </c>
      <c r="P406" s="6">
        <v>27</v>
      </c>
      <c r="Q406" s="4" t="s">
        <v>26</v>
      </c>
      <c r="R406" s="4">
        <v>0</v>
      </c>
      <c r="S406" s="6">
        <v>2</v>
      </c>
      <c r="T406" s="6">
        <v>0</v>
      </c>
      <c r="U406" s="6">
        <v>0</v>
      </c>
      <c r="V406" s="6">
        <f>IF(ISERROR(VLOOKUP($S$406,'TAR FIN'!$A$1:$O$108,15,0)),0,VLOOKUP($S$406,'TAR FIN'!$A$1:$O$108,15,0))</f>
        <v>21.38</v>
      </c>
      <c r="W406" s="6">
        <f>IF(ISERROR(VLOOKUP($T$406,'TAR FIN'!$A$1:$O$108,15,0)),0,VLOOKUP($T$406,'TAR FIN'!$A$1:$O$108,15,0))</f>
        <v>0</v>
      </c>
      <c r="X406" s="6">
        <f>IF(ISERROR(VLOOKUP($U$406,'TAR FIN'!$A$1:$O$108,15,0)),0,VLOOKUP($U$406,'TAR FIN'!$A$1:$O$108,15,0))</f>
        <v>0</v>
      </c>
      <c r="Y406" s="6">
        <f ca="1">('TUSD BE'!$AM$26+'TUSD BF'!$AM$26+'TUSD CVA'!$AM$26)*1</f>
        <v>21.189390814529755</v>
      </c>
      <c r="Z406" s="6"/>
      <c r="AA406" s="6"/>
      <c r="AB406" s="6">
        <f>$K$406*$V$406</f>
        <v>139205.18</v>
      </c>
      <c r="AC406" s="6">
        <f>$M$406*$W$406</f>
        <v>0</v>
      </c>
      <c r="AD406" s="6">
        <f>$O$406*$X$406</f>
        <v>0</v>
      </c>
      <c r="AE406" s="6">
        <f ca="1">$K$406*$Y$406</f>
        <v>137964.12359340323</v>
      </c>
      <c r="AF406" s="6">
        <f>$M$406*$Z$406</f>
        <v>0</v>
      </c>
      <c r="AG406" s="6">
        <f>$O$406*$AA$406</f>
        <v>0</v>
      </c>
    </row>
    <row r="407" spans="1:33" ht="11.25" customHeight="1" x14ac:dyDescent="0.25">
      <c r="A407" s="4" t="s">
        <v>28</v>
      </c>
      <c r="B407" s="4" t="s">
        <v>41</v>
      </c>
      <c r="C407" s="4" t="s">
        <v>43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330</v>
      </c>
      <c r="K407" s="6">
        <v>330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4" t="s">
        <v>26</v>
      </c>
      <c r="R407" s="4">
        <v>0</v>
      </c>
      <c r="S407" s="6">
        <v>2</v>
      </c>
      <c r="T407" s="6">
        <v>0</v>
      </c>
      <c r="U407" s="6">
        <v>0</v>
      </c>
      <c r="V407" s="6">
        <f>IF(ISERROR(VLOOKUP($S$407,'TAR FIN'!$A$1:$O$108,15,0)),0,VLOOKUP($S$407,'TAR FIN'!$A$1:$O$108,15,0))</f>
        <v>21.38</v>
      </c>
      <c r="W407" s="6">
        <f>IF(ISERROR(VLOOKUP($T$407,'TAR FIN'!$A$1:$O$108,15,0)),0,VLOOKUP($T$407,'TAR FIN'!$A$1:$O$108,15,0))</f>
        <v>0</v>
      </c>
      <c r="X407" s="6">
        <f>IF(ISERROR(VLOOKUP($U$407,'TAR FIN'!$A$1:$O$108,15,0)),0,VLOOKUP($U$407,'TAR FIN'!$A$1:$O$108,15,0))</f>
        <v>0</v>
      </c>
      <c r="Y407" s="6">
        <f ca="1">('TUSD BE'!$AM$26+'TUSD BF'!$AM$26+'TUSD CVA'!$AM$26)*1</f>
        <v>21.189390814529755</v>
      </c>
      <c r="Z407" s="6"/>
      <c r="AA407" s="6"/>
      <c r="AB407" s="6">
        <f>$K$407*$V$407</f>
        <v>7055.4</v>
      </c>
      <c r="AC407" s="6">
        <f>$M$407*$W$407</f>
        <v>0</v>
      </c>
      <c r="AD407" s="6">
        <f>$O$407*$X$407</f>
        <v>0</v>
      </c>
      <c r="AE407" s="6">
        <f ca="1">$K$407*$Y$407</f>
        <v>6992.4989687948191</v>
      </c>
      <c r="AF407" s="6">
        <f>$M$407*$Z$407</f>
        <v>0</v>
      </c>
      <c r="AG407" s="6">
        <f>$O$407*$AA$407</f>
        <v>0</v>
      </c>
    </row>
    <row r="408" spans="1:33" ht="11.25" customHeight="1" x14ac:dyDescent="0.25">
      <c r="A408" s="4" t="s">
        <v>21</v>
      </c>
      <c r="B408" s="4" t="s">
        <v>41</v>
      </c>
      <c r="C408" s="4" t="s">
        <v>43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6450</v>
      </c>
      <c r="K408" s="6">
        <v>6450</v>
      </c>
      <c r="L408" s="6">
        <v>0</v>
      </c>
      <c r="M408" s="6">
        <v>0</v>
      </c>
      <c r="N408" s="6">
        <v>0</v>
      </c>
      <c r="O408" s="6">
        <v>0</v>
      </c>
      <c r="P408" s="6">
        <v>27</v>
      </c>
      <c r="Q408" s="4" t="s">
        <v>26</v>
      </c>
      <c r="R408" s="4">
        <v>0</v>
      </c>
      <c r="S408" s="6">
        <v>2</v>
      </c>
      <c r="T408" s="6">
        <v>0</v>
      </c>
      <c r="U408" s="6">
        <v>0</v>
      </c>
      <c r="V408" s="6">
        <f>IF(ISERROR(VLOOKUP($S$408,'TAR FIN'!$A$1:$O$108,15,0)),0,VLOOKUP($S$408,'TAR FIN'!$A$1:$O$108,15,0))</f>
        <v>21.38</v>
      </c>
      <c r="W408" s="6">
        <f>IF(ISERROR(VLOOKUP($T$408,'TAR FIN'!$A$1:$O$108,15,0)),0,VLOOKUP($T$408,'TAR FIN'!$A$1:$O$108,15,0))</f>
        <v>0</v>
      </c>
      <c r="X408" s="6">
        <f>IF(ISERROR(VLOOKUP($U$408,'TAR FIN'!$A$1:$O$108,15,0)),0,VLOOKUP($U$408,'TAR FIN'!$A$1:$O$108,15,0))</f>
        <v>0</v>
      </c>
      <c r="Y408" s="6">
        <f ca="1">('TUSD BE'!$AM$26+'TUSD BF'!$AM$26+'TUSD CVA'!$AM$26)*1</f>
        <v>21.189390814529755</v>
      </c>
      <c r="Z408" s="6"/>
      <c r="AA408" s="6"/>
      <c r="AB408" s="6">
        <f>$K$408*$V$408</f>
        <v>137901</v>
      </c>
      <c r="AC408" s="6">
        <f>$M$408*$W$408</f>
        <v>0</v>
      </c>
      <c r="AD408" s="6">
        <f>$O$408*$X$408</f>
        <v>0</v>
      </c>
      <c r="AE408" s="6">
        <f ca="1">$K$408*$Y$408</f>
        <v>136671.57075371692</v>
      </c>
      <c r="AF408" s="6">
        <f>$M$408*$Z$408</f>
        <v>0</v>
      </c>
      <c r="AG408" s="6">
        <f>$O$408*$AA$408</f>
        <v>0</v>
      </c>
    </row>
    <row r="409" spans="1:33" ht="11.25" customHeight="1" x14ac:dyDescent="0.25">
      <c r="A409" s="4" t="s">
        <v>28</v>
      </c>
      <c r="B409" s="4" t="s">
        <v>41</v>
      </c>
      <c r="C409" s="4" t="s">
        <v>43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44593</v>
      </c>
      <c r="J409" s="6">
        <v>330</v>
      </c>
      <c r="K409" s="6">
        <v>330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4" t="s">
        <v>26</v>
      </c>
      <c r="R409" s="4">
        <v>0</v>
      </c>
      <c r="S409" s="6">
        <v>2</v>
      </c>
      <c r="T409" s="6">
        <v>0</v>
      </c>
      <c r="U409" s="6">
        <v>0</v>
      </c>
      <c r="V409" s="6">
        <f>IF(ISERROR(VLOOKUP($S$409,'TAR FIN'!$A$1:$O$108,15,0)),0,VLOOKUP($S$409,'TAR FIN'!$A$1:$O$108,15,0))</f>
        <v>21.38</v>
      </c>
      <c r="W409" s="6">
        <f>IF(ISERROR(VLOOKUP($T$409,'TAR FIN'!$A$1:$O$108,15,0)),0,VLOOKUP($T$409,'TAR FIN'!$A$1:$O$108,15,0))</f>
        <v>0</v>
      </c>
      <c r="X409" s="6">
        <f>IF(ISERROR(VLOOKUP($U$409,'TAR FIN'!$A$1:$O$108,15,0)),0,VLOOKUP($U$409,'TAR FIN'!$A$1:$O$108,15,0))</f>
        <v>0</v>
      </c>
      <c r="Y409" s="6">
        <f ca="1">('TUSD BE'!$AM$26+'TUSD BF'!$AM$26+'TUSD CVA'!$AM$26)*1</f>
        <v>21.189390814529755</v>
      </c>
      <c r="Z409" s="6"/>
      <c r="AA409" s="6"/>
      <c r="AB409" s="6">
        <f>$K$409*$V$409</f>
        <v>7055.4</v>
      </c>
      <c r="AC409" s="6">
        <f>$M$409*$W$409</f>
        <v>0</v>
      </c>
      <c r="AD409" s="6">
        <f>$O$409*$X$409</f>
        <v>0</v>
      </c>
      <c r="AE409" s="6">
        <f ca="1">$K$409*$Y$409</f>
        <v>6992.4989687948191</v>
      </c>
      <c r="AF409" s="6">
        <f>$M$409*$Z$409</f>
        <v>0</v>
      </c>
      <c r="AG409" s="6">
        <f>$O$409*$AA$409</f>
        <v>0</v>
      </c>
    </row>
    <row r="410" spans="1:33" ht="11.25" customHeight="1" x14ac:dyDescent="0.25">
      <c r="A410" s="4" t="s">
        <v>21</v>
      </c>
      <c r="B410" s="4" t="s">
        <v>41</v>
      </c>
      <c r="C410" s="4" t="s">
        <v>43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6630</v>
      </c>
      <c r="K410" s="6">
        <v>6630</v>
      </c>
      <c r="L410" s="6">
        <v>0</v>
      </c>
      <c r="M410" s="6">
        <v>0</v>
      </c>
      <c r="N410" s="6">
        <v>0</v>
      </c>
      <c r="O410" s="6">
        <v>0</v>
      </c>
      <c r="P410" s="6">
        <v>29</v>
      </c>
      <c r="Q410" s="4" t="s">
        <v>26</v>
      </c>
      <c r="R410" s="4">
        <v>0</v>
      </c>
      <c r="S410" s="6">
        <v>2</v>
      </c>
      <c r="T410" s="6">
        <v>0</v>
      </c>
      <c r="U410" s="6">
        <v>0</v>
      </c>
      <c r="V410" s="6">
        <f>IF(ISERROR(VLOOKUP($S$410,'TAR FIN'!$A$1:$O$108,15,0)),0,VLOOKUP($S$410,'TAR FIN'!$A$1:$O$108,15,0))</f>
        <v>21.38</v>
      </c>
      <c r="W410" s="6">
        <f>IF(ISERROR(VLOOKUP($T$410,'TAR FIN'!$A$1:$O$108,15,0)),0,VLOOKUP($T$410,'TAR FIN'!$A$1:$O$108,15,0))</f>
        <v>0</v>
      </c>
      <c r="X410" s="6">
        <f>IF(ISERROR(VLOOKUP($U$410,'TAR FIN'!$A$1:$O$108,15,0)),0,VLOOKUP($U$410,'TAR FIN'!$A$1:$O$108,15,0))</f>
        <v>0</v>
      </c>
      <c r="Y410" s="6">
        <f ca="1">('TUSD BE'!$AM$26+'TUSD BF'!$AM$26+'TUSD CVA'!$AM$26)*1</f>
        <v>21.189390814529755</v>
      </c>
      <c r="Z410" s="6"/>
      <c r="AA410" s="6"/>
      <c r="AB410" s="6">
        <f>$K$410*$V$410</f>
        <v>141749.4</v>
      </c>
      <c r="AC410" s="6">
        <f>$M$410*$W$410</f>
        <v>0</v>
      </c>
      <c r="AD410" s="6">
        <f>$O$410*$X$410</f>
        <v>0</v>
      </c>
      <c r="AE410" s="6">
        <f ca="1">$K$410*$Y$410</f>
        <v>140485.66110033228</v>
      </c>
      <c r="AF410" s="6">
        <f>$M$410*$Z$410</f>
        <v>0</v>
      </c>
      <c r="AG410" s="6">
        <f>$O$410*$AA$410</f>
        <v>0</v>
      </c>
    </row>
    <row r="411" spans="1:33" ht="11.25" customHeight="1" x14ac:dyDescent="0.25">
      <c r="A411" s="4" t="s">
        <v>28</v>
      </c>
      <c r="B411" s="4" t="s">
        <v>41</v>
      </c>
      <c r="C411" s="4" t="s">
        <v>43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330</v>
      </c>
      <c r="K411" s="6">
        <v>330</v>
      </c>
      <c r="L411" s="6">
        <v>0</v>
      </c>
      <c r="M411" s="6">
        <v>0</v>
      </c>
      <c r="N411" s="6">
        <v>0</v>
      </c>
      <c r="O411" s="6">
        <v>0</v>
      </c>
      <c r="P411" s="6">
        <v>1</v>
      </c>
      <c r="Q411" s="4" t="s">
        <v>26</v>
      </c>
      <c r="R411" s="4">
        <v>0</v>
      </c>
      <c r="S411" s="6">
        <v>2</v>
      </c>
      <c r="T411" s="6">
        <v>0</v>
      </c>
      <c r="U411" s="6">
        <v>0</v>
      </c>
      <c r="V411" s="6">
        <f>IF(ISERROR(VLOOKUP($S$411,'TAR FIN'!$A$1:$O$108,15,0)),0,VLOOKUP($S$411,'TAR FIN'!$A$1:$O$108,15,0))</f>
        <v>21.38</v>
      </c>
      <c r="W411" s="6">
        <f>IF(ISERROR(VLOOKUP($T$411,'TAR FIN'!$A$1:$O$108,15,0)),0,VLOOKUP($T$411,'TAR FIN'!$A$1:$O$108,15,0))</f>
        <v>0</v>
      </c>
      <c r="X411" s="6">
        <f>IF(ISERROR(VLOOKUP($U$411,'TAR FIN'!$A$1:$O$108,15,0)),0,VLOOKUP($U$411,'TAR FIN'!$A$1:$O$108,15,0))</f>
        <v>0</v>
      </c>
      <c r="Y411" s="6">
        <f ca="1">('TUSD BE'!$AM$26+'TUSD BF'!$AM$26+'TUSD CVA'!$AM$26)*1</f>
        <v>21.189390814529755</v>
      </c>
      <c r="Z411" s="6"/>
      <c r="AA411" s="6"/>
      <c r="AB411" s="6">
        <f>$K$411*$V$411</f>
        <v>7055.4</v>
      </c>
      <c r="AC411" s="6">
        <f>$M$411*$W$411</f>
        <v>0</v>
      </c>
      <c r="AD411" s="6">
        <f>$O$411*$X$411</f>
        <v>0</v>
      </c>
      <c r="AE411" s="6">
        <f ca="1">$K$411*$Y$411</f>
        <v>6992.4989687948191</v>
      </c>
      <c r="AF411" s="6">
        <f>$M$411*$Z$411</f>
        <v>0</v>
      </c>
      <c r="AG411" s="6">
        <f>$O$411*$AA$411</f>
        <v>0</v>
      </c>
    </row>
    <row r="412" spans="1:33" ht="11.25" customHeight="1" x14ac:dyDescent="0.25">
      <c r="A412" s="4" t="s">
        <v>21</v>
      </c>
      <c r="B412" s="4" t="s">
        <v>41</v>
      </c>
      <c r="C412" s="4" t="s">
        <v>43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5759</v>
      </c>
      <c r="K412" s="6">
        <v>5759</v>
      </c>
      <c r="L412" s="6">
        <v>0</v>
      </c>
      <c r="M412" s="6">
        <v>0</v>
      </c>
      <c r="N412" s="6">
        <v>0</v>
      </c>
      <c r="O412" s="6">
        <v>0</v>
      </c>
      <c r="P412" s="6">
        <v>28</v>
      </c>
      <c r="Q412" s="4" t="s">
        <v>26</v>
      </c>
      <c r="R412" s="4">
        <v>0</v>
      </c>
      <c r="S412" s="6">
        <v>2</v>
      </c>
      <c r="T412" s="6">
        <v>0</v>
      </c>
      <c r="U412" s="6">
        <v>0</v>
      </c>
      <c r="V412" s="6">
        <f>IF(ISERROR(VLOOKUP($S$412,'TAR FIN'!$A$1:$O$108,15,0)),0,VLOOKUP($S$412,'TAR FIN'!$A$1:$O$108,15,0))</f>
        <v>21.38</v>
      </c>
      <c r="W412" s="6">
        <f>IF(ISERROR(VLOOKUP($T$412,'TAR FIN'!$A$1:$O$108,15,0)),0,VLOOKUP($T$412,'TAR FIN'!$A$1:$O$108,15,0))</f>
        <v>0</v>
      </c>
      <c r="X412" s="6">
        <f>IF(ISERROR(VLOOKUP($U$412,'TAR FIN'!$A$1:$O$108,15,0)),0,VLOOKUP($U$412,'TAR FIN'!$A$1:$O$108,15,0))</f>
        <v>0</v>
      </c>
      <c r="Y412" s="6">
        <f ca="1">('TUSD BE'!$AM$26+'TUSD BF'!$AM$26+'TUSD CVA'!$AM$26)*1</f>
        <v>21.189390814529755</v>
      </c>
      <c r="Z412" s="6"/>
      <c r="AA412" s="6"/>
      <c r="AB412" s="6">
        <f>$K$412*$V$412</f>
        <v>123127.42</v>
      </c>
      <c r="AC412" s="6">
        <f>$M$412*$W$412</f>
        <v>0</v>
      </c>
      <c r="AD412" s="6">
        <f>$O$412*$X$412</f>
        <v>0</v>
      </c>
      <c r="AE412" s="6">
        <f ca="1">$K$412*$Y$412</f>
        <v>122029.70170087686</v>
      </c>
      <c r="AF412" s="6">
        <f>$M$412*$Z$412</f>
        <v>0</v>
      </c>
      <c r="AG412" s="6">
        <f>$O$412*$AA$412</f>
        <v>0</v>
      </c>
    </row>
    <row r="413" spans="1:33" ht="11.25" customHeight="1" x14ac:dyDescent="0.25">
      <c r="A413" s="4" t="s">
        <v>28</v>
      </c>
      <c r="B413" s="4" t="s">
        <v>41</v>
      </c>
      <c r="C413" s="4" t="s">
        <v>43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330</v>
      </c>
      <c r="K413" s="6">
        <v>330</v>
      </c>
      <c r="L413" s="6">
        <v>0</v>
      </c>
      <c r="M413" s="6">
        <v>0</v>
      </c>
      <c r="N413" s="6">
        <v>0</v>
      </c>
      <c r="O413" s="6">
        <v>0</v>
      </c>
      <c r="P413" s="6">
        <v>1</v>
      </c>
      <c r="Q413" s="4" t="s">
        <v>26</v>
      </c>
      <c r="R413" s="4">
        <v>0</v>
      </c>
      <c r="S413" s="6">
        <v>2</v>
      </c>
      <c r="T413" s="6">
        <v>0</v>
      </c>
      <c r="U413" s="6">
        <v>0</v>
      </c>
      <c r="V413" s="6">
        <f>IF(ISERROR(VLOOKUP($S$413,'TAR FIN'!$A$1:$O$108,15,0)),0,VLOOKUP($S$413,'TAR FIN'!$A$1:$O$108,15,0))</f>
        <v>21.38</v>
      </c>
      <c r="W413" s="6">
        <f>IF(ISERROR(VLOOKUP($T$413,'TAR FIN'!$A$1:$O$108,15,0)),0,VLOOKUP($T$413,'TAR FIN'!$A$1:$O$108,15,0))</f>
        <v>0</v>
      </c>
      <c r="X413" s="6">
        <f>IF(ISERROR(VLOOKUP($U$413,'TAR FIN'!$A$1:$O$108,15,0)),0,VLOOKUP($U$413,'TAR FIN'!$A$1:$O$108,15,0))</f>
        <v>0</v>
      </c>
      <c r="Y413" s="6">
        <f ca="1">('TUSD BE'!$AM$26+'TUSD BF'!$AM$26+'TUSD CVA'!$AM$26)*1</f>
        <v>21.189390814529755</v>
      </c>
      <c r="Z413" s="6"/>
      <c r="AA413" s="6"/>
      <c r="AB413" s="6">
        <f>$K$413*$V$413</f>
        <v>7055.4</v>
      </c>
      <c r="AC413" s="6">
        <f>$M$413*$W$413</f>
        <v>0</v>
      </c>
      <c r="AD413" s="6">
        <f>$O$413*$X$413</f>
        <v>0</v>
      </c>
      <c r="AE413" s="6">
        <f ca="1">$K$413*$Y$413</f>
        <v>6992.4989687948191</v>
      </c>
      <c r="AF413" s="6">
        <f>$M$413*$Z$413</f>
        <v>0</v>
      </c>
      <c r="AG413" s="6">
        <f>$O$413*$AA$413</f>
        <v>0</v>
      </c>
    </row>
    <row r="414" spans="1:33" ht="11.25" customHeight="1" x14ac:dyDescent="0.25">
      <c r="A414" s="4" t="s">
        <v>21</v>
      </c>
      <c r="B414" s="4" t="s">
        <v>41</v>
      </c>
      <c r="C414" s="4" t="s">
        <v>43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6463</v>
      </c>
      <c r="K414" s="6">
        <v>6463</v>
      </c>
      <c r="L414" s="6">
        <v>0</v>
      </c>
      <c r="M414" s="6">
        <v>0</v>
      </c>
      <c r="N414" s="6">
        <v>0</v>
      </c>
      <c r="O414" s="6">
        <v>0</v>
      </c>
      <c r="P414" s="6">
        <v>35</v>
      </c>
      <c r="Q414" s="4" t="s">
        <v>26</v>
      </c>
      <c r="R414" s="4">
        <v>0</v>
      </c>
      <c r="S414" s="6">
        <v>2</v>
      </c>
      <c r="T414" s="6">
        <v>0</v>
      </c>
      <c r="U414" s="6">
        <v>0</v>
      </c>
      <c r="V414" s="6">
        <f>IF(ISERROR(VLOOKUP($S$414,'TAR FIN'!$A$1:$O$108,15,0)),0,VLOOKUP($S$414,'TAR FIN'!$A$1:$O$108,15,0))</f>
        <v>21.38</v>
      </c>
      <c r="W414" s="6">
        <f>IF(ISERROR(VLOOKUP($T$414,'TAR FIN'!$A$1:$O$108,15,0)),0,VLOOKUP($T$414,'TAR FIN'!$A$1:$O$108,15,0))</f>
        <v>0</v>
      </c>
      <c r="X414" s="6">
        <f>IF(ISERROR(VLOOKUP($U$414,'TAR FIN'!$A$1:$O$108,15,0)),0,VLOOKUP($U$414,'TAR FIN'!$A$1:$O$108,15,0))</f>
        <v>0</v>
      </c>
      <c r="Y414" s="6">
        <f ca="1">('TUSD BE'!$AM$26+'TUSD BF'!$AM$26+'TUSD CVA'!$AM$26)*1</f>
        <v>21.189390814529755</v>
      </c>
      <c r="Z414" s="6"/>
      <c r="AA414" s="6"/>
      <c r="AB414" s="6">
        <f>$K$414*$V$414</f>
        <v>138178.94</v>
      </c>
      <c r="AC414" s="6">
        <f>$M$414*$W$414</f>
        <v>0</v>
      </c>
      <c r="AD414" s="6">
        <f>$O$414*$X$414</f>
        <v>0</v>
      </c>
      <c r="AE414" s="6">
        <f ca="1">$K$414*$Y$414</f>
        <v>136947.03283430581</v>
      </c>
      <c r="AF414" s="6">
        <f>$M$414*$Z$414</f>
        <v>0</v>
      </c>
      <c r="AG414" s="6">
        <f>$O$414*$AA$414</f>
        <v>0</v>
      </c>
    </row>
    <row r="415" spans="1:33" ht="11.25" customHeight="1" x14ac:dyDescent="0.25">
      <c r="A415" s="4" t="s">
        <v>27</v>
      </c>
      <c r="B415" s="4" t="s">
        <v>41</v>
      </c>
      <c r="C415" s="4" t="s">
        <v>43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240</v>
      </c>
      <c r="K415" s="6">
        <v>240</v>
      </c>
      <c r="L415" s="6">
        <v>0</v>
      </c>
      <c r="M415" s="6">
        <v>0</v>
      </c>
      <c r="N415" s="6">
        <v>0</v>
      </c>
      <c r="O415" s="6">
        <v>0</v>
      </c>
      <c r="P415" s="6">
        <v>2</v>
      </c>
      <c r="Q415" s="4" t="s">
        <v>26</v>
      </c>
      <c r="R415" s="4">
        <v>0</v>
      </c>
      <c r="S415" s="6">
        <v>2</v>
      </c>
      <c r="T415" s="6">
        <v>0</v>
      </c>
      <c r="U415" s="6">
        <v>0</v>
      </c>
      <c r="V415" s="6">
        <f>IF(ISERROR(VLOOKUP($S$415,'TAR FIN'!$A$1:$O$108,15,0)),0,VLOOKUP($S$415,'TAR FIN'!$A$1:$O$108,15,0))</f>
        <v>21.38</v>
      </c>
      <c r="W415" s="6">
        <f>IF(ISERROR(VLOOKUP($T$415,'TAR FIN'!$A$1:$O$108,15,0)),0,VLOOKUP($T$415,'TAR FIN'!$A$1:$O$108,15,0))</f>
        <v>0</v>
      </c>
      <c r="X415" s="6">
        <f>IF(ISERROR(VLOOKUP($U$415,'TAR FIN'!$A$1:$O$108,15,0)),0,VLOOKUP($U$415,'TAR FIN'!$A$1:$O$108,15,0))</f>
        <v>0</v>
      </c>
      <c r="Y415" s="6">
        <f ca="1">('TUSD BE'!$AM$26+'TUSD BF'!$AM$26+'TUSD CVA'!$AM$26)*1</f>
        <v>21.189390814529755</v>
      </c>
      <c r="Z415" s="6"/>
      <c r="AA415" s="6"/>
      <c r="AB415" s="6">
        <f>$K$415*$V$415</f>
        <v>5131.2</v>
      </c>
      <c r="AC415" s="6">
        <f>$M$415*$W$415</f>
        <v>0</v>
      </c>
      <c r="AD415" s="6">
        <f>$O$415*$X$415</f>
        <v>0</v>
      </c>
      <c r="AE415" s="6">
        <f ca="1">$K$415*$Y$415</f>
        <v>5085.4537954871412</v>
      </c>
      <c r="AF415" s="6">
        <f>$M$415*$Z$415</f>
        <v>0</v>
      </c>
      <c r="AG415" s="6">
        <f>$O$415*$AA$415</f>
        <v>0</v>
      </c>
    </row>
    <row r="416" spans="1:33" ht="11.25" customHeight="1" x14ac:dyDescent="0.25">
      <c r="A416" s="4" t="s">
        <v>28</v>
      </c>
      <c r="B416" s="4" t="s">
        <v>41</v>
      </c>
      <c r="C416" s="4" t="s">
        <v>43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44682</v>
      </c>
      <c r="J416" s="6">
        <v>330</v>
      </c>
      <c r="K416" s="6">
        <v>330</v>
      </c>
      <c r="L416" s="6">
        <v>0</v>
      </c>
      <c r="M416" s="6">
        <v>0</v>
      </c>
      <c r="N416" s="6">
        <v>0</v>
      </c>
      <c r="O416" s="6">
        <v>0</v>
      </c>
      <c r="P416" s="6">
        <v>1</v>
      </c>
      <c r="Q416" s="4" t="s">
        <v>26</v>
      </c>
      <c r="R416" s="4">
        <v>0</v>
      </c>
      <c r="S416" s="6">
        <v>2</v>
      </c>
      <c r="T416" s="6">
        <v>0</v>
      </c>
      <c r="U416" s="6">
        <v>0</v>
      </c>
      <c r="V416" s="6">
        <f>IF(ISERROR(VLOOKUP($S$416,'TAR FIN'!$A$1:$O$108,15,0)),0,VLOOKUP($S$416,'TAR FIN'!$A$1:$O$108,15,0))</f>
        <v>21.38</v>
      </c>
      <c r="W416" s="6">
        <f>IF(ISERROR(VLOOKUP($T$416,'TAR FIN'!$A$1:$O$108,15,0)),0,VLOOKUP($T$416,'TAR FIN'!$A$1:$O$108,15,0))</f>
        <v>0</v>
      </c>
      <c r="X416" s="6">
        <f>IF(ISERROR(VLOOKUP($U$416,'TAR FIN'!$A$1:$O$108,15,0)),0,VLOOKUP($U$416,'TAR FIN'!$A$1:$O$108,15,0))</f>
        <v>0</v>
      </c>
      <c r="Y416" s="6">
        <f ca="1">('TUSD BE'!$AM$26+'TUSD BF'!$AM$26+'TUSD CVA'!$AM$26)*1</f>
        <v>21.189390814529755</v>
      </c>
      <c r="Z416" s="6"/>
      <c r="AA416" s="6"/>
      <c r="AB416" s="6">
        <f>$K$416*$V$416</f>
        <v>7055.4</v>
      </c>
      <c r="AC416" s="6">
        <f>$M$416*$W$416</f>
        <v>0</v>
      </c>
      <c r="AD416" s="6">
        <f>$O$416*$X$416</f>
        <v>0</v>
      </c>
      <c r="AE416" s="6">
        <f ca="1">$K$416*$Y$416</f>
        <v>6992.4989687948191</v>
      </c>
      <c r="AF416" s="6">
        <f>$M$416*$Z$416</f>
        <v>0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41</v>
      </c>
      <c r="C417" s="4" t="s">
        <v>43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6213</v>
      </c>
      <c r="K417" s="6">
        <v>6213</v>
      </c>
      <c r="L417" s="6">
        <v>0</v>
      </c>
      <c r="M417" s="6">
        <v>0</v>
      </c>
      <c r="N417" s="6">
        <v>0</v>
      </c>
      <c r="O417" s="6">
        <v>0</v>
      </c>
      <c r="P417" s="6">
        <v>30</v>
      </c>
      <c r="Q417" s="4" t="s">
        <v>26</v>
      </c>
      <c r="R417" s="4">
        <v>0</v>
      </c>
      <c r="S417" s="6">
        <v>2</v>
      </c>
      <c r="T417" s="6">
        <v>0</v>
      </c>
      <c r="U417" s="6">
        <v>0</v>
      </c>
      <c r="V417" s="6">
        <f>IF(ISERROR(VLOOKUP($S$417,'TAR FIN'!$A$1:$O$108,15,0)),0,VLOOKUP($S$417,'TAR FIN'!$A$1:$O$108,15,0))</f>
        <v>21.38</v>
      </c>
      <c r="W417" s="6">
        <f>IF(ISERROR(VLOOKUP($T$417,'TAR FIN'!$A$1:$O$108,15,0)),0,VLOOKUP($T$417,'TAR FIN'!$A$1:$O$108,15,0))</f>
        <v>0</v>
      </c>
      <c r="X417" s="6">
        <f>IF(ISERROR(VLOOKUP($U$417,'TAR FIN'!$A$1:$O$108,15,0)),0,VLOOKUP($U$417,'TAR FIN'!$A$1:$O$108,15,0))</f>
        <v>0</v>
      </c>
      <c r="Y417" s="6">
        <f ca="1">('TUSD BE'!$AM$26+'TUSD BF'!$AM$26+'TUSD CVA'!$AM$26)*1</f>
        <v>21.189390814529755</v>
      </c>
      <c r="Z417" s="6"/>
      <c r="AA417" s="6"/>
      <c r="AB417" s="6">
        <f>$K$417*$V$417</f>
        <v>132833.94</v>
      </c>
      <c r="AC417" s="6">
        <f>$M$417*$W$417</f>
        <v>0</v>
      </c>
      <c r="AD417" s="6">
        <f>$O$417*$X$417</f>
        <v>0</v>
      </c>
      <c r="AE417" s="6">
        <f ca="1">$K$417*$Y$417</f>
        <v>131649.68513067337</v>
      </c>
      <c r="AF417" s="6">
        <f>$M$417*$Z$417</f>
        <v>0</v>
      </c>
      <c r="AG417" s="6">
        <f>$O$417*$AA$417</f>
        <v>0</v>
      </c>
    </row>
    <row r="418" spans="1:33" ht="11.25" customHeight="1" x14ac:dyDescent="0.25">
      <c r="A418" s="4" t="s">
        <v>28</v>
      </c>
      <c r="B418" s="4" t="s">
        <v>41</v>
      </c>
      <c r="C418" s="4" t="s">
        <v>43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44713</v>
      </c>
      <c r="J418" s="6">
        <v>330</v>
      </c>
      <c r="K418" s="6">
        <v>330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4" t="s">
        <v>26</v>
      </c>
      <c r="R418" s="4">
        <v>0</v>
      </c>
      <c r="S418" s="6">
        <v>2</v>
      </c>
      <c r="T418" s="6">
        <v>0</v>
      </c>
      <c r="U418" s="6">
        <v>0</v>
      </c>
      <c r="V418" s="6">
        <f>IF(ISERROR(VLOOKUP($S$418,'TAR FIN'!$A$1:$O$108,15,0)),0,VLOOKUP($S$418,'TAR FIN'!$A$1:$O$108,15,0))</f>
        <v>21.38</v>
      </c>
      <c r="W418" s="6">
        <f>IF(ISERROR(VLOOKUP($T$418,'TAR FIN'!$A$1:$O$108,15,0)),0,VLOOKUP($T$418,'TAR FIN'!$A$1:$O$108,15,0))</f>
        <v>0</v>
      </c>
      <c r="X418" s="6">
        <f>IF(ISERROR(VLOOKUP($U$418,'TAR FIN'!$A$1:$O$108,15,0)),0,VLOOKUP($U$418,'TAR FIN'!$A$1:$O$108,15,0))</f>
        <v>0</v>
      </c>
      <c r="Y418" s="6">
        <f ca="1">('TUSD BE'!$AM$26+'TUSD BF'!$AM$26+'TUSD CVA'!$AM$26)*1</f>
        <v>21.189390814529755</v>
      </c>
      <c r="Z418" s="6"/>
      <c r="AA418" s="6"/>
      <c r="AB418" s="6">
        <f>$K$418*$V$418</f>
        <v>7055.4</v>
      </c>
      <c r="AC418" s="6">
        <f>$M$418*$W$418</f>
        <v>0</v>
      </c>
      <c r="AD418" s="6">
        <f>$O$418*$X$418</f>
        <v>0</v>
      </c>
      <c r="AE418" s="6">
        <f ca="1">$K$418*$Y$418</f>
        <v>6992.4989687948191</v>
      </c>
      <c r="AF418" s="6">
        <f>$M$418*$Z$418</f>
        <v>0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41</v>
      </c>
      <c r="C419" s="4" t="s">
        <v>43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44743</v>
      </c>
      <c r="J419" s="6">
        <v>6541</v>
      </c>
      <c r="K419" s="6">
        <v>6541</v>
      </c>
      <c r="L419" s="6">
        <v>0</v>
      </c>
      <c r="M419" s="6">
        <v>0</v>
      </c>
      <c r="N419" s="6">
        <v>0</v>
      </c>
      <c r="O419" s="6">
        <v>0</v>
      </c>
      <c r="P419" s="6">
        <v>28</v>
      </c>
      <c r="Q419" s="4" t="s">
        <v>26</v>
      </c>
      <c r="R419" s="4">
        <v>0</v>
      </c>
      <c r="S419" s="6">
        <v>2</v>
      </c>
      <c r="T419" s="6">
        <v>0</v>
      </c>
      <c r="U419" s="6">
        <v>0</v>
      </c>
      <c r="V419" s="6">
        <f>IF(ISERROR(VLOOKUP($S$419,'TAR FIN'!$A$1:$O$108,15,0)),0,VLOOKUP($S$419,'TAR FIN'!$A$1:$O$108,15,0))</f>
        <v>21.38</v>
      </c>
      <c r="W419" s="6">
        <f>IF(ISERROR(VLOOKUP($T$419,'TAR FIN'!$A$1:$O$108,15,0)),0,VLOOKUP($T$419,'TAR FIN'!$A$1:$O$108,15,0))</f>
        <v>0</v>
      </c>
      <c r="X419" s="6">
        <f>IF(ISERROR(VLOOKUP($U$419,'TAR FIN'!$A$1:$O$108,15,0)),0,VLOOKUP($U$419,'TAR FIN'!$A$1:$O$108,15,0))</f>
        <v>0</v>
      </c>
      <c r="Y419" s="6">
        <f ca="1">('TUSD BE'!$AM$26+'TUSD BF'!$AM$26+'TUSD CVA'!$AM$26)*1</f>
        <v>21.189390814529755</v>
      </c>
      <c r="Z419" s="6"/>
      <c r="AA419" s="6"/>
      <c r="AB419" s="6">
        <f>$K$419*$V$419</f>
        <v>139846.57999999999</v>
      </c>
      <c r="AC419" s="6">
        <f>$M$419*$W$419</f>
        <v>0</v>
      </c>
      <c r="AD419" s="6">
        <f>$O$419*$X$419</f>
        <v>0</v>
      </c>
      <c r="AE419" s="6">
        <f ca="1">$K$419*$Y$419</f>
        <v>138599.80531783914</v>
      </c>
      <c r="AF419" s="6">
        <f>$M$419*$Z$419</f>
        <v>0</v>
      </c>
      <c r="AG419" s="6">
        <f>$O$419*$AA$419</f>
        <v>0</v>
      </c>
    </row>
    <row r="420" spans="1:33" ht="11.25" customHeight="1" x14ac:dyDescent="0.25">
      <c r="A420" s="4" t="s">
        <v>28</v>
      </c>
      <c r="B420" s="4" t="s">
        <v>41</v>
      </c>
      <c r="C420" s="4" t="s">
        <v>43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44743</v>
      </c>
      <c r="J420" s="6">
        <v>330</v>
      </c>
      <c r="K420" s="6">
        <v>330</v>
      </c>
      <c r="L420" s="6">
        <v>0</v>
      </c>
      <c r="M420" s="6">
        <v>0</v>
      </c>
      <c r="N420" s="6">
        <v>0</v>
      </c>
      <c r="O420" s="6">
        <v>0</v>
      </c>
      <c r="P420" s="6">
        <v>1</v>
      </c>
      <c r="Q420" s="4" t="s">
        <v>26</v>
      </c>
      <c r="R420" s="4">
        <v>0</v>
      </c>
      <c r="S420" s="6">
        <v>2</v>
      </c>
      <c r="T420" s="6">
        <v>0</v>
      </c>
      <c r="U420" s="6">
        <v>0</v>
      </c>
      <c r="V420" s="6">
        <f>IF(ISERROR(VLOOKUP($S$420,'TAR FIN'!$A$1:$O$108,15,0)),0,VLOOKUP($S$420,'TAR FIN'!$A$1:$O$108,15,0))</f>
        <v>21.38</v>
      </c>
      <c r="W420" s="6">
        <f>IF(ISERROR(VLOOKUP($T$420,'TAR FIN'!$A$1:$O$108,15,0)),0,VLOOKUP($T$420,'TAR FIN'!$A$1:$O$108,15,0))</f>
        <v>0</v>
      </c>
      <c r="X420" s="6">
        <f>IF(ISERROR(VLOOKUP($U$420,'TAR FIN'!$A$1:$O$108,15,0)),0,VLOOKUP($U$420,'TAR FIN'!$A$1:$O$108,15,0))</f>
        <v>0</v>
      </c>
      <c r="Y420" s="6">
        <f ca="1">('TUSD BE'!$AM$26+'TUSD BF'!$AM$26+'TUSD CVA'!$AM$26)*1</f>
        <v>21.189390814529755</v>
      </c>
      <c r="Z420" s="6"/>
      <c r="AA420" s="6"/>
      <c r="AB420" s="6">
        <f>$K$420*$V$420</f>
        <v>7055.4</v>
      </c>
      <c r="AC420" s="6">
        <f>$M$420*$W$420</f>
        <v>0</v>
      </c>
      <c r="AD420" s="6">
        <f>$O$420*$X$420</f>
        <v>0</v>
      </c>
      <c r="AE420" s="6">
        <f ca="1">$K$420*$Y$420</f>
        <v>6992.4989687948191</v>
      </c>
      <c r="AF420" s="6">
        <f>$M$420*$Z$420</f>
        <v>0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41</v>
      </c>
      <c r="C421" s="4" t="s">
        <v>43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44774</v>
      </c>
      <c r="J421" s="6">
        <v>6104</v>
      </c>
      <c r="K421" s="6">
        <v>6104</v>
      </c>
      <c r="L421" s="6">
        <v>0</v>
      </c>
      <c r="M421" s="6">
        <v>0</v>
      </c>
      <c r="N421" s="6">
        <v>0</v>
      </c>
      <c r="O421" s="6">
        <v>0</v>
      </c>
      <c r="P421" s="6">
        <v>30</v>
      </c>
      <c r="Q421" s="4" t="s">
        <v>26</v>
      </c>
      <c r="R421" s="4">
        <v>0</v>
      </c>
      <c r="S421" s="6">
        <v>2</v>
      </c>
      <c r="T421" s="6">
        <v>0</v>
      </c>
      <c r="U421" s="6">
        <v>0</v>
      </c>
      <c r="V421" s="6">
        <f>IF(ISERROR(VLOOKUP($S$421,'TAR FIN'!$A$1:$O$108,15,0)),0,VLOOKUP($S$421,'TAR FIN'!$A$1:$O$108,15,0))</f>
        <v>21.38</v>
      </c>
      <c r="W421" s="6">
        <f>IF(ISERROR(VLOOKUP($T$421,'TAR FIN'!$A$1:$O$108,15,0)),0,VLOOKUP($T$421,'TAR FIN'!$A$1:$O$108,15,0))</f>
        <v>0</v>
      </c>
      <c r="X421" s="6">
        <f>IF(ISERROR(VLOOKUP($U$421,'TAR FIN'!$A$1:$O$108,15,0)),0,VLOOKUP($U$421,'TAR FIN'!$A$1:$O$108,15,0))</f>
        <v>0</v>
      </c>
      <c r="Y421" s="6">
        <f ca="1">('TUSD BE'!$AM$26+'TUSD BF'!$AM$26+'TUSD CVA'!$AM$26)*1</f>
        <v>21.189390814529755</v>
      </c>
      <c r="Z421" s="6"/>
      <c r="AA421" s="6"/>
      <c r="AB421" s="6">
        <f>$K$421*$V$421</f>
        <v>130503.51999999999</v>
      </c>
      <c r="AC421" s="6">
        <f>$M$421*$W$421</f>
        <v>0</v>
      </c>
      <c r="AD421" s="6">
        <f>$O$421*$X$421</f>
        <v>0</v>
      </c>
      <c r="AE421" s="6">
        <f ca="1">$K$421*$Y$421</f>
        <v>129340.04153188963</v>
      </c>
      <c r="AF421" s="6">
        <f>$M$421*$Z$421</f>
        <v>0</v>
      </c>
      <c r="AG421" s="6">
        <f>$O$421*$AA$421</f>
        <v>0</v>
      </c>
    </row>
    <row r="422" spans="1:33" ht="11.25" customHeight="1" x14ac:dyDescent="0.25">
      <c r="A422" s="4" t="s">
        <v>28</v>
      </c>
      <c r="B422" s="4" t="s">
        <v>41</v>
      </c>
      <c r="C422" s="4" t="s">
        <v>43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44774</v>
      </c>
      <c r="J422" s="6">
        <v>330</v>
      </c>
      <c r="K422" s="6">
        <v>330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4" t="s">
        <v>26</v>
      </c>
      <c r="R422" s="4">
        <v>0</v>
      </c>
      <c r="S422" s="6">
        <v>2</v>
      </c>
      <c r="T422" s="6">
        <v>0</v>
      </c>
      <c r="U422" s="6">
        <v>0</v>
      </c>
      <c r="V422" s="6">
        <f>IF(ISERROR(VLOOKUP($S$422,'TAR FIN'!$A$1:$O$108,15,0)),0,VLOOKUP($S$422,'TAR FIN'!$A$1:$O$108,15,0))</f>
        <v>21.38</v>
      </c>
      <c r="W422" s="6">
        <f>IF(ISERROR(VLOOKUP($T$422,'TAR FIN'!$A$1:$O$108,15,0)),0,VLOOKUP($T$422,'TAR FIN'!$A$1:$O$108,15,0))</f>
        <v>0</v>
      </c>
      <c r="X422" s="6">
        <f>IF(ISERROR(VLOOKUP($U$422,'TAR FIN'!$A$1:$O$108,15,0)),0,VLOOKUP($U$422,'TAR FIN'!$A$1:$O$108,15,0))</f>
        <v>0</v>
      </c>
      <c r="Y422" s="6">
        <f ca="1">('TUSD BE'!$AM$26+'TUSD BF'!$AM$26+'TUSD CVA'!$AM$26)*1</f>
        <v>21.189390814529755</v>
      </c>
      <c r="Z422" s="6"/>
      <c r="AA422" s="6"/>
      <c r="AB422" s="6">
        <f>$K$422*$V$422</f>
        <v>7055.4</v>
      </c>
      <c r="AC422" s="6">
        <f>$M$422*$W$422</f>
        <v>0</v>
      </c>
      <c r="AD422" s="6">
        <f>$O$422*$X$422</f>
        <v>0</v>
      </c>
      <c r="AE422" s="6">
        <f ca="1">$K$422*$Y$422</f>
        <v>6992.4989687948191</v>
      </c>
      <c r="AF422" s="6">
        <f>$M$422*$Z$422</f>
        <v>0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41</v>
      </c>
      <c r="C423" s="4" t="s">
        <v>43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44805</v>
      </c>
      <c r="J423" s="6">
        <v>7027</v>
      </c>
      <c r="K423" s="6">
        <v>7027</v>
      </c>
      <c r="L423" s="6">
        <v>0</v>
      </c>
      <c r="M423" s="6">
        <v>0</v>
      </c>
      <c r="N423" s="6">
        <v>0</v>
      </c>
      <c r="O423" s="6">
        <v>0</v>
      </c>
      <c r="P423" s="6">
        <v>32</v>
      </c>
      <c r="Q423" s="4" t="s">
        <v>26</v>
      </c>
      <c r="R423" s="4">
        <v>0</v>
      </c>
      <c r="S423" s="6">
        <v>2</v>
      </c>
      <c r="T423" s="6">
        <v>0</v>
      </c>
      <c r="U423" s="6">
        <v>0</v>
      </c>
      <c r="V423" s="6">
        <f>IF(ISERROR(VLOOKUP($S$423,'TAR FIN'!$A$1:$O$108,15,0)),0,VLOOKUP($S$423,'TAR FIN'!$A$1:$O$108,15,0))</f>
        <v>21.38</v>
      </c>
      <c r="W423" s="6">
        <f>IF(ISERROR(VLOOKUP($T$423,'TAR FIN'!$A$1:$O$108,15,0)),0,VLOOKUP($T$423,'TAR FIN'!$A$1:$O$108,15,0))</f>
        <v>0</v>
      </c>
      <c r="X423" s="6">
        <f>IF(ISERROR(VLOOKUP($U$423,'TAR FIN'!$A$1:$O$108,15,0)),0,VLOOKUP($U$423,'TAR FIN'!$A$1:$O$108,15,0))</f>
        <v>0</v>
      </c>
      <c r="Y423" s="6">
        <f ca="1">('TUSD BE'!$AM$26+'TUSD BF'!$AM$26+'TUSD CVA'!$AM$26)*1</f>
        <v>21.189390814529755</v>
      </c>
      <c r="Z423" s="6"/>
      <c r="AA423" s="6"/>
      <c r="AB423" s="6">
        <f>$K$423*$V$423</f>
        <v>150237.25999999998</v>
      </c>
      <c r="AC423" s="6">
        <f>$M$423*$W$423</f>
        <v>0</v>
      </c>
      <c r="AD423" s="6">
        <f>$O$423*$X$423</f>
        <v>0</v>
      </c>
      <c r="AE423" s="6">
        <f ca="1">$K$423*$Y$423</f>
        <v>148897.84925370058</v>
      </c>
      <c r="AF423" s="6">
        <f>$M$423*$Z$423</f>
        <v>0</v>
      </c>
      <c r="AG423" s="6">
        <f>$O$423*$AA$423</f>
        <v>0</v>
      </c>
    </row>
    <row r="424" spans="1:33" ht="11.25" customHeight="1" x14ac:dyDescent="0.25">
      <c r="A424" s="4" t="s">
        <v>28</v>
      </c>
      <c r="B424" s="4" t="s">
        <v>41</v>
      </c>
      <c r="C424" s="4" t="s">
        <v>43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44805</v>
      </c>
      <c r="J424" s="6">
        <v>344</v>
      </c>
      <c r="K424" s="6">
        <v>344</v>
      </c>
      <c r="L424" s="6">
        <v>0</v>
      </c>
      <c r="M424" s="6">
        <v>0</v>
      </c>
      <c r="N424" s="6">
        <v>0</v>
      </c>
      <c r="O424" s="6">
        <v>0</v>
      </c>
      <c r="P424" s="6">
        <v>1</v>
      </c>
      <c r="Q424" s="4" t="s">
        <v>26</v>
      </c>
      <c r="R424" s="4">
        <v>0</v>
      </c>
      <c r="S424" s="6">
        <v>2</v>
      </c>
      <c r="T424" s="6">
        <v>0</v>
      </c>
      <c r="U424" s="6">
        <v>0</v>
      </c>
      <c r="V424" s="6">
        <f>IF(ISERROR(VLOOKUP($S$424,'TAR FIN'!$A$1:$O$108,15,0)),0,VLOOKUP($S$424,'TAR FIN'!$A$1:$O$108,15,0))</f>
        <v>21.38</v>
      </c>
      <c r="W424" s="6">
        <f>IF(ISERROR(VLOOKUP($T$424,'TAR FIN'!$A$1:$O$108,15,0)),0,VLOOKUP($T$424,'TAR FIN'!$A$1:$O$108,15,0))</f>
        <v>0</v>
      </c>
      <c r="X424" s="6">
        <f>IF(ISERROR(VLOOKUP($U$424,'TAR FIN'!$A$1:$O$108,15,0)),0,VLOOKUP($U$424,'TAR FIN'!$A$1:$O$108,15,0))</f>
        <v>0</v>
      </c>
      <c r="Y424" s="6">
        <f ca="1">('TUSD BE'!$AM$26+'TUSD BF'!$AM$26+'TUSD CVA'!$AM$26)*1</f>
        <v>21.189390814529755</v>
      </c>
      <c r="Z424" s="6"/>
      <c r="AA424" s="6"/>
      <c r="AB424" s="6">
        <f>$K$424*$V$424</f>
        <v>7354.7199999999993</v>
      </c>
      <c r="AC424" s="6">
        <f>$M$424*$W$424</f>
        <v>0</v>
      </c>
      <c r="AD424" s="6">
        <f>$O$424*$X$424</f>
        <v>0</v>
      </c>
      <c r="AE424" s="6">
        <f ca="1">$K$424*$Y$424</f>
        <v>7289.1504401982356</v>
      </c>
      <c r="AF424" s="6">
        <f>$M$424*$Z$424</f>
        <v>0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41</v>
      </c>
      <c r="C425" s="4" t="s">
        <v>43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44835</v>
      </c>
      <c r="J425" s="6">
        <v>6924</v>
      </c>
      <c r="K425" s="6">
        <v>6924</v>
      </c>
      <c r="L425" s="6">
        <v>0</v>
      </c>
      <c r="M425" s="6">
        <v>0</v>
      </c>
      <c r="N425" s="6">
        <v>0</v>
      </c>
      <c r="O425" s="6">
        <v>0</v>
      </c>
      <c r="P425" s="6">
        <v>32</v>
      </c>
      <c r="Q425" s="4" t="s">
        <v>26</v>
      </c>
      <c r="R425" s="4">
        <v>0</v>
      </c>
      <c r="S425" s="6">
        <v>2</v>
      </c>
      <c r="T425" s="6">
        <v>0</v>
      </c>
      <c r="U425" s="6">
        <v>0</v>
      </c>
      <c r="V425" s="6">
        <f>IF(ISERROR(VLOOKUP($S$425,'TAR FIN'!$A$1:$O$108,15,0)),0,VLOOKUP($S$425,'TAR FIN'!$A$1:$O$108,15,0))</f>
        <v>21.38</v>
      </c>
      <c r="W425" s="6">
        <f>IF(ISERROR(VLOOKUP($T$425,'TAR FIN'!$A$1:$O$108,15,0)),0,VLOOKUP($T$425,'TAR FIN'!$A$1:$O$108,15,0))</f>
        <v>0</v>
      </c>
      <c r="X425" s="6">
        <f>IF(ISERROR(VLOOKUP($U$425,'TAR FIN'!$A$1:$O$108,15,0)),0,VLOOKUP($U$425,'TAR FIN'!$A$1:$O$108,15,0))</f>
        <v>0</v>
      </c>
      <c r="Y425" s="6">
        <f ca="1">('TUSD BE'!$AM$26+'TUSD BF'!$AM$26+'TUSD CVA'!$AM$26)*1</f>
        <v>21.189390814529755</v>
      </c>
      <c r="Z425" s="6"/>
      <c r="AA425" s="6"/>
      <c r="AB425" s="6">
        <f>$K$425*$V$425</f>
        <v>148035.12</v>
      </c>
      <c r="AC425" s="6">
        <f>$M$425*$W$425</f>
        <v>0</v>
      </c>
      <c r="AD425" s="6">
        <f>$O$425*$X$425</f>
        <v>0</v>
      </c>
      <c r="AE425" s="6">
        <f ca="1">$K$425*$Y$425</f>
        <v>146715.34199980402</v>
      </c>
      <c r="AF425" s="6">
        <f>$M$425*$Z$425</f>
        <v>0</v>
      </c>
      <c r="AG425" s="6">
        <f>$O$425*$AA$425</f>
        <v>0</v>
      </c>
    </row>
    <row r="426" spans="1:33" ht="11.25" customHeight="1" x14ac:dyDescent="0.25">
      <c r="A426" s="4" t="s">
        <v>27</v>
      </c>
      <c r="B426" s="4" t="s">
        <v>41</v>
      </c>
      <c r="C426" s="4" t="s">
        <v>43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44835</v>
      </c>
      <c r="J426" s="6">
        <v>-715</v>
      </c>
      <c r="K426" s="6">
        <v>-715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4" t="s">
        <v>26</v>
      </c>
      <c r="R426" s="4">
        <v>0</v>
      </c>
      <c r="S426" s="6">
        <v>2</v>
      </c>
      <c r="T426" s="6">
        <v>0</v>
      </c>
      <c r="U426" s="6">
        <v>0</v>
      </c>
      <c r="V426" s="6">
        <f>IF(ISERROR(VLOOKUP($S$426,'TAR FIN'!$A$1:$O$108,15,0)),0,VLOOKUP($S$426,'TAR FIN'!$A$1:$O$108,15,0))</f>
        <v>21.38</v>
      </c>
      <c r="W426" s="6">
        <f>IF(ISERROR(VLOOKUP($T$426,'TAR FIN'!$A$1:$O$108,15,0)),0,VLOOKUP($T$426,'TAR FIN'!$A$1:$O$108,15,0))</f>
        <v>0</v>
      </c>
      <c r="X426" s="6">
        <f>IF(ISERROR(VLOOKUP($U$426,'TAR FIN'!$A$1:$O$108,15,0)),0,VLOOKUP($U$426,'TAR FIN'!$A$1:$O$108,15,0))</f>
        <v>0</v>
      </c>
      <c r="Y426" s="6">
        <f ca="1">('TUSD BE'!$AM$26+'TUSD BF'!$AM$26+'TUSD CVA'!$AM$26)*1</f>
        <v>21.189390814529755</v>
      </c>
      <c r="Z426" s="6"/>
      <c r="AA426" s="6"/>
      <c r="AB426" s="6">
        <f>$K$426*$V$426</f>
        <v>-15286.699999999999</v>
      </c>
      <c r="AC426" s="6">
        <f>$M$426*$W$426</f>
        <v>0</v>
      </c>
      <c r="AD426" s="6">
        <f>$O$426*$X$426</f>
        <v>0</v>
      </c>
      <c r="AE426" s="6">
        <f ca="1">$K$426*$Y$426</f>
        <v>-15150.414432388776</v>
      </c>
      <c r="AF426" s="6">
        <f>$M$426*$Z$426</f>
        <v>0</v>
      </c>
      <c r="AG426" s="6">
        <f>$O$426*$AA$426</f>
        <v>0</v>
      </c>
    </row>
    <row r="427" spans="1:33" ht="11.25" customHeight="1" x14ac:dyDescent="0.25">
      <c r="A427" s="4" t="s">
        <v>28</v>
      </c>
      <c r="B427" s="4" t="s">
        <v>41</v>
      </c>
      <c r="C427" s="4" t="s">
        <v>43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44835</v>
      </c>
      <c r="J427" s="6">
        <v>330</v>
      </c>
      <c r="K427" s="6">
        <v>330</v>
      </c>
      <c r="L427" s="6">
        <v>0</v>
      </c>
      <c r="M427" s="6">
        <v>0</v>
      </c>
      <c r="N427" s="6">
        <v>0</v>
      </c>
      <c r="O427" s="6">
        <v>0</v>
      </c>
      <c r="P427" s="6">
        <v>1</v>
      </c>
      <c r="Q427" s="4" t="s">
        <v>26</v>
      </c>
      <c r="R427" s="4">
        <v>0</v>
      </c>
      <c r="S427" s="6">
        <v>2</v>
      </c>
      <c r="T427" s="6">
        <v>0</v>
      </c>
      <c r="U427" s="6">
        <v>0</v>
      </c>
      <c r="V427" s="6">
        <f>IF(ISERROR(VLOOKUP($S$427,'TAR FIN'!$A$1:$O$108,15,0)),0,VLOOKUP($S$427,'TAR FIN'!$A$1:$O$108,15,0))</f>
        <v>21.38</v>
      </c>
      <c r="W427" s="6">
        <f>IF(ISERROR(VLOOKUP($T$427,'TAR FIN'!$A$1:$O$108,15,0)),0,VLOOKUP($T$427,'TAR FIN'!$A$1:$O$108,15,0))</f>
        <v>0</v>
      </c>
      <c r="X427" s="6">
        <f>IF(ISERROR(VLOOKUP($U$427,'TAR FIN'!$A$1:$O$108,15,0)),0,VLOOKUP($U$427,'TAR FIN'!$A$1:$O$108,15,0))</f>
        <v>0</v>
      </c>
      <c r="Y427" s="6">
        <f ca="1">('TUSD BE'!$AM$26+'TUSD BF'!$AM$26+'TUSD CVA'!$AM$26)*1</f>
        <v>21.189390814529755</v>
      </c>
      <c r="Z427" s="6"/>
      <c r="AA427" s="6"/>
      <c r="AB427" s="6">
        <f>$K$427*$V$427</f>
        <v>7055.4</v>
      </c>
      <c r="AC427" s="6">
        <f>$M$427*$W$427</f>
        <v>0</v>
      </c>
      <c r="AD427" s="6">
        <f>$O$427*$X$427</f>
        <v>0</v>
      </c>
      <c r="AE427" s="6">
        <f ca="1">$K$427*$Y$427</f>
        <v>6992.4989687948191</v>
      </c>
      <c r="AF427" s="6">
        <f>$M$427*$Z$427</f>
        <v>0</v>
      </c>
      <c r="AG427" s="6">
        <f>$O$427*$AA$427</f>
        <v>0</v>
      </c>
    </row>
    <row r="428" spans="1:33" ht="11.25" customHeight="1" x14ac:dyDescent="0.25">
      <c r="A428" s="4" t="s">
        <v>54</v>
      </c>
      <c r="B428" s="4" t="s">
        <v>41</v>
      </c>
      <c r="C428" s="4" t="s">
        <v>43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44866</v>
      </c>
      <c r="J428" s="6">
        <v>6924</v>
      </c>
      <c r="K428" s="6">
        <v>6924</v>
      </c>
      <c r="L428" s="6">
        <v>0</v>
      </c>
      <c r="M428" s="6">
        <v>0</v>
      </c>
      <c r="N428" s="6">
        <v>0</v>
      </c>
      <c r="O428" s="6">
        <v>0</v>
      </c>
      <c r="P428" s="6">
        <v>32</v>
      </c>
      <c r="Q428" s="4" t="s">
        <v>26</v>
      </c>
      <c r="R428" s="4">
        <v>0</v>
      </c>
      <c r="S428" s="6">
        <v>2</v>
      </c>
      <c r="T428" s="6">
        <v>0</v>
      </c>
      <c r="U428" s="6">
        <v>0</v>
      </c>
      <c r="V428" s="6">
        <f>IF(ISERROR(VLOOKUP($S$428,'TAR FIN'!$A$1:$O$108,15,0)),0,VLOOKUP($S$428,'TAR FIN'!$A$1:$O$108,15,0))</f>
        <v>21.38</v>
      </c>
      <c r="W428" s="6">
        <f>IF(ISERROR(VLOOKUP($T$428,'TAR FIN'!$A$1:$O$108,15,0)),0,VLOOKUP($T$428,'TAR FIN'!$A$1:$O$108,15,0))</f>
        <v>0</v>
      </c>
      <c r="X428" s="6">
        <f>IF(ISERROR(VLOOKUP($U$428,'TAR FIN'!$A$1:$O$108,15,0)),0,VLOOKUP($U$428,'TAR FIN'!$A$1:$O$108,15,0))</f>
        <v>0</v>
      </c>
      <c r="Y428" s="6">
        <f ca="1">('TUSD BE'!$AM$26+'TUSD BF'!$AM$26+'TUSD CVA'!$AM$26)*1</f>
        <v>21.189390814529755</v>
      </c>
      <c r="Z428" s="6"/>
      <c r="AA428" s="6"/>
      <c r="AB428" s="6">
        <f>$K$428*$V$428</f>
        <v>148035.12</v>
      </c>
      <c r="AC428" s="6">
        <f>$M$428*$W$428</f>
        <v>0</v>
      </c>
      <c r="AD428" s="6">
        <f>$O$428*$X$428</f>
        <v>0</v>
      </c>
      <c r="AE428" s="6">
        <f ca="1">$K$428*$Y$428</f>
        <v>146715.34199980402</v>
      </c>
      <c r="AF428" s="6">
        <f>$M$428*$Z$428</f>
        <v>0</v>
      </c>
      <c r="AG428" s="6">
        <f>$O$428*$AA$428</f>
        <v>0</v>
      </c>
    </row>
    <row r="429" spans="1:33" ht="11.25" customHeight="1" x14ac:dyDescent="0.25">
      <c r="A429" s="4" t="s">
        <v>54</v>
      </c>
      <c r="B429" s="4" t="s">
        <v>41</v>
      </c>
      <c r="C429" s="4" t="s">
        <v>43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44866</v>
      </c>
      <c r="J429" s="6">
        <v>-715</v>
      </c>
      <c r="K429" s="6">
        <v>-715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26</v>
      </c>
      <c r="R429" s="4">
        <v>0</v>
      </c>
      <c r="S429" s="6">
        <v>2</v>
      </c>
      <c r="T429" s="6">
        <v>0</v>
      </c>
      <c r="U429" s="6">
        <v>0</v>
      </c>
      <c r="V429" s="6">
        <f>IF(ISERROR(VLOOKUP($S$429,'TAR FIN'!$A$1:$O$108,15,0)),0,VLOOKUP($S$429,'TAR FIN'!$A$1:$O$108,15,0))</f>
        <v>21.38</v>
      </c>
      <c r="W429" s="6">
        <f>IF(ISERROR(VLOOKUP($T$429,'TAR FIN'!$A$1:$O$108,15,0)),0,VLOOKUP($T$429,'TAR FIN'!$A$1:$O$108,15,0))</f>
        <v>0</v>
      </c>
      <c r="X429" s="6">
        <f>IF(ISERROR(VLOOKUP($U$429,'TAR FIN'!$A$1:$O$108,15,0)),0,VLOOKUP($U$429,'TAR FIN'!$A$1:$O$108,15,0))</f>
        <v>0</v>
      </c>
      <c r="Y429" s="6">
        <f ca="1">('TUSD BE'!$AM$26+'TUSD BF'!$AM$26+'TUSD CVA'!$AM$26)*1</f>
        <v>21.189390814529755</v>
      </c>
      <c r="Z429" s="6"/>
      <c r="AA429" s="6"/>
      <c r="AB429" s="6">
        <f>$K$429*$V$429</f>
        <v>-15286.699999999999</v>
      </c>
      <c r="AC429" s="6">
        <f>$M$429*$W$429</f>
        <v>0</v>
      </c>
      <c r="AD429" s="6">
        <f>$O$429*$X$429</f>
        <v>0</v>
      </c>
      <c r="AE429" s="6">
        <f ca="1">$K$429*$Y$429</f>
        <v>-15150.414432388776</v>
      </c>
      <c r="AF429" s="6">
        <f>$M$429*$Z$429</f>
        <v>0</v>
      </c>
      <c r="AG429" s="6">
        <f>$O$429*$AA$429</f>
        <v>0</v>
      </c>
    </row>
    <row r="430" spans="1:33" ht="11.25" customHeight="1" x14ac:dyDescent="0.25">
      <c r="A430" s="4" t="s">
        <v>54</v>
      </c>
      <c r="B430" s="4" t="s">
        <v>41</v>
      </c>
      <c r="C430" s="4" t="s">
        <v>43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44866</v>
      </c>
      <c r="J430" s="6">
        <v>330</v>
      </c>
      <c r="K430" s="6">
        <v>330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4" t="s">
        <v>26</v>
      </c>
      <c r="R430" s="4">
        <v>0</v>
      </c>
      <c r="S430" s="6">
        <v>2</v>
      </c>
      <c r="T430" s="6">
        <v>0</v>
      </c>
      <c r="U430" s="6">
        <v>0</v>
      </c>
      <c r="V430" s="6">
        <f>IF(ISERROR(VLOOKUP($S$430,'TAR FIN'!$A$1:$O$108,15,0)),0,VLOOKUP($S$430,'TAR FIN'!$A$1:$O$108,15,0))</f>
        <v>21.38</v>
      </c>
      <c r="W430" s="6">
        <f>IF(ISERROR(VLOOKUP($T$430,'TAR FIN'!$A$1:$O$108,15,0)),0,VLOOKUP($T$430,'TAR FIN'!$A$1:$O$108,15,0))</f>
        <v>0</v>
      </c>
      <c r="X430" s="6">
        <f>IF(ISERROR(VLOOKUP($U$430,'TAR FIN'!$A$1:$O$108,15,0)),0,VLOOKUP($U$430,'TAR FIN'!$A$1:$O$108,15,0))</f>
        <v>0</v>
      </c>
      <c r="Y430" s="6">
        <f ca="1">('TUSD BE'!$AM$26+'TUSD BF'!$AM$26+'TUSD CVA'!$AM$26)*1</f>
        <v>21.189390814529755</v>
      </c>
      <c r="Z430" s="6"/>
      <c r="AA430" s="6"/>
      <c r="AB430" s="6">
        <f>$K$430*$V$430</f>
        <v>7055.4</v>
      </c>
      <c r="AC430" s="6">
        <f>$M$430*$W$430</f>
        <v>0</v>
      </c>
      <c r="AD430" s="6">
        <f>$O$430*$X$430</f>
        <v>0</v>
      </c>
      <c r="AE430" s="6">
        <f ca="1">$K$430*$Y$430</f>
        <v>6992.4989687948191</v>
      </c>
      <c r="AF430" s="6">
        <f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41</v>
      </c>
      <c r="C431" s="4" t="s">
        <v>43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44531</v>
      </c>
      <c r="J431" s="6">
        <v>0</v>
      </c>
      <c r="K431" s="6">
        <v>0</v>
      </c>
      <c r="L431" s="6">
        <v>110.20399999999999</v>
      </c>
      <c r="M431" s="6">
        <v>110.20399999999999</v>
      </c>
      <c r="N431" s="6">
        <v>110.20399999999999</v>
      </c>
      <c r="O431" s="6">
        <v>110.20399999999999</v>
      </c>
      <c r="P431" s="6">
        <v>0</v>
      </c>
      <c r="Q431" s="4" t="s">
        <v>26</v>
      </c>
      <c r="R431" s="4">
        <v>0</v>
      </c>
      <c r="S431" s="6">
        <v>0</v>
      </c>
      <c r="T431" s="6">
        <v>5</v>
      </c>
      <c r="U431" s="6">
        <v>75</v>
      </c>
      <c r="V431" s="6">
        <f>IF(ISERROR(VLOOKUP($S$431,'TAR FIN'!$A$1:$O$108,15,0)),0,VLOOKUP($S$431,'TAR FIN'!$A$1:$O$108,15,0))</f>
        <v>0</v>
      </c>
      <c r="W431" s="6">
        <f>IF(ISERROR(VLOOKUP($T$431,'TAR FIN'!$A$1:$O$108,15,0)),0,VLOOKUP($T$431,'TAR FIN'!$A$1:$O$108,15,0))</f>
        <v>1454.96</v>
      </c>
      <c r="X431" s="6">
        <f>IF(ISERROR(VLOOKUP($U$431,'TAR FIN'!$A$1:$O$108,15,0)),0,VLOOKUP($U$431,'TAR FIN'!$A$1:$O$108,15,0))</f>
        <v>159.43</v>
      </c>
      <c r="Y431" s="6"/>
      <c r="Z431" s="6">
        <f ca="1">('TUSD BE'!$AM$27+'TUSD BF'!$AM$27+'TUSD CVA'!$AM$27)*1</f>
        <v>1497.8900689999518</v>
      </c>
      <c r="AA431" s="6">
        <f>('TE BE'!$AB$10+'TE BF'!$AB$10+'TE CVA'!$AB$10)*1</f>
        <v>322.12477389224171</v>
      </c>
      <c r="AB431" s="6">
        <f>$K$431*$V$431</f>
        <v>0</v>
      </c>
      <c r="AC431" s="6">
        <f>$M$431*$W$431</f>
        <v>160342.41183999999</v>
      </c>
      <c r="AD431" s="6">
        <f>$O$431*$X$431</f>
        <v>17569.82372</v>
      </c>
      <c r="AE431" s="6">
        <f>$K$431*$Y$431</f>
        <v>0</v>
      </c>
      <c r="AF431" s="6">
        <f ca="1">$M$431*$Z$431</f>
        <v>165073.47716407067</v>
      </c>
      <c r="AG431" s="6">
        <f>$O$431*$AA$431</f>
        <v>35499.438582020601</v>
      </c>
    </row>
    <row r="432" spans="1:33" ht="11.25" customHeight="1" x14ac:dyDescent="0.25">
      <c r="A432" s="4" t="s">
        <v>28</v>
      </c>
      <c r="B432" s="4" t="s">
        <v>41</v>
      </c>
      <c r="C432" s="4" t="s">
        <v>43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44531</v>
      </c>
      <c r="J432" s="6">
        <v>0</v>
      </c>
      <c r="K432" s="6">
        <v>0</v>
      </c>
      <c r="L432" s="6">
        <v>0.93200000000000005</v>
      </c>
      <c r="M432" s="6">
        <v>0.93200000000000005</v>
      </c>
      <c r="N432" s="6">
        <v>0.93200000000000005</v>
      </c>
      <c r="O432" s="6">
        <v>0.93200000000000005</v>
      </c>
      <c r="P432" s="6">
        <v>0</v>
      </c>
      <c r="Q432" s="4" t="s">
        <v>26</v>
      </c>
      <c r="R432" s="4">
        <v>0</v>
      </c>
      <c r="S432" s="6">
        <v>0</v>
      </c>
      <c r="T432" s="6">
        <v>5</v>
      </c>
      <c r="U432" s="6">
        <v>75</v>
      </c>
      <c r="V432" s="6">
        <f>IF(ISERROR(VLOOKUP($S$432,'TAR FIN'!$A$1:$O$108,15,0)),0,VLOOKUP($S$432,'TAR FIN'!$A$1:$O$108,15,0))</f>
        <v>0</v>
      </c>
      <c r="W432" s="6">
        <f>IF(ISERROR(VLOOKUP($T$432,'TAR FIN'!$A$1:$O$108,15,0)),0,VLOOKUP($T$432,'TAR FIN'!$A$1:$O$108,15,0))</f>
        <v>1454.96</v>
      </c>
      <c r="X432" s="6">
        <f>IF(ISERROR(VLOOKUP($U$432,'TAR FIN'!$A$1:$O$108,15,0)),0,VLOOKUP($U$432,'TAR FIN'!$A$1:$O$108,15,0))</f>
        <v>159.43</v>
      </c>
      <c r="Y432" s="6"/>
      <c r="Z432" s="6">
        <f ca="1">('TUSD BE'!$AM$27+'TUSD BF'!$AM$27+'TUSD CVA'!$AM$27)*1</f>
        <v>1497.8900689999518</v>
      </c>
      <c r="AA432" s="6">
        <f>('TE BE'!$AB$10+'TE BF'!$AB$10+'TE CVA'!$AB$10)*1</f>
        <v>322.12477389224171</v>
      </c>
      <c r="AB432" s="6">
        <f>$K$432*$V$432</f>
        <v>0</v>
      </c>
      <c r="AC432" s="6">
        <f>$M$432*$W$432</f>
        <v>1356.0227200000002</v>
      </c>
      <c r="AD432" s="6">
        <f>$O$432*$X$432</f>
        <v>148.58876000000001</v>
      </c>
      <c r="AE432" s="6">
        <f>$K$432*$Y$432</f>
        <v>0</v>
      </c>
      <c r="AF432" s="6">
        <f ca="1">$M$432*$Z$432</f>
        <v>1396.0335443079553</v>
      </c>
      <c r="AG432" s="6">
        <f>$O$432*$AA$432</f>
        <v>300.22028926756929</v>
      </c>
    </row>
    <row r="433" spans="1:33" ht="11.25" customHeight="1" x14ac:dyDescent="0.25">
      <c r="A433" s="4" t="s">
        <v>21</v>
      </c>
      <c r="B433" s="4" t="s">
        <v>41</v>
      </c>
      <c r="C433" s="4" t="s">
        <v>43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44562</v>
      </c>
      <c r="J433" s="6">
        <v>0</v>
      </c>
      <c r="K433" s="6">
        <v>0</v>
      </c>
      <c r="L433" s="6">
        <v>100.327</v>
      </c>
      <c r="M433" s="6">
        <v>100.327</v>
      </c>
      <c r="N433" s="6">
        <v>100.327</v>
      </c>
      <c r="O433" s="6">
        <v>100.327</v>
      </c>
      <c r="P433" s="6">
        <v>0</v>
      </c>
      <c r="Q433" s="4" t="s">
        <v>26</v>
      </c>
      <c r="R433" s="4">
        <v>0</v>
      </c>
      <c r="S433" s="6">
        <v>0</v>
      </c>
      <c r="T433" s="6">
        <v>5</v>
      </c>
      <c r="U433" s="6">
        <v>75</v>
      </c>
      <c r="V433" s="6">
        <f>IF(ISERROR(VLOOKUP($S$433,'TAR FIN'!$A$1:$O$108,15,0)),0,VLOOKUP($S$433,'TAR FIN'!$A$1:$O$108,15,0))</f>
        <v>0</v>
      </c>
      <c r="W433" s="6">
        <f>IF(ISERROR(VLOOKUP($T$433,'TAR FIN'!$A$1:$O$108,15,0)),0,VLOOKUP($T$433,'TAR FIN'!$A$1:$O$108,15,0))</f>
        <v>1454.96</v>
      </c>
      <c r="X433" s="6">
        <f>IF(ISERROR(VLOOKUP($U$433,'TAR FIN'!$A$1:$O$108,15,0)),0,VLOOKUP($U$433,'TAR FIN'!$A$1:$O$108,15,0))</f>
        <v>159.43</v>
      </c>
      <c r="Y433" s="6"/>
      <c r="Z433" s="6">
        <f ca="1">('TUSD BE'!$AM$27+'TUSD BF'!$AM$27+'TUSD CVA'!$AM$27)*1</f>
        <v>1497.8900689999518</v>
      </c>
      <c r="AA433" s="6">
        <f>('TE BE'!$AB$10+'TE BF'!$AB$10+'TE CVA'!$AB$10)*1</f>
        <v>322.12477389224171</v>
      </c>
      <c r="AB433" s="6">
        <f>$K$433*$V$433</f>
        <v>0</v>
      </c>
      <c r="AC433" s="6">
        <f>$M$433*$W$433</f>
        <v>145971.77192</v>
      </c>
      <c r="AD433" s="6">
        <f>$O$433*$X$433</f>
        <v>15995.133610000001</v>
      </c>
      <c r="AE433" s="6">
        <f>$K$433*$Y$433</f>
        <v>0</v>
      </c>
      <c r="AF433" s="6">
        <f ca="1">$M$433*$Z$433</f>
        <v>150278.81695255818</v>
      </c>
      <c r="AG433" s="6">
        <f>$O$433*$AA$433</f>
        <v>32317.812190286932</v>
      </c>
    </row>
    <row r="434" spans="1:33" ht="11.25" customHeight="1" x14ac:dyDescent="0.25">
      <c r="A434" s="4" t="s">
        <v>28</v>
      </c>
      <c r="B434" s="4" t="s">
        <v>41</v>
      </c>
      <c r="C434" s="4" t="s">
        <v>43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44562</v>
      </c>
      <c r="J434" s="6">
        <v>0</v>
      </c>
      <c r="K434" s="6">
        <v>0</v>
      </c>
      <c r="L434" s="6">
        <v>0.59099999999999997</v>
      </c>
      <c r="M434" s="6">
        <v>0.59099999999999997</v>
      </c>
      <c r="N434" s="6">
        <v>0.59099999999999997</v>
      </c>
      <c r="O434" s="6">
        <v>0.59099999999999997</v>
      </c>
      <c r="P434" s="6">
        <v>0</v>
      </c>
      <c r="Q434" s="4" t="s">
        <v>26</v>
      </c>
      <c r="R434" s="4">
        <v>0</v>
      </c>
      <c r="S434" s="6">
        <v>0</v>
      </c>
      <c r="T434" s="6">
        <v>5</v>
      </c>
      <c r="U434" s="6">
        <v>75</v>
      </c>
      <c r="V434" s="6">
        <f>IF(ISERROR(VLOOKUP($S$434,'TAR FIN'!$A$1:$O$108,15,0)),0,VLOOKUP($S$434,'TAR FIN'!$A$1:$O$108,15,0))</f>
        <v>0</v>
      </c>
      <c r="W434" s="6">
        <f>IF(ISERROR(VLOOKUP($T$434,'TAR FIN'!$A$1:$O$108,15,0)),0,VLOOKUP($T$434,'TAR FIN'!$A$1:$O$108,15,0))</f>
        <v>1454.96</v>
      </c>
      <c r="X434" s="6">
        <f>IF(ISERROR(VLOOKUP($U$434,'TAR FIN'!$A$1:$O$108,15,0)),0,VLOOKUP($U$434,'TAR FIN'!$A$1:$O$108,15,0))</f>
        <v>159.43</v>
      </c>
      <c r="Y434" s="6"/>
      <c r="Z434" s="6">
        <f ca="1">('TUSD BE'!$AM$27+'TUSD BF'!$AM$27+'TUSD CVA'!$AM$27)*1</f>
        <v>1497.8900689999518</v>
      </c>
      <c r="AA434" s="6">
        <f>('TE BE'!$AB$10+'TE BF'!$AB$10+'TE CVA'!$AB$10)*1</f>
        <v>322.12477389224171</v>
      </c>
      <c r="AB434" s="6">
        <f>$K$434*$V$434</f>
        <v>0</v>
      </c>
      <c r="AC434" s="6">
        <f>$M$434*$W$434</f>
        <v>859.88135999999997</v>
      </c>
      <c r="AD434" s="6">
        <f>$O$434*$X$434</f>
        <v>94.223129999999998</v>
      </c>
      <c r="AE434" s="6">
        <f>$K$434*$Y$434</f>
        <v>0</v>
      </c>
      <c r="AF434" s="6">
        <f ca="1">$M$434*$Z$434</f>
        <v>885.25303077897149</v>
      </c>
      <c r="AG434" s="6">
        <f>$O$434*$AA$434</f>
        <v>190.37574137031484</v>
      </c>
    </row>
    <row r="435" spans="1:33" ht="11.25" customHeight="1" x14ac:dyDescent="0.25">
      <c r="A435" s="4" t="s">
        <v>21</v>
      </c>
      <c r="B435" s="4" t="s">
        <v>41</v>
      </c>
      <c r="C435" s="4" t="s">
        <v>43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44593</v>
      </c>
      <c r="J435" s="6">
        <v>0</v>
      </c>
      <c r="K435" s="6">
        <v>0</v>
      </c>
      <c r="L435" s="6">
        <v>74.650999999999996</v>
      </c>
      <c r="M435" s="6">
        <v>74.650999999999996</v>
      </c>
      <c r="N435" s="6">
        <v>74.650999999999996</v>
      </c>
      <c r="O435" s="6">
        <v>74.650999999999996</v>
      </c>
      <c r="P435" s="6">
        <v>0</v>
      </c>
      <c r="Q435" s="4" t="s">
        <v>26</v>
      </c>
      <c r="R435" s="4">
        <v>0</v>
      </c>
      <c r="S435" s="6">
        <v>0</v>
      </c>
      <c r="T435" s="6">
        <v>5</v>
      </c>
      <c r="U435" s="6">
        <v>75</v>
      </c>
      <c r="V435" s="6">
        <f>IF(ISERROR(VLOOKUP($S$435,'TAR FIN'!$A$1:$O$108,15,0)),0,VLOOKUP($S$435,'TAR FIN'!$A$1:$O$108,15,0))</f>
        <v>0</v>
      </c>
      <c r="W435" s="6">
        <f>IF(ISERROR(VLOOKUP($T$435,'TAR FIN'!$A$1:$O$108,15,0)),0,VLOOKUP($T$435,'TAR FIN'!$A$1:$O$108,15,0))</f>
        <v>1454.96</v>
      </c>
      <c r="X435" s="6">
        <f>IF(ISERROR(VLOOKUP($U$435,'TAR FIN'!$A$1:$O$108,15,0)),0,VLOOKUP($U$435,'TAR FIN'!$A$1:$O$108,15,0))</f>
        <v>159.43</v>
      </c>
      <c r="Y435" s="6"/>
      <c r="Z435" s="6">
        <f ca="1">('TUSD BE'!$AM$27+'TUSD BF'!$AM$27+'TUSD CVA'!$AM$27)*1</f>
        <v>1497.8900689999518</v>
      </c>
      <c r="AA435" s="6">
        <f>('TE BE'!$AB$10+'TE BF'!$AB$10+'TE CVA'!$AB$10)*1</f>
        <v>322.12477389224171</v>
      </c>
      <c r="AB435" s="6">
        <f>$K$435*$V$435</f>
        <v>0</v>
      </c>
      <c r="AC435" s="6">
        <f>$M$435*$W$435</f>
        <v>108614.21896</v>
      </c>
      <c r="AD435" s="6">
        <f>$O$435*$X$435</f>
        <v>11901.60893</v>
      </c>
      <c r="AE435" s="6">
        <f>$K$435*$Y$435</f>
        <v>0</v>
      </c>
      <c r="AF435" s="6">
        <f ca="1">$M$435*$Z$435</f>
        <v>111818.99154091541</v>
      </c>
      <c r="AG435" s="6">
        <f>$O$435*$AA$435</f>
        <v>24046.936495829734</v>
      </c>
    </row>
    <row r="436" spans="1:33" ht="11.25" customHeight="1" x14ac:dyDescent="0.25">
      <c r="A436" s="4" t="s">
        <v>28</v>
      </c>
      <c r="B436" s="4" t="s">
        <v>41</v>
      </c>
      <c r="C436" s="4" t="s">
        <v>43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44593</v>
      </c>
      <c r="J436" s="6">
        <v>0</v>
      </c>
      <c r="K436" s="6">
        <v>0</v>
      </c>
      <c r="L436" s="6">
        <v>0.34399999999999997</v>
      </c>
      <c r="M436" s="6">
        <v>0.34399999999999997</v>
      </c>
      <c r="N436" s="6">
        <v>0.34399999999999997</v>
      </c>
      <c r="O436" s="6">
        <v>0.34399999999999997</v>
      </c>
      <c r="P436" s="6">
        <v>0</v>
      </c>
      <c r="Q436" s="4" t="s">
        <v>26</v>
      </c>
      <c r="R436" s="4">
        <v>0</v>
      </c>
      <c r="S436" s="6">
        <v>0</v>
      </c>
      <c r="T436" s="6">
        <v>5</v>
      </c>
      <c r="U436" s="6">
        <v>75</v>
      </c>
      <c r="V436" s="6">
        <f>IF(ISERROR(VLOOKUP($S$436,'TAR FIN'!$A$1:$O$108,15,0)),0,VLOOKUP($S$436,'TAR FIN'!$A$1:$O$108,15,0))</f>
        <v>0</v>
      </c>
      <c r="W436" s="6">
        <f>IF(ISERROR(VLOOKUP($T$436,'TAR FIN'!$A$1:$O$108,15,0)),0,VLOOKUP($T$436,'TAR FIN'!$A$1:$O$108,15,0))</f>
        <v>1454.96</v>
      </c>
      <c r="X436" s="6">
        <f>IF(ISERROR(VLOOKUP($U$436,'TAR FIN'!$A$1:$O$108,15,0)),0,VLOOKUP($U$436,'TAR FIN'!$A$1:$O$108,15,0))</f>
        <v>159.43</v>
      </c>
      <c r="Y436" s="6"/>
      <c r="Z436" s="6">
        <f ca="1">('TUSD BE'!$AM$27+'TUSD BF'!$AM$27+'TUSD CVA'!$AM$27)*1</f>
        <v>1497.8900689999518</v>
      </c>
      <c r="AA436" s="6">
        <f>('TE BE'!$AB$10+'TE BF'!$AB$10+'TE CVA'!$AB$10)*1</f>
        <v>322.12477389224171</v>
      </c>
      <c r="AB436" s="6">
        <f>$K$436*$V$436</f>
        <v>0</v>
      </c>
      <c r="AC436" s="6">
        <f>$M$436*$W$436</f>
        <v>500.50623999999999</v>
      </c>
      <c r="AD436" s="6">
        <f>$O$436*$X$436</f>
        <v>54.843919999999997</v>
      </c>
      <c r="AE436" s="6">
        <f>$K$436*$Y$436</f>
        <v>0</v>
      </c>
      <c r="AF436" s="6">
        <f ca="1">$M$436*$Z$436</f>
        <v>515.27418373598334</v>
      </c>
      <c r="AG436" s="6">
        <f>$O$436*$AA$436</f>
        <v>110.81092221893114</v>
      </c>
    </row>
    <row r="437" spans="1:33" ht="11.25" customHeight="1" x14ac:dyDescent="0.25">
      <c r="A437" s="4" t="s">
        <v>21</v>
      </c>
      <c r="B437" s="4" t="s">
        <v>41</v>
      </c>
      <c r="C437" s="4" t="s">
        <v>43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44621</v>
      </c>
      <c r="J437" s="6">
        <v>0</v>
      </c>
      <c r="K437" s="6">
        <v>0</v>
      </c>
      <c r="L437" s="6">
        <v>107.3</v>
      </c>
      <c r="M437" s="6">
        <v>107.3</v>
      </c>
      <c r="N437" s="6">
        <v>107.3</v>
      </c>
      <c r="O437" s="6">
        <v>107.3</v>
      </c>
      <c r="P437" s="6">
        <v>0</v>
      </c>
      <c r="Q437" s="4" t="s">
        <v>26</v>
      </c>
      <c r="R437" s="4">
        <v>0</v>
      </c>
      <c r="S437" s="6">
        <v>0</v>
      </c>
      <c r="T437" s="6">
        <v>5</v>
      </c>
      <c r="U437" s="6">
        <v>75</v>
      </c>
      <c r="V437" s="6">
        <f>IF(ISERROR(VLOOKUP($S$437,'TAR FIN'!$A$1:$O$108,15,0)),0,VLOOKUP($S$437,'TAR FIN'!$A$1:$O$108,15,0))</f>
        <v>0</v>
      </c>
      <c r="W437" s="6">
        <f>IF(ISERROR(VLOOKUP($T$437,'TAR FIN'!$A$1:$O$108,15,0)),0,VLOOKUP($T$437,'TAR FIN'!$A$1:$O$108,15,0))</f>
        <v>1454.96</v>
      </c>
      <c r="X437" s="6">
        <f>IF(ISERROR(VLOOKUP($U$437,'TAR FIN'!$A$1:$O$108,15,0)),0,VLOOKUP($U$437,'TAR FIN'!$A$1:$O$108,15,0))</f>
        <v>159.43</v>
      </c>
      <c r="Y437" s="6"/>
      <c r="Z437" s="6">
        <f ca="1">('TUSD BE'!$AM$27+'TUSD BF'!$AM$27+'TUSD CVA'!$AM$27)*1</f>
        <v>1497.8900689999518</v>
      </c>
      <c r="AA437" s="6">
        <f>('TE BE'!$AB$10+'TE BF'!$AB$10+'TE CVA'!$AB$10)*1</f>
        <v>322.12477389224171</v>
      </c>
      <c r="AB437" s="6">
        <f>$K$437*$V$437</f>
        <v>0</v>
      </c>
      <c r="AC437" s="6">
        <f>$M$437*$W$437</f>
        <v>156117.20800000001</v>
      </c>
      <c r="AD437" s="6">
        <f>$O$437*$X$437</f>
        <v>17106.839</v>
      </c>
      <c r="AE437" s="6">
        <f>$K$437*$Y$437</f>
        <v>0</v>
      </c>
      <c r="AF437" s="6">
        <f ca="1">$M$437*$Z$437</f>
        <v>160723.60440369483</v>
      </c>
      <c r="AG437" s="6">
        <f>$O$437*$AA$437</f>
        <v>34563.988238637532</v>
      </c>
    </row>
    <row r="438" spans="1:33" ht="11.25" customHeight="1" x14ac:dyDescent="0.25">
      <c r="A438" s="4" t="s">
        <v>28</v>
      </c>
      <c r="B438" s="4" t="s">
        <v>41</v>
      </c>
      <c r="C438" s="4" t="s">
        <v>43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44621</v>
      </c>
      <c r="J438" s="6">
        <v>0</v>
      </c>
      <c r="K438" s="6">
        <v>0</v>
      </c>
      <c r="L438" s="6">
        <v>0.58799999999999997</v>
      </c>
      <c r="M438" s="6">
        <v>0.58799999999999997</v>
      </c>
      <c r="N438" s="6">
        <v>0.58799999999999997</v>
      </c>
      <c r="O438" s="6">
        <v>0.58799999999999997</v>
      </c>
      <c r="P438" s="6">
        <v>0</v>
      </c>
      <c r="Q438" s="4" t="s">
        <v>26</v>
      </c>
      <c r="R438" s="4">
        <v>0</v>
      </c>
      <c r="S438" s="6">
        <v>0</v>
      </c>
      <c r="T438" s="6">
        <v>5</v>
      </c>
      <c r="U438" s="6">
        <v>75</v>
      </c>
      <c r="V438" s="6">
        <f>IF(ISERROR(VLOOKUP($S$438,'TAR FIN'!$A$1:$O$108,15,0)),0,VLOOKUP($S$438,'TAR FIN'!$A$1:$O$108,15,0))</f>
        <v>0</v>
      </c>
      <c r="W438" s="6">
        <f>IF(ISERROR(VLOOKUP($T$438,'TAR FIN'!$A$1:$O$108,15,0)),0,VLOOKUP($T$438,'TAR FIN'!$A$1:$O$108,15,0))</f>
        <v>1454.96</v>
      </c>
      <c r="X438" s="6">
        <f>IF(ISERROR(VLOOKUP($U$438,'TAR FIN'!$A$1:$O$108,15,0)),0,VLOOKUP($U$438,'TAR FIN'!$A$1:$O$108,15,0))</f>
        <v>159.43</v>
      </c>
      <c r="Y438" s="6"/>
      <c r="Z438" s="6">
        <f ca="1">('TUSD BE'!$AM$27+'TUSD BF'!$AM$27+'TUSD CVA'!$AM$27)*1</f>
        <v>1497.8900689999518</v>
      </c>
      <c r="AA438" s="6">
        <f>('TE BE'!$AB$10+'TE BF'!$AB$10+'TE CVA'!$AB$10)*1</f>
        <v>322.12477389224171</v>
      </c>
      <c r="AB438" s="6">
        <f>$K$438*$V$438</f>
        <v>0</v>
      </c>
      <c r="AC438" s="6">
        <f>$M$438*$W$438</f>
        <v>855.51648</v>
      </c>
      <c r="AD438" s="6">
        <f>$O$438*$X$438</f>
        <v>93.744839999999996</v>
      </c>
      <c r="AE438" s="6">
        <f>$K$438*$Y$438</f>
        <v>0</v>
      </c>
      <c r="AF438" s="6">
        <f ca="1">$M$438*$Z$438</f>
        <v>880.75936057197168</v>
      </c>
      <c r="AG438" s="6">
        <f>$O$438*$AA$438</f>
        <v>189.4093670486381</v>
      </c>
    </row>
    <row r="439" spans="1:33" ht="11.25" customHeight="1" x14ac:dyDescent="0.25">
      <c r="A439" s="4" t="s">
        <v>21</v>
      </c>
      <c r="B439" s="4" t="s">
        <v>41</v>
      </c>
      <c r="C439" s="4" t="s">
        <v>43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44652</v>
      </c>
      <c r="J439" s="6">
        <v>0</v>
      </c>
      <c r="K439" s="6">
        <v>0</v>
      </c>
      <c r="L439" s="6">
        <v>74.23</v>
      </c>
      <c r="M439" s="6">
        <v>74.23</v>
      </c>
      <c r="N439" s="6">
        <v>74.23</v>
      </c>
      <c r="O439" s="6">
        <v>74.23</v>
      </c>
      <c r="P439" s="6">
        <v>0</v>
      </c>
      <c r="Q439" s="4" t="s">
        <v>26</v>
      </c>
      <c r="R439" s="4">
        <v>0</v>
      </c>
      <c r="S439" s="6">
        <v>0</v>
      </c>
      <c r="T439" s="6">
        <v>5</v>
      </c>
      <c r="U439" s="6">
        <v>75</v>
      </c>
      <c r="V439" s="6">
        <f>IF(ISERROR(VLOOKUP($S$439,'TAR FIN'!$A$1:$O$108,15,0)),0,VLOOKUP($S$439,'TAR FIN'!$A$1:$O$108,15,0))</f>
        <v>0</v>
      </c>
      <c r="W439" s="6">
        <f>IF(ISERROR(VLOOKUP($T$439,'TAR FIN'!$A$1:$O$108,15,0)),0,VLOOKUP($T$439,'TAR FIN'!$A$1:$O$108,15,0))</f>
        <v>1454.96</v>
      </c>
      <c r="X439" s="6">
        <f>IF(ISERROR(VLOOKUP($U$439,'TAR FIN'!$A$1:$O$108,15,0)),0,VLOOKUP($U$439,'TAR FIN'!$A$1:$O$108,15,0))</f>
        <v>159.43</v>
      </c>
      <c r="Y439" s="6"/>
      <c r="Z439" s="6">
        <f ca="1">('TUSD BE'!$AM$27+'TUSD BF'!$AM$27+'TUSD CVA'!$AM$27)*1</f>
        <v>1497.8900689999518</v>
      </c>
      <c r="AA439" s="6">
        <f>('TE BE'!$AB$10+'TE BF'!$AB$10+'TE CVA'!$AB$10)*1</f>
        <v>322.12477389224171</v>
      </c>
      <c r="AB439" s="6">
        <f>$K$439*$V$439</f>
        <v>0</v>
      </c>
      <c r="AC439" s="6">
        <f>$M$439*$W$439</f>
        <v>108001.6808</v>
      </c>
      <c r="AD439" s="6">
        <f>$O$439*$X$439</f>
        <v>11834.4889</v>
      </c>
      <c r="AE439" s="6">
        <f>$K$439*$Y$439</f>
        <v>0</v>
      </c>
      <c r="AF439" s="6">
        <f ca="1">$M$439*$Z$439</f>
        <v>111188.37982186643</v>
      </c>
      <c r="AG439" s="6">
        <f>$O$439*$AA$439</f>
        <v>23911.321966021103</v>
      </c>
    </row>
    <row r="440" spans="1:33" ht="11.25" customHeight="1" x14ac:dyDescent="0.25">
      <c r="A440" s="4" t="s">
        <v>28</v>
      </c>
      <c r="B440" s="4" t="s">
        <v>41</v>
      </c>
      <c r="C440" s="4" t="s">
        <v>43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44652</v>
      </c>
      <c r="J440" s="6">
        <v>0</v>
      </c>
      <c r="K440" s="6">
        <v>0</v>
      </c>
      <c r="L440" s="6">
        <v>0.63600000000000001</v>
      </c>
      <c r="M440" s="6">
        <v>0.63600000000000001</v>
      </c>
      <c r="N440" s="6">
        <v>0.63600000000000001</v>
      </c>
      <c r="O440" s="6">
        <v>0.63600000000000001</v>
      </c>
      <c r="P440" s="6">
        <v>0</v>
      </c>
      <c r="Q440" s="4" t="s">
        <v>26</v>
      </c>
      <c r="R440" s="4">
        <v>0</v>
      </c>
      <c r="S440" s="6">
        <v>0</v>
      </c>
      <c r="T440" s="6">
        <v>5</v>
      </c>
      <c r="U440" s="6">
        <v>75</v>
      </c>
      <c r="V440" s="6">
        <f>IF(ISERROR(VLOOKUP($S$440,'TAR FIN'!$A$1:$O$108,15,0)),0,VLOOKUP($S$440,'TAR FIN'!$A$1:$O$108,15,0))</f>
        <v>0</v>
      </c>
      <c r="W440" s="6">
        <f>IF(ISERROR(VLOOKUP($T$440,'TAR FIN'!$A$1:$O$108,15,0)),0,VLOOKUP($T$440,'TAR FIN'!$A$1:$O$108,15,0))</f>
        <v>1454.96</v>
      </c>
      <c r="X440" s="6">
        <f>IF(ISERROR(VLOOKUP($U$440,'TAR FIN'!$A$1:$O$108,15,0)),0,VLOOKUP($U$440,'TAR FIN'!$A$1:$O$108,15,0))</f>
        <v>159.43</v>
      </c>
      <c r="Y440" s="6"/>
      <c r="Z440" s="6">
        <f ca="1">('TUSD BE'!$AM$27+'TUSD BF'!$AM$27+'TUSD CVA'!$AM$27)*1</f>
        <v>1497.8900689999518</v>
      </c>
      <c r="AA440" s="6">
        <f>('TE BE'!$AB$10+'TE BF'!$AB$10+'TE CVA'!$AB$10)*1</f>
        <v>322.12477389224171</v>
      </c>
      <c r="AB440" s="6">
        <f>$K$440*$V$440</f>
        <v>0</v>
      </c>
      <c r="AC440" s="6">
        <f>$M$440*$W$440</f>
        <v>925.35455999999999</v>
      </c>
      <c r="AD440" s="6">
        <f>$O$440*$X$440</f>
        <v>101.39748</v>
      </c>
      <c r="AE440" s="6">
        <f>$K$440*$Y$440</f>
        <v>0</v>
      </c>
      <c r="AF440" s="6">
        <f ca="1">$M$440*$Z$440</f>
        <v>952.65808388396943</v>
      </c>
      <c r="AG440" s="6">
        <f>$O$440*$AA$440</f>
        <v>204.87135619546572</v>
      </c>
    </row>
    <row r="441" spans="1:33" ht="11.25" customHeight="1" x14ac:dyDescent="0.25">
      <c r="A441" s="4" t="s">
        <v>21</v>
      </c>
      <c r="B441" s="4" t="s">
        <v>41</v>
      </c>
      <c r="C441" s="4" t="s">
        <v>43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44682</v>
      </c>
      <c r="J441" s="6">
        <v>0</v>
      </c>
      <c r="K441" s="6">
        <v>0</v>
      </c>
      <c r="L441" s="6">
        <v>78.004999999999995</v>
      </c>
      <c r="M441" s="6">
        <v>78.004999999999995</v>
      </c>
      <c r="N441" s="6">
        <v>78.004999999999995</v>
      </c>
      <c r="O441" s="6">
        <v>78.004999999999995</v>
      </c>
      <c r="P441" s="6">
        <v>0</v>
      </c>
      <c r="Q441" s="4" t="s">
        <v>26</v>
      </c>
      <c r="R441" s="4">
        <v>0</v>
      </c>
      <c r="S441" s="6">
        <v>0</v>
      </c>
      <c r="T441" s="6">
        <v>5</v>
      </c>
      <c r="U441" s="6">
        <v>75</v>
      </c>
      <c r="V441" s="6">
        <f>IF(ISERROR(VLOOKUP($S$441,'TAR FIN'!$A$1:$O$108,15,0)),0,VLOOKUP($S$441,'TAR FIN'!$A$1:$O$108,15,0))</f>
        <v>0</v>
      </c>
      <c r="W441" s="6">
        <f>IF(ISERROR(VLOOKUP($T$441,'TAR FIN'!$A$1:$O$108,15,0)),0,VLOOKUP($T$441,'TAR FIN'!$A$1:$O$108,15,0))</f>
        <v>1454.96</v>
      </c>
      <c r="X441" s="6">
        <f>IF(ISERROR(VLOOKUP($U$441,'TAR FIN'!$A$1:$O$108,15,0)),0,VLOOKUP($U$441,'TAR FIN'!$A$1:$O$108,15,0))</f>
        <v>159.43</v>
      </c>
      <c r="Y441" s="6"/>
      <c r="Z441" s="6">
        <f ca="1">('TUSD BE'!$AM$27+'TUSD BF'!$AM$27+'TUSD CVA'!$AM$27)*1</f>
        <v>1497.8900689999518</v>
      </c>
      <c r="AA441" s="6">
        <f>('TE BE'!$AB$10+'TE BF'!$AB$10+'TE CVA'!$AB$10)*1</f>
        <v>322.12477389224171</v>
      </c>
      <c r="AB441" s="6">
        <f>$K$441*$V$441</f>
        <v>0</v>
      </c>
      <c r="AC441" s="6">
        <f>$M$441*$W$441</f>
        <v>113494.15479999999</v>
      </c>
      <c r="AD441" s="6">
        <f>$O$441*$X$441</f>
        <v>12436.337149999999</v>
      </c>
      <c r="AE441" s="6">
        <f>$K$441*$Y$441</f>
        <v>0</v>
      </c>
      <c r="AF441" s="6">
        <f ca="1">$M$441*$Z$441</f>
        <v>116842.91483234124</v>
      </c>
      <c r="AG441" s="6">
        <f>$O$441*$AA$441</f>
        <v>25127.342987464312</v>
      </c>
    </row>
    <row r="442" spans="1:33" ht="11.25" customHeight="1" x14ac:dyDescent="0.25">
      <c r="A442" s="4" t="s">
        <v>27</v>
      </c>
      <c r="B442" s="4" t="s">
        <v>41</v>
      </c>
      <c r="C442" s="4" t="s">
        <v>43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44682</v>
      </c>
      <c r="J442" s="6">
        <v>0</v>
      </c>
      <c r="K442" s="6">
        <v>0</v>
      </c>
      <c r="L442" s="6">
        <v>8.4109999999999996</v>
      </c>
      <c r="M442" s="6">
        <v>8.4109999999999996</v>
      </c>
      <c r="N442" s="6">
        <v>8.4109999999999996</v>
      </c>
      <c r="O442" s="6">
        <v>8.4109999999999996</v>
      </c>
      <c r="P442" s="6">
        <v>0</v>
      </c>
      <c r="Q442" s="4" t="s">
        <v>26</v>
      </c>
      <c r="R442" s="4">
        <v>0</v>
      </c>
      <c r="S442" s="6">
        <v>0</v>
      </c>
      <c r="T442" s="6">
        <v>5</v>
      </c>
      <c r="U442" s="6">
        <v>75</v>
      </c>
      <c r="V442" s="6">
        <f>IF(ISERROR(VLOOKUP($S$442,'TAR FIN'!$A$1:$O$108,15,0)),0,VLOOKUP($S$442,'TAR FIN'!$A$1:$O$108,15,0))</f>
        <v>0</v>
      </c>
      <c r="W442" s="6">
        <f>IF(ISERROR(VLOOKUP($T$442,'TAR FIN'!$A$1:$O$108,15,0)),0,VLOOKUP($T$442,'TAR FIN'!$A$1:$O$108,15,0))</f>
        <v>1454.96</v>
      </c>
      <c r="X442" s="6">
        <f>IF(ISERROR(VLOOKUP($U$442,'TAR FIN'!$A$1:$O$108,15,0)),0,VLOOKUP($U$442,'TAR FIN'!$A$1:$O$108,15,0))</f>
        <v>159.43</v>
      </c>
      <c r="Y442" s="6"/>
      <c r="Z442" s="6">
        <f ca="1">('TUSD BE'!$AM$27+'TUSD BF'!$AM$27+'TUSD CVA'!$AM$27)*1</f>
        <v>1497.8900689999518</v>
      </c>
      <c r="AA442" s="6">
        <f>('TE BE'!$AB$10+'TE BF'!$AB$10+'TE CVA'!$AB$10)*1</f>
        <v>322.12477389224171</v>
      </c>
      <c r="AB442" s="6">
        <f>$K$442*$V$442</f>
        <v>0</v>
      </c>
      <c r="AC442" s="6">
        <f>$M$442*$W$442</f>
        <v>12237.66856</v>
      </c>
      <c r="AD442" s="6">
        <f>$O$442*$X$442</f>
        <v>1340.9657299999999</v>
      </c>
      <c r="AE442" s="6">
        <f>$K$442*$Y$442</f>
        <v>0</v>
      </c>
      <c r="AF442" s="6">
        <f ca="1">$M$442*$Z$442</f>
        <v>12598.753370358594</v>
      </c>
      <c r="AG442" s="6">
        <f>$O$442*$AA$442</f>
        <v>2709.391473207645</v>
      </c>
    </row>
    <row r="443" spans="1:33" ht="11.25" customHeight="1" x14ac:dyDescent="0.25">
      <c r="A443" s="4" t="s">
        <v>28</v>
      </c>
      <c r="B443" s="4" t="s">
        <v>41</v>
      </c>
      <c r="C443" s="4" t="s">
        <v>43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44682</v>
      </c>
      <c r="J443" s="6">
        <v>0</v>
      </c>
      <c r="K443" s="6">
        <v>0</v>
      </c>
      <c r="L443" s="6">
        <v>0.78900000000000003</v>
      </c>
      <c r="M443" s="6">
        <v>0.78900000000000003</v>
      </c>
      <c r="N443" s="6">
        <v>0.78900000000000003</v>
      </c>
      <c r="O443" s="6">
        <v>0.78900000000000003</v>
      </c>
      <c r="P443" s="6">
        <v>0</v>
      </c>
      <c r="Q443" s="4" t="s">
        <v>26</v>
      </c>
      <c r="R443" s="4">
        <v>0</v>
      </c>
      <c r="S443" s="6">
        <v>0</v>
      </c>
      <c r="T443" s="6">
        <v>5</v>
      </c>
      <c r="U443" s="6">
        <v>75</v>
      </c>
      <c r="V443" s="6">
        <f>IF(ISERROR(VLOOKUP($S$443,'TAR FIN'!$A$1:$O$108,15,0)),0,VLOOKUP($S$443,'TAR FIN'!$A$1:$O$108,15,0))</f>
        <v>0</v>
      </c>
      <c r="W443" s="6">
        <f>IF(ISERROR(VLOOKUP($T$443,'TAR FIN'!$A$1:$O$108,15,0)),0,VLOOKUP($T$443,'TAR FIN'!$A$1:$O$108,15,0))</f>
        <v>1454.96</v>
      </c>
      <c r="X443" s="6">
        <f>IF(ISERROR(VLOOKUP($U$443,'TAR FIN'!$A$1:$O$108,15,0)),0,VLOOKUP($U$443,'TAR FIN'!$A$1:$O$108,15,0))</f>
        <v>159.43</v>
      </c>
      <c r="Y443" s="6"/>
      <c r="Z443" s="6">
        <f ca="1">('TUSD BE'!$AM$27+'TUSD BF'!$AM$27+'TUSD CVA'!$AM$27)*1</f>
        <v>1497.8900689999518</v>
      </c>
      <c r="AA443" s="6">
        <f>('TE BE'!$AB$10+'TE BF'!$AB$10+'TE CVA'!$AB$10)*1</f>
        <v>322.12477389224171</v>
      </c>
      <c r="AB443" s="6">
        <f>$K$443*$V$443</f>
        <v>0</v>
      </c>
      <c r="AC443" s="6">
        <f>$M$443*$W$443</f>
        <v>1147.96344</v>
      </c>
      <c r="AD443" s="6">
        <f>$O$443*$X$443</f>
        <v>125.79027000000001</v>
      </c>
      <c r="AE443" s="6">
        <f>$K$443*$Y$443</f>
        <v>0</v>
      </c>
      <c r="AF443" s="6">
        <f ca="1">$M$443*$Z$443</f>
        <v>1181.835264440962</v>
      </c>
      <c r="AG443" s="6">
        <f>$O$443*$AA$443</f>
        <v>254.15644660097871</v>
      </c>
    </row>
    <row r="444" spans="1:33" ht="11.25" customHeight="1" x14ac:dyDescent="0.25">
      <c r="A444" s="4" t="s">
        <v>21</v>
      </c>
      <c r="B444" s="4" t="s">
        <v>41</v>
      </c>
      <c r="C444" s="4" t="s">
        <v>43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44713</v>
      </c>
      <c r="J444" s="6">
        <v>0</v>
      </c>
      <c r="K444" s="6">
        <v>0</v>
      </c>
      <c r="L444" s="6">
        <v>324.58499999999998</v>
      </c>
      <c r="M444" s="6">
        <v>324.58499999999998</v>
      </c>
      <c r="N444" s="6">
        <v>324.58499999999998</v>
      </c>
      <c r="O444" s="6">
        <v>324.58499999999998</v>
      </c>
      <c r="P444" s="6">
        <v>0</v>
      </c>
      <c r="Q444" s="4" t="s">
        <v>26</v>
      </c>
      <c r="R444" s="4">
        <v>0</v>
      </c>
      <c r="S444" s="6">
        <v>0</v>
      </c>
      <c r="T444" s="6">
        <v>5</v>
      </c>
      <c r="U444" s="6">
        <v>75</v>
      </c>
      <c r="V444" s="6">
        <f>IF(ISERROR(VLOOKUP($S$444,'TAR FIN'!$A$1:$O$108,15,0)),0,VLOOKUP($S$444,'TAR FIN'!$A$1:$O$108,15,0))</f>
        <v>0</v>
      </c>
      <c r="W444" s="6">
        <f>IF(ISERROR(VLOOKUP($T$444,'TAR FIN'!$A$1:$O$108,15,0)),0,VLOOKUP($T$444,'TAR FIN'!$A$1:$O$108,15,0))</f>
        <v>1454.96</v>
      </c>
      <c r="X444" s="6">
        <f>IF(ISERROR(VLOOKUP($U$444,'TAR FIN'!$A$1:$O$108,15,0)),0,VLOOKUP($U$444,'TAR FIN'!$A$1:$O$108,15,0))</f>
        <v>159.43</v>
      </c>
      <c r="Y444" s="6"/>
      <c r="Z444" s="6">
        <f ca="1">('TUSD BE'!$AM$27+'TUSD BF'!$AM$27+'TUSD CVA'!$AM$27)*1</f>
        <v>1497.8900689999518</v>
      </c>
      <c r="AA444" s="6">
        <f>('TE BE'!$AB$10+'TE BF'!$AB$10+'TE CVA'!$AB$10)*1</f>
        <v>322.12477389224171</v>
      </c>
      <c r="AB444" s="6">
        <f>$K$444*$V$444</f>
        <v>0</v>
      </c>
      <c r="AC444" s="6">
        <f>$M$444*$W$444</f>
        <v>472258.19159999996</v>
      </c>
      <c r="AD444" s="6">
        <f>$O$444*$X$444</f>
        <v>51748.58655</v>
      </c>
      <c r="AE444" s="6">
        <f>$K$444*$Y$444</f>
        <v>0</v>
      </c>
      <c r="AF444" s="6">
        <f ca="1">$M$444*$Z$444</f>
        <v>486192.64804634935</v>
      </c>
      <c r="AG444" s="6">
        <f>$O$444*$AA$444</f>
        <v>104556.86973381326</v>
      </c>
    </row>
    <row r="445" spans="1:33" ht="11.25" customHeight="1" x14ac:dyDescent="0.25">
      <c r="A445" s="4" t="s">
        <v>28</v>
      </c>
      <c r="B445" s="4" t="s">
        <v>41</v>
      </c>
      <c r="C445" s="4" t="s">
        <v>43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44713</v>
      </c>
      <c r="J445" s="6">
        <v>0</v>
      </c>
      <c r="K445" s="6">
        <v>0</v>
      </c>
      <c r="L445" s="6">
        <v>0.68600000000000005</v>
      </c>
      <c r="M445" s="6">
        <v>0.68600000000000005</v>
      </c>
      <c r="N445" s="6">
        <v>0.68600000000000005</v>
      </c>
      <c r="O445" s="6">
        <v>0.68600000000000005</v>
      </c>
      <c r="P445" s="6">
        <v>0</v>
      </c>
      <c r="Q445" s="4" t="s">
        <v>26</v>
      </c>
      <c r="R445" s="4">
        <v>0</v>
      </c>
      <c r="S445" s="6">
        <v>0</v>
      </c>
      <c r="T445" s="6">
        <v>5</v>
      </c>
      <c r="U445" s="6">
        <v>75</v>
      </c>
      <c r="V445" s="6">
        <f>IF(ISERROR(VLOOKUP($S$445,'TAR FIN'!$A$1:$O$108,15,0)),0,VLOOKUP($S$445,'TAR FIN'!$A$1:$O$108,15,0))</f>
        <v>0</v>
      </c>
      <c r="W445" s="6">
        <f>IF(ISERROR(VLOOKUP($T$445,'TAR FIN'!$A$1:$O$108,15,0)),0,VLOOKUP($T$445,'TAR FIN'!$A$1:$O$108,15,0))</f>
        <v>1454.96</v>
      </c>
      <c r="X445" s="6">
        <f>IF(ISERROR(VLOOKUP($U$445,'TAR FIN'!$A$1:$O$108,15,0)),0,VLOOKUP($U$445,'TAR FIN'!$A$1:$O$108,15,0))</f>
        <v>159.43</v>
      </c>
      <c r="Y445" s="6"/>
      <c r="Z445" s="6">
        <f ca="1">('TUSD BE'!$AM$27+'TUSD BF'!$AM$27+'TUSD CVA'!$AM$27)*1</f>
        <v>1497.8900689999518</v>
      </c>
      <c r="AA445" s="6">
        <f>('TE BE'!$AB$10+'TE BF'!$AB$10+'TE CVA'!$AB$10)*1</f>
        <v>322.12477389224171</v>
      </c>
      <c r="AB445" s="6">
        <f>$K$445*$V$445</f>
        <v>0</v>
      </c>
      <c r="AC445" s="6">
        <f>$M$445*$W$445</f>
        <v>998.10256000000015</v>
      </c>
      <c r="AD445" s="6">
        <f>$O$445*$X$445</f>
        <v>109.36898000000001</v>
      </c>
      <c r="AE445" s="6">
        <f>$K$445*$Y$445</f>
        <v>0</v>
      </c>
      <c r="AF445" s="6">
        <f ca="1">$M$445*$Z$445</f>
        <v>1027.552587333967</v>
      </c>
      <c r="AG445" s="6">
        <f>$O$445*$AA$445</f>
        <v>220.97759489007782</v>
      </c>
    </row>
    <row r="446" spans="1:33" ht="11.25" customHeight="1" x14ac:dyDescent="0.25">
      <c r="A446" s="4" t="s">
        <v>21</v>
      </c>
      <c r="B446" s="4" t="s">
        <v>41</v>
      </c>
      <c r="C446" s="4" t="s">
        <v>43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44743</v>
      </c>
      <c r="J446" s="6">
        <v>0</v>
      </c>
      <c r="K446" s="6">
        <v>0</v>
      </c>
      <c r="L446" s="6">
        <v>82.054000000000002</v>
      </c>
      <c r="M446" s="6">
        <v>82.054000000000002</v>
      </c>
      <c r="N446" s="6">
        <v>82.054000000000002</v>
      </c>
      <c r="O446" s="6">
        <v>82.054000000000002</v>
      </c>
      <c r="P446" s="6">
        <v>0</v>
      </c>
      <c r="Q446" s="4" t="s">
        <v>26</v>
      </c>
      <c r="R446" s="4">
        <v>0</v>
      </c>
      <c r="S446" s="6">
        <v>0</v>
      </c>
      <c r="T446" s="6">
        <v>5</v>
      </c>
      <c r="U446" s="6">
        <v>75</v>
      </c>
      <c r="V446" s="6">
        <f>IF(ISERROR(VLOOKUP($S$446,'TAR FIN'!$A$1:$O$108,15,0)),0,VLOOKUP($S$446,'TAR FIN'!$A$1:$O$108,15,0))</f>
        <v>0</v>
      </c>
      <c r="W446" s="6">
        <f>IF(ISERROR(VLOOKUP($T$446,'TAR FIN'!$A$1:$O$108,15,0)),0,VLOOKUP($T$446,'TAR FIN'!$A$1:$O$108,15,0))</f>
        <v>1454.96</v>
      </c>
      <c r="X446" s="6">
        <f>IF(ISERROR(VLOOKUP($U$446,'TAR FIN'!$A$1:$O$108,15,0)),0,VLOOKUP($U$446,'TAR FIN'!$A$1:$O$108,15,0))</f>
        <v>159.43</v>
      </c>
      <c r="Y446" s="6"/>
      <c r="Z446" s="6">
        <f ca="1">('TUSD BE'!$AM$27+'TUSD BF'!$AM$27+'TUSD CVA'!$AM$27)*1</f>
        <v>1497.8900689999518</v>
      </c>
      <c r="AA446" s="6">
        <f>('TE BE'!$AB$10+'TE BF'!$AB$10+'TE CVA'!$AB$10)*1</f>
        <v>322.12477389224171</v>
      </c>
      <c r="AB446" s="6">
        <f>$K$446*$V$446</f>
        <v>0</v>
      </c>
      <c r="AC446" s="6">
        <f>$M$446*$W$446</f>
        <v>119385.28784</v>
      </c>
      <c r="AD446" s="6">
        <f>$O$446*$X$446</f>
        <v>13081.86922</v>
      </c>
      <c r="AE446" s="6">
        <f>$K$446*$Y$446</f>
        <v>0</v>
      </c>
      <c r="AF446" s="6">
        <f ca="1">$M$446*$Z$446</f>
        <v>122907.87172172205</v>
      </c>
      <c r="AG446" s="6">
        <f>$O$446*$AA$446</f>
        <v>26431.626196954003</v>
      </c>
    </row>
    <row r="447" spans="1:33" ht="11.25" customHeight="1" x14ac:dyDescent="0.25">
      <c r="A447" s="4" t="s">
        <v>28</v>
      </c>
      <c r="B447" s="4" t="s">
        <v>41</v>
      </c>
      <c r="C447" s="4" t="s">
        <v>43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44743</v>
      </c>
      <c r="J447" s="6">
        <v>0</v>
      </c>
      <c r="K447" s="6">
        <v>0</v>
      </c>
      <c r="L447" s="6">
        <v>0.65</v>
      </c>
      <c r="M447" s="6">
        <v>0.65</v>
      </c>
      <c r="N447" s="6">
        <v>0.65</v>
      </c>
      <c r="O447" s="6">
        <v>0.65</v>
      </c>
      <c r="P447" s="6">
        <v>0</v>
      </c>
      <c r="Q447" s="4" t="s">
        <v>26</v>
      </c>
      <c r="R447" s="4">
        <v>0</v>
      </c>
      <c r="S447" s="6">
        <v>0</v>
      </c>
      <c r="T447" s="6">
        <v>5</v>
      </c>
      <c r="U447" s="6">
        <v>75</v>
      </c>
      <c r="V447" s="6">
        <f>IF(ISERROR(VLOOKUP($S$447,'TAR FIN'!$A$1:$O$108,15,0)),0,VLOOKUP($S$447,'TAR FIN'!$A$1:$O$108,15,0))</f>
        <v>0</v>
      </c>
      <c r="W447" s="6">
        <f>IF(ISERROR(VLOOKUP($T$447,'TAR FIN'!$A$1:$O$108,15,0)),0,VLOOKUP($T$447,'TAR FIN'!$A$1:$O$108,15,0))</f>
        <v>1454.96</v>
      </c>
      <c r="X447" s="6">
        <f>IF(ISERROR(VLOOKUP($U$447,'TAR FIN'!$A$1:$O$108,15,0)),0,VLOOKUP($U$447,'TAR FIN'!$A$1:$O$108,15,0))</f>
        <v>159.43</v>
      </c>
      <c r="Y447" s="6"/>
      <c r="Z447" s="6">
        <f ca="1">('TUSD BE'!$AM$27+'TUSD BF'!$AM$27+'TUSD CVA'!$AM$27)*1</f>
        <v>1497.8900689999518</v>
      </c>
      <c r="AA447" s="6">
        <f>('TE BE'!$AB$10+'TE BF'!$AB$10+'TE CVA'!$AB$10)*1</f>
        <v>322.12477389224171</v>
      </c>
      <c r="AB447" s="6">
        <f>$K$447*$V$447</f>
        <v>0</v>
      </c>
      <c r="AC447" s="6">
        <f>$M$447*$W$447</f>
        <v>945.72400000000005</v>
      </c>
      <c r="AD447" s="6">
        <f>$O$447*$X$447</f>
        <v>103.62950000000001</v>
      </c>
      <c r="AE447" s="6">
        <f>$K$447*$Y$447</f>
        <v>0</v>
      </c>
      <c r="AF447" s="6">
        <f ca="1">$M$447*$Z$447</f>
        <v>973.62854484996876</v>
      </c>
      <c r="AG447" s="6">
        <f>$O$447*$AA$447</f>
        <v>209.3811030299571</v>
      </c>
    </row>
    <row r="448" spans="1:33" ht="11.25" customHeight="1" x14ac:dyDescent="0.25">
      <c r="A448" s="4" t="s">
        <v>21</v>
      </c>
      <c r="B448" s="4" t="s">
        <v>41</v>
      </c>
      <c r="C448" s="4" t="s">
        <v>43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44774</v>
      </c>
      <c r="J448" s="6">
        <v>0</v>
      </c>
      <c r="K448" s="6">
        <v>0</v>
      </c>
      <c r="L448" s="6">
        <v>100.376</v>
      </c>
      <c r="M448" s="6">
        <v>100.376</v>
      </c>
      <c r="N448" s="6">
        <v>100.376</v>
      </c>
      <c r="O448" s="6">
        <v>100.376</v>
      </c>
      <c r="P448" s="6">
        <v>0</v>
      </c>
      <c r="Q448" s="4" t="s">
        <v>26</v>
      </c>
      <c r="R448" s="4">
        <v>0</v>
      </c>
      <c r="S448" s="6">
        <v>0</v>
      </c>
      <c r="T448" s="6">
        <v>5</v>
      </c>
      <c r="U448" s="6">
        <v>75</v>
      </c>
      <c r="V448" s="6">
        <f>IF(ISERROR(VLOOKUP($S$448,'TAR FIN'!$A$1:$O$108,15,0)),0,VLOOKUP($S$448,'TAR FIN'!$A$1:$O$108,15,0))</f>
        <v>0</v>
      </c>
      <c r="W448" s="6">
        <f>IF(ISERROR(VLOOKUP($T$448,'TAR FIN'!$A$1:$O$108,15,0)),0,VLOOKUP($T$448,'TAR FIN'!$A$1:$O$108,15,0))</f>
        <v>1454.96</v>
      </c>
      <c r="X448" s="6">
        <f>IF(ISERROR(VLOOKUP($U$448,'TAR FIN'!$A$1:$O$108,15,0)),0,VLOOKUP($U$448,'TAR FIN'!$A$1:$O$108,15,0))</f>
        <v>159.43</v>
      </c>
      <c r="Y448" s="6"/>
      <c r="Z448" s="6">
        <f ca="1">('TUSD BE'!$AM$27+'TUSD BF'!$AM$27+'TUSD CVA'!$AM$27)*1</f>
        <v>1497.8900689999518</v>
      </c>
      <c r="AA448" s="6">
        <f>('TE BE'!$AB$10+'TE BF'!$AB$10+'TE CVA'!$AB$10)*1</f>
        <v>322.12477389224171</v>
      </c>
      <c r="AB448" s="6">
        <f>$K$448*$V$448</f>
        <v>0</v>
      </c>
      <c r="AC448" s="6">
        <f>$M$448*$W$448</f>
        <v>146043.06496000002</v>
      </c>
      <c r="AD448" s="6">
        <f>$O$448*$X$448</f>
        <v>16002.945680000001</v>
      </c>
      <c r="AE448" s="6">
        <f>$K$448*$Y$448</f>
        <v>0</v>
      </c>
      <c r="AF448" s="6">
        <f ca="1">$M$448*$Z$448</f>
        <v>150352.21356593916</v>
      </c>
      <c r="AG448" s="6">
        <f>$O$448*$AA$448</f>
        <v>32333.596304207655</v>
      </c>
    </row>
    <row r="449" spans="1:33" ht="11.25" customHeight="1" x14ac:dyDescent="0.25">
      <c r="A449" s="4" t="s">
        <v>28</v>
      </c>
      <c r="B449" s="4" t="s">
        <v>41</v>
      </c>
      <c r="C449" s="4" t="s">
        <v>43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44774</v>
      </c>
      <c r="J449" s="6">
        <v>0</v>
      </c>
      <c r="K449" s="6">
        <v>0</v>
      </c>
      <c r="L449" s="6">
        <v>0.78</v>
      </c>
      <c r="M449" s="6">
        <v>0.78</v>
      </c>
      <c r="N449" s="6">
        <v>0.78</v>
      </c>
      <c r="O449" s="6">
        <v>0.78</v>
      </c>
      <c r="P449" s="6">
        <v>0</v>
      </c>
      <c r="Q449" s="4" t="s">
        <v>26</v>
      </c>
      <c r="R449" s="4">
        <v>0</v>
      </c>
      <c r="S449" s="6">
        <v>0</v>
      </c>
      <c r="T449" s="6">
        <v>5</v>
      </c>
      <c r="U449" s="6">
        <v>75</v>
      </c>
      <c r="V449" s="6">
        <f>IF(ISERROR(VLOOKUP($S$449,'TAR FIN'!$A$1:$O$108,15,0)),0,VLOOKUP($S$449,'TAR FIN'!$A$1:$O$108,15,0))</f>
        <v>0</v>
      </c>
      <c r="W449" s="6">
        <f>IF(ISERROR(VLOOKUP($T$449,'TAR FIN'!$A$1:$O$108,15,0)),0,VLOOKUP($T$449,'TAR FIN'!$A$1:$O$108,15,0))</f>
        <v>1454.96</v>
      </c>
      <c r="X449" s="6">
        <f>IF(ISERROR(VLOOKUP($U$449,'TAR FIN'!$A$1:$O$108,15,0)),0,VLOOKUP($U$449,'TAR FIN'!$A$1:$O$108,15,0))</f>
        <v>159.43</v>
      </c>
      <c r="Y449" s="6"/>
      <c r="Z449" s="6">
        <f ca="1">('TUSD BE'!$AM$27+'TUSD BF'!$AM$27+'TUSD CVA'!$AM$27)*1</f>
        <v>1497.8900689999518</v>
      </c>
      <c r="AA449" s="6">
        <f>('TE BE'!$AB$10+'TE BF'!$AB$10+'TE CVA'!$AB$10)*1</f>
        <v>322.12477389224171</v>
      </c>
      <c r="AB449" s="6">
        <f>$K$449*$V$449</f>
        <v>0</v>
      </c>
      <c r="AC449" s="6">
        <f>$M$449*$W$449</f>
        <v>1134.8688</v>
      </c>
      <c r="AD449" s="6">
        <f>$O$449*$X$449</f>
        <v>124.3554</v>
      </c>
      <c r="AE449" s="6">
        <f>$K$449*$Y$449</f>
        <v>0</v>
      </c>
      <c r="AF449" s="6">
        <f ca="1">$M$449*$Z$449</f>
        <v>1168.3542538199624</v>
      </c>
      <c r="AG449" s="6">
        <f>$O$449*$AA$449</f>
        <v>251.25732363594855</v>
      </c>
    </row>
    <row r="450" spans="1:33" ht="11.25" customHeight="1" x14ac:dyDescent="0.25">
      <c r="A450" s="4" t="s">
        <v>21</v>
      </c>
      <c r="B450" s="4" t="s">
        <v>41</v>
      </c>
      <c r="C450" s="4" t="s">
        <v>43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44805</v>
      </c>
      <c r="J450" s="6">
        <v>0</v>
      </c>
      <c r="K450" s="6">
        <v>0</v>
      </c>
      <c r="L450" s="6">
        <v>93.033000000000001</v>
      </c>
      <c r="M450" s="6">
        <v>93.033000000000001</v>
      </c>
      <c r="N450" s="6">
        <v>93.033000000000001</v>
      </c>
      <c r="O450" s="6">
        <v>93.033000000000001</v>
      </c>
      <c r="P450" s="6">
        <v>0</v>
      </c>
      <c r="Q450" s="4" t="s">
        <v>26</v>
      </c>
      <c r="R450" s="4">
        <v>0</v>
      </c>
      <c r="S450" s="6">
        <v>0</v>
      </c>
      <c r="T450" s="6">
        <v>5</v>
      </c>
      <c r="U450" s="6">
        <v>75</v>
      </c>
      <c r="V450" s="6">
        <f>IF(ISERROR(VLOOKUP($S$450,'TAR FIN'!$A$1:$O$108,15,0)),0,VLOOKUP($S$450,'TAR FIN'!$A$1:$O$108,15,0))</f>
        <v>0</v>
      </c>
      <c r="W450" s="6">
        <f>IF(ISERROR(VLOOKUP($T$450,'TAR FIN'!$A$1:$O$108,15,0)),0,VLOOKUP($T$450,'TAR FIN'!$A$1:$O$108,15,0))</f>
        <v>1454.96</v>
      </c>
      <c r="X450" s="6">
        <f>IF(ISERROR(VLOOKUP($U$450,'TAR FIN'!$A$1:$O$108,15,0)),0,VLOOKUP($U$450,'TAR FIN'!$A$1:$O$108,15,0))</f>
        <v>159.43</v>
      </c>
      <c r="Y450" s="6"/>
      <c r="Z450" s="6">
        <f ca="1">('TUSD BE'!$AM$27+'TUSD BF'!$AM$27+'TUSD CVA'!$AM$27)*1</f>
        <v>1497.8900689999518</v>
      </c>
      <c r="AA450" s="6">
        <f>('TE BE'!$AB$10+'TE BF'!$AB$10+'TE CVA'!$AB$10)*1</f>
        <v>322.12477389224171</v>
      </c>
      <c r="AB450" s="6">
        <f>$K$450*$V$450</f>
        <v>0</v>
      </c>
      <c r="AC450" s="6">
        <f>$M$450*$W$450</f>
        <v>135359.29368</v>
      </c>
      <c r="AD450" s="6">
        <f>$O$450*$X$450</f>
        <v>14832.251190000001</v>
      </c>
      <c r="AE450" s="6">
        <f>$K$450*$Y$450</f>
        <v>0</v>
      </c>
      <c r="AF450" s="6">
        <f ca="1">$M$450*$Z$450</f>
        <v>139353.20678927252</v>
      </c>
      <c r="AG450" s="6">
        <f>$O$450*$AA$450</f>
        <v>29968.234089516922</v>
      </c>
    </row>
    <row r="451" spans="1:33" ht="11.25" customHeight="1" x14ac:dyDescent="0.25">
      <c r="A451" s="4" t="s">
        <v>28</v>
      </c>
      <c r="B451" s="4" t="s">
        <v>41</v>
      </c>
      <c r="C451" s="4" t="s">
        <v>43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44805</v>
      </c>
      <c r="J451" s="6">
        <v>0</v>
      </c>
      <c r="K451" s="6">
        <v>0</v>
      </c>
      <c r="L451" s="6">
        <v>0.66</v>
      </c>
      <c r="M451" s="6">
        <v>0.66</v>
      </c>
      <c r="N451" s="6">
        <v>0.66</v>
      </c>
      <c r="O451" s="6">
        <v>0.66</v>
      </c>
      <c r="P451" s="6">
        <v>0</v>
      </c>
      <c r="Q451" s="4" t="s">
        <v>26</v>
      </c>
      <c r="R451" s="4">
        <v>0</v>
      </c>
      <c r="S451" s="6">
        <v>0</v>
      </c>
      <c r="T451" s="6">
        <v>5</v>
      </c>
      <c r="U451" s="6">
        <v>75</v>
      </c>
      <c r="V451" s="6">
        <f>IF(ISERROR(VLOOKUP($S$451,'TAR FIN'!$A$1:$O$108,15,0)),0,VLOOKUP($S$451,'TAR FIN'!$A$1:$O$108,15,0))</f>
        <v>0</v>
      </c>
      <c r="W451" s="6">
        <f>IF(ISERROR(VLOOKUP($T$451,'TAR FIN'!$A$1:$O$108,15,0)),0,VLOOKUP($T$451,'TAR FIN'!$A$1:$O$108,15,0))</f>
        <v>1454.96</v>
      </c>
      <c r="X451" s="6">
        <f>IF(ISERROR(VLOOKUP($U$451,'TAR FIN'!$A$1:$O$108,15,0)),0,VLOOKUP($U$451,'TAR FIN'!$A$1:$O$108,15,0))</f>
        <v>159.43</v>
      </c>
      <c r="Y451" s="6"/>
      <c r="Z451" s="6">
        <f ca="1">('TUSD BE'!$AM$27+'TUSD BF'!$AM$27+'TUSD CVA'!$AM$27)*1</f>
        <v>1497.8900689999518</v>
      </c>
      <c r="AA451" s="6">
        <f>('TE BE'!$AB$10+'TE BF'!$AB$10+'TE CVA'!$AB$10)*1</f>
        <v>322.12477389224171</v>
      </c>
      <c r="AB451" s="6">
        <f>$K$451*$V$451</f>
        <v>0</v>
      </c>
      <c r="AC451" s="6">
        <f>$M$451*$W$451</f>
        <v>960.2736000000001</v>
      </c>
      <c r="AD451" s="6">
        <f>$O$451*$X$451</f>
        <v>105.22380000000001</v>
      </c>
      <c r="AE451" s="6">
        <f>$K$451*$Y$451</f>
        <v>0</v>
      </c>
      <c r="AF451" s="6">
        <f ca="1">$M$451*$Z$451</f>
        <v>988.60744553996824</v>
      </c>
      <c r="AG451" s="6">
        <f>$O$451*$AA$451</f>
        <v>212.60235076887955</v>
      </c>
    </row>
    <row r="452" spans="1:33" ht="11.25" customHeight="1" x14ac:dyDescent="0.25">
      <c r="A452" s="4" t="s">
        <v>21</v>
      </c>
      <c r="B452" s="4" t="s">
        <v>41</v>
      </c>
      <c r="C452" s="4" t="s">
        <v>43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44835</v>
      </c>
      <c r="J452" s="6">
        <v>0</v>
      </c>
      <c r="K452" s="6">
        <v>0</v>
      </c>
      <c r="L452" s="6">
        <v>83.108999999999995</v>
      </c>
      <c r="M452" s="6">
        <v>83.108999999999995</v>
      </c>
      <c r="N452" s="6">
        <v>83.108999999999995</v>
      </c>
      <c r="O452" s="6">
        <v>83.108999999999995</v>
      </c>
      <c r="P452" s="6">
        <v>0</v>
      </c>
      <c r="Q452" s="4" t="s">
        <v>26</v>
      </c>
      <c r="R452" s="4">
        <v>0</v>
      </c>
      <c r="S452" s="6">
        <v>0</v>
      </c>
      <c r="T452" s="6">
        <v>5</v>
      </c>
      <c r="U452" s="6">
        <v>75</v>
      </c>
      <c r="V452" s="6">
        <f>IF(ISERROR(VLOOKUP($S$452,'TAR FIN'!$A$1:$O$108,15,0)),0,VLOOKUP($S$452,'TAR FIN'!$A$1:$O$108,15,0))</f>
        <v>0</v>
      </c>
      <c r="W452" s="6">
        <f>IF(ISERROR(VLOOKUP($T$452,'TAR FIN'!$A$1:$O$108,15,0)),0,VLOOKUP($T$452,'TAR FIN'!$A$1:$O$108,15,0))</f>
        <v>1454.96</v>
      </c>
      <c r="X452" s="6">
        <f>IF(ISERROR(VLOOKUP($U$452,'TAR FIN'!$A$1:$O$108,15,0)),0,VLOOKUP($U$452,'TAR FIN'!$A$1:$O$108,15,0))</f>
        <v>159.43</v>
      </c>
      <c r="Y452" s="6"/>
      <c r="Z452" s="6">
        <f ca="1">('TUSD BE'!$AM$27+'TUSD BF'!$AM$27+'TUSD CVA'!$AM$27)*1</f>
        <v>1497.8900689999518</v>
      </c>
      <c r="AA452" s="6">
        <f>('TE BE'!$AB$10+'TE BF'!$AB$10+'TE CVA'!$AB$10)*1</f>
        <v>322.12477389224171</v>
      </c>
      <c r="AB452" s="6">
        <f>$K$452*$V$452</f>
        <v>0</v>
      </c>
      <c r="AC452" s="6">
        <f>$M$452*$W$452</f>
        <v>120920.27064</v>
      </c>
      <c r="AD452" s="6">
        <f>$O$452*$X$452</f>
        <v>13250.067869999999</v>
      </c>
      <c r="AE452" s="6">
        <f>$K$452*$Y$452</f>
        <v>0</v>
      </c>
      <c r="AF452" s="6">
        <f ca="1">$M$452*$Z$452</f>
        <v>124488.14574451699</v>
      </c>
      <c r="AG452" s="6">
        <f>$O$452*$AA$452</f>
        <v>26771.467833410316</v>
      </c>
    </row>
    <row r="453" spans="1:33" ht="11.25" customHeight="1" x14ac:dyDescent="0.25">
      <c r="A453" s="4" t="s">
        <v>27</v>
      </c>
      <c r="B453" s="4" t="s">
        <v>41</v>
      </c>
      <c r="C453" s="4" t="s">
        <v>43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44835</v>
      </c>
      <c r="J453" s="6">
        <v>0</v>
      </c>
      <c r="K453" s="6">
        <v>0</v>
      </c>
      <c r="L453" s="6">
        <v>-3.516</v>
      </c>
      <c r="M453" s="6">
        <v>-3.516</v>
      </c>
      <c r="N453" s="6">
        <v>-3.516</v>
      </c>
      <c r="O453" s="6">
        <v>-3.516</v>
      </c>
      <c r="P453" s="6">
        <v>0</v>
      </c>
      <c r="Q453" s="4" t="s">
        <v>26</v>
      </c>
      <c r="R453" s="4">
        <v>0</v>
      </c>
      <c r="S453" s="6">
        <v>0</v>
      </c>
      <c r="T453" s="6">
        <v>5</v>
      </c>
      <c r="U453" s="6">
        <v>75</v>
      </c>
      <c r="V453" s="6">
        <f>IF(ISERROR(VLOOKUP($S$453,'TAR FIN'!$A$1:$O$108,15,0)),0,VLOOKUP($S$453,'TAR FIN'!$A$1:$O$108,15,0))</f>
        <v>0</v>
      </c>
      <c r="W453" s="6">
        <f>IF(ISERROR(VLOOKUP($T$453,'TAR FIN'!$A$1:$O$108,15,0)),0,VLOOKUP($T$453,'TAR FIN'!$A$1:$O$108,15,0))</f>
        <v>1454.96</v>
      </c>
      <c r="X453" s="6">
        <f>IF(ISERROR(VLOOKUP($U$453,'TAR FIN'!$A$1:$O$108,15,0)),0,VLOOKUP($U$453,'TAR FIN'!$A$1:$O$108,15,0))</f>
        <v>159.43</v>
      </c>
      <c r="Y453" s="6"/>
      <c r="Z453" s="6">
        <f ca="1">('TUSD BE'!$AM$27+'TUSD BF'!$AM$27+'TUSD CVA'!$AM$27)*1</f>
        <v>1497.8900689999518</v>
      </c>
      <c r="AA453" s="6">
        <f>('TE BE'!$AB$10+'TE BF'!$AB$10+'TE CVA'!$AB$10)*1</f>
        <v>322.12477389224171</v>
      </c>
      <c r="AB453" s="6">
        <f>$K$453*$V$453</f>
        <v>0</v>
      </c>
      <c r="AC453" s="6">
        <f>$M$453*$W$453</f>
        <v>-5115.6393600000001</v>
      </c>
      <c r="AD453" s="6">
        <f>$O$453*$X$453</f>
        <v>-560.55588</v>
      </c>
      <c r="AE453" s="6">
        <f>$K$453*$Y$453</f>
        <v>0</v>
      </c>
      <c r="AF453" s="6">
        <f ca="1">$M$453*$Z$453</f>
        <v>-5266.5814826038304</v>
      </c>
      <c r="AG453" s="6">
        <f>$O$453*$AA$453</f>
        <v>-1132.5907050051219</v>
      </c>
    </row>
    <row r="454" spans="1:33" ht="11.25" customHeight="1" x14ac:dyDescent="0.25">
      <c r="A454" s="4" t="s">
        <v>28</v>
      </c>
      <c r="B454" s="4" t="s">
        <v>41</v>
      </c>
      <c r="C454" s="4" t="s">
        <v>43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34</v>
      </c>
      <c r="I454" s="5">
        <v>44835</v>
      </c>
      <c r="J454" s="6">
        <v>0</v>
      </c>
      <c r="K454" s="6">
        <v>0</v>
      </c>
      <c r="L454" s="6">
        <v>0.60699999999999998</v>
      </c>
      <c r="M454" s="6">
        <v>0.60699999999999998</v>
      </c>
      <c r="N454" s="6">
        <v>0.60699999999999998</v>
      </c>
      <c r="O454" s="6">
        <v>0.60699999999999998</v>
      </c>
      <c r="P454" s="6">
        <v>0</v>
      </c>
      <c r="Q454" s="4" t="s">
        <v>26</v>
      </c>
      <c r="R454" s="4">
        <v>0</v>
      </c>
      <c r="S454" s="6">
        <v>0</v>
      </c>
      <c r="T454" s="6">
        <v>5</v>
      </c>
      <c r="U454" s="6">
        <v>75</v>
      </c>
      <c r="V454" s="6">
        <f>IF(ISERROR(VLOOKUP($S$454,'TAR FIN'!$A$1:$O$108,15,0)),0,VLOOKUP($S$454,'TAR FIN'!$A$1:$O$108,15,0))</f>
        <v>0</v>
      </c>
      <c r="W454" s="6">
        <f>IF(ISERROR(VLOOKUP($T$454,'TAR FIN'!$A$1:$O$108,15,0)),0,VLOOKUP($T$454,'TAR FIN'!$A$1:$O$108,15,0))</f>
        <v>1454.96</v>
      </c>
      <c r="X454" s="6">
        <f>IF(ISERROR(VLOOKUP($U$454,'TAR FIN'!$A$1:$O$108,15,0)),0,VLOOKUP($U$454,'TAR FIN'!$A$1:$O$108,15,0))</f>
        <v>159.43</v>
      </c>
      <c r="Y454" s="6"/>
      <c r="Z454" s="6">
        <f ca="1">('TUSD BE'!$AM$27+'TUSD BF'!$AM$27+'TUSD CVA'!$AM$27)*1</f>
        <v>1497.8900689999518</v>
      </c>
      <c r="AA454" s="6">
        <f>('TE BE'!$AB$10+'TE BF'!$AB$10+'TE CVA'!$AB$10)*1</f>
        <v>322.12477389224171</v>
      </c>
      <c r="AB454" s="6">
        <f>$K$454*$V$454</f>
        <v>0</v>
      </c>
      <c r="AC454" s="6">
        <f>$M$454*$W$454</f>
        <v>883.16071999999997</v>
      </c>
      <c r="AD454" s="6">
        <f>$O$454*$X$454</f>
        <v>96.774010000000004</v>
      </c>
      <c r="AE454" s="6">
        <f>$K$454*$Y$454</f>
        <v>0</v>
      </c>
      <c r="AF454" s="6">
        <f ca="1">$M$454*$Z$454</f>
        <v>909.2192718829707</v>
      </c>
      <c r="AG454" s="6">
        <f>$O$454*$AA$454</f>
        <v>195.52973775259071</v>
      </c>
    </row>
    <row r="455" spans="1:33" ht="11.25" customHeight="1" x14ac:dyDescent="0.25">
      <c r="A455" s="4" t="s">
        <v>54</v>
      </c>
      <c r="B455" s="4" t="s">
        <v>41</v>
      </c>
      <c r="C455" s="4" t="s">
        <v>43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34</v>
      </c>
      <c r="I455" s="5">
        <v>44866</v>
      </c>
      <c r="J455" s="6">
        <v>0</v>
      </c>
      <c r="K455" s="6">
        <v>0</v>
      </c>
      <c r="L455" s="6">
        <v>83.108999999999995</v>
      </c>
      <c r="M455" s="6">
        <v>83.108999999999995</v>
      </c>
      <c r="N455" s="6">
        <v>83.108999999999995</v>
      </c>
      <c r="O455" s="6">
        <v>83.108999999999995</v>
      </c>
      <c r="P455" s="6">
        <v>0</v>
      </c>
      <c r="Q455" s="4" t="s">
        <v>26</v>
      </c>
      <c r="R455" s="4">
        <v>0</v>
      </c>
      <c r="S455" s="6">
        <v>0</v>
      </c>
      <c r="T455" s="6">
        <v>5</v>
      </c>
      <c r="U455" s="6">
        <v>75</v>
      </c>
      <c r="V455" s="6">
        <f>IF(ISERROR(VLOOKUP($S$455,'TAR FIN'!$A$1:$O$108,15,0)),0,VLOOKUP($S$455,'TAR FIN'!$A$1:$O$108,15,0))</f>
        <v>0</v>
      </c>
      <c r="W455" s="6">
        <f>IF(ISERROR(VLOOKUP($T$455,'TAR FIN'!$A$1:$O$108,15,0)),0,VLOOKUP($T$455,'TAR FIN'!$A$1:$O$108,15,0))</f>
        <v>1454.96</v>
      </c>
      <c r="X455" s="6">
        <f>IF(ISERROR(VLOOKUP($U$455,'TAR FIN'!$A$1:$O$108,15,0)),0,VLOOKUP($U$455,'TAR FIN'!$A$1:$O$108,15,0))</f>
        <v>159.43</v>
      </c>
      <c r="Y455" s="6"/>
      <c r="Z455" s="6">
        <f ca="1">('TUSD BE'!$AM$27+'TUSD BF'!$AM$27+'TUSD CVA'!$AM$27)*1</f>
        <v>1497.8900689999518</v>
      </c>
      <c r="AA455" s="6">
        <f>('TE BE'!$AB$10+'TE BF'!$AB$10+'TE CVA'!$AB$10)*1</f>
        <v>322.12477389224171</v>
      </c>
      <c r="AB455" s="6">
        <f>$K$455*$V$455</f>
        <v>0</v>
      </c>
      <c r="AC455" s="6">
        <f>$M$455*$W$455</f>
        <v>120920.27064</v>
      </c>
      <c r="AD455" s="6">
        <f>$O$455*$X$455</f>
        <v>13250.067869999999</v>
      </c>
      <c r="AE455" s="6">
        <f>$K$455*$Y$455</f>
        <v>0</v>
      </c>
      <c r="AF455" s="6">
        <f ca="1">$M$455*$Z$455</f>
        <v>124488.14574451699</v>
      </c>
      <c r="AG455" s="6">
        <f>$O$455*$AA$455</f>
        <v>26771.467833410316</v>
      </c>
    </row>
    <row r="456" spans="1:33" ht="11.25" customHeight="1" x14ac:dyDescent="0.25">
      <c r="A456" s="4" t="s">
        <v>54</v>
      </c>
      <c r="B456" s="4" t="s">
        <v>41</v>
      </c>
      <c r="C456" s="4" t="s">
        <v>43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34</v>
      </c>
      <c r="I456" s="5">
        <v>44866</v>
      </c>
      <c r="J456" s="6">
        <v>0</v>
      </c>
      <c r="K456" s="6">
        <v>0</v>
      </c>
      <c r="L456" s="6">
        <v>-3.516</v>
      </c>
      <c r="M456" s="6">
        <v>-3.516</v>
      </c>
      <c r="N456" s="6">
        <v>-3.516</v>
      </c>
      <c r="O456" s="6">
        <v>-3.516</v>
      </c>
      <c r="P456" s="6">
        <v>0</v>
      </c>
      <c r="Q456" s="4" t="s">
        <v>26</v>
      </c>
      <c r="R456" s="4">
        <v>0</v>
      </c>
      <c r="S456" s="6">
        <v>0</v>
      </c>
      <c r="T456" s="6">
        <v>5</v>
      </c>
      <c r="U456" s="6">
        <v>75</v>
      </c>
      <c r="V456" s="6">
        <f>IF(ISERROR(VLOOKUP($S$456,'TAR FIN'!$A$1:$O$108,15,0)),0,VLOOKUP($S$456,'TAR FIN'!$A$1:$O$108,15,0))</f>
        <v>0</v>
      </c>
      <c r="W456" s="6">
        <f>IF(ISERROR(VLOOKUP($T$456,'TAR FIN'!$A$1:$O$108,15,0)),0,VLOOKUP($T$456,'TAR FIN'!$A$1:$O$108,15,0))</f>
        <v>1454.96</v>
      </c>
      <c r="X456" s="6">
        <f>IF(ISERROR(VLOOKUP($U$456,'TAR FIN'!$A$1:$O$108,15,0)),0,VLOOKUP($U$456,'TAR FIN'!$A$1:$O$108,15,0))</f>
        <v>159.43</v>
      </c>
      <c r="Y456" s="6"/>
      <c r="Z456" s="6">
        <f ca="1">('TUSD BE'!$AM$27+'TUSD BF'!$AM$27+'TUSD CVA'!$AM$27)*1</f>
        <v>1497.8900689999518</v>
      </c>
      <c r="AA456" s="6">
        <f>('TE BE'!$AB$10+'TE BF'!$AB$10+'TE CVA'!$AB$10)*1</f>
        <v>322.12477389224171</v>
      </c>
      <c r="AB456" s="6">
        <f>$K$456*$V$456</f>
        <v>0</v>
      </c>
      <c r="AC456" s="6">
        <f>$M$456*$W$456</f>
        <v>-5115.6393600000001</v>
      </c>
      <c r="AD456" s="6">
        <f>$O$456*$X$456</f>
        <v>-560.55588</v>
      </c>
      <c r="AE456" s="6">
        <f>$K$456*$Y$456</f>
        <v>0</v>
      </c>
      <c r="AF456" s="6">
        <f ca="1">$M$456*$Z$456</f>
        <v>-5266.5814826038304</v>
      </c>
      <c r="AG456" s="6">
        <f>$O$456*$AA$456</f>
        <v>-1132.5907050051219</v>
      </c>
    </row>
    <row r="457" spans="1:33" ht="11.25" customHeight="1" x14ac:dyDescent="0.25">
      <c r="A457" s="4" t="s">
        <v>54</v>
      </c>
      <c r="B457" s="4" t="s">
        <v>41</v>
      </c>
      <c r="C457" s="4" t="s">
        <v>43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34</v>
      </c>
      <c r="I457" s="5">
        <v>44866</v>
      </c>
      <c r="J457" s="6">
        <v>0</v>
      </c>
      <c r="K457" s="6">
        <v>0</v>
      </c>
      <c r="L457" s="6">
        <v>0.60699999999999998</v>
      </c>
      <c r="M457" s="6">
        <v>0.60699999999999998</v>
      </c>
      <c r="N457" s="6">
        <v>0.60699999999999998</v>
      </c>
      <c r="O457" s="6">
        <v>0.60699999999999998</v>
      </c>
      <c r="P457" s="6">
        <v>0</v>
      </c>
      <c r="Q457" s="4" t="s">
        <v>26</v>
      </c>
      <c r="R457" s="4">
        <v>0</v>
      </c>
      <c r="S457" s="6">
        <v>0</v>
      </c>
      <c r="T457" s="6">
        <v>5</v>
      </c>
      <c r="U457" s="6">
        <v>75</v>
      </c>
      <c r="V457" s="6">
        <f>IF(ISERROR(VLOOKUP($S$457,'TAR FIN'!$A$1:$O$108,15,0)),0,VLOOKUP($S$457,'TAR FIN'!$A$1:$O$108,15,0))</f>
        <v>0</v>
      </c>
      <c r="W457" s="6">
        <f>IF(ISERROR(VLOOKUP($T$457,'TAR FIN'!$A$1:$O$108,15,0)),0,VLOOKUP($T$457,'TAR FIN'!$A$1:$O$108,15,0))</f>
        <v>1454.96</v>
      </c>
      <c r="X457" s="6">
        <f>IF(ISERROR(VLOOKUP($U$457,'TAR FIN'!$A$1:$O$108,15,0)),0,VLOOKUP($U$457,'TAR FIN'!$A$1:$O$108,15,0))</f>
        <v>159.43</v>
      </c>
      <c r="Y457" s="6"/>
      <c r="Z457" s="6">
        <f ca="1">('TUSD BE'!$AM$27+'TUSD BF'!$AM$27+'TUSD CVA'!$AM$27)*1</f>
        <v>1497.8900689999518</v>
      </c>
      <c r="AA457" s="6">
        <f>('TE BE'!$AB$10+'TE BF'!$AB$10+'TE CVA'!$AB$10)*1</f>
        <v>322.12477389224171</v>
      </c>
      <c r="AB457" s="6">
        <f>$K$457*$V$457</f>
        <v>0</v>
      </c>
      <c r="AC457" s="6">
        <f>$M$457*$W$457</f>
        <v>883.16071999999997</v>
      </c>
      <c r="AD457" s="6">
        <f>$O$457*$X$457</f>
        <v>96.774010000000004</v>
      </c>
      <c r="AE457" s="6">
        <f>$K$457*$Y$457</f>
        <v>0</v>
      </c>
      <c r="AF457" s="6">
        <f ca="1">$M$457*$Z$457</f>
        <v>909.2192718829707</v>
      </c>
      <c r="AG457" s="6">
        <f>$O$457*$AA$457</f>
        <v>195.52973775259071</v>
      </c>
    </row>
    <row r="458" spans="1:33" ht="11.25" customHeight="1" x14ac:dyDescent="0.25">
      <c r="A458" s="4" t="s">
        <v>21</v>
      </c>
      <c r="B458" s="4" t="s">
        <v>41</v>
      </c>
      <c r="C458" s="4" t="s">
        <v>43</v>
      </c>
      <c r="D458" s="4" t="s">
        <v>47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44531</v>
      </c>
      <c r="J458" s="6">
        <v>0</v>
      </c>
      <c r="K458" s="6">
        <v>0</v>
      </c>
      <c r="L458" s="6">
        <v>4140.1959999999999</v>
      </c>
      <c r="M458" s="6">
        <v>4140.1959999999999</v>
      </c>
      <c r="N458" s="6">
        <v>4140.1959999999999</v>
      </c>
      <c r="O458" s="6">
        <v>4140.1959999999999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7</v>
      </c>
      <c r="U458" s="6">
        <v>76</v>
      </c>
      <c r="V458" s="6">
        <f>IF(ISERROR(VLOOKUP($S$458,'TAR FIN'!$A$1:$O$108,15,0)),0,VLOOKUP($S$458,'TAR FIN'!$A$1:$O$108,15,0))</f>
        <v>0</v>
      </c>
      <c r="W458" s="6">
        <f>IF(ISERROR(VLOOKUP($T$458,'TAR FIN'!$A$1:$O$108,15,0)),0,VLOOKUP($T$458,'TAR FIN'!$A$1:$O$108,15,0))</f>
        <v>102.62</v>
      </c>
      <c r="X458" s="6">
        <f>IF(ISERROR(VLOOKUP($U$458,'TAR FIN'!$A$1:$O$108,15,0)),0,VLOOKUP($U$458,'TAR FIN'!$A$1:$O$108,15,0))</f>
        <v>103.1</v>
      </c>
      <c r="Y458" s="6"/>
      <c r="Z458" s="6">
        <f ca="1">('TUSD BE'!$AM$28+'TUSD BF'!$AM$28+'TUSD CVA'!$AM$28)*1</f>
        <v>181.47641369790719</v>
      </c>
      <c r="AA458" s="6">
        <f>('TE BE'!$AB$11+'TE BF'!$AB$11+'TE CVA'!$AB$11)*1</f>
        <v>215.60278025898469</v>
      </c>
      <c r="AB458" s="6">
        <f>$K$458*$V$458</f>
        <v>0</v>
      </c>
      <c r="AC458" s="6">
        <f>$M$458*$W$458</f>
        <v>424866.91352</v>
      </c>
      <c r="AD458" s="6">
        <f>$O$458*$X$458</f>
        <v>426854.20759999997</v>
      </c>
      <c r="AE458" s="6">
        <f>$K$458*$Y$458</f>
        <v>0</v>
      </c>
      <c r="AF458" s="6">
        <f ca="1">$M$458*$Z$458</f>
        <v>751347.92208642059</v>
      </c>
      <c r="AG458" s="6">
        <f>$O$458*$AA$458</f>
        <v>892637.76841712743</v>
      </c>
    </row>
    <row r="459" spans="1:33" ht="11.25" customHeight="1" x14ac:dyDescent="0.25">
      <c r="A459" s="4" t="s">
        <v>27</v>
      </c>
      <c r="B459" s="4" t="s">
        <v>41</v>
      </c>
      <c r="C459" s="4" t="s">
        <v>43</v>
      </c>
      <c r="D459" s="4" t="s">
        <v>47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44531</v>
      </c>
      <c r="J459" s="6">
        <v>0</v>
      </c>
      <c r="K459" s="6">
        <v>0</v>
      </c>
      <c r="L459" s="6">
        <v>7.6669999999999998</v>
      </c>
      <c r="M459" s="6">
        <v>7.6669999999999998</v>
      </c>
      <c r="N459" s="6">
        <v>7.6669999999999998</v>
      </c>
      <c r="O459" s="6">
        <v>7.6669999999999998</v>
      </c>
      <c r="P459" s="6">
        <v>0</v>
      </c>
      <c r="Q459" s="4" t="s">
        <v>26</v>
      </c>
      <c r="R459" s="4">
        <v>0</v>
      </c>
      <c r="S459" s="6">
        <v>0</v>
      </c>
      <c r="T459" s="6">
        <v>7</v>
      </c>
      <c r="U459" s="6">
        <v>76</v>
      </c>
      <c r="V459" s="6">
        <f>IF(ISERROR(VLOOKUP($S$459,'TAR FIN'!$A$1:$O$108,15,0)),0,VLOOKUP($S$459,'TAR FIN'!$A$1:$O$108,15,0))</f>
        <v>0</v>
      </c>
      <c r="W459" s="6">
        <f>IF(ISERROR(VLOOKUP($T$459,'TAR FIN'!$A$1:$O$108,15,0)),0,VLOOKUP($T$459,'TAR FIN'!$A$1:$O$108,15,0))</f>
        <v>102.62</v>
      </c>
      <c r="X459" s="6">
        <f>IF(ISERROR(VLOOKUP($U$459,'TAR FIN'!$A$1:$O$108,15,0)),0,VLOOKUP($U$459,'TAR FIN'!$A$1:$O$108,15,0))</f>
        <v>103.1</v>
      </c>
      <c r="Y459" s="6"/>
      <c r="Z459" s="6">
        <f ca="1">('TUSD BE'!$AM$28+'TUSD BF'!$AM$28+'TUSD CVA'!$AM$28)*1</f>
        <v>181.47641369790719</v>
      </c>
      <c r="AA459" s="6">
        <f>('TE BE'!$AB$11+'TE BF'!$AB$11+'TE CVA'!$AB$11)*1</f>
        <v>215.60278025898469</v>
      </c>
      <c r="AB459" s="6">
        <f>$K$459*$V$459</f>
        <v>0</v>
      </c>
      <c r="AC459" s="6">
        <f>$M$459*$W$459</f>
        <v>786.78754000000004</v>
      </c>
      <c r="AD459" s="6">
        <f>$O$459*$X$459</f>
        <v>790.46769999999992</v>
      </c>
      <c r="AE459" s="6">
        <f>$K$459*$Y$459</f>
        <v>0</v>
      </c>
      <c r="AF459" s="6">
        <f ca="1">$M$459*$Z$459</f>
        <v>1391.3796638218544</v>
      </c>
      <c r="AG459" s="6">
        <f>$O$459*$AA$459</f>
        <v>1653.0265162456355</v>
      </c>
    </row>
    <row r="460" spans="1:33" ht="11.25" customHeight="1" x14ac:dyDescent="0.25">
      <c r="A460" s="4" t="s">
        <v>28</v>
      </c>
      <c r="B460" s="4" t="s">
        <v>41</v>
      </c>
      <c r="C460" s="4" t="s">
        <v>43</v>
      </c>
      <c r="D460" s="4" t="s">
        <v>47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44531</v>
      </c>
      <c r="J460" s="6">
        <v>0</v>
      </c>
      <c r="K460" s="6">
        <v>0</v>
      </c>
      <c r="L460" s="6">
        <v>64.272999999999996</v>
      </c>
      <c r="M460" s="6">
        <v>64.272999999999996</v>
      </c>
      <c r="N460" s="6">
        <v>64.272999999999996</v>
      </c>
      <c r="O460" s="6">
        <v>64.272999999999996</v>
      </c>
      <c r="P460" s="6">
        <v>0</v>
      </c>
      <c r="Q460" s="4" t="s">
        <v>26</v>
      </c>
      <c r="R460" s="4">
        <v>0</v>
      </c>
      <c r="S460" s="6">
        <v>0</v>
      </c>
      <c r="T460" s="6">
        <v>7</v>
      </c>
      <c r="U460" s="6">
        <v>76</v>
      </c>
      <c r="V460" s="6">
        <f>IF(ISERROR(VLOOKUP($S$460,'TAR FIN'!$A$1:$O$108,15,0)),0,VLOOKUP($S$460,'TAR FIN'!$A$1:$O$108,15,0))</f>
        <v>0</v>
      </c>
      <c r="W460" s="6">
        <f>IF(ISERROR(VLOOKUP($T$460,'TAR FIN'!$A$1:$O$108,15,0)),0,VLOOKUP($T$460,'TAR FIN'!$A$1:$O$108,15,0))</f>
        <v>102.62</v>
      </c>
      <c r="X460" s="6">
        <f>IF(ISERROR(VLOOKUP($U$460,'TAR FIN'!$A$1:$O$108,15,0)),0,VLOOKUP($U$460,'TAR FIN'!$A$1:$O$108,15,0))</f>
        <v>103.1</v>
      </c>
      <c r="Y460" s="6"/>
      <c r="Z460" s="6">
        <f ca="1">('TUSD BE'!$AM$28+'TUSD BF'!$AM$28+'TUSD CVA'!$AM$28)*1</f>
        <v>181.47641369790719</v>
      </c>
      <c r="AA460" s="6">
        <f>('TE BE'!$AB$11+'TE BF'!$AB$11+'TE CVA'!$AB$11)*1</f>
        <v>215.60278025898469</v>
      </c>
      <c r="AB460" s="6">
        <f>$K$460*$V$460</f>
        <v>0</v>
      </c>
      <c r="AC460" s="6">
        <f>$M$460*$W$460</f>
        <v>6595.6952599999995</v>
      </c>
      <c r="AD460" s="6">
        <f>$O$460*$X$460</f>
        <v>6626.5462999999991</v>
      </c>
      <c r="AE460" s="6">
        <f>$K$460*$Y$460</f>
        <v>0</v>
      </c>
      <c r="AF460" s="6">
        <f ca="1">$M$460*$Z$460</f>
        <v>11664.033537605588</v>
      </c>
      <c r="AG460" s="6">
        <f>$O$460*$AA$460</f>
        <v>13857.437495585722</v>
      </c>
    </row>
    <row r="461" spans="1:33" ht="11.25" customHeight="1" x14ac:dyDescent="0.25">
      <c r="A461" s="4" t="s">
        <v>21</v>
      </c>
      <c r="B461" s="4" t="s">
        <v>41</v>
      </c>
      <c r="C461" s="4" t="s">
        <v>43</v>
      </c>
      <c r="D461" s="4" t="s">
        <v>47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44562</v>
      </c>
      <c r="J461" s="6">
        <v>0</v>
      </c>
      <c r="K461" s="6">
        <v>0</v>
      </c>
      <c r="L461" s="6">
        <v>3557.1550000000002</v>
      </c>
      <c r="M461" s="6">
        <v>3557.1550000000002</v>
      </c>
      <c r="N461" s="6">
        <v>3557.1550000000002</v>
      </c>
      <c r="O461" s="6">
        <v>3557.1550000000002</v>
      </c>
      <c r="P461" s="6">
        <v>0</v>
      </c>
      <c r="Q461" s="4" t="s">
        <v>26</v>
      </c>
      <c r="R461" s="4">
        <v>0</v>
      </c>
      <c r="S461" s="6">
        <v>0</v>
      </c>
      <c r="T461" s="6">
        <v>7</v>
      </c>
      <c r="U461" s="6">
        <v>76</v>
      </c>
      <c r="V461" s="6">
        <f>IF(ISERROR(VLOOKUP($S$461,'TAR FIN'!$A$1:$O$108,15,0)),0,VLOOKUP($S$461,'TAR FIN'!$A$1:$O$108,15,0))</f>
        <v>0</v>
      </c>
      <c r="W461" s="6">
        <f>IF(ISERROR(VLOOKUP($T$461,'TAR FIN'!$A$1:$O$108,15,0)),0,VLOOKUP($T$461,'TAR FIN'!$A$1:$O$108,15,0))</f>
        <v>102.62</v>
      </c>
      <c r="X461" s="6">
        <f>IF(ISERROR(VLOOKUP($U$461,'TAR FIN'!$A$1:$O$108,15,0)),0,VLOOKUP($U$461,'TAR FIN'!$A$1:$O$108,15,0))</f>
        <v>103.1</v>
      </c>
      <c r="Y461" s="6"/>
      <c r="Z461" s="6">
        <f ca="1">('TUSD BE'!$AM$28+'TUSD BF'!$AM$28+'TUSD CVA'!$AM$28)*1</f>
        <v>181.47641369790719</v>
      </c>
      <c r="AA461" s="6">
        <f>('TE BE'!$AB$11+'TE BF'!$AB$11+'TE CVA'!$AB$11)*1</f>
        <v>215.60278025898469</v>
      </c>
      <c r="AB461" s="6">
        <f>$K$461*$V$461</f>
        <v>0</v>
      </c>
      <c r="AC461" s="6">
        <f>$M$461*$W$461</f>
        <v>365035.24610000005</v>
      </c>
      <c r="AD461" s="6">
        <f>$O$461*$X$461</f>
        <v>366742.68050000002</v>
      </c>
      <c r="AE461" s="6">
        <f>$K$461*$Y$461</f>
        <v>0</v>
      </c>
      <c r="AF461" s="6">
        <f ca="1">$M$461*$Z$461</f>
        <v>645539.73236757913</v>
      </c>
      <c r="AG461" s="6">
        <f>$O$461*$AA$461</f>
        <v>766932.50781214877</v>
      </c>
    </row>
    <row r="462" spans="1:33" ht="11.25" customHeight="1" x14ac:dyDescent="0.25">
      <c r="A462" s="4" t="s">
        <v>28</v>
      </c>
      <c r="B462" s="4" t="s">
        <v>41</v>
      </c>
      <c r="C462" s="4" t="s">
        <v>43</v>
      </c>
      <c r="D462" s="4" t="s">
        <v>47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44562</v>
      </c>
      <c r="J462" s="6">
        <v>0</v>
      </c>
      <c r="K462" s="6">
        <v>0</v>
      </c>
      <c r="L462" s="6">
        <v>64.825000000000003</v>
      </c>
      <c r="M462" s="6">
        <v>64.825000000000003</v>
      </c>
      <c r="N462" s="6">
        <v>64.825000000000003</v>
      </c>
      <c r="O462" s="6">
        <v>64.825000000000003</v>
      </c>
      <c r="P462" s="6">
        <v>0</v>
      </c>
      <c r="Q462" s="4" t="s">
        <v>26</v>
      </c>
      <c r="R462" s="4">
        <v>0</v>
      </c>
      <c r="S462" s="6">
        <v>0</v>
      </c>
      <c r="T462" s="6">
        <v>7</v>
      </c>
      <c r="U462" s="6">
        <v>76</v>
      </c>
      <c r="V462" s="6">
        <f>IF(ISERROR(VLOOKUP($S$462,'TAR FIN'!$A$1:$O$108,15,0)),0,VLOOKUP($S$462,'TAR FIN'!$A$1:$O$108,15,0))</f>
        <v>0</v>
      </c>
      <c r="W462" s="6">
        <f>IF(ISERROR(VLOOKUP($T$462,'TAR FIN'!$A$1:$O$108,15,0)),0,VLOOKUP($T$462,'TAR FIN'!$A$1:$O$108,15,0))</f>
        <v>102.62</v>
      </c>
      <c r="X462" s="6">
        <f>IF(ISERROR(VLOOKUP($U$462,'TAR FIN'!$A$1:$O$108,15,0)),0,VLOOKUP($U$462,'TAR FIN'!$A$1:$O$108,15,0))</f>
        <v>103.1</v>
      </c>
      <c r="Y462" s="6"/>
      <c r="Z462" s="6">
        <f ca="1">('TUSD BE'!$AM$28+'TUSD BF'!$AM$28+'TUSD CVA'!$AM$28)*1</f>
        <v>181.47641369790719</v>
      </c>
      <c r="AA462" s="6">
        <f>('TE BE'!$AB$11+'TE BF'!$AB$11+'TE CVA'!$AB$11)*1</f>
        <v>215.60278025898469</v>
      </c>
      <c r="AB462" s="6">
        <f>$K$462*$V$462</f>
        <v>0</v>
      </c>
      <c r="AC462" s="6">
        <f>$M$462*$W$462</f>
        <v>6652.3415000000005</v>
      </c>
      <c r="AD462" s="6">
        <f>$O$462*$X$462</f>
        <v>6683.4574999999995</v>
      </c>
      <c r="AE462" s="6">
        <f>$K$462*$Y$462</f>
        <v>0</v>
      </c>
      <c r="AF462" s="6">
        <f ca="1">$M$462*$Z$462</f>
        <v>11764.208517966834</v>
      </c>
      <c r="AG462" s="6">
        <f>$O$462*$AA$462</f>
        <v>13976.450230288683</v>
      </c>
    </row>
    <row r="463" spans="1:33" ht="11.25" customHeight="1" x14ac:dyDescent="0.25">
      <c r="A463" s="4" t="s">
        <v>21</v>
      </c>
      <c r="B463" s="4" t="s">
        <v>41</v>
      </c>
      <c r="C463" s="4" t="s">
        <v>43</v>
      </c>
      <c r="D463" s="4" t="s">
        <v>47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44593</v>
      </c>
      <c r="J463" s="6">
        <v>0</v>
      </c>
      <c r="K463" s="6">
        <v>0</v>
      </c>
      <c r="L463" s="6">
        <v>3298.5520000000001</v>
      </c>
      <c r="M463" s="6">
        <v>3298.5520000000001</v>
      </c>
      <c r="N463" s="6">
        <v>3298.5520000000001</v>
      </c>
      <c r="O463" s="6">
        <v>3298.5520000000001</v>
      </c>
      <c r="P463" s="6">
        <v>0</v>
      </c>
      <c r="Q463" s="4" t="s">
        <v>26</v>
      </c>
      <c r="R463" s="4">
        <v>0</v>
      </c>
      <c r="S463" s="6">
        <v>0</v>
      </c>
      <c r="T463" s="6">
        <v>7</v>
      </c>
      <c r="U463" s="6">
        <v>76</v>
      </c>
      <c r="V463" s="6">
        <f>IF(ISERROR(VLOOKUP($S$463,'TAR FIN'!$A$1:$O$108,15,0)),0,VLOOKUP($S$463,'TAR FIN'!$A$1:$O$108,15,0))</f>
        <v>0</v>
      </c>
      <c r="W463" s="6">
        <f>IF(ISERROR(VLOOKUP($T$463,'TAR FIN'!$A$1:$O$108,15,0)),0,VLOOKUP($T$463,'TAR FIN'!$A$1:$O$108,15,0))</f>
        <v>102.62</v>
      </c>
      <c r="X463" s="6">
        <f>IF(ISERROR(VLOOKUP($U$463,'TAR FIN'!$A$1:$O$108,15,0)),0,VLOOKUP($U$463,'TAR FIN'!$A$1:$O$108,15,0))</f>
        <v>103.1</v>
      </c>
      <c r="Y463" s="6"/>
      <c r="Z463" s="6">
        <f ca="1">('TUSD BE'!$AM$28+'TUSD BF'!$AM$28+'TUSD CVA'!$AM$28)*1</f>
        <v>181.47641369790719</v>
      </c>
      <c r="AA463" s="6">
        <f>('TE BE'!$AB$11+'TE BF'!$AB$11+'TE CVA'!$AB$11)*1</f>
        <v>215.60278025898469</v>
      </c>
      <c r="AB463" s="6">
        <f>$K$463*$V$463</f>
        <v>0</v>
      </c>
      <c r="AC463" s="6">
        <f>$M$463*$W$463</f>
        <v>338497.40624000004</v>
      </c>
      <c r="AD463" s="6">
        <f>$O$463*$X$463</f>
        <v>340080.71120000002</v>
      </c>
      <c r="AE463" s="6">
        <f>$K$463*$Y$463</f>
        <v>0</v>
      </c>
      <c r="AF463" s="6">
        <f ca="1">$M$463*$Z$463</f>
        <v>598609.38735605916</v>
      </c>
      <c r="AG463" s="6">
        <f>$O$463*$AA$463</f>
        <v>711176.98202883452</v>
      </c>
    </row>
    <row r="464" spans="1:33" ht="11.25" customHeight="1" x14ac:dyDescent="0.25">
      <c r="A464" s="4" t="s">
        <v>28</v>
      </c>
      <c r="B464" s="4" t="s">
        <v>41</v>
      </c>
      <c r="C464" s="4" t="s">
        <v>43</v>
      </c>
      <c r="D464" s="4" t="s">
        <v>47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44593</v>
      </c>
      <c r="J464" s="6">
        <v>0</v>
      </c>
      <c r="K464" s="6">
        <v>0</v>
      </c>
      <c r="L464" s="6">
        <v>55.905000000000001</v>
      </c>
      <c r="M464" s="6">
        <v>55.905000000000001</v>
      </c>
      <c r="N464" s="6">
        <v>55.905000000000001</v>
      </c>
      <c r="O464" s="6">
        <v>55.905000000000001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7</v>
      </c>
      <c r="U464" s="6">
        <v>76</v>
      </c>
      <c r="V464" s="6">
        <f>IF(ISERROR(VLOOKUP($S$464,'TAR FIN'!$A$1:$O$108,15,0)),0,VLOOKUP($S$464,'TAR FIN'!$A$1:$O$108,15,0))</f>
        <v>0</v>
      </c>
      <c r="W464" s="6">
        <f>IF(ISERROR(VLOOKUP($T$464,'TAR FIN'!$A$1:$O$108,15,0)),0,VLOOKUP($T$464,'TAR FIN'!$A$1:$O$108,15,0))</f>
        <v>102.62</v>
      </c>
      <c r="X464" s="6">
        <f>IF(ISERROR(VLOOKUP($U$464,'TAR FIN'!$A$1:$O$108,15,0)),0,VLOOKUP($U$464,'TAR FIN'!$A$1:$O$108,15,0))</f>
        <v>103.1</v>
      </c>
      <c r="Y464" s="6"/>
      <c r="Z464" s="6">
        <f ca="1">('TUSD BE'!$AM$28+'TUSD BF'!$AM$28+'TUSD CVA'!$AM$28)*1</f>
        <v>181.47641369790719</v>
      </c>
      <c r="AA464" s="6">
        <f>('TE BE'!$AB$11+'TE BF'!$AB$11+'TE CVA'!$AB$11)*1</f>
        <v>215.60278025898469</v>
      </c>
      <c r="AB464" s="6">
        <f>$K$464*$V$464</f>
        <v>0</v>
      </c>
      <c r="AC464" s="6">
        <f>$M$464*$W$464</f>
        <v>5736.9711000000007</v>
      </c>
      <c r="AD464" s="6">
        <f>$O$464*$X$464</f>
        <v>5763.8054999999995</v>
      </c>
      <c r="AE464" s="6">
        <f>$K$464*$Y$464</f>
        <v>0</v>
      </c>
      <c r="AF464" s="6">
        <f ca="1">$M$464*$Z$464</f>
        <v>10145.438907781501</v>
      </c>
      <c r="AG464" s="6">
        <f>$O$464*$AA$464</f>
        <v>12053.27343037854</v>
      </c>
    </row>
    <row r="465" spans="1:33" ht="11.25" customHeight="1" x14ac:dyDescent="0.25">
      <c r="A465" s="4" t="s">
        <v>21</v>
      </c>
      <c r="B465" s="4" t="s">
        <v>41</v>
      </c>
      <c r="C465" s="4" t="s">
        <v>43</v>
      </c>
      <c r="D465" s="4" t="s">
        <v>47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44621</v>
      </c>
      <c r="J465" s="6">
        <v>0</v>
      </c>
      <c r="K465" s="6">
        <v>0</v>
      </c>
      <c r="L465" s="6">
        <v>4174.9399999999996</v>
      </c>
      <c r="M465" s="6">
        <v>4174.9399999999996</v>
      </c>
      <c r="N465" s="6">
        <v>4174.9399999999996</v>
      </c>
      <c r="O465" s="6">
        <v>4174.9399999999996</v>
      </c>
      <c r="P465" s="6">
        <v>0</v>
      </c>
      <c r="Q465" s="4" t="s">
        <v>26</v>
      </c>
      <c r="R465" s="4">
        <v>0</v>
      </c>
      <c r="S465" s="6">
        <v>0</v>
      </c>
      <c r="T465" s="6">
        <v>7</v>
      </c>
      <c r="U465" s="6">
        <v>76</v>
      </c>
      <c r="V465" s="6">
        <f>IF(ISERROR(VLOOKUP($S$465,'TAR FIN'!$A$1:$O$108,15,0)),0,VLOOKUP($S$465,'TAR FIN'!$A$1:$O$108,15,0))</f>
        <v>0</v>
      </c>
      <c r="W465" s="6">
        <f>IF(ISERROR(VLOOKUP($T$465,'TAR FIN'!$A$1:$O$108,15,0)),0,VLOOKUP($T$465,'TAR FIN'!$A$1:$O$108,15,0))</f>
        <v>102.62</v>
      </c>
      <c r="X465" s="6">
        <f>IF(ISERROR(VLOOKUP($U$465,'TAR FIN'!$A$1:$O$108,15,0)),0,VLOOKUP($U$465,'TAR FIN'!$A$1:$O$108,15,0))</f>
        <v>103.1</v>
      </c>
      <c r="Y465" s="6"/>
      <c r="Z465" s="6">
        <f ca="1">('TUSD BE'!$AM$28+'TUSD BF'!$AM$28+'TUSD CVA'!$AM$28)*1</f>
        <v>181.47641369790719</v>
      </c>
      <c r="AA465" s="6">
        <f>('TE BE'!$AB$11+'TE BF'!$AB$11+'TE CVA'!$AB$11)*1</f>
        <v>215.60278025898469</v>
      </c>
      <c r="AB465" s="6">
        <f>$K$465*$V$465</f>
        <v>0</v>
      </c>
      <c r="AC465" s="6">
        <f>$M$465*$W$465</f>
        <v>428432.34279999998</v>
      </c>
      <c r="AD465" s="6">
        <f>$O$465*$X$465</f>
        <v>430436.31399999995</v>
      </c>
      <c r="AE465" s="6">
        <f>$K$465*$Y$465</f>
        <v>0</v>
      </c>
      <c r="AF465" s="6">
        <f ca="1">$M$465*$Z$465</f>
        <v>757653.13860394061</v>
      </c>
      <c r="AG465" s="6">
        <f>$O$465*$AA$465</f>
        <v>900128.6714144455</v>
      </c>
    </row>
    <row r="466" spans="1:33" ht="11.25" customHeight="1" x14ac:dyDescent="0.25">
      <c r="A466" s="4" t="s">
        <v>28</v>
      </c>
      <c r="B466" s="4" t="s">
        <v>41</v>
      </c>
      <c r="C466" s="4" t="s">
        <v>43</v>
      </c>
      <c r="D466" s="4" t="s">
        <v>47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44621</v>
      </c>
      <c r="J466" s="6">
        <v>0</v>
      </c>
      <c r="K466" s="6">
        <v>0</v>
      </c>
      <c r="L466" s="6">
        <v>85.408000000000001</v>
      </c>
      <c r="M466" s="6">
        <v>85.408000000000001</v>
      </c>
      <c r="N466" s="6">
        <v>85.408000000000001</v>
      </c>
      <c r="O466" s="6">
        <v>85.408000000000001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7</v>
      </c>
      <c r="U466" s="6">
        <v>76</v>
      </c>
      <c r="V466" s="6">
        <f>IF(ISERROR(VLOOKUP($S$466,'TAR FIN'!$A$1:$O$108,15,0)),0,VLOOKUP($S$466,'TAR FIN'!$A$1:$O$108,15,0))</f>
        <v>0</v>
      </c>
      <c r="W466" s="6">
        <f>IF(ISERROR(VLOOKUP($T$466,'TAR FIN'!$A$1:$O$108,15,0)),0,VLOOKUP($T$466,'TAR FIN'!$A$1:$O$108,15,0))</f>
        <v>102.62</v>
      </c>
      <c r="X466" s="6">
        <f>IF(ISERROR(VLOOKUP($U$466,'TAR FIN'!$A$1:$O$108,15,0)),0,VLOOKUP($U$466,'TAR FIN'!$A$1:$O$108,15,0))</f>
        <v>103.1</v>
      </c>
      <c r="Y466" s="6"/>
      <c r="Z466" s="6">
        <f ca="1">('TUSD BE'!$AM$28+'TUSD BF'!$AM$28+'TUSD CVA'!$AM$28)*1</f>
        <v>181.47641369790719</v>
      </c>
      <c r="AA466" s="6">
        <f>('TE BE'!$AB$11+'TE BF'!$AB$11+'TE CVA'!$AB$11)*1</f>
        <v>215.60278025898469</v>
      </c>
      <c r="AB466" s="6">
        <f>$K$466*$V$466</f>
        <v>0</v>
      </c>
      <c r="AC466" s="6">
        <f>$M$466*$W$466</f>
        <v>8764.5689600000005</v>
      </c>
      <c r="AD466" s="6">
        <f>$O$466*$X$466</f>
        <v>8805.5648000000001</v>
      </c>
      <c r="AE466" s="6">
        <f>$K$466*$Y$466</f>
        <v>0</v>
      </c>
      <c r="AF466" s="6">
        <f ca="1">$M$466*$Z$466</f>
        <v>15499.537541110858</v>
      </c>
      <c r="AG466" s="6">
        <f>$O$466*$AA$466</f>
        <v>18414.202256359364</v>
      </c>
    </row>
    <row r="467" spans="1:33" ht="11.25" customHeight="1" x14ac:dyDescent="0.25">
      <c r="A467" s="4" t="s">
        <v>21</v>
      </c>
      <c r="B467" s="4" t="s">
        <v>41</v>
      </c>
      <c r="C467" s="4" t="s">
        <v>43</v>
      </c>
      <c r="D467" s="4" t="s">
        <v>47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44652</v>
      </c>
      <c r="J467" s="6">
        <v>0</v>
      </c>
      <c r="K467" s="6">
        <v>0</v>
      </c>
      <c r="L467" s="6">
        <v>4163.1490000000003</v>
      </c>
      <c r="M467" s="6">
        <v>4163.1490000000003</v>
      </c>
      <c r="N467" s="6">
        <v>4163.1490000000003</v>
      </c>
      <c r="O467" s="6">
        <v>4163.1490000000003</v>
      </c>
      <c r="P467" s="6">
        <v>0</v>
      </c>
      <c r="Q467" s="4" t="s">
        <v>26</v>
      </c>
      <c r="R467" s="4">
        <v>0</v>
      </c>
      <c r="S467" s="6">
        <v>0</v>
      </c>
      <c r="T467" s="6">
        <v>7</v>
      </c>
      <c r="U467" s="6">
        <v>76</v>
      </c>
      <c r="V467" s="6">
        <f>IF(ISERROR(VLOOKUP($S$467,'TAR FIN'!$A$1:$O$108,15,0)),0,VLOOKUP($S$467,'TAR FIN'!$A$1:$O$108,15,0))</f>
        <v>0</v>
      </c>
      <c r="W467" s="6">
        <f>IF(ISERROR(VLOOKUP($T$467,'TAR FIN'!$A$1:$O$108,15,0)),0,VLOOKUP($T$467,'TAR FIN'!$A$1:$O$108,15,0))</f>
        <v>102.62</v>
      </c>
      <c r="X467" s="6">
        <f>IF(ISERROR(VLOOKUP($U$467,'TAR FIN'!$A$1:$O$108,15,0)),0,VLOOKUP($U$467,'TAR FIN'!$A$1:$O$108,15,0))</f>
        <v>103.1</v>
      </c>
      <c r="Y467" s="6"/>
      <c r="Z467" s="6">
        <f ca="1">('TUSD BE'!$AM$28+'TUSD BF'!$AM$28+'TUSD CVA'!$AM$28)*1</f>
        <v>181.47641369790719</v>
      </c>
      <c r="AA467" s="6">
        <f>('TE BE'!$AB$11+'TE BF'!$AB$11+'TE CVA'!$AB$11)*1</f>
        <v>215.60278025898469</v>
      </c>
      <c r="AB467" s="6">
        <f>$K$467*$V$467</f>
        <v>0</v>
      </c>
      <c r="AC467" s="6">
        <f>$M$467*$W$467</f>
        <v>427222.35038000008</v>
      </c>
      <c r="AD467" s="6">
        <f>$O$467*$X$467</f>
        <v>429220.66190000001</v>
      </c>
      <c r="AE467" s="6">
        <f>$K$467*$Y$467</f>
        <v>0</v>
      </c>
      <c r="AF467" s="6">
        <f ca="1">$M$467*$Z$467</f>
        <v>755513.3502100287</v>
      </c>
      <c r="AG467" s="6">
        <f>$O$467*$AA$467</f>
        <v>897586.49903241196</v>
      </c>
    </row>
    <row r="468" spans="1:33" ht="11.25" customHeight="1" x14ac:dyDescent="0.25">
      <c r="A468" s="4" t="s">
        <v>28</v>
      </c>
      <c r="B468" s="4" t="s">
        <v>41</v>
      </c>
      <c r="C468" s="4" t="s">
        <v>43</v>
      </c>
      <c r="D468" s="4" t="s">
        <v>47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44652</v>
      </c>
      <c r="J468" s="6">
        <v>0</v>
      </c>
      <c r="K468" s="6">
        <v>0</v>
      </c>
      <c r="L468" s="6">
        <v>77.251000000000005</v>
      </c>
      <c r="M468" s="6">
        <v>77.251000000000005</v>
      </c>
      <c r="N468" s="6">
        <v>77.251000000000005</v>
      </c>
      <c r="O468" s="6">
        <v>77.251000000000005</v>
      </c>
      <c r="P468" s="6">
        <v>0</v>
      </c>
      <c r="Q468" s="4" t="s">
        <v>26</v>
      </c>
      <c r="R468" s="4">
        <v>0</v>
      </c>
      <c r="S468" s="6">
        <v>0</v>
      </c>
      <c r="T468" s="6">
        <v>7</v>
      </c>
      <c r="U468" s="6">
        <v>76</v>
      </c>
      <c r="V468" s="6">
        <f>IF(ISERROR(VLOOKUP($S$468,'TAR FIN'!$A$1:$O$108,15,0)),0,VLOOKUP($S$468,'TAR FIN'!$A$1:$O$108,15,0))</f>
        <v>0</v>
      </c>
      <c r="W468" s="6">
        <f>IF(ISERROR(VLOOKUP($T$468,'TAR FIN'!$A$1:$O$108,15,0)),0,VLOOKUP($T$468,'TAR FIN'!$A$1:$O$108,15,0))</f>
        <v>102.62</v>
      </c>
      <c r="X468" s="6">
        <f>IF(ISERROR(VLOOKUP($U$468,'TAR FIN'!$A$1:$O$108,15,0)),0,VLOOKUP($U$468,'TAR FIN'!$A$1:$O$108,15,0))</f>
        <v>103.1</v>
      </c>
      <c r="Y468" s="6"/>
      <c r="Z468" s="6">
        <f ca="1">('TUSD BE'!$AM$28+'TUSD BF'!$AM$28+'TUSD CVA'!$AM$28)*1</f>
        <v>181.47641369790719</v>
      </c>
      <c r="AA468" s="6">
        <f>('TE BE'!$AB$11+'TE BF'!$AB$11+'TE CVA'!$AB$11)*1</f>
        <v>215.60278025898469</v>
      </c>
      <c r="AB468" s="6">
        <f>$K$468*$V$468</f>
        <v>0</v>
      </c>
      <c r="AC468" s="6">
        <f>$M$468*$W$468</f>
        <v>7927.497620000001</v>
      </c>
      <c r="AD468" s="6">
        <f>$O$468*$X$468</f>
        <v>7964.5780999999997</v>
      </c>
      <c r="AE468" s="6">
        <f>$K$468*$Y$468</f>
        <v>0</v>
      </c>
      <c r="AF468" s="6">
        <f ca="1">$M$468*$Z$468</f>
        <v>14019.234434577029</v>
      </c>
      <c r="AG468" s="6">
        <f>$O$468*$AA$468</f>
        <v>16655.530377786828</v>
      </c>
    </row>
    <row r="469" spans="1:33" ht="11.25" customHeight="1" x14ac:dyDescent="0.25">
      <c r="A469" s="4" t="s">
        <v>21</v>
      </c>
      <c r="B469" s="4" t="s">
        <v>41</v>
      </c>
      <c r="C469" s="4" t="s">
        <v>43</v>
      </c>
      <c r="D469" s="4" t="s">
        <v>47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44682</v>
      </c>
      <c r="J469" s="6">
        <v>0</v>
      </c>
      <c r="K469" s="6">
        <v>0</v>
      </c>
      <c r="L469" s="6">
        <v>4474.741</v>
      </c>
      <c r="M469" s="6">
        <v>4474.741</v>
      </c>
      <c r="N469" s="6">
        <v>4474.741</v>
      </c>
      <c r="O469" s="6">
        <v>4474.741</v>
      </c>
      <c r="P469" s="6">
        <v>0</v>
      </c>
      <c r="Q469" s="4" t="s">
        <v>26</v>
      </c>
      <c r="R469" s="4">
        <v>0</v>
      </c>
      <c r="S469" s="6">
        <v>0</v>
      </c>
      <c r="T469" s="6">
        <v>7</v>
      </c>
      <c r="U469" s="6">
        <v>76</v>
      </c>
      <c r="V469" s="6">
        <f>IF(ISERROR(VLOOKUP($S$469,'TAR FIN'!$A$1:$O$108,15,0)),0,VLOOKUP($S$469,'TAR FIN'!$A$1:$O$108,15,0))</f>
        <v>0</v>
      </c>
      <c r="W469" s="6">
        <f>IF(ISERROR(VLOOKUP($T$469,'TAR FIN'!$A$1:$O$108,15,0)),0,VLOOKUP($T$469,'TAR FIN'!$A$1:$O$108,15,0))</f>
        <v>102.62</v>
      </c>
      <c r="X469" s="6">
        <f>IF(ISERROR(VLOOKUP($U$469,'TAR FIN'!$A$1:$O$108,15,0)),0,VLOOKUP($U$469,'TAR FIN'!$A$1:$O$108,15,0))</f>
        <v>103.1</v>
      </c>
      <c r="Y469" s="6"/>
      <c r="Z469" s="6">
        <f ca="1">('TUSD BE'!$AM$28+'TUSD BF'!$AM$28+'TUSD CVA'!$AM$28)*1</f>
        <v>181.47641369790719</v>
      </c>
      <c r="AA469" s="6">
        <f>('TE BE'!$AB$11+'TE BF'!$AB$11+'TE CVA'!$AB$11)*1</f>
        <v>215.60278025898469</v>
      </c>
      <c r="AB469" s="6">
        <f>$K$469*$V$469</f>
        <v>0</v>
      </c>
      <c r="AC469" s="6">
        <f>$M$469*$W$469</f>
        <v>459197.92142000003</v>
      </c>
      <c r="AD469" s="6">
        <f>$O$469*$X$469</f>
        <v>461345.79709999997</v>
      </c>
      <c r="AE469" s="6">
        <f>$K$469*$Y$469</f>
        <v>0</v>
      </c>
      <c r="AF469" s="6">
        <f ca="1">$M$469*$Z$469</f>
        <v>812059.94890698697</v>
      </c>
      <c r="AG469" s="6">
        <f>$O$469*$AA$469</f>
        <v>964766.60053886939</v>
      </c>
    </row>
    <row r="470" spans="1:33" ht="11.25" customHeight="1" x14ac:dyDescent="0.25">
      <c r="A470" s="4" t="s">
        <v>27</v>
      </c>
      <c r="B470" s="4" t="s">
        <v>41</v>
      </c>
      <c r="C470" s="4" t="s">
        <v>43</v>
      </c>
      <c r="D470" s="4" t="s">
        <v>47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44682</v>
      </c>
      <c r="J470" s="6">
        <v>0</v>
      </c>
      <c r="K470" s="6">
        <v>0</v>
      </c>
      <c r="L470" s="6">
        <v>-91.399000000000001</v>
      </c>
      <c r="M470" s="6">
        <v>-91.399000000000001</v>
      </c>
      <c r="N470" s="6">
        <v>-91.399000000000001</v>
      </c>
      <c r="O470" s="6">
        <v>-91.399000000000001</v>
      </c>
      <c r="P470" s="6">
        <v>0</v>
      </c>
      <c r="Q470" s="4" t="s">
        <v>26</v>
      </c>
      <c r="R470" s="4">
        <v>0</v>
      </c>
      <c r="S470" s="6">
        <v>0</v>
      </c>
      <c r="T470" s="6">
        <v>7</v>
      </c>
      <c r="U470" s="6">
        <v>76</v>
      </c>
      <c r="V470" s="6">
        <f>IF(ISERROR(VLOOKUP($S$470,'TAR FIN'!$A$1:$O$108,15,0)),0,VLOOKUP($S$470,'TAR FIN'!$A$1:$O$108,15,0))</f>
        <v>0</v>
      </c>
      <c r="W470" s="6">
        <f>IF(ISERROR(VLOOKUP($T$470,'TAR FIN'!$A$1:$O$108,15,0)),0,VLOOKUP($T$470,'TAR FIN'!$A$1:$O$108,15,0))</f>
        <v>102.62</v>
      </c>
      <c r="X470" s="6">
        <f>IF(ISERROR(VLOOKUP($U$470,'TAR FIN'!$A$1:$O$108,15,0)),0,VLOOKUP($U$470,'TAR FIN'!$A$1:$O$108,15,0))</f>
        <v>103.1</v>
      </c>
      <c r="Y470" s="6"/>
      <c r="Z470" s="6">
        <f ca="1">('TUSD BE'!$AM$28+'TUSD BF'!$AM$28+'TUSD CVA'!$AM$28)*1</f>
        <v>181.47641369790719</v>
      </c>
      <c r="AA470" s="6">
        <f>('TE BE'!$AB$11+'TE BF'!$AB$11+'TE CVA'!$AB$11)*1</f>
        <v>215.60278025898469</v>
      </c>
      <c r="AB470" s="6">
        <f>$K$470*$V$470</f>
        <v>0</v>
      </c>
      <c r="AC470" s="6">
        <f>$M$470*$W$470</f>
        <v>-9379.3653800000011</v>
      </c>
      <c r="AD470" s="6">
        <f>$O$470*$X$470</f>
        <v>-9423.2368999999999</v>
      </c>
      <c r="AE470" s="6">
        <f>$K$470*$Y$470</f>
        <v>0</v>
      </c>
      <c r="AF470" s="6">
        <f ca="1">$M$470*$Z$470</f>
        <v>-16586.762735575019</v>
      </c>
      <c r="AG470" s="6">
        <f>$O$470*$AA$470</f>
        <v>-19705.878512890944</v>
      </c>
    </row>
    <row r="471" spans="1:33" ht="11.25" customHeight="1" x14ac:dyDescent="0.25">
      <c r="A471" s="4" t="s">
        <v>28</v>
      </c>
      <c r="B471" s="4" t="s">
        <v>41</v>
      </c>
      <c r="C471" s="4" t="s">
        <v>43</v>
      </c>
      <c r="D471" s="4" t="s">
        <v>47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44682</v>
      </c>
      <c r="J471" s="6">
        <v>0</v>
      </c>
      <c r="K471" s="6">
        <v>0</v>
      </c>
      <c r="L471" s="6">
        <v>112.651</v>
      </c>
      <c r="M471" s="6">
        <v>112.651</v>
      </c>
      <c r="N471" s="6">
        <v>112.651</v>
      </c>
      <c r="O471" s="6">
        <v>112.651</v>
      </c>
      <c r="P471" s="6">
        <v>0</v>
      </c>
      <c r="Q471" s="4" t="s">
        <v>26</v>
      </c>
      <c r="R471" s="4">
        <v>0</v>
      </c>
      <c r="S471" s="6">
        <v>0</v>
      </c>
      <c r="T471" s="6">
        <v>7</v>
      </c>
      <c r="U471" s="6">
        <v>76</v>
      </c>
      <c r="V471" s="6">
        <f>IF(ISERROR(VLOOKUP($S$471,'TAR FIN'!$A$1:$O$108,15,0)),0,VLOOKUP($S$471,'TAR FIN'!$A$1:$O$108,15,0))</f>
        <v>0</v>
      </c>
      <c r="W471" s="6">
        <f>IF(ISERROR(VLOOKUP($T$471,'TAR FIN'!$A$1:$O$108,15,0)),0,VLOOKUP($T$471,'TAR FIN'!$A$1:$O$108,15,0))</f>
        <v>102.62</v>
      </c>
      <c r="X471" s="6">
        <f>IF(ISERROR(VLOOKUP($U$471,'TAR FIN'!$A$1:$O$108,15,0)),0,VLOOKUP($U$471,'TAR FIN'!$A$1:$O$108,15,0))</f>
        <v>103.1</v>
      </c>
      <c r="Y471" s="6"/>
      <c r="Z471" s="6">
        <f ca="1">('TUSD BE'!$AM$28+'TUSD BF'!$AM$28+'TUSD CVA'!$AM$28)*1</f>
        <v>181.47641369790719</v>
      </c>
      <c r="AA471" s="6">
        <f>('TE BE'!$AB$11+'TE BF'!$AB$11+'TE CVA'!$AB$11)*1</f>
        <v>215.60278025898469</v>
      </c>
      <c r="AB471" s="6">
        <f>$K$471*$V$471</f>
        <v>0</v>
      </c>
      <c r="AC471" s="6">
        <f>$M$471*$W$471</f>
        <v>11560.24562</v>
      </c>
      <c r="AD471" s="6">
        <f>$O$471*$X$471</f>
        <v>11614.318099999999</v>
      </c>
      <c r="AE471" s="6">
        <f>$K$471*$Y$471</f>
        <v>0</v>
      </c>
      <c r="AF471" s="6">
        <f ca="1">$M$471*$Z$471</f>
        <v>20443.499479482944</v>
      </c>
      <c r="AG471" s="6">
        <f>$O$471*$AA$471</f>
        <v>24287.868798954885</v>
      </c>
    </row>
    <row r="472" spans="1:33" ht="11.25" customHeight="1" x14ac:dyDescent="0.25">
      <c r="A472" s="4" t="s">
        <v>21</v>
      </c>
      <c r="B472" s="4" t="s">
        <v>41</v>
      </c>
      <c r="C472" s="4" t="s">
        <v>43</v>
      </c>
      <c r="D472" s="4" t="s">
        <v>47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44713</v>
      </c>
      <c r="J472" s="6">
        <v>0</v>
      </c>
      <c r="K472" s="6">
        <v>0</v>
      </c>
      <c r="L472" s="6">
        <v>4406.8590000000004</v>
      </c>
      <c r="M472" s="6">
        <v>4406.8590000000004</v>
      </c>
      <c r="N472" s="6">
        <v>4406.8590000000004</v>
      </c>
      <c r="O472" s="6">
        <v>4406.8590000000004</v>
      </c>
      <c r="P472" s="6">
        <v>0</v>
      </c>
      <c r="Q472" s="4" t="s">
        <v>26</v>
      </c>
      <c r="R472" s="4">
        <v>0</v>
      </c>
      <c r="S472" s="6">
        <v>0</v>
      </c>
      <c r="T472" s="6">
        <v>7</v>
      </c>
      <c r="U472" s="6">
        <v>76</v>
      </c>
      <c r="V472" s="6">
        <f>IF(ISERROR(VLOOKUP($S$472,'TAR FIN'!$A$1:$O$108,15,0)),0,VLOOKUP($S$472,'TAR FIN'!$A$1:$O$108,15,0))</f>
        <v>0</v>
      </c>
      <c r="W472" s="6">
        <f>IF(ISERROR(VLOOKUP($T$472,'TAR FIN'!$A$1:$O$108,15,0)),0,VLOOKUP($T$472,'TAR FIN'!$A$1:$O$108,15,0))</f>
        <v>102.62</v>
      </c>
      <c r="X472" s="6">
        <f>IF(ISERROR(VLOOKUP($U$472,'TAR FIN'!$A$1:$O$108,15,0)),0,VLOOKUP($U$472,'TAR FIN'!$A$1:$O$108,15,0))</f>
        <v>103.1</v>
      </c>
      <c r="Y472" s="6"/>
      <c r="Z472" s="6">
        <f ca="1">('TUSD BE'!$AM$28+'TUSD BF'!$AM$28+'TUSD CVA'!$AM$28)*1</f>
        <v>181.47641369790719</v>
      </c>
      <c r="AA472" s="6">
        <f>('TE BE'!$AB$11+'TE BF'!$AB$11+'TE CVA'!$AB$11)*1</f>
        <v>215.60278025898469</v>
      </c>
      <c r="AB472" s="6">
        <f>$K$472*$V$472</f>
        <v>0</v>
      </c>
      <c r="AC472" s="6">
        <f>$M$472*$W$472</f>
        <v>452231.87058000005</v>
      </c>
      <c r="AD472" s="6">
        <f>$O$472*$X$472</f>
        <v>454347.1629</v>
      </c>
      <c r="AE472" s="6">
        <f>$K$472*$Y$472</f>
        <v>0</v>
      </c>
      <c r="AF472" s="6">
        <f ca="1">$M$472*$Z$472</f>
        <v>799740.96699234564</v>
      </c>
      <c r="AG472" s="6">
        <f>$O$472*$AA$472</f>
        <v>950131.05260932911</v>
      </c>
    </row>
    <row r="473" spans="1:33" ht="11.25" customHeight="1" x14ac:dyDescent="0.25">
      <c r="A473" s="4" t="s">
        <v>28</v>
      </c>
      <c r="B473" s="4" t="s">
        <v>41</v>
      </c>
      <c r="C473" s="4" t="s">
        <v>43</v>
      </c>
      <c r="D473" s="4" t="s">
        <v>47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44713</v>
      </c>
      <c r="J473" s="6">
        <v>0</v>
      </c>
      <c r="K473" s="6">
        <v>0</v>
      </c>
      <c r="L473" s="6">
        <v>86.426000000000002</v>
      </c>
      <c r="M473" s="6">
        <v>86.426000000000002</v>
      </c>
      <c r="N473" s="6">
        <v>86.426000000000002</v>
      </c>
      <c r="O473" s="6">
        <v>86.426000000000002</v>
      </c>
      <c r="P473" s="6">
        <v>0</v>
      </c>
      <c r="Q473" s="4" t="s">
        <v>26</v>
      </c>
      <c r="R473" s="4">
        <v>0</v>
      </c>
      <c r="S473" s="6">
        <v>0</v>
      </c>
      <c r="T473" s="6">
        <v>7</v>
      </c>
      <c r="U473" s="6">
        <v>76</v>
      </c>
      <c r="V473" s="6">
        <f>IF(ISERROR(VLOOKUP($S$473,'TAR FIN'!$A$1:$O$108,15,0)),0,VLOOKUP($S$473,'TAR FIN'!$A$1:$O$108,15,0))</f>
        <v>0</v>
      </c>
      <c r="W473" s="6">
        <f>IF(ISERROR(VLOOKUP($T$473,'TAR FIN'!$A$1:$O$108,15,0)),0,VLOOKUP($T$473,'TAR FIN'!$A$1:$O$108,15,0))</f>
        <v>102.62</v>
      </c>
      <c r="X473" s="6">
        <f>IF(ISERROR(VLOOKUP($U$473,'TAR FIN'!$A$1:$O$108,15,0)),0,VLOOKUP($U$473,'TAR FIN'!$A$1:$O$108,15,0))</f>
        <v>103.1</v>
      </c>
      <c r="Y473" s="6"/>
      <c r="Z473" s="6">
        <f ca="1">('TUSD BE'!$AM$28+'TUSD BF'!$AM$28+'TUSD CVA'!$AM$28)*1</f>
        <v>181.47641369790719</v>
      </c>
      <c r="AA473" s="6">
        <f>('TE BE'!$AB$11+'TE BF'!$AB$11+'TE CVA'!$AB$11)*1</f>
        <v>215.60278025898469</v>
      </c>
      <c r="AB473" s="6">
        <f>$K$473*$V$473</f>
        <v>0</v>
      </c>
      <c r="AC473" s="6">
        <f>$M$473*$W$473</f>
        <v>8869.0361200000007</v>
      </c>
      <c r="AD473" s="6">
        <f>$O$473*$X$473</f>
        <v>8910.5205999999998</v>
      </c>
      <c r="AE473" s="6">
        <f>$K$473*$Y$473</f>
        <v>0</v>
      </c>
      <c r="AF473" s="6">
        <f ca="1">$M$473*$Z$473</f>
        <v>15684.280530255328</v>
      </c>
      <c r="AG473" s="6">
        <f>$O$473*$AA$473</f>
        <v>18633.68588666301</v>
      </c>
    </row>
    <row r="474" spans="1:33" ht="11.25" customHeight="1" x14ac:dyDescent="0.25">
      <c r="A474" s="4" t="s">
        <v>21</v>
      </c>
      <c r="B474" s="4" t="s">
        <v>41</v>
      </c>
      <c r="C474" s="4" t="s">
        <v>43</v>
      </c>
      <c r="D474" s="4" t="s">
        <v>47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44743</v>
      </c>
      <c r="J474" s="6">
        <v>0</v>
      </c>
      <c r="K474" s="6">
        <v>0</v>
      </c>
      <c r="L474" s="6">
        <v>3639.0540000000001</v>
      </c>
      <c r="M474" s="6">
        <v>3639.0540000000001</v>
      </c>
      <c r="N474" s="6">
        <v>3639.0540000000001</v>
      </c>
      <c r="O474" s="6">
        <v>3639.0540000000001</v>
      </c>
      <c r="P474" s="6">
        <v>0</v>
      </c>
      <c r="Q474" s="4" t="s">
        <v>26</v>
      </c>
      <c r="R474" s="4">
        <v>0</v>
      </c>
      <c r="S474" s="6">
        <v>0</v>
      </c>
      <c r="T474" s="6">
        <v>7</v>
      </c>
      <c r="U474" s="6">
        <v>76</v>
      </c>
      <c r="V474" s="6">
        <f>IF(ISERROR(VLOOKUP($S$474,'TAR FIN'!$A$1:$O$108,15,0)),0,VLOOKUP($S$474,'TAR FIN'!$A$1:$O$108,15,0))</f>
        <v>0</v>
      </c>
      <c r="W474" s="6">
        <f>IF(ISERROR(VLOOKUP($T$474,'TAR FIN'!$A$1:$O$108,15,0)),0,VLOOKUP($T$474,'TAR FIN'!$A$1:$O$108,15,0))</f>
        <v>102.62</v>
      </c>
      <c r="X474" s="6">
        <f>IF(ISERROR(VLOOKUP($U$474,'TAR FIN'!$A$1:$O$108,15,0)),0,VLOOKUP($U$474,'TAR FIN'!$A$1:$O$108,15,0))</f>
        <v>103.1</v>
      </c>
      <c r="Y474" s="6"/>
      <c r="Z474" s="6">
        <f ca="1">('TUSD BE'!$AM$28+'TUSD BF'!$AM$28+'TUSD CVA'!$AM$28)*1</f>
        <v>181.47641369790719</v>
      </c>
      <c r="AA474" s="6">
        <f>('TE BE'!$AB$11+'TE BF'!$AB$11+'TE CVA'!$AB$11)*1</f>
        <v>215.60278025898469</v>
      </c>
      <c r="AB474" s="6">
        <f>$K$474*$V$474</f>
        <v>0</v>
      </c>
      <c r="AC474" s="6">
        <f>$M$474*$W$474</f>
        <v>373439.72148000001</v>
      </c>
      <c r="AD474" s="6">
        <f>$O$474*$X$474</f>
        <v>375186.46739999996</v>
      </c>
      <c r="AE474" s="6">
        <f>$K$474*$Y$474</f>
        <v>0</v>
      </c>
      <c r="AF474" s="6">
        <f ca="1">$M$474*$Z$474</f>
        <v>660402.46917302394</v>
      </c>
      <c r="AG474" s="6">
        <f>$O$474*$AA$474</f>
        <v>784590.15991257934</v>
      </c>
    </row>
    <row r="475" spans="1:33" ht="11.25" customHeight="1" x14ac:dyDescent="0.25">
      <c r="A475" s="4" t="s">
        <v>27</v>
      </c>
      <c r="B475" s="4" t="s">
        <v>41</v>
      </c>
      <c r="C475" s="4" t="s">
        <v>43</v>
      </c>
      <c r="D475" s="4" t="s">
        <v>47</v>
      </c>
      <c r="E475" s="4" t="s">
        <v>25</v>
      </c>
      <c r="F475" s="4" t="s">
        <v>25</v>
      </c>
      <c r="G475" s="4" t="s">
        <v>25</v>
      </c>
      <c r="H475" s="4" t="s">
        <v>35</v>
      </c>
      <c r="I475" s="5">
        <v>44743</v>
      </c>
      <c r="J475" s="6">
        <v>0</v>
      </c>
      <c r="K475" s="6">
        <v>0</v>
      </c>
      <c r="L475" s="6">
        <v>31.006</v>
      </c>
      <c r="M475" s="6">
        <v>31.006</v>
      </c>
      <c r="N475" s="6">
        <v>31.006</v>
      </c>
      <c r="O475" s="6">
        <v>31.006</v>
      </c>
      <c r="P475" s="6">
        <v>0</v>
      </c>
      <c r="Q475" s="4" t="s">
        <v>26</v>
      </c>
      <c r="R475" s="4">
        <v>0</v>
      </c>
      <c r="S475" s="6">
        <v>0</v>
      </c>
      <c r="T475" s="6">
        <v>7</v>
      </c>
      <c r="U475" s="6">
        <v>76</v>
      </c>
      <c r="V475" s="6">
        <f>IF(ISERROR(VLOOKUP($S$475,'TAR FIN'!$A$1:$O$108,15,0)),0,VLOOKUP($S$475,'TAR FIN'!$A$1:$O$108,15,0))</f>
        <v>0</v>
      </c>
      <c r="W475" s="6">
        <f>IF(ISERROR(VLOOKUP($T$475,'TAR FIN'!$A$1:$O$108,15,0)),0,VLOOKUP($T$475,'TAR FIN'!$A$1:$O$108,15,0))</f>
        <v>102.62</v>
      </c>
      <c r="X475" s="6">
        <f>IF(ISERROR(VLOOKUP($U$475,'TAR FIN'!$A$1:$O$108,15,0)),0,VLOOKUP($U$475,'TAR FIN'!$A$1:$O$108,15,0))</f>
        <v>103.1</v>
      </c>
      <c r="Y475" s="6"/>
      <c r="Z475" s="6">
        <f ca="1">('TUSD BE'!$AM$28+'TUSD BF'!$AM$28+'TUSD CVA'!$AM$28)*1</f>
        <v>181.47641369790719</v>
      </c>
      <c r="AA475" s="6">
        <f>('TE BE'!$AB$11+'TE BF'!$AB$11+'TE CVA'!$AB$11)*1</f>
        <v>215.60278025898469</v>
      </c>
      <c r="AB475" s="6">
        <f>$K$475*$V$475</f>
        <v>0</v>
      </c>
      <c r="AC475" s="6">
        <f>$M$475*$W$475</f>
        <v>3181.83572</v>
      </c>
      <c r="AD475" s="6">
        <f>$O$475*$X$475</f>
        <v>3196.7185999999997</v>
      </c>
      <c r="AE475" s="6">
        <f>$K$475*$Y$475</f>
        <v>0</v>
      </c>
      <c r="AF475" s="6">
        <f ca="1">$M$475*$Z$475</f>
        <v>5626.8576831173104</v>
      </c>
      <c r="AG475" s="6">
        <f>$O$475*$AA$475</f>
        <v>6684.9798047100794</v>
      </c>
    </row>
    <row r="476" spans="1:33" ht="11.25" customHeight="1" x14ac:dyDescent="0.25">
      <c r="A476" s="4" t="s">
        <v>28</v>
      </c>
      <c r="B476" s="4" t="s">
        <v>41</v>
      </c>
      <c r="C476" s="4" t="s">
        <v>43</v>
      </c>
      <c r="D476" s="4" t="s">
        <v>47</v>
      </c>
      <c r="E476" s="4" t="s">
        <v>25</v>
      </c>
      <c r="F476" s="4" t="s">
        <v>25</v>
      </c>
      <c r="G476" s="4" t="s">
        <v>25</v>
      </c>
      <c r="H476" s="4" t="s">
        <v>35</v>
      </c>
      <c r="I476" s="5">
        <v>44743</v>
      </c>
      <c r="J476" s="6">
        <v>0</v>
      </c>
      <c r="K476" s="6">
        <v>0</v>
      </c>
      <c r="L476" s="6">
        <v>114.834</v>
      </c>
      <c r="M476" s="6">
        <v>114.834</v>
      </c>
      <c r="N476" s="6">
        <v>114.834</v>
      </c>
      <c r="O476" s="6">
        <v>114.834</v>
      </c>
      <c r="P476" s="6">
        <v>0</v>
      </c>
      <c r="Q476" s="4" t="s">
        <v>26</v>
      </c>
      <c r="R476" s="4">
        <v>0</v>
      </c>
      <c r="S476" s="6">
        <v>0</v>
      </c>
      <c r="T476" s="6">
        <v>7</v>
      </c>
      <c r="U476" s="6">
        <v>76</v>
      </c>
      <c r="V476" s="6">
        <f>IF(ISERROR(VLOOKUP($S$476,'TAR FIN'!$A$1:$O$108,15,0)),0,VLOOKUP($S$476,'TAR FIN'!$A$1:$O$108,15,0))</f>
        <v>0</v>
      </c>
      <c r="W476" s="6">
        <f>IF(ISERROR(VLOOKUP($T$476,'TAR FIN'!$A$1:$O$108,15,0)),0,VLOOKUP($T$476,'TAR FIN'!$A$1:$O$108,15,0))</f>
        <v>102.62</v>
      </c>
      <c r="X476" s="6">
        <f>IF(ISERROR(VLOOKUP($U$476,'TAR FIN'!$A$1:$O$108,15,0)),0,VLOOKUP($U$476,'TAR FIN'!$A$1:$O$108,15,0))</f>
        <v>103.1</v>
      </c>
      <c r="Y476" s="6"/>
      <c r="Z476" s="6">
        <f ca="1">('TUSD BE'!$AM$28+'TUSD BF'!$AM$28+'TUSD CVA'!$AM$28)*1</f>
        <v>181.47641369790719</v>
      </c>
      <c r="AA476" s="6">
        <f>('TE BE'!$AB$11+'TE BF'!$AB$11+'TE CVA'!$AB$11)*1</f>
        <v>215.60278025898469</v>
      </c>
      <c r="AB476" s="6">
        <f>$K$476*$V$476</f>
        <v>0</v>
      </c>
      <c r="AC476" s="6">
        <f>$M$476*$W$476</f>
        <v>11784.265080000001</v>
      </c>
      <c r="AD476" s="6">
        <f>$O$476*$X$476</f>
        <v>11839.385399999999</v>
      </c>
      <c r="AE476" s="6">
        <f>$K$476*$Y$476</f>
        <v>0</v>
      </c>
      <c r="AF476" s="6">
        <f ca="1">$M$476*$Z$476</f>
        <v>20839.662490585473</v>
      </c>
      <c r="AG476" s="6">
        <f>$O$476*$AA$476</f>
        <v>24758.529668260249</v>
      </c>
    </row>
    <row r="477" spans="1:33" ht="11.25" customHeight="1" x14ac:dyDescent="0.25">
      <c r="A477" s="4" t="s">
        <v>21</v>
      </c>
      <c r="B477" s="4" t="s">
        <v>41</v>
      </c>
      <c r="C477" s="4" t="s">
        <v>43</v>
      </c>
      <c r="D477" s="4" t="s">
        <v>47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44774</v>
      </c>
      <c r="J477" s="6">
        <v>0</v>
      </c>
      <c r="K477" s="6">
        <v>0</v>
      </c>
      <c r="L477" s="6">
        <v>4372.8040000000001</v>
      </c>
      <c r="M477" s="6">
        <v>4372.8040000000001</v>
      </c>
      <c r="N477" s="6">
        <v>4372.8040000000001</v>
      </c>
      <c r="O477" s="6">
        <v>4372.8040000000001</v>
      </c>
      <c r="P477" s="6">
        <v>0</v>
      </c>
      <c r="Q477" s="4" t="s">
        <v>26</v>
      </c>
      <c r="R477" s="4">
        <v>0</v>
      </c>
      <c r="S477" s="6">
        <v>0</v>
      </c>
      <c r="T477" s="6">
        <v>7</v>
      </c>
      <c r="U477" s="6">
        <v>76</v>
      </c>
      <c r="V477" s="6">
        <f>IF(ISERROR(VLOOKUP($S$477,'TAR FIN'!$A$1:$O$108,15,0)),0,VLOOKUP($S$477,'TAR FIN'!$A$1:$O$108,15,0))</f>
        <v>0</v>
      </c>
      <c r="W477" s="6">
        <f>IF(ISERROR(VLOOKUP($T$477,'TAR FIN'!$A$1:$O$108,15,0)),0,VLOOKUP($T$477,'TAR FIN'!$A$1:$O$108,15,0))</f>
        <v>102.62</v>
      </c>
      <c r="X477" s="6">
        <f>IF(ISERROR(VLOOKUP($U$477,'TAR FIN'!$A$1:$O$108,15,0)),0,VLOOKUP($U$477,'TAR FIN'!$A$1:$O$108,15,0))</f>
        <v>103.1</v>
      </c>
      <c r="Y477" s="6"/>
      <c r="Z477" s="6">
        <f ca="1">('TUSD BE'!$AM$28+'TUSD BF'!$AM$28+'TUSD CVA'!$AM$28)*1</f>
        <v>181.47641369790719</v>
      </c>
      <c r="AA477" s="6">
        <f>('TE BE'!$AB$11+'TE BF'!$AB$11+'TE CVA'!$AB$11)*1</f>
        <v>215.60278025898469</v>
      </c>
      <c r="AB477" s="6">
        <f>$K$477*$V$477</f>
        <v>0</v>
      </c>
      <c r="AC477" s="6">
        <f>$M$477*$W$477</f>
        <v>448737.14648000005</v>
      </c>
      <c r="AD477" s="6">
        <f>$O$477*$X$477</f>
        <v>450836.09239999996</v>
      </c>
      <c r="AE477" s="6">
        <f>$K$477*$Y$477</f>
        <v>0</v>
      </c>
      <c r="AF477" s="6">
        <f ca="1">$M$477*$Z$477</f>
        <v>793560.78772386338</v>
      </c>
      <c r="AG477" s="6">
        <f>$O$477*$AA$477</f>
        <v>942788.6999276093</v>
      </c>
    </row>
    <row r="478" spans="1:33" ht="11.25" customHeight="1" x14ac:dyDescent="0.25">
      <c r="A478" s="4" t="s">
        <v>27</v>
      </c>
      <c r="B478" s="4" t="s">
        <v>41</v>
      </c>
      <c r="C478" s="4" t="s">
        <v>43</v>
      </c>
      <c r="D478" s="4" t="s">
        <v>47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44774</v>
      </c>
      <c r="J478" s="6">
        <v>0</v>
      </c>
      <c r="K478" s="6">
        <v>0</v>
      </c>
      <c r="L478" s="6">
        <v>1E-3</v>
      </c>
      <c r="M478" s="6">
        <v>1E-3</v>
      </c>
      <c r="N478" s="6">
        <v>1E-3</v>
      </c>
      <c r="O478" s="6">
        <v>1E-3</v>
      </c>
      <c r="P478" s="6">
        <v>0</v>
      </c>
      <c r="Q478" s="4" t="s">
        <v>26</v>
      </c>
      <c r="R478" s="4">
        <v>0</v>
      </c>
      <c r="S478" s="6">
        <v>0</v>
      </c>
      <c r="T478" s="6">
        <v>7</v>
      </c>
      <c r="U478" s="6">
        <v>76</v>
      </c>
      <c r="V478" s="6">
        <f>IF(ISERROR(VLOOKUP($S$478,'TAR FIN'!$A$1:$O$108,15,0)),0,VLOOKUP($S$478,'TAR FIN'!$A$1:$O$108,15,0))</f>
        <v>0</v>
      </c>
      <c r="W478" s="6">
        <f>IF(ISERROR(VLOOKUP($T$478,'TAR FIN'!$A$1:$O$108,15,0)),0,VLOOKUP($T$478,'TAR FIN'!$A$1:$O$108,15,0))</f>
        <v>102.62</v>
      </c>
      <c r="X478" s="6">
        <f>IF(ISERROR(VLOOKUP($U$478,'TAR FIN'!$A$1:$O$108,15,0)),0,VLOOKUP($U$478,'TAR FIN'!$A$1:$O$108,15,0))</f>
        <v>103.1</v>
      </c>
      <c r="Y478" s="6"/>
      <c r="Z478" s="6">
        <f ca="1">('TUSD BE'!$AM$28+'TUSD BF'!$AM$28+'TUSD CVA'!$AM$28)*1</f>
        <v>181.47641369790719</v>
      </c>
      <c r="AA478" s="6">
        <f>('TE BE'!$AB$11+'TE BF'!$AB$11+'TE CVA'!$AB$11)*1</f>
        <v>215.60278025898469</v>
      </c>
      <c r="AB478" s="6">
        <f>$K$478*$V$478</f>
        <v>0</v>
      </c>
      <c r="AC478" s="6">
        <f>$M$478*$W$478</f>
        <v>0.10262</v>
      </c>
      <c r="AD478" s="6">
        <f>$O$478*$X$478</f>
        <v>0.1031</v>
      </c>
      <c r="AE478" s="6">
        <f>$K$478*$Y$478</f>
        <v>0</v>
      </c>
      <c r="AF478" s="6">
        <f ca="1">$M$478*$Z$478</f>
        <v>0.18147641369790721</v>
      </c>
      <c r="AG478" s="6">
        <f>$O$478*$AA$478</f>
        <v>0.21560278025898469</v>
      </c>
    </row>
    <row r="479" spans="1:33" ht="11.25" customHeight="1" x14ac:dyDescent="0.25">
      <c r="A479" s="4" t="s">
        <v>28</v>
      </c>
      <c r="B479" s="4" t="s">
        <v>41</v>
      </c>
      <c r="C479" s="4" t="s">
        <v>43</v>
      </c>
      <c r="D479" s="4" t="s">
        <v>47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44774</v>
      </c>
      <c r="J479" s="6">
        <v>0</v>
      </c>
      <c r="K479" s="6">
        <v>0</v>
      </c>
      <c r="L479" s="6">
        <v>139.92500000000001</v>
      </c>
      <c r="M479" s="6">
        <v>139.92500000000001</v>
      </c>
      <c r="N479" s="6">
        <v>139.92500000000001</v>
      </c>
      <c r="O479" s="6">
        <v>139.92500000000001</v>
      </c>
      <c r="P479" s="6">
        <v>0</v>
      </c>
      <c r="Q479" s="4" t="s">
        <v>26</v>
      </c>
      <c r="R479" s="4">
        <v>0</v>
      </c>
      <c r="S479" s="6">
        <v>0</v>
      </c>
      <c r="T479" s="6">
        <v>7</v>
      </c>
      <c r="U479" s="6">
        <v>76</v>
      </c>
      <c r="V479" s="6">
        <f>IF(ISERROR(VLOOKUP($S$479,'TAR FIN'!$A$1:$O$108,15,0)),0,VLOOKUP($S$479,'TAR FIN'!$A$1:$O$108,15,0))</f>
        <v>0</v>
      </c>
      <c r="W479" s="6">
        <f>IF(ISERROR(VLOOKUP($T$479,'TAR FIN'!$A$1:$O$108,15,0)),0,VLOOKUP($T$479,'TAR FIN'!$A$1:$O$108,15,0))</f>
        <v>102.62</v>
      </c>
      <c r="X479" s="6">
        <f>IF(ISERROR(VLOOKUP($U$479,'TAR FIN'!$A$1:$O$108,15,0)),0,VLOOKUP($U$479,'TAR FIN'!$A$1:$O$108,15,0))</f>
        <v>103.1</v>
      </c>
      <c r="Y479" s="6"/>
      <c r="Z479" s="6">
        <f ca="1">('TUSD BE'!$AM$28+'TUSD BF'!$AM$28+'TUSD CVA'!$AM$28)*1</f>
        <v>181.47641369790719</v>
      </c>
      <c r="AA479" s="6">
        <f>('TE BE'!$AB$11+'TE BF'!$AB$11+'TE CVA'!$AB$11)*1</f>
        <v>215.60278025898469</v>
      </c>
      <c r="AB479" s="6">
        <f>$K$479*$V$479</f>
        <v>0</v>
      </c>
      <c r="AC479" s="6">
        <f>$M$479*$W$479</f>
        <v>14359.103500000001</v>
      </c>
      <c r="AD479" s="6">
        <f>$O$479*$X$479</f>
        <v>14426.2675</v>
      </c>
      <c r="AE479" s="6">
        <f>$K$479*$Y$479</f>
        <v>0</v>
      </c>
      <c r="AF479" s="6">
        <f ca="1">$M$479*$Z$479</f>
        <v>25393.087186679666</v>
      </c>
      <c r="AG479" s="6">
        <f>$O$479*$AA$479</f>
        <v>30168.219027738436</v>
      </c>
    </row>
    <row r="480" spans="1:33" ht="11.25" customHeight="1" x14ac:dyDescent="0.25">
      <c r="A480" s="4" t="s">
        <v>21</v>
      </c>
      <c r="B480" s="4" t="s">
        <v>41</v>
      </c>
      <c r="C480" s="4" t="s">
        <v>43</v>
      </c>
      <c r="D480" s="4" t="s">
        <v>47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44805</v>
      </c>
      <c r="J480" s="6">
        <v>0</v>
      </c>
      <c r="K480" s="6">
        <v>0</v>
      </c>
      <c r="L480" s="6">
        <v>4781.7860000000001</v>
      </c>
      <c r="M480" s="6">
        <v>4781.7860000000001</v>
      </c>
      <c r="N480" s="6">
        <v>4781.7860000000001</v>
      </c>
      <c r="O480" s="6">
        <v>4781.7860000000001</v>
      </c>
      <c r="P480" s="6">
        <v>0</v>
      </c>
      <c r="Q480" s="4" t="s">
        <v>26</v>
      </c>
      <c r="R480" s="4">
        <v>0</v>
      </c>
      <c r="S480" s="6">
        <v>0</v>
      </c>
      <c r="T480" s="6">
        <v>7</v>
      </c>
      <c r="U480" s="6">
        <v>76</v>
      </c>
      <c r="V480" s="6">
        <f>IF(ISERROR(VLOOKUP($S$480,'TAR FIN'!$A$1:$O$108,15,0)),0,VLOOKUP($S$480,'TAR FIN'!$A$1:$O$108,15,0))</f>
        <v>0</v>
      </c>
      <c r="W480" s="6">
        <f>IF(ISERROR(VLOOKUP($T$480,'TAR FIN'!$A$1:$O$108,15,0)),0,VLOOKUP($T$480,'TAR FIN'!$A$1:$O$108,15,0))</f>
        <v>102.62</v>
      </c>
      <c r="X480" s="6">
        <f>IF(ISERROR(VLOOKUP($U$480,'TAR FIN'!$A$1:$O$108,15,0)),0,VLOOKUP($U$480,'TAR FIN'!$A$1:$O$108,15,0))</f>
        <v>103.1</v>
      </c>
      <c r="Y480" s="6"/>
      <c r="Z480" s="6">
        <f ca="1">('TUSD BE'!$AM$28+'TUSD BF'!$AM$28+'TUSD CVA'!$AM$28)*1</f>
        <v>181.47641369790719</v>
      </c>
      <c r="AA480" s="6">
        <f>('TE BE'!$AB$11+'TE BF'!$AB$11+'TE CVA'!$AB$11)*1</f>
        <v>215.60278025898469</v>
      </c>
      <c r="AB480" s="6">
        <f>$K$480*$V$480</f>
        <v>0</v>
      </c>
      <c r="AC480" s="6">
        <f>$M$480*$W$480</f>
        <v>490706.87932000001</v>
      </c>
      <c r="AD480" s="6">
        <f>$O$480*$X$480</f>
        <v>493002.13659999997</v>
      </c>
      <c r="AE480" s="6">
        <f>$K$480*$Y$480</f>
        <v>0</v>
      </c>
      <c r="AF480" s="6">
        <f ca="1">$M$480*$Z$480</f>
        <v>867781.37435086083</v>
      </c>
      <c r="AG480" s="6">
        <f>$O$480*$AA$480</f>
        <v>1030966.3562034894</v>
      </c>
    </row>
    <row r="481" spans="1:33" ht="11.25" customHeight="1" x14ac:dyDescent="0.25">
      <c r="A481" s="4" t="s">
        <v>27</v>
      </c>
      <c r="B481" s="4" t="s">
        <v>41</v>
      </c>
      <c r="C481" s="4" t="s">
        <v>43</v>
      </c>
      <c r="D481" s="4" t="s">
        <v>47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44805</v>
      </c>
      <c r="J481" s="6">
        <v>0</v>
      </c>
      <c r="K481" s="6">
        <v>0</v>
      </c>
      <c r="L481" s="6">
        <v>543.77800000000002</v>
      </c>
      <c r="M481" s="6">
        <v>543.77800000000002</v>
      </c>
      <c r="N481" s="6">
        <v>543.77800000000002</v>
      </c>
      <c r="O481" s="6">
        <v>543.77800000000002</v>
      </c>
      <c r="P481" s="6">
        <v>0</v>
      </c>
      <c r="Q481" s="4" t="s">
        <v>26</v>
      </c>
      <c r="R481" s="4">
        <v>0</v>
      </c>
      <c r="S481" s="6">
        <v>0</v>
      </c>
      <c r="T481" s="6">
        <v>7</v>
      </c>
      <c r="U481" s="6">
        <v>76</v>
      </c>
      <c r="V481" s="6">
        <f>IF(ISERROR(VLOOKUP($S$481,'TAR FIN'!$A$1:$O$108,15,0)),0,VLOOKUP($S$481,'TAR FIN'!$A$1:$O$108,15,0))</f>
        <v>0</v>
      </c>
      <c r="W481" s="6">
        <f>IF(ISERROR(VLOOKUP($T$481,'TAR FIN'!$A$1:$O$108,15,0)),0,VLOOKUP($T$481,'TAR FIN'!$A$1:$O$108,15,0))</f>
        <v>102.62</v>
      </c>
      <c r="X481" s="6">
        <f>IF(ISERROR(VLOOKUP($U$481,'TAR FIN'!$A$1:$O$108,15,0)),0,VLOOKUP($U$481,'TAR FIN'!$A$1:$O$108,15,0))</f>
        <v>103.1</v>
      </c>
      <c r="Y481" s="6"/>
      <c r="Z481" s="6">
        <f ca="1">('TUSD BE'!$AM$28+'TUSD BF'!$AM$28+'TUSD CVA'!$AM$28)*1</f>
        <v>181.47641369790719</v>
      </c>
      <c r="AA481" s="6">
        <f>('TE BE'!$AB$11+'TE BF'!$AB$11+'TE CVA'!$AB$11)*1</f>
        <v>215.60278025898469</v>
      </c>
      <c r="AB481" s="6">
        <f>$K$481*$V$481</f>
        <v>0</v>
      </c>
      <c r="AC481" s="6">
        <f>$M$481*$W$481</f>
        <v>55802.498360000005</v>
      </c>
      <c r="AD481" s="6">
        <f>$O$481*$X$481</f>
        <v>56063.5118</v>
      </c>
      <c r="AE481" s="6">
        <f>$K$481*$Y$481</f>
        <v>0</v>
      </c>
      <c r="AF481" s="6">
        <f ca="1">$M$481*$Z$481</f>
        <v>98682.881287820579</v>
      </c>
      <c r="AG481" s="6">
        <f>$O$481*$AA$481</f>
        <v>117240.04864367019</v>
      </c>
    </row>
    <row r="482" spans="1:33" ht="11.25" customHeight="1" x14ac:dyDescent="0.25">
      <c r="A482" s="4" t="s">
        <v>28</v>
      </c>
      <c r="B482" s="4" t="s">
        <v>41</v>
      </c>
      <c r="C482" s="4" t="s">
        <v>43</v>
      </c>
      <c r="D482" s="4" t="s">
        <v>47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44805</v>
      </c>
      <c r="J482" s="6">
        <v>0</v>
      </c>
      <c r="K482" s="6">
        <v>0</v>
      </c>
      <c r="L482" s="6">
        <v>89.397000000000006</v>
      </c>
      <c r="M482" s="6">
        <v>89.397000000000006</v>
      </c>
      <c r="N482" s="6">
        <v>89.397000000000006</v>
      </c>
      <c r="O482" s="6">
        <v>89.397000000000006</v>
      </c>
      <c r="P482" s="6">
        <v>0</v>
      </c>
      <c r="Q482" s="4" t="s">
        <v>26</v>
      </c>
      <c r="R482" s="4">
        <v>0</v>
      </c>
      <c r="S482" s="6">
        <v>0</v>
      </c>
      <c r="T482" s="6">
        <v>7</v>
      </c>
      <c r="U482" s="6">
        <v>76</v>
      </c>
      <c r="V482" s="6">
        <f>IF(ISERROR(VLOOKUP($S$482,'TAR FIN'!$A$1:$O$108,15,0)),0,VLOOKUP($S$482,'TAR FIN'!$A$1:$O$108,15,0))</f>
        <v>0</v>
      </c>
      <c r="W482" s="6">
        <f>IF(ISERROR(VLOOKUP($T$482,'TAR FIN'!$A$1:$O$108,15,0)),0,VLOOKUP($T$482,'TAR FIN'!$A$1:$O$108,15,0))</f>
        <v>102.62</v>
      </c>
      <c r="X482" s="6">
        <f>IF(ISERROR(VLOOKUP($U$482,'TAR FIN'!$A$1:$O$108,15,0)),0,VLOOKUP($U$482,'TAR FIN'!$A$1:$O$108,15,0))</f>
        <v>103.1</v>
      </c>
      <c r="Y482" s="6"/>
      <c r="Z482" s="6">
        <f ca="1">('TUSD BE'!$AM$28+'TUSD BF'!$AM$28+'TUSD CVA'!$AM$28)*1</f>
        <v>181.47641369790719</v>
      </c>
      <c r="AA482" s="6">
        <f>('TE BE'!$AB$11+'TE BF'!$AB$11+'TE CVA'!$AB$11)*1</f>
        <v>215.60278025898469</v>
      </c>
      <c r="AB482" s="6">
        <f>$K$482*$V$482</f>
        <v>0</v>
      </c>
      <c r="AC482" s="6">
        <f>$M$482*$W$482</f>
        <v>9173.9201400000002</v>
      </c>
      <c r="AD482" s="6">
        <f>$O$482*$X$482</f>
        <v>9216.8307000000004</v>
      </c>
      <c r="AE482" s="6">
        <f>$K$482*$Y$482</f>
        <v>0</v>
      </c>
      <c r="AF482" s="6">
        <f ca="1">$M$482*$Z$482</f>
        <v>16223.44695535181</v>
      </c>
      <c r="AG482" s="6">
        <f>$O$482*$AA$482</f>
        <v>19274.241746812455</v>
      </c>
    </row>
    <row r="483" spans="1:33" ht="11.25" customHeight="1" x14ac:dyDescent="0.25">
      <c r="A483" s="4" t="s">
        <v>21</v>
      </c>
      <c r="B483" s="4" t="s">
        <v>41</v>
      </c>
      <c r="C483" s="4" t="s">
        <v>43</v>
      </c>
      <c r="D483" s="4" t="s">
        <v>47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44835</v>
      </c>
      <c r="J483" s="6">
        <v>0</v>
      </c>
      <c r="K483" s="6">
        <v>0</v>
      </c>
      <c r="L483" s="6">
        <v>5109.7160000000003</v>
      </c>
      <c r="M483" s="6">
        <v>5109.7160000000003</v>
      </c>
      <c r="N483" s="6">
        <v>5109.7160000000003</v>
      </c>
      <c r="O483" s="6">
        <v>5109.7160000000003</v>
      </c>
      <c r="P483" s="6">
        <v>0</v>
      </c>
      <c r="Q483" s="4" t="s">
        <v>26</v>
      </c>
      <c r="R483" s="4">
        <v>0</v>
      </c>
      <c r="S483" s="6">
        <v>0</v>
      </c>
      <c r="T483" s="6">
        <v>7</v>
      </c>
      <c r="U483" s="6">
        <v>76</v>
      </c>
      <c r="V483" s="6">
        <f>IF(ISERROR(VLOOKUP($S$483,'TAR FIN'!$A$1:$O$108,15,0)),0,VLOOKUP($S$483,'TAR FIN'!$A$1:$O$108,15,0))</f>
        <v>0</v>
      </c>
      <c r="W483" s="6">
        <f>IF(ISERROR(VLOOKUP($T$483,'TAR FIN'!$A$1:$O$108,15,0)),0,VLOOKUP($T$483,'TAR FIN'!$A$1:$O$108,15,0))</f>
        <v>102.62</v>
      </c>
      <c r="X483" s="6">
        <f>IF(ISERROR(VLOOKUP($U$483,'TAR FIN'!$A$1:$O$108,15,0)),0,VLOOKUP($U$483,'TAR FIN'!$A$1:$O$108,15,0))</f>
        <v>103.1</v>
      </c>
      <c r="Y483" s="6"/>
      <c r="Z483" s="6">
        <f ca="1">('TUSD BE'!$AM$28+'TUSD BF'!$AM$28+'TUSD CVA'!$AM$28)*1</f>
        <v>181.47641369790719</v>
      </c>
      <c r="AA483" s="6">
        <f>('TE BE'!$AB$11+'TE BF'!$AB$11+'TE CVA'!$AB$11)*1</f>
        <v>215.60278025898469</v>
      </c>
      <c r="AB483" s="6">
        <f>$K$483*$V$483</f>
        <v>0</v>
      </c>
      <c r="AC483" s="6">
        <f>$M$483*$W$483</f>
        <v>524359.05592000007</v>
      </c>
      <c r="AD483" s="6">
        <f>$O$483*$X$483</f>
        <v>526811.71959999995</v>
      </c>
      <c r="AE483" s="6">
        <f>$K$483*$Y$483</f>
        <v>0</v>
      </c>
      <c r="AF483" s="6">
        <f ca="1">$M$483*$Z$483</f>
        <v>927292.93469481566</v>
      </c>
      <c r="AG483" s="6">
        <f>$O$483*$AA$483</f>
        <v>1101668.9759338184</v>
      </c>
    </row>
    <row r="484" spans="1:33" ht="11.25" customHeight="1" x14ac:dyDescent="0.25">
      <c r="A484" s="4" t="s">
        <v>28</v>
      </c>
      <c r="B484" s="4" t="s">
        <v>41</v>
      </c>
      <c r="C484" s="4" t="s">
        <v>43</v>
      </c>
      <c r="D484" s="4" t="s">
        <v>47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44835</v>
      </c>
      <c r="J484" s="6">
        <v>0</v>
      </c>
      <c r="K484" s="6">
        <v>0</v>
      </c>
      <c r="L484" s="6">
        <v>102.911</v>
      </c>
      <c r="M484" s="6">
        <v>102.911</v>
      </c>
      <c r="N484" s="6">
        <v>102.911</v>
      </c>
      <c r="O484" s="6">
        <v>102.911</v>
      </c>
      <c r="P484" s="6">
        <v>0</v>
      </c>
      <c r="Q484" s="4" t="s">
        <v>26</v>
      </c>
      <c r="R484" s="4">
        <v>0</v>
      </c>
      <c r="S484" s="6">
        <v>0</v>
      </c>
      <c r="T484" s="6">
        <v>7</v>
      </c>
      <c r="U484" s="6">
        <v>76</v>
      </c>
      <c r="V484" s="6">
        <f>IF(ISERROR(VLOOKUP($S$484,'TAR FIN'!$A$1:$O$108,15,0)),0,VLOOKUP($S$484,'TAR FIN'!$A$1:$O$108,15,0))</f>
        <v>0</v>
      </c>
      <c r="W484" s="6">
        <f>IF(ISERROR(VLOOKUP($T$484,'TAR FIN'!$A$1:$O$108,15,0)),0,VLOOKUP($T$484,'TAR FIN'!$A$1:$O$108,15,0))</f>
        <v>102.62</v>
      </c>
      <c r="X484" s="6">
        <f>IF(ISERROR(VLOOKUP($U$484,'TAR FIN'!$A$1:$O$108,15,0)),0,VLOOKUP($U$484,'TAR FIN'!$A$1:$O$108,15,0))</f>
        <v>103.1</v>
      </c>
      <c r="Y484" s="6"/>
      <c r="Z484" s="6">
        <f ca="1">('TUSD BE'!$AM$28+'TUSD BF'!$AM$28+'TUSD CVA'!$AM$28)*1</f>
        <v>181.47641369790719</v>
      </c>
      <c r="AA484" s="6">
        <f>('TE BE'!$AB$11+'TE BF'!$AB$11+'TE CVA'!$AB$11)*1</f>
        <v>215.60278025898469</v>
      </c>
      <c r="AB484" s="6">
        <f>$K$484*$V$484</f>
        <v>0</v>
      </c>
      <c r="AC484" s="6">
        <f>$M$484*$W$484</f>
        <v>10560.72682</v>
      </c>
      <c r="AD484" s="6">
        <f>$O$484*$X$484</f>
        <v>10610.124099999999</v>
      </c>
      <c r="AE484" s="6">
        <f>$K$484*$Y$484</f>
        <v>0</v>
      </c>
      <c r="AF484" s="6">
        <f ca="1">$M$484*$Z$484</f>
        <v>18675.919210065327</v>
      </c>
      <c r="AG484" s="6">
        <f>$O$484*$AA$484</f>
        <v>22187.897719232373</v>
      </c>
    </row>
    <row r="485" spans="1:33" ht="11.25" customHeight="1" x14ac:dyDescent="0.25">
      <c r="A485" s="4" t="s">
        <v>28</v>
      </c>
      <c r="B485" s="4" t="s">
        <v>41</v>
      </c>
      <c r="C485" s="4" t="s">
        <v>43</v>
      </c>
      <c r="D485" s="4" t="s">
        <v>47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44835</v>
      </c>
      <c r="J485" s="6">
        <v>0</v>
      </c>
      <c r="K485" s="6">
        <v>0</v>
      </c>
      <c r="L485" s="6">
        <v>18.387</v>
      </c>
      <c r="M485" s="6">
        <v>18.387</v>
      </c>
      <c r="N485" s="6">
        <v>18.387</v>
      </c>
      <c r="O485" s="6">
        <v>18.387</v>
      </c>
      <c r="P485" s="6">
        <v>0</v>
      </c>
      <c r="Q485" s="4" t="s">
        <v>26</v>
      </c>
      <c r="R485" s="4">
        <v>0</v>
      </c>
      <c r="S485" s="6">
        <v>0</v>
      </c>
      <c r="T485" s="6">
        <v>7</v>
      </c>
      <c r="U485" s="6">
        <v>76</v>
      </c>
      <c r="V485" s="6">
        <f>IF(ISERROR(VLOOKUP($S$485,'TAR FIN'!$A$1:$O$108,15,0)),0,VLOOKUP($S$485,'TAR FIN'!$A$1:$O$108,15,0))</f>
        <v>0</v>
      </c>
      <c r="W485" s="6">
        <f>IF(ISERROR(VLOOKUP($T$485,'TAR FIN'!$A$1:$O$108,15,0)),0,VLOOKUP($T$485,'TAR FIN'!$A$1:$O$108,15,0))</f>
        <v>102.62</v>
      </c>
      <c r="X485" s="6">
        <f>IF(ISERROR(VLOOKUP($U$485,'TAR FIN'!$A$1:$O$108,15,0)),0,VLOOKUP($U$485,'TAR FIN'!$A$1:$O$108,15,0))</f>
        <v>103.1</v>
      </c>
      <c r="Y485" s="6"/>
      <c r="Z485" s="6">
        <f ca="1">('TUSD BE'!$AM$28+'TUSD BF'!$AM$28+'TUSD CVA'!$AM$28)*1</f>
        <v>181.47641369790719</v>
      </c>
      <c r="AA485" s="6">
        <f>('TE BE'!$AB$11+'TE BF'!$AB$11+'TE CVA'!$AB$11)*1</f>
        <v>215.60278025898469</v>
      </c>
      <c r="AB485" s="6">
        <f>$K$485*$V$485</f>
        <v>0</v>
      </c>
      <c r="AC485" s="6">
        <f>$M$485*$W$485</f>
        <v>1886.8739400000002</v>
      </c>
      <c r="AD485" s="6">
        <f>$O$485*$X$485</f>
        <v>1895.6996999999999</v>
      </c>
      <c r="AE485" s="6">
        <f>$K$485*$Y$485</f>
        <v>0</v>
      </c>
      <c r="AF485" s="6">
        <f ca="1">$M$485*$Z$485</f>
        <v>3336.8068186634196</v>
      </c>
      <c r="AG485" s="6">
        <f>$O$485*$AA$485</f>
        <v>3964.2883206219517</v>
      </c>
    </row>
    <row r="486" spans="1:33" ht="11.25" customHeight="1" x14ac:dyDescent="0.25">
      <c r="A486" s="4" t="s">
        <v>54</v>
      </c>
      <c r="B486" s="4" t="s">
        <v>41</v>
      </c>
      <c r="C486" s="4" t="s">
        <v>43</v>
      </c>
      <c r="D486" s="4" t="s">
        <v>47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44866</v>
      </c>
      <c r="J486" s="6">
        <v>0</v>
      </c>
      <c r="K486" s="6">
        <v>0</v>
      </c>
      <c r="L486" s="6">
        <v>5109.7160000000003</v>
      </c>
      <c r="M486" s="6">
        <v>5109.7160000000003</v>
      </c>
      <c r="N486" s="6">
        <v>5109.7160000000003</v>
      </c>
      <c r="O486" s="6">
        <v>5109.7160000000003</v>
      </c>
      <c r="P486" s="6">
        <v>0</v>
      </c>
      <c r="Q486" s="4" t="s">
        <v>26</v>
      </c>
      <c r="R486" s="4">
        <v>0</v>
      </c>
      <c r="S486" s="6">
        <v>0</v>
      </c>
      <c r="T486" s="6">
        <v>7</v>
      </c>
      <c r="U486" s="6">
        <v>76</v>
      </c>
      <c r="V486" s="6">
        <f>IF(ISERROR(VLOOKUP($S$486,'TAR FIN'!$A$1:$O$108,15,0)),0,VLOOKUP($S$486,'TAR FIN'!$A$1:$O$108,15,0))</f>
        <v>0</v>
      </c>
      <c r="W486" s="6">
        <f>IF(ISERROR(VLOOKUP($T$486,'TAR FIN'!$A$1:$O$108,15,0)),0,VLOOKUP($T$486,'TAR FIN'!$A$1:$O$108,15,0))</f>
        <v>102.62</v>
      </c>
      <c r="X486" s="6">
        <f>IF(ISERROR(VLOOKUP($U$486,'TAR FIN'!$A$1:$O$108,15,0)),0,VLOOKUP($U$486,'TAR FIN'!$A$1:$O$108,15,0))</f>
        <v>103.1</v>
      </c>
      <c r="Y486" s="6"/>
      <c r="Z486" s="6">
        <f ca="1">('TUSD BE'!$AM$28+'TUSD BF'!$AM$28+'TUSD CVA'!$AM$28)*1</f>
        <v>181.47641369790719</v>
      </c>
      <c r="AA486" s="6">
        <f>('TE BE'!$AB$11+'TE BF'!$AB$11+'TE CVA'!$AB$11)*1</f>
        <v>215.60278025898469</v>
      </c>
      <c r="AB486" s="6">
        <f>$K$486*$V$486</f>
        <v>0</v>
      </c>
      <c r="AC486" s="6">
        <f>$M$486*$W$486</f>
        <v>524359.05592000007</v>
      </c>
      <c r="AD486" s="6">
        <f>$O$486*$X$486</f>
        <v>526811.71959999995</v>
      </c>
      <c r="AE486" s="6">
        <f>$K$486*$Y$486</f>
        <v>0</v>
      </c>
      <c r="AF486" s="6">
        <f ca="1">$M$486*$Z$486</f>
        <v>927292.93469481566</v>
      </c>
      <c r="AG486" s="6">
        <f>$O$486*$AA$486</f>
        <v>1101668.9759338184</v>
      </c>
    </row>
    <row r="487" spans="1:33" ht="11.25" customHeight="1" x14ac:dyDescent="0.25">
      <c r="A487" s="4" t="s">
        <v>54</v>
      </c>
      <c r="B487" s="4" t="s">
        <v>41</v>
      </c>
      <c r="C487" s="4" t="s">
        <v>43</v>
      </c>
      <c r="D487" s="4" t="s">
        <v>47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44866</v>
      </c>
      <c r="J487" s="6">
        <v>0</v>
      </c>
      <c r="K487" s="6">
        <v>0</v>
      </c>
      <c r="L487" s="6">
        <v>102.911</v>
      </c>
      <c r="M487" s="6">
        <v>102.911</v>
      </c>
      <c r="N487" s="6">
        <v>102.911</v>
      </c>
      <c r="O487" s="6">
        <v>102.911</v>
      </c>
      <c r="P487" s="6">
        <v>0</v>
      </c>
      <c r="Q487" s="4" t="s">
        <v>26</v>
      </c>
      <c r="R487" s="4">
        <v>0</v>
      </c>
      <c r="S487" s="6">
        <v>0</v>
      </c>
      <c r="T487" s="6">
        <v>7</v>
      </c>
      <c r="U487" s="6">
        <v>76</v>
      </c>
      <c r="V487" s="6">
        <f>IF(ISERROR(VLOOKUP($S$487,'TAR FIN'!$A$1:$O$108,15,0)),0,VLOOKUP($S$487,'TAR FIN'!$A$1:$O$108,15,0))</f>
        <v>0</v>
      </c>
      <c r="W487" s="6">
        <f>IF(ISERROR(VLOOKUP($T$487,'TAR FIN'!$A$1:$O$108,15,0)),0,VLOOKUP($T$487,'TAR FIN'!$A$1:$O$108,15,0))</f>
        <v>102.62</v>
      </c>
      <c r="X487" s="6">
        <f>IF(ISERROR(VLOOKUP($U$487,'TAR FIN'!$A$1:$O$108,15,0)),0,VLOOKUP($U$487,'TAR FIN'!$A$1:$O$108,15,0))</f>
        <v>103.1</v>
      </c>
      <c r="Y487" s="6"/>
      <c r="Z487" s="6">
        <f ca="1">('TUSD BE'!$AM$28+'TUSD BF'!$AM$28+'TUSD CVA'!$AM$28)*1</f>
        <v>181.47641369790719</v>
      </c>
      <c r="AA487" s="6">
        <f>('TE BE'!$AB$11+'TE BF'!$AB$11+'TE CVA'!$AB$11)*1</f>
        <v>215.60278025898469</v>
      </c>
      <c r="AB487" s="6">
        <f>$K$487*$V$487</f>
        <v>0</v>
      </c>
      <c r="AC487" s="6">
        <f>$M$487*$W$487</f>
        <v>10560.72682</v>
      </c>
      <c r="AD487" s="6">
        <f>$O$487*$X$487</f>
        <v>10610.124099999999</v>
      </c>
      <c r="AE487" s="6">
        <f>$K$487*$Y$487</f>
        <v>0</v>
      </c>
      <c r="AF487" s="6">
        <f ca="1">$M$487*$Z$487</f>
        <v>18675.919210065327</v>
      </c>
      <c r="AG487" s="6">
        <f>$O$487*$AA$487</f>
        <v>22187.897719232373</v>
      </c>
    </row>
    <row r="488" spans="1:33" ht="11.25" customHeight="1" x14ac:dyDescent="0.25">
      <c r="A488" s="4" t="s">
        <v>54</v>
      </c>
      <c r="B488" s="4" t="s">
        <v>41</v>
      </c>
      <c r="C488" s="4" t="s">
        <v>43</v>
      </c>
      <c r="D488" s="4" t="s">
        <v>47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44866</v>
      </c>
      <c r="J488" s="6">
        <v>0</v>
      </c>
      <c r="K488" s="6">
        <v>0</v>
      </c>
      <c r="L488" s="6">
        <v>18.387</v>
      </c>
      <c r="M488" s="6">
        <v>18.387</v>
      </c>
      <c r="N488" s="6">
        <v>18.387</v>
      </c>
      <c r="O488" s="6">
        <v>18.387</v>
      </c>
      <c r="P488" s="6">
        <v>0</v>
      </c>
      <c r="Q488" s="4" t="s">
        <v>26</v>
      </c>
      <c r="R488" s="4">
        <v>0</v>
      </c>
      <c r="S488" s="6">
        <v>0</v>
      </c>
      <c r="T488" s="6">
        <v>7</v>
      </c>
      <c r="U488" s="6">
        <v>76</v>
      </c>
      <c r="V488" s="6">
        <f>IF(ISERROR(VLOOKUP($S$488,'TAR FIN'!$A$1:$O$108,15,0)),0,VLOOKUP($S$488,'TAR FIN'!$A$1:$O$108,15,0))</f>
        <v>0</v>
      </c>
      <c r="W488" s="6">
        <f>IF(ISERROR(VLOOKUP($T$488,'TAR FIN'!$A$1:$O$108,15,0)),0,VLOOKUP($T$488,'TAR FIN'!$A$1:$O$108,15,0))</f>
        <v>102.62</v>
      </c>
      <c r="X488" s="6">
        <f>IF(ISERROR(VLOOKUP($U$488,'TAR FIN'!$A$1:$O$108,15,0)),0,VLOOKUP($U$488,'TAR FIN'!$A$1:$O$108,15,0))</f>
        <v>103.1</v>
      </c>
      <c r="Y488" s="6"/>
      <c r="Z488" s="6">
        <f ca="1">('TUSD BE'!$AM$28+'TUSD BF'!$AM$28+'TUSD CVA'!$AM$28)*1</f>
        <v>181.47641369790719</v>
      </c>
      <c r="AA488" s="6">
        <f>('TE BE'!$AB$11+'TE BF'!$AB$11+'TE CVA'!$AB$11)*1</f>
        <v>215.60278025898469</v>
      </c>
      <c r="AB488" s="6">
        <f>$K$488*$V$488</f>
        <v>0</v>
      </c>
      <c r="AC488" s="6">
        <f>$M$488*$W$488</f>
        <v>1886.8739400000002</v>
      </c>
      <c r="AD488" s="6">
        <f>$O$488*$X$488</f>
        <v>1895.6996999999999</v>
      </c>
      <c r="AE488" s="6">
        <f>$K$488*$Y$488</f>
        <v>0</v>
      </c>
      <c r="AF488" s="6">
        <f ca="1">$M$488*$Z$488</f>
        <v>3336.8068186634196</v>
      </c>
      <c r="AG488" s="6">
        <f>$O$488*$AA$488</f>
        <v>3964.2883206219517</v>
      </c>
    </row>
    <row r="489" spans="1:33" ht="11.25" customHeight="1" x14ac:dyDescent="0.25">
      <c r="A489" s="4" t="s">
        <v>21</v>
      </c>
      <c r="B489" s="4" t="s">
        <v>41</v>
      </c>
      <c r="C489" s="4" t="s">
        <v>43</v>
      </c>
      <c r="D489" s="4" t="s">
        <v>47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44531</v>
      </c>
      <c r="J489" s="6">
        <v>28556</v>
      </c>
      <c r="K489" s="6">
        <v>28556</v>
      </c>
      <c r="L489" s="6">
        <v>0</v>
      </c>
      <c r="M489" s="6">
        <v>0</v>
      </c>
      <c r="N489" s="6">
        <v>0</v>
      </c>
      <c r="O489" s="6">
        <v>0</v>
      </c>
      <c r="P489" s="6">
        <v>266</v>
      </c>
      <c r="Q489" s="4" t="s">
        <v>26</v>
      </c>
      <c r="R489" s="4">
        <v>0</v>
      </c>
      <c r="S489" s="6">
        <v>2</v>
      </c>
      <c r="T489" s="6">
        <v>0</v>
      </c>
      <c r="U489" s="6">
        <v>0</v>
      </c>
      <c r="V489" s="6">
        <f>IF(ISERROR(VLOOKUP($S$489,'TAR FIN'!$A$1:$O$108,15,0)),0,VLOOKUP($S$489,'TAR FIN'!$A$1:$O$108,15,0))</f>
        <v>21.38</v>
      </c>
      <c r="W489" s="6">
        <f>IF(ISERROR(VLOOKUP($T$489,'TAR FIN'!$A$1:$O$108,15,0)),0,VLOOKUP($T$489,'TAR FIN'!$A$1:$O$108,15,0))</f>
        <v>0</v>
      </c>
      <c r="X489" s="6">
        <f>IF(ISERROR(VLOOKUP($U$489,'TAR FIN'!$A$1:$O$108,15,0)),0,VLOOKUP($U$489,'TAR FIN'!$A$1:$O$108,15,0))</f>
        <v>0</v>
      </c>
      <c r="Y489" s="6">
        <f ca="1">('TUSD BE'!$AM$26+'TUSD BF'!$AM$26+'TUSD CVA'!$AM$26)*1</f>
        <v>21.189390814529755</v>
      </c>
      <c r="Z489" s="6"/>
      <c r="AA489" s="6"/>
      <c r="AB489" s="6">
        <f>$K$489*$V$489</f>
        <v>610527.28</v>
      </c>
      <c r="AC489" s="6">
        <f>$M$489*$W$489</f>
        <v>0</v>
      </c>
      <c r="AD489" s="6">
        <f>$O$489*$X$489</f>
        <v>0</v>
      </c>
      <c r="AE489" s="6">
        <f ca="1">$K$489*$Y$489</f>
        <v>605084.24409971165</v>
      </c>
      <c r="AF489" s="6">
        <f>$M$489*$Z$489</f>
        <v>0</v>
      </c>
      <c r="AG489" s="6">
        <f>$O$489*$AA$489</f>
        <v>0</v>
      </c>
    </row>
    <row r="490" spans="1:33" ht="11.25" customHeight="1" x14ac:dyDescent="0.25">
      <c r="A490" s="4" t="s">
        <v>27</v>
      </c>
      <c r="B490" s="4" t="s">
        <v>41</v>
      </c>
      <c r="C490" s="4" t="s">
        <v>43</v>
      </c>
      <c r="D490" s="4" t="s">
        <v>47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44531</v>
      </c>
      <c r="J490" s="6">
        <v>-1109</v>
      </c>
      <c r="K490" s="6">
        <v>-1109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26</v>
      </c>
      <c r="R490" s="4">
        <v>0</v>
      </c>
      <c r="S490" s="6">
        <v>2</v>
      </c>
      <c r="T490" s="6">
        <v>0</v>
      </c>
      <c r="U490" s="6">
        <v>0</v>
      </c>
      <c r="V490" s="6">
        <f>IF(ISERROR(VLOOKUP($S$490,'TAR FIN'!$A$1:$O$108,15,0)),0,VLOOKUP($S$490,'TAR FIN'!$A$1:$O$108,15,0))</f>
        <v>21.38</v>
      </c>
      <c r="W490" s="6">
        <f>IF(ISERROR(VLOOKUP($T$490,'TAR FIN'!$A$1:$O$108,15,0)),0,VLOOKUP($T$490,'TAR FIN'!$A$1:$O$108,15,0))</f>
        <v>0</v>
      </c>
      <c r="X490" s="6">
        <f>IF(ISERROR(VLOOKUP($U$490,'TAR FIN'!$A$1:$O$108,15,0)),0,VLOOKUP($U$490,'TAR FIN'!$A$1:$O$108,15,0))</f>
        <v>0</v>
      </c>
      <c r="Y490" s="6">
        <f ca="1">('TUSD BE'!$AM$26+'TUSD BF'!$AM$26+'TUSD CVA'!$AM$26)*1</f>
        <v>21.189390814529755</v>
      </c>
      <c r="Z490" s="6"/>
      <c r="AA490" s="6"/>
      <c r="AB490" s="6">
        <f>$K$490*$V$490</f>
        <v>-23710.42</v>
      </c>
      <c r="AC490" s="6">
        <f>$M$490*$W$490</f>
        <v>0</v>
      </c>
      <c r="AD490" s="6">
        <f>$O$490*$X$490</f>
        <v>0</v>
      </c>
      <c r="AE490" s="6">
        <f ca="1">$K$490*$Y$490</f>
        <v>-23499.034413313497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28</v>
      </c>
      <c r="B491" s="4" t="s">
        <v>41</v>
      </c>
      <c r="C491" s="4" t="s">
        <v>43</v>
      </c>
      <c r="D491" s="4" t="s">
        <v>47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44531</v>
      </c>
      <c r="J491" s="6">
        <v>2255</v>
      </c>
      <c r="K491" s="6">
        <v>2255</v>
      </c>
      <c r="L491" s="6">
        <v>0</v>
      </c>
      <c r="M491" s="6">
        <v>0</v>
      </c>
      <c r="N491" s="6">
        <v>0</v>
      </c>
      <c r="O491" s="6">
        <v>0</v>
      </c>
      <c r="P491" s="6">
        <v>8</v>
      </c>
      <c r="Q491" s="4" t="s">
        <v>26</v>
      </c>
      <c r="R491" s="4">
        <v>0</v>
      </c>
      <c r="S491" s="6">
        <v>2</v>
      </c>
      <c r="T491" s="6">
        <v>0</v>
      </c>
      <c r="U491" s="6">
        <v>0</v>
      </c>
      <c r="V491" s="6">
        <f>IF(ISERROR(VLOOKUP($S$491,'TAR FIN'!$A$1:$O$108,15,0)),0,VLOOKUP($S$491,'TAR FIN'!$A$1:$O$108,15,0))</f>
        <v>21.38</v>
      </c>
      <c r="W491" s="6">
        <f>IF(ISERROR(VLOOKUP($T$491,'TAR FIN'!$A$1:$O$108,15,0)),0,VLOOKUP($T$491,'TAR FIN'!$A$1:$O$108,15,0))</f>
        <v>0</v>
      </c>
      <c r="X491" s="6">
        <f>IF(ISERROR(VLOOKUP($U$491,'TAR FIN'!$A$1:$O$108,15,0)),0,VLOOKUP($U$491,'TAR FIN'!$A$1:$O$108,15,0))</f>
        <v>0</v>
      </c>
      <c r="Y491" s="6">
        <f ca="1">('TUSD BE'!$AM$26+'TUSD BF'!$AM$26+'TUSD CVA'!$AM$26)*1</f>
        <v>21.189390814529755</v>
      </c>
      <c r="Z491" s="6"/>
      <c r="AA491" s="6"/>
      <c r="AB491" s="6">
        <f>$K$491*$V$491</f>
        <v>48211.899999999994</v>
      </c>
      <c r="AC491" s="6">
        <f>$M$491*$W$491</f>
        <v>0</v>
      </c>
      <c r="AD491" s="6">
        <f>$O$491*$X$491</f>
        <v>0</v>
      </c>
      <c r="AE491" s="6">
        <f ca="1">$K$491*$Y$491</f>
        <v>47782.076286764597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41</v>
      </c>
      <c r="C492" s="4" t="s">
        <v>43</v>
      </c>
      <c r="D492" s="4" t="s">
        <v>47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44562</v>
      </c>
      <c r="J492" s="6">
        <v>26922</v>
      </c>
      <c r="K492" s="6">
        <v>26922</v>
      </c>
      <c r="L492" s="6">
        <v>0</v>
      </c>
      <c r="M492" s="6">
        <v>0</v>
      </c>
      <c r="N492" s="6">
        <v>0</v>
      </c>
      <c r="O492" s="6">
        <v>0</v>
      </c>
      <c r="P492" s="6">
        <v>267</v>
      </c>
      <c r="Q492" s="4" t="s">
        <v>26</v>
      </c>
      <c r="R492" s="4">
        <v>0</v>
      </c>
      <c r="S492" s="6">
        <v>2</v>
      </c>
      <c r="T492" s="6">
        <v>0</v>
      </c>
      <c r="U492" s="6">
        <v>0</v>
      </c>
      <c r="V492" s="6">
        <f>IF(ISERROR(VLOOKUP($S$492,'TAR FIN'!$A$1:$O$108,15,0)),0,VLOOKUP($S$492,'TAR FIN'!$A$1:$O$108,15,0))</f>
        <v>21.38</v>
      </c>
      <c r="W492" s="6">
        <f>IF(ISERROR(VLOOKUP($T$492,'TAR FIN'!$A$1:$O$108,15,0)),0,VLOOKUP($T$492,'TAR FIN'!$A$1:$O$108,15,0))</f>
        <v>0</v>
      </c>
      <c r="X492" s="6">
        <f>IF(ISERROR(VLOOKUP($U$492,'TAR FIN'!$A$1:$O$108,15,0)),0,VLOOKUP($U$492,'TAR FIN'!$A$1:$O$108,15,0))</f>
        <v>0</v>
      </c>
      <c r="Y492" s="6">
        <f ca="1">('TUSD BE'!$AM$26+'TUSD BF'!$AM$26+'TUSD CVA'!$AM$26)*1</f>
        <v>21.189390814529755</v>
      </c>
      <c r="Z492" s="6"/>
      <c r="AA492" s="6"/>
      <c r="AB492" s="6">
        <f>$K$492*$V$492</f>
        <v>575592.36</v>
      </c>
      <c r="AC492" s="6">
        <f>$M$492*$W$492</f>
        <v>0</v>
      </c>
      <c r="AD492" s="6">
        <f>$O$492*$X$492</f>
        <v>0</v>
      </c>
      <c r="AE492" s="6">
        <f ca="1">$K$492*$Y$492</f>
        <v>570460.77950877009</v>
      </c>
      <c r="AF492" s="6">
        <f>$M$492*$Z$492</f>
        <v>0</v>
      </c>
      <c r="AG492" s="6">
        <f>$O$492*$AA$492</f>
        <v>0</v>
      </c>
    </row>
    <row r="493" spans="1:33" ht="11.25" customHeight="1" x14ac:dyDescent="0.25">
      <c r="A493" s="4" t="s">
        <v>28</v>
      </c>
      <c r="B493" s="4" t="s">
        <v>41</v>
      </c>
      <c r="C493" s="4" t="s">
        <v>43</v>
      </c>
      <c r="D493" s="4" t="s">
        <v>47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44562</v>
      </c>
      <c r="J493" s="6">
        <v>2255</v>
      </c>
      <c r="K493" s="6">
        <v>2255</v>
      </c>
      <c r="L493" s="6">
        <v>0</v>
      </c>
      <c r="M493" s="6">
        <v>0</v>
      </c>
      <c r="N493" s="6">
        <v>0</v>
      </c>
      <c r="O493" s="6">
        <v>0</v>
      </c>
      <c r="P493" s="6">
        <v>8</v>
      </c>
      <c r="Q493" s="4" t="s">
        <v>26</v>
      </c>
      <c r="R493" s="4">
        <v>0</v>
      </c>
      <c r="S493" s="6">
        <v>2</v>
      </c>
      <c r="T493" s="6">
        <v>0</v>
      </c>
      <c r="U493" s="6">
        <v>0</v>
      </c>
      <c r="V493" s="6">
        <f>IF(ISERROR(VLOOKUP($S$493,'TAR FIN'!$A$1:$O$108,15,0)),0,VLOOKUP($S$493,'TAR FIN'!$A$1:$O$108,15,0))</f>
        <v>21.38</v>
      </c>
      <c r="W493" s="6">
        <f>IF(ISERROR(VLOOKUP($T$493,'TAR FIN'!$A$1:$O$108,15,0)),0,VLOOKUP($T$493,'TAR FIN'!$A$1:$O$108,15,0))</f>
        <v>0</v>
      </c>
      <c r="X493" s="6">
        <f>IF(ISERROR(VLOOKUP($U$493,'TAR FIN'!$A$1:$O$108,15,0)),0,VLOOKUP($U$493,'TAR FIN'!$A$1:$O$108,15,0))</f>
        <v>0</v>
      </c>
      <c r="Y493" s="6">
        <f ca="1">('TUSD BE'!$AM$26+'TUSD BF'!$AM$26+'TUSD CVA'!$AM$26)*1</f>
        <v>21.189390814529755</v>
      </c>
      <c r="Z493" s="6"/>
      <c r="AA493" s="6"/>
      <c r="AB493" s="6">
        <f>$K$493*$V$493</f>
        <v>48211.899999999994</v>
      </c>
      <c r="AC493" s="6">
        <f>$M$493*$W$493</f>
        <v>0</v>
      </c>
      <c r="AD493" s="6">
        <f>$O$493*$X$493</f>
        <v>0</v>
      </c>
      <c r="AE493" s="6">
        <f ca="1">$K$493*$Y$493</f>
        <v>47782.076286764597</v>
      </c>
      <c r="AF493" s="6">
        <f>$M$493*$Z$493</f>
        <v>0</v>
      </c>
      <c r="AG493" s="6">
        <f>$O$493*$AA$493</f>
        <v>0</v>
      </c>
    </row>
    <row r="494" spans="1:33" ht="11.25" customHeight="1" x14ac:dyDescent="0.25">
      <c r="A494" s="4" t="s">
        <v>21</v>
      </c>
      <c r="B494" s="4" t="s">
        <v>41</v>
      </c>
      <c r="C494" s="4" t="s">
        <v>43</v>
      </c>
      <c r="D494" s="4" t="s">
        <v>47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44593</v>
      </c>
      <c r="J494" s="6">
        <v>26582</v>
      </c>
      <c r="K494" s="6">
        <v>26582</v>
      </c>
      <c r="L494" s="6">
        <v>0</v>
      </c>
      <c r="M494" s="6">
        <v>0</v>
      </c>
      <c r="N494" s="6">
        <v>0</v>
      </c>
      <c r="O494" s="6">
        <v>0</v>
      </c>
      <c r="P494" s="6">
        <v>266</v>
      </c>
      <c r="Q494" s="4" t="s">
        <v>26</v>
      </c>
      <c r="R494" s="4">
        <v>0</v>
      </c>
      <c r="S494" s="6">
        <v>2</v>
      </c>
      <c r="T494" s="6">
        <v>0</v>
      </c>
      <c r="U494" s="6">
        <v>0</v>
      </c>
      <c r="V494" s="6">
        <f>IF(ISERROR(VLOOKUP($S$494,'TAR FIN'!$A$1:$O$108,15,0)),0,VLOOKUP($S$494,'TAR FIN'!$A$1:$O$108,15,0))</f>
        <v>21.38</v>
      </c>
      <c r="W494" s="6">
        <f>IF(ISERROR(VLOOKUP($T$494,'TAR FIN'!$A$1:$O$108,15,0)),0,VLOOKUP($T$494,'TAR FIN'!$A$1:$O$108,15,0))</f>
        <v>0</v>
      </c>
      <c r="X494" s="6">
        <f>IF(ISERROR(VLOOKUP($U$494,'TAR FIN'!$A$1:$O$108,15,0)),0,VLOOKUP($U$494,'TAR FIN'!$A$1:$O$108,15,0))</f>
        <v>0</v>
      </c>
      <c r="Y494" s="6">
        <f ca="1">('TUSD BE'!$AM$26+'TUSD BF'!$AM$26+'TUSD CVA'!$AM$26)*1</f>
        <v>21.189390814529755</v>
      </c>
      <c r="Z494" s="6"/>
      <c r="AA494" s="6"/>
      <c r="AB494" s="6">
        <f>$K$494*$V$494</f>
        <v>568323.15999999992</v>
      </c>
      <c r="AC494" s="6">
        <f>$M$494*$W$494</f>
        <v>0</v>
      </c>
      <c r="AD494" s="6">
        <f>$O$494*$X$494</f>
        <v>0</v>
      </c>
      <c r="AE494" s="6">
        <f ca="1">$K$494*$Y$494</f>
        <v>563256.3866318299</v>
      </c>
      <c r="AF494" s="6">
        <f>$M$494*$Z$494</f>
        <v>0</v>
      </c>
      <c r="AG494" s="6">
        <f>$O$494*$AA$494</f>
        <v>0</v>
      </c>
    </row>
    <row r="495" spans="1:33" ht="11.25" customHeight="1" x14ac:dyDescent="0.25">
      <c r="A495" s="4" t="s">
        <v>28</v>
      </c>
      <c r="B495" s="4" t="s">
        <v>41</v>
      </c>
      <c r="C495" s="4" t="s">
        <v>43</v>
      </c>
      <c r="D495" s="4" t="s">
        <v>47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44593</v>
      </c>
      <c r="J495" s="6">
        <v>2255</v>
      </c>
      <c r="K495" s="6">
        <v>2255</v>
      </c>
      <c r="L495" s="6">
        <v>0</v>
      </c>
      <c r="M495" s="6">
        <v>0</v>
      </c>
      <c r="N495" s="6">
        <v>0</v>
      </c>
      <c r="O495" s="6">
        <v>0</v>
      </c>
      <c r="P495" s="6">
        <v>8</v>
      </c>
      <c r="Q495" s="4" t="s">
        <v>26</v>
      </c>
      <c r="R495" s="4">
        <v>0</v>
      </c>
      <c r="S495" s="6">
        <v>2</v>
      </c>
      <c r="T495" s="6">
        <v>0</v>
      </c>
      <c r="U495" s="6">
        <v>0</v>
      </c>
      <c r="V495" s="6">
        <f>IF(ISERROR(VLOOKUP($S$495,'TAR FIN'!$A$1:$O$108,15,0)),0,VLOOKUP($S$495,'TAR FIN'!$A$1:$O$108,15,0))</f>
        <v>21.38</v>
      </c>
      <c r="W495" s="6">
        <f>IF(ISERROR(VLOOKUP($T$495,'TAR FIN'!$A$1:$O$108,15,0)),0,VLOOKUP($T$495,'TAR FIN'!$A$1:$O$108,15,0))</f>
        <v>0</v>
      </c>
      <c r="X495" s="6">
        <f>IF(ISERROR(VLOOKUP($U$495,'TAR FIN'!$A$1:$O$108,15,0)),0,VLOOKUP($U$495,'TAR FIN'!$A$1:$O$108,15,0))</f>
        <v>0</v>
      </c>
      <c r="Y495" s="6">
        <f ca="1">('TUSD BE'!$AM$26+'TUSD BF'!$AM$26+'TUSD CVA'!$AM$26)*1</f>
        <v>21.189390814529755</v>
      </c>
      <c r="Z495" s="6"/>
      <c r="AA495" s="6"/>
      <c r="AB495" s="6">
        <f>$K$495*$V$495</f>
        <v>48211.899999999994</v>
      </c>
      <c r="AC495" s="6">
        <f>$M$495*$W$495</f>
        <v>0</v>
      </c>
      <c r="AD495" s="6">
        <f>$O$495*$X$495</f>
        <v>0</v>
      </c>
      <c r="AE495" s="6">
        <f ca="1">$K$495*$Y$495</f>
        <v>47782.076286764597</v>
      </c>
      <c r="AF495" s="6">
        <f>$M$495*$Z$495</f>
        <v>0</v>
      </c>
      <c r="AG495" s="6">
        <f>$O$495*$AA$495</f>
        <v>0</v>
      </c>
    </row>
    <row r="496" spans="1:33" ht="11.25" customHeight="1" x14ac:dyDescent="0.25">
      <c r="A496" s="4" t="s">
        <v>21</v>
      </c>
      <c r="B496" s="4" t="s">
        <v>41</v>
      </c>
      <c r="C496" s="4" t="s">
        <v>43</v>
      </c>
      <c r="D496" s="4" t="s">
        <v>47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44621</v>
      </c>
      <c r="J496" s="6">
        <v>27408</v>
      </c>
      <c r="K496" s="6">
        <v>27408</v>
      </c>
      <c r="L496" s="6">
        <v>0</v>
      </c>
      <c r="M496" s="6">
        <v>0</v>
      </c>
      <c r="N496" s="6">
        <v>0</v>
      </c>
      <c r="O496" s="6">
        <v>0</v>
      </c>
      <c r="P496" s="6">
        <v>268</v>
      </c>
      <c r="Q496" s="4" t="s">
        <v>26</v>
      </c>
      <c r="R496" s="4">
        <v>0</v>
      </c>
      <c r="S496" s="6">
        <v>2</v>
      </c>
      <c r="T496" s="6">
        <v>0</v>
      </c>
      <c r="U496" s="6">
        <v>0</v>
      </c>
      <c r="V496" s="6">
        <f>IF(ISERROR(VLOOKUP($S$496,'TAR FIN'!$A$1:$O$108,15,0)),0,VLOOKUP($S$496,'TAR FIN'!$A$1:$O$108,15,0))</f>
        <v>21.38</v>
      </c>
      <c r="W496" s="6">
        <f>IF(ISERROR(VLOOKUP($T$496,'TAR FIN'!$A$1:$O$108,15,0)),0,VLOOKUP($T$496,'TAR FIN'!$A$1:$O$108,15,0))</f>
        <v>0</v>
      </c>
      <c r="X496" s="6">
        <f>IF(ISERROR(VLOOKUP($U$496,'TAR FIN'!$A$1:$O$108,15,0)),0,VLOOKUP($U$496,'TAR FIN'!$A$1:$O$108,15,0))</f>
        <v>0</v>
      </c>
      <c r="Y496" s="6">
        <f ca="1">('TUSD BE'!$AM$26+'TUSD BF'!$AM$26+'TUSD CVA'!$AM$26)*1</f>
        <v>21.189390814529755</v>
      </c>
      <c r="Z496" s="6"/>
      <c r="AA496" s="6"/>
      <c r="AB496" s="6">
        <f>$K$496*$V$496</f>
        <v>585983.03999999992</v>
      </c>
      <c r="AC496" s="6">
        <f>$M$496*$W$496</f>
        <v>0</v>
      </c>
      <c r="AD496" s="6">
        <f>$O$496*$X$496</f>
        <v>0</v>
      </c>
      <c r="AE496" s="6">
        <f ca="1">$K$496*$Y$496</f>
        <v>580758.82344463153</v>
      </c>
      <c r="AF496" s="6">
        <f>$M$496*$Z$496</f>
        <v>0</v>
      </c>
      <c r="AG496" s="6">
        <f>$O$496*$AA$496</f>
        <v>0</v>
      </c>
    </row>
    <row r="497" spans="1:33" ht="11.25" customHeight="1" x14ac:dyDescent="0.25">
      <c r="A497" s="4" t="s">
        <v>28</v>
      </c>
      <c r="B497" s="4" t="s">
        <v>41</v>
      </c>
      <c r="C497" s="4" t="s">
        <v>43</v>
      </c>
      <c r="D497" s="4" t="s">
        <v>47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44621</v>
      </c>
      <c r="J497" s="6">
        <v>2703</v>
      </c>
      <c r="K497" s="6">
        <v>2703</v>
      </c>
      <c r="L497" s="6">
        <v>0</v>
      </c>
      <c r="M497" s="6">
        <v>0</v>
      </c>
      <c r="N497" s="6">
        <v>0</v>
      </c>
      <c r="O497" s="6">
        <v>0</v>
      </c>
      <c r="P497" s="6">
        <v>9</v>
      </c>
      <c r="Q497" s="4" t="s">
        <v>26</v>
      </c>
      <c r="R497" s="4">
        <v>0</v>
      </c>
      <c r="S497" s="6">
        <v>2</v>
      </c>
      <c r="T497" s="6">
        <v>0</v>
      </c>
      <c r="U497" s="6">
        <v>0</v>
      </c>
      <c r="V497" s="6">
        <f>IF(ISERROR(VLOOKUP($S$497,'TAR FIN'!$A$1:$O$108,15,0)),0,VLOOKUP($S$497,'TAR FIN'!$A$1:$O$108,15,0))</f>
        <v>21.38</v>
      </c>
      <c r="W497" s="6">
        <f>IF(ISERROR(VLOOKUP($T$497,'TAR FIN'!$A$1:$O$108,15,0)),0,VLOOKUP($T$497,'TAR FIN'!$A$1:$O$108,15,0))</f>
        <v>0</v>
      </c>
      <c r="X497" s="6">
        <f>IF(ISERROR(VLOOKUP($U$497,'TAR FIN'!$A$1:$O$108,15,0)),0,VLOOKUP($U$497,'TAR FIN'!$A$1:$O$108,15,0))</f>
        <v>0</v>
      </c>
      <c r="Y497" s="6">
        <f ca="1">('TUSD BE'!$AM$26+'TUSD BF'!$AM$26+'TUSD CVA'!$AM$26)*1</f>
        <v>21.189390814529755</v>
      </c>
      <c r="Z497" s="6"/>
      <c r="AA497" s="6"/>
      <c r="AB497" s="6">
        <f>$K$497*$V$497</f>
        <v>57790.14</v>
      </c>
      <c r="AC497" s="6">
        <f>$M$497*$W$497</f>
        <v>0</v>
      </c>
      <c r="AD497" s="6">
        <f>$O$497*$X$497</f>
        <v>0</v>
      </c>
      <c r="AE497" s="6">
        <f ca="1">$K$497*$Y$497</f>
        <v>57274.923371673925</v>
      </c>
      <c r="AF497" s="6">
        <f>$M$497*$Z$497</f>
        <v>0</v>
      </c>
      <c r="AG497" s="6">
        <f>$O$497*$AA$497</f>
        <v>0</v>
      </c>
    </row>
    <row r="498" spans="1:33" ht="11.25" customHeight="1" x14ac:dyDescent="0.25">
      <c r="A498" s="4" t="s">
        <v>21</v>
      </c>
      <c r="B498" s="4" t="s">
        <v>41</v>
      </c>
      <c r="C498" s="4" t="s">
        <v>43</v>
      </c>
      <c r="D498" s="4" t="s">
        <v>47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44652</v>
      </c>
      <c r="J498" s="6">
        <v>27542</v>
      </c>
      <c r="K498" s="6">
        <v>27542</v>
      </c>
      <c r="L498" s="6">
        <v>0</v>
      </c>
      <c r="M498" s="6">
        <v>0</v>
      </c>
      <c r="N498" s="6">
        <v>0</v>
      </c>
      <c r="O498" s="6">
        <v>0</v>
      </c>
      <c r="P498" s="6">
        <v>272</v>
      </c>
      <c r="Q498" s="4" t="s">
        <v>26</v>
      </c>
      <c r="R498" s="4">
        <v>0</v>
      </c>
      <c r="S498" s="6">
        <v>2</v>
      </c>
      <c r="T498" s="6">
        <v>0</v>
      </c>
      <c r="U498" s="6">
        <v>0</v>
      </c>
      <c r="V498" s="6">
        <f>IF(ISERROR(VLOOKUP($S$498,'TAR FIN'!$A$1:$O$108,15,0)),0,VLOOKUP($S$498,'TAR FIN'!$A$1:$O$108,15,0))</f>
        <v>21.38</v>
      </c>
      <c r="W498" s="6">
        <f>IF(ISERROR(VLOOKUP($T$498,'TAR FIN'!$A$1:$O$108,15,0)),0,VLOOKUP($T$498,'TAR FIN'!$A$1:$O$108,15,0))</f>
        <v>0</v>
      </c>
      <c r="X498" s="6">
        <f>IF(ISERROR(VLOOKUP($U$498,'TAR FIN'!$A$1:$O$108,15,0)),0,VLOOKUP($U$498,'TAR FIN'!$A$1:$O$108,15,0))</f>
        <v>0</v>
      </c>
      <c r="Y498" s="6">
        <f ca="1">('TUSD BE'!$AM$26+'TUSD BF'!$AM$26+'TUSD CVA'!$AM$26)*1</f>
        <v>21.189390814529755</v>
      </c>
      <c r="Z498" s="6"/>
      <c r="AA498" s="6"/>
      <c r="AB498" s="6">
        <f>$K$498*$V$498</f>
        <v>588847.96</v>
      </c>
      <c r="AC498" s="6">
        <f>$M$498*$W$498</f>
        <v>0</v>
      </c>
      <c r="AD498" s="6">
        <f>$O$498*$X$498</f>
        <v>0</v>
      </c>
      <c r="AE498" s="6">
        <f ca="1">$K$498*$Y$498</f>
        <v>583598.20181377849</v>
      </c>
      <c r="AF498" s="6">
        <f>$M$498*$Z$498</f>
        <v>0</v>
      </c>
      <c r="AG498" s="6">
        <f>$O$498*$AA$498</f>
        <v>0</v>
      </c>
    </row>
    <row r="499" spans="1:33" ht="11.25" customHeight="1" x14ac:dyDescent="0.25">
      <c r="A499" s="4" t="s">
        <v>28</v>
      </c>
      <c r="B499" s="4" t="s">
        <v>41</v>
      </c>
      <c r="C499" s="4" t="s">
        <v>43</v>
      </c>
      <c r="D499" s="4" t="s">
        <v>47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44652</v>
      </c>
      <c r="J499" s="6">
        <v>2426</v>
      </c>
      <c r="K499" s="6">
        <v>2426</v>
      </c>
      <c r="L499" s="6">
        <v>0</v>
      </c>
      <c r="M499" s="6">
        <v>0</v>
      </c>
      <c r="N499" s="6">
        <v>0</v>
      </c>
      <c r="O499" s="6">
        <v>0</v>
      </c>
      <c r="P499" s="6">
        <v>9</v>
      </c>
      <c r="Q499" s="4" t="s">
        <v>26</v>
      </c>
      <c r="R499" s="4">
        <v>0</v>
      </c>
      <c r="S499" s="6">
        <v>2</v>
      </c>
      <c r="T499" s="6">
        <v>0</v>
      </c>
      <c r="U499" s="6">
        <v>0</v>
      </c>
      <c r="V499" s="6">
        <f>IF(ISERROR(VLOOKUP($S$499,'TAR FIN'!$A$1:$O$108,15,0)),0,VLOOKUP($S$499,'TAR FIN'!$A$1:$O$108,15,0))</f>
        <v>21.38</v>
      </c>
      <c r="W499" s="6">
        <f>IF(ISERROR(VLOOKUP($T$499,'TAR FIN'!$A$1:$O$108,15,0)),0,VLOOKUP($T$499,'TAR FIN'!$A$1:$O$108,15,0))</f>
        <v>0</v>
      </c>
      <c r="X499" s="6">
        <f>IF(ISERROR(VLOOKUP($U$499,'TAR FIN'!$A$1:$O$108,15,0)),0,VLOOKUP($U$499,'TAR FIN'!$A$1:$O$108,15,0))</f>
        <v>0</v>
      </c>
      <c r="Y499" s="6">
        <f ca="1">('TUSD BE'!$AM$26+'TUSD BF'!$AM$26+'TUSD CVA'!$AM$26)*1</f>
        <v>21.189390814529755</v>
      </c>
      <c r="Z499" s="6"/>
      <c r="AA499" s="6"/>
      <c r="AB499" s="6">
        <f>$K$499*$V$499</f>
        <v>51867.88</v>
      </c>
      <c r="AC499" s="6">
        <f>$M$499*$W$499</f>
        <v>0</v>
      </c>
      <c r="AD499" s="6">
        <f>$O$499*$X$499</f>
        <v>0</v>
      </c>
      <c r="AE499" s="6">
        <f ca="1">$K$499*$Y$499</f>
        <v>51405.462116049188</v>
      </c>
      <c r="AF499" s="6">
        <f>$M$499*$Z$499</f>
        <v>0</v>
      </c>
      <c r="AG499" s="6">
        <f>$O$499*$AA$499</f>
        <v>0</v>
      </c>
    </row>
    <row r="500" spans="1:33" ht="11.25" customHeight="1" x14ac:dyDescent="0.25">
      <c r="A500" s="4" t="s">
        <v>28</v>
      </c>
      <c r="B500" s="4" t="s">
        <v>41</v>
      </c>
      <c r="C500" s="4" t="s">
        <v>43</v>
      </c>
      <c r="D500" s="4" t="s">
        <v>47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44652</v>
      </c>
      <c r="J500" s="6">
        <v>-288</v>
      </c>
      <c r="K500" s="6">
        <v>-288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4" t="s">
        <v>26</v>
      </c>
      <c r="R500" s="4">
        <v>0</v>
      </c>
      <c r="S500" s="6">
        <v>2</v>
      </c>
      <c r="T500" s="6">
        <v>0</v>
      </c>
      <c r="U500" s="6">
        <v>0</v>
      </c>
      <c r="V500" s="6">
        <f>IF(ISERROR(VLOOKUP($S$500,'TAR FIN'!$A$1:$O$108,15,0)),0,VLOOKUP($S$500,'TAR FIN'!$A$1:$O$108,15,0))</f>
        <v>21.38</v>
      </c>
      <c r="W500" s="6">
        <f>IF(ISERROR(VLOOKUP($T$500,'TAR FIN'!$A$1:$O$108,15,0)),0,VLOOKUP($T$500,'TAR FIN'!$A$1:$O$108,15,0))</f>
        <v>0</v>
      </c>
      <c r="X500" s="6">
        <f>IF(ISERROR(VLOOKUP($U$500,'TAR FIN'!$A$1:$O$108,15,0)),0,VLOOKUP($U$500,'TAR FIN'!$A$1:$O$108,15,0))</f>
        <v>0</v>
      </c>
      <c r="Y500" s="6">
        <f ca="1">('TUSD BE'!$AM$26+'TUSD BF'!$AM$26+'TUSD CVA'!$AM$26)*1</f>
        <v>21.189390814529755</v>
      </c>
      <c r="Z500" s="6"/>
      <c r="AA500" s="6"/>
      <c r="AB500" s="6">
        <f>$K$500*$V$500</f>
        <v>-6157.44</v>
      </c>
      <c r="AC500" s="6">
        <f>$M$500*$W$500</f>
        <v>0</v>
      </c>
      <c r="AD500" s="6">
        <f>$O$500*$X$500</f>
        <v>0</v>
      </c>
      <c r="AE500" s="6">
        <f ca="1">$K$500*$Y$500</f>
        <v>-6102.5445545845696</v>
      </c>
      <c r="AF500" s="6">
        <f>$M$500*$Z$500</f>
        <v>0</v>
      </c>
      <c r="AG500" s="6">
        <f>$O$500*$AA$500</f>
        <v>0</v>
      </c>
    </row>
    <row r="501" spans="1:33" ht="11.25" customHeight="1" x14ac:dyDescent="0.25">
      <c r="A501" s="4" t="s">
        <v>21</v>
      </c>
      <c r="B501" s="4" t="s">
        <v>41</v>
      </c>
      <c r="C501" s="4" t="s">
        <v>43</v>
      </c>
      <c r="D501" s="4" t="s">
        <v>47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44682</v>
      </c>
      <c r="J501" s="6">
        <v>27057</v>
      </c>
      <c r="K501" s="6">
        <v>27057</v>
      </c>
      <c r="L501" s="6">
        <v>0</v>
      </c>
      <c r="M501" s="6">
        <v>0</v>
      </c>
      <c r="N501" s="6">
        <v>0</v>
      </c>
      <c r="O501" s="6">
        <v>0</v>
      </c>
      <c r="P501" s="6">
        <v>269</v>
      </c>
      <c r="Q501" s="4" t="s">
        <v>26</v>
      </c>
      <c r="R501" s="4">
        <v>0</v>
      </c>
      <c r="S501" s="6">
        <v>2</v>
      </c>
      <c r="T501" s="6">
        <v>0</v>
      </c>
      <c r="U501" s="6">
        <v>0</v>
      </c>
      <c r="V501" s="6">
        <f>IF(ISERROR(VLOOKUP($S$501,'TAR FIN'!$A$1:$O$108,15,0)),0,VLOOKUP($S$501,'TAR FIN'!$A$1:$O$108,15,0))</f>
        <v>21.38</v>
      </c>
      <c r="W501" s="6">
        <f>IF(ISERROR(VLOOKUP($T$501,'TAR FIN'!$A$1:$O$108,15,0)),0,VLOOKUP($T$501,'TAR FIN'!$A$1:$O$108,15,0))</f>
        <v>0</v>
      </c>
      <c r="X501" s="6">
        <f>IF(ISERROR(VLOOKUP($U$501,'TAR FIN'!$A$1:$O$108,15,0)),0,VLOOKUP($U$501,'TAR FIN'!$A$1:$O$108,15,0))</f>
        <v>0</v>
      </c>
      <c r="Y501" s="6">
        <f ca="1">('TUSD BE'!$AM$26+'TUSD BF'!$AM$26+'TUSD CVA'!$AM$26)*1</f>
        <v>21.189390814529755</v>
      </c>
      <c r="Z501" s="6"/>
      <c r="AA501" s="6"/>
      <c r="AB501" s="6">
        <f>$K$501*$V$501</f>
        <v>578478.65999999992</v>
      </c>
      <c r="AC501" s="6">
        <f>$M$501*$W$501</f>
        <v>0</v>
      </c>
      <c r="AD501" s="6">
        <f>$O$501*$X$501</f>
        <v>0</v>
      </c>
      <c r="AE501" s="6">
        <f ca="1">$K$501*$Y$501</f>
        <v>573321.34726873157</v>
      </c>
      <c r="AF501" s="6">
        <f>$M$501*$Z$501</f>
        <v>0</v>
      </c>
      <c r="AG501" s="6">
        <f>$O$501*$AA$501</f>
        <v>0</v>
      </c>
    </row>
    <row r="502" spans="1:33" ht="11.25" customHeight="1" x14ac:dyDescent="0.25">
      <c r="A502" s="4" t="s">
        <v>27</v>
      </c>
      <c r="B502" s="4" t="s">
        <v>41</v>
      </c>
      <c r="C502" s="4" t="s">
        <v>43</v>
      </c>
      <c r="D502" s="4" t="s">
        <v>47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44682</v>
      </c>
      <c r="J502" s="6">
        <v>-240</v>
      </c>
      <c r="K502" s="6">
        <v>-240</v>
      </c>
      <c r="L502" s="6">
        <v>0</v>
      </c>
      <c r="M502" s="6">
        <v>0</v>
      </c>
      <c r="N502" s="6">
        <v>0</v>
      </c>
      <c r="O502" s="6">
        <v>0</v>
      </c>
      <c r="P502" s="6">
        <v>-2</v>
      </c>
      <c r="Q502" s="4" t="s">
        <v>26</v>
      </c>
      <c r="R502" s="4">
        <v>0</v>
      </c>
      <c r="S502" s="6">
        <v>2</v>
      </c>
      <c r="T502" s="6">
        <v>0</v>
      </c>
      <c r="U502" s="6">
        <v>0</v>
      </c>
      <c r="V502" s="6">
        <f>IF(ISERROR(VLOOKUP($S$502,'TAR FIN'!$A$1:$O$108,15,0)),0,VLOOKUP($S$502,'TAR FIN'!$A$1:$O$108,15,0))</f>
        <v>21.38</v>
      </c>
      <c r="W502" s="6">
        <f>IF(ISERROR(VLOOKUP($T$502,'TAR FIN'!$A$1:$O$108,15,0)),0,VLOOKUP($T$502,'TAR FIN'!$A$1:$O$108,15,0))</f>
        <v>0</v>
      </c>
      <c r="X502" s="6">
        <f>IF(ISERROR(VLOOKUP($U$502,'TAR FIN'!$A$1:$O$108,15,0)),0,VLOOKUP($U$502,'TAR FIN'!$A$1:$O$108,15,0))</f>
        <v>0</v>
      </c>
      <c r="Y502" s="6">
        <f ca="1">('TUSD BE'!$AM$26+'TUSD BF'!$AM$26+'TUSD CVA'!$AM$26)*1</f>
        <v>21.189390814529755</v>
      </c>
      <c r="Z502" s="6"/>
      <c r="AA502" s="6"/>
      <c r="AB502" s="6">
        <f>$K$502*$V$502</f>
        <v>-5131.2</v>
      </c>
      <c r="AC502" s="6">
        <f>$M$502*$W$502</f>
        <v>0</v>
      </c>
      <c r="AD502" s="6">
        <f>$O$502*$X$502</f>
        <v>0</v>
      </c>
      <c r="AE502" s="6">
        <f ca="1">$K$502*$Y$502</f>
        <v>-5085.4537954871412</v>
      </c>
      <c r="AF502" s="6">
        <f>$M$502*$Z$502</f>
        <v>0</v>
      </c>
      <c r="AG502" s="6">
        <f>$O$502*$AA$502</f>
        <v>0</v>
      </c>
    </row>
    <row r="503" spans="1:33" ht="11.25" customHeight="1" x14ac:dyDescent="0.25">
      <c r="A503" s="4" t="s">
        <v>28</v>
      </c>
      <c r="B503" s="4" t="s">
        <v>41</v>
      </c>
      <c r="C503" s="4" t="s">
        <v>43</v>
      </c>
      <c r="D503" s="4" t="s">
        <v>47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44682</v>
      </c>
      <c r="J503" s="6">
        <v>2415</v>
      </c>
      <c r="K503" s="6">
        <v>2415</v>
      </c>
      <c r="L503" s="6">
        <v>0</v>
      </c>
      <c r="M503" s="6">
        <v>0</v>
      </c>
      <c r="N503" s="6">
        <v>0</v>
      </c>
      <c r="O503" s="6">
        <v>0</v>
      </c>
      <c r="P503" s="6">
        <v>9</v>
      </c>
      <c r="Q503" s="4" t="s">
        <v>26</v>
      </c>
      <c r="R503" s="4">
        <v>0</v>
      </c>
      <c r="S503" s="6">
        <v>2</v>
      </c>
      <c r="T503" s="6">
        <v>0</v>
      </c>
      <c r="U503" s="6">
        <v>0</v>
      </c>
      <c r="V503" s="6">
        <f>IF(ISERROR(VLOOKUP($S$503,'TAR FIN'!$A$1:$O$108,15,0)),0,VLOOKUP($S$503,'TAR FIN'!$A$1:$O$108,15,0))</f>
        <v>21.38</v>
      </c>
      <c r="W503" s="6">
        <f>IF(ISERROR(VLOOKUP($T$503,'TAR FIN'!$A$1:$O$108,15,0)),0,VLOOKUP($T$503,'TAR FIN'!$A$1:$O$108,15,0))</f>
        <v>0</v>
      </c>
      <c r="X503" s="6">
        <f>IF(ISERROR(VLOOKUP($U$503,'TAR FIN'!$A$1:$O$108,15,0)),0,VLOOKUP($U$503,'TAR FIN'!$A$1:$O$108,15,0))</f>
        <v>0</v>
      </c>
      <c r="Y503" s="6">
        <f ca="1">('TUSD BE'!$AM$26+'TUSD BF'!$AM$26+'TUSD CVA'!$AM$26)*1</f>
        <v>21.189390814529755</v>
      </c>
      <c r="Z503" s="6"/>
      <c r="AA503" s="6"/>
      <c r="AB503" s="6">
        <f>$K$503*$V$503</f>
        <v>51632.7</v>
      </c>
      <c r="AC503" s="6">
        <f>$M$503*$W$503</f>
        <v>0</v>
      </c>
      <c r="AD503" s="6">
        <f>$O$503*$X$503</f>
        <v>0</v>
      </c>
      <c r="AE503" s="6">
        <f ca="1">$K$503*$Y$503</f>
        <v>51172.37881708936</v>
      </c>
      <c r="AF503" s="6">
        <f>$M$503*$Z$503</f>
        <v>0</v>
      </c>
      <c r="AG503" s="6">
        <f>$O$503*$AA$503</f>
        <v>0</v>
      </c>
    </row>
    <row r="504" spans="1:33" ht="11.25" customHeight="1" x14ac:dyDescent="0.25">
      <c r="A504" s="4" t="s">
        <v>21</v>
      </c>
      <c r="B504" s="4" t="s">
        <v>41</v>
      </c>
      <c r="C504" s="4" t="s">
        <v>43</v>
      </c>
      <c r="D504" s="4" t="s">
        <v>47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44713</v>
      </c>
      <c r="J504" s="6">
        <v>27186</v>
      </c>
      <c r="K504" s="6">
        <v>27186</v>
      </c>
      <c r="L504" s="6">
        <v>0</v>
      </c>
      <c r="M504" s="6">
        <v>0</v>
      </c>
      <c r="N504" s="6">
        <v>0</v>
      </c>
      <c r="O504" s="6">
        <v>0</v>
      </c>
      <c r="P504" s="6">
        <v>269</v>
      </c>
      <c r="Q504" s="4" t="s">
        <v>26</v>
      </c>
      <c r="R504" s="4">
        <v>0</v>
      </c>
      <c r="S504" s="6">
        <v>2</v>
      </c>
      <c r="T504" s="6">
        <v>0</v>
      </c>
      <c r="U504" s="6">
        <v>0</v>
      </c>
      <c r="V504" s="6">
        <f>IF(ISERROR(VLOOKUP($S$504,'TAR FIN'!$A$1:$O$108,15,0)),0,VLOOKUP($S$504,'TAR FIN'!$A$1:$O$108,15,0))</f>
        <v>21.38</v>
      </c>
      <c r="W504" s="6">
        <f>IF(ISERROR(VLOOKUP($T$504,'TAR FIN'!$A$1:$O$108,15,0)),0,VLOOKUP($T$504,'TAR FIN'!$A$1:$O$108,15,0))</f>
        <v>0</v>
      </c>
      <c r="X504" s="6">
        <f>IF(ISERROR(VLOOKUP($U$504,'TAR FIN'!$A$1:$O$108,15,0)),0,VLOOKUP($U$504,'TAR FIN'!$A$1:$O$108,15,0))</f>
        <v>0</v>
      </c>
      <c r="Y504" s="6">
        <f ca="1">('TUSD BE'!$AM$26+'TUSD BF'!$AM$26+'TUSD CVA'!$AM$26)*1</f>
        <v>21.189390814529755</v>
      </c>
      <c r="Z504" s="6"/>
      <c r="AA504" s="6"/>
      <c r="AB504" s="6">
        <f>$K$504*$V$504</f>
        <v>581236.67999999993</v>
      </c>
      <c r="AC504" s="6">
        <f>$M$504*$W$504</f>
        <v>0</v>
      </c>
      <c r="AD504" s="6">
        <f>$O$504*$X$504</f>
        <v>0</v>
      </c>
      <c r="AE504" s="6">
        <f ca="1">$K$504*$Y$504</f>
        <v>576054.77868380595</v>
      </c>
      <c r="AF504" s="6">
        <f>$M$504*$Z$504</f>
        <v>0</v>
      </c>
      <c r="AG504" s="6">
        <f>$O$504*$AA$504</f>
        <v>0</v>
      </c>
    </row>
    <row r="505" spans="1:33" ht="11.25" customHeight="1" x14ac:dyDescent="0.25">
      <c r="A505" s="4" t="s">
        <v>28</v>
      </c>
      <c r="B505" s="4" t="s">
        <v>41</v>
      </c>
      <c r="C505" s="4" t="s">
        <v>43</v>
      </c>
      <c r="D505" s="4" t="s">
        <v>47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44713</v>
      </c>
      <c r="J505" s="6">
        <v>2419</v>
      </c>
      <c r="K505" s="6">
        <v>2419</v>
      </c>
      <c r="L505" s="6">
        <v>0</v>
      </c>
      <c r="M505" s="6">
        <v>0</v>
      </c>
      <c r="N505" s="6">
        <v>0</v>
      </c>
      <c r="O505" s="6">
        <v>0</v>
      </c>
      <c r="P505" s="6">
        <v>9</v>
      </c>
      <c r="Q505" s="4" t="s">
        <v>26</v>
      </c>
      <c r="R505" s="4">
        <v>0</v>
      </c>
      <c r="S505" s="6">
        <v>2</v>
      </c>
      <c r="T505" s="6">
        <v>0</v>
      </c>
      <c r="U505" s="6">
        <v>0</v>
      </c>
      <c r="V505" s="6">
        <f>IF(ISERROR(VLOOKUP($S$505,'TAR FIN'!$A$1:$O$108,15,0)),0,VLOOKUP($S$505,'TAR FIN'!$A$1:$O$108,15,0))</f>
        <v>21.38</v>
      </c>
      <c r="W505" s="6">
        <f>IF(ISERROR(VLOOKUP($T$505,'TAR FIN'!$A$1:$O$108,15,0)),0,VLOOKUP($T$505,'TAR FIN'!$A$1:$O$108,15,0))</f>
        <v>0</v>
      </c>
      <c r="X505" s="6">
        <f>IF(ISERROR(VLOOKUP($U$505,'TAR FIN'!$A$1:$O$108,15,0)),0,VLOOKUP($U$505,'TAR FIN'!$A$1:$O$108,15,0))</f>
        <v>0</v>
      </c>
      <c r="Y505" s="6">
        <f ca="1">('TUSD BE'!$AM$26+'TUSD BF'!$AM$26+'TUSD CVA'!$AM$26)*1</f>
        <v>21.189390814529755</v>
      </c>
      <c r="Z505" s="6"/>
      <c r="AA505" s="6"/>
      <c r="AB505" s="6">
        <f>$K$505*$V$505</f>
        <v>51718.22</v>
      </c>
      <c r="AC505" s="6">
        <f>$M$505*$W$505</f>
        <v>0</v>
      </c>
      <c r="AD505" s="6">
        <f>$O$505*$X$505</f>
        <v>0</v>
      </c>
      <c r="AE505" s="6">
        <f ca="1">$K$505*$Y$505</f>
        <v>51257.136380347474</v>
      </c>
      <c r="AF505" s="6">
        <f>$M$505*$Z$505</f>
        <v>0</v>
      </c>
      <c r="AG505" s="6">
        <f>$O$505*$AA$505</f>
        <v>0</v>
      </c>
    </row>
    <row r="506" spans="1:33" ht="11.25" customHeight="1" x14ac:dyDescent="0.25">
      <c r="A506" s="4" t="s">
        <v>21</v>
      </c>
      <c r="B506" s="4" t="s">
        <v>41</v>
      </c>
      <c r="C506" s="4" t="s">
        <v>43</v>
      </c>
      <c r="D506" s="4" t="s">
        <v>47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44743</v>
      </c>
      <c r="J506" s="6">
        <v>29472</v>
      </c>
      <c r="K506" s="6">
        <v>29472</v>
      </c>
      <c r="L506" s="6">
        <v>0</v>
      </c>
      <c r="M506" s="6">
        <v>0</v>
      </c>
      <c r="N506" s="6">
        <v>0</v>
      </c>
      <c r="O506" s="6">
        <v>0</v>
      </c>
      <c r="P506" s="6">
        <v>262</v>
      </c>
      <c r="Q506" s="4" t="s">
        <v>26</v>
      </c>
      <c r="R506" s="4">
        <v>0</v>
      </c>
      <c r="S506" s="6">
        <v>2</v>
      </c>
      <c r="T506" s="6">
        <v>0</v>
      </c>
      <c r="U506" s="6">
        <v>0</v>
      </c>
      <c r="V506" s="6">
        <f>IF(ISERROR(VLOOKUP($S$506,'TAR FIN'!$A$1:$O$108,15,0)),0,VLOOKUP($S$506,'TAR FIN'!$A$1:$O$108,15,0))</f>
        <v>21.38</v>
      </c>
      <c r="W506" s="6">
        <f>IF(ISERROR(VLOOKUP($T$506,'TAR FIN'!$A$1:$O$108,15,0)),0,VLOOKUP($T$506,'TAR FIN'!$A$1:$O$108,15,0))</f>
        <v>0</v>
      </c>
      <c r="X506" s="6">
        <f>IF(ISERROR(VLOOKUP($U$506,'TAR FIN'!$A$1:$O$108,15,0)),0,VLOOKUP($U$506,'TAR FIN'!$A$1:$O$108,15,0))</f>
        <v>0</v>
      </c>
      <c r="Y506" s="6">
        <f ca="1">('TUSD BE'!$AM$26+'TUSD BF'!$AM$26+'TUSD CVA'!$AM$26)*1</f>
        <v>21.189390814529755</v>
      </c>
      <c r="Z506" s="6"/>
      <c r="AA506" s="6"/>
      <c r="AB506" s="6">
        <f>$K$506*$V$506</f>
        <v>630111.36</v>
      </c>
      <c r="AC506" s="6">
        <f>$M$506*$W$506</f>
        <v>0</v>
      </c>
      <c r="AD506" s="6">
        <f>$O$506*$X$506</f>
        <v>0</v>
      </c>
      <c r="AE506" s="6">
        <f ca="1">$K$506*$Y$506</f>
        <v>624493.72608582093</v>
      </c>
      <c r="AF506" s="6">
        <f>$M$506*$Z$506</f>
        <v>0</v>
      </c>
      <c r="AG506" s="6">
        <f>$O$506*$AA$506</f>
        <v>0</v>
      </c>
    </row>
    <row r="507" spans="1:33" ht="11.25" customHeight="1" x14ac:dyDescent="0.25">
      <c r="A507" s="4" t="s">
        <v>27</v>
      </c>
      <c r="B507" s="4" t="s">
        <v>41</v>
      </c>
      <c r="C507" s="4" t="s">
        <v>43</v>
      </c>
      <c r="D507" s="4" t="s">
        <v>47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44743</v>
      </c>
      <c r="J507" s="6">
        <v>377</v>
      </c>
      <c r="K507" s="6">
        <v>377</v>
      </c>
      <c r="L507" s="6">
        <v>0</v>
      </c>
      <c r="M507" s="6">
        <v>0</v>
      </c>
      <c r="N507" s="6">
        <v>0</v>
      </c>
      <c r="O507" s="6">
        <v>0</v>
      </c>
      <c r="P507" s="6">
        <v>3</v>
      </c>
      <c r="Q507" s="4" t="s">
        <v>26</v>
      </c>
      <c r="R507" s="4">
        <v>0</v>
      </c>
      <c r="S507" s="6">
        <v>2</v>
      </c>
      <c r="T507" s="6">
        <v>0</v>
      </c>
      <c r="U507" s="6">
        <v>0</v>
      </c>
      <c r="V507" s="6">
        <f>IF(ISERROR(VLOOKUP($S$507,'TAR FIN'!$A$1:$O$108,15,0)),0,VLOOKUP($S$507,'TAR FIN'!$A$1:$O$108,15,0))</f>
        <v>21.38</v>
      </c>
      <c r="W507" s="6">
        <f>IF(ISERROR(VLOOKUP($T$507,'TAR FIN'!$A$1:$O$108,15,0)),0,VLOOKUP($T$507,'TAR FIN'!$A$1:$O$108,15,0))</f>
        <v>0</v>
      </c>
      <c r="X507" s="6">
        <f>IF(ISERROR(VLOOKUP($U$507,'TAR FIN'!$A$1:$O$108,15,0)),0,VLOOKUP($U$507,'TAR FIN'!$A$1:$O$108,15,0))</f>
        <v>0</v>
      </c>
      <c r="Y507" s="6">
        <f ca="1">('TUSD BE'!$AM$26+'TUSD BF'!$AM$26+'TUSD CVA'!$AM$26)*1</f>
        <v>21.189390814529755</v>
      </c>
      <c r="Z507" s="6"/>
      <c r="AA507" s="6"/>
      <c r="AB507" s="6">
        <f>$K$507*$V$507</f>
        <v>8060.2599999999993</v>
      </c>
      <c r="AC507" s="6">
        <f>$M$507*$W$507</f>
        <v>0</v>
      </c>
      <c r="AD507" s="6">
        <f>$O$507*$X$507</f>
        <v>0</v>
      </c>
      <c r="AE507" s="6">
        <f ca="1">$K$507*$Y$507</f>
        <v>7988.4003370777173</v>
      </c>
      <c r="AF507" s="6">
        <f>$M$507*$Z$507</f>
        <v>0</v>
      </c>
      <c r="AG507" s="6">
        <f>$O$507*$AA$507</f>
        <v>0</v>
      </c>
    </row>
    <row r="508" spans="1:33" ht="11.25" customHeight="1" x14ac:dyDescent="0.25">
      <c r="A508" s="4" t="s">
        <v>28</v>
      </c>
      <c r="B508" s="4" t="s">
        <v>41</v>
      </c>
      <c r="C508" s="4" t="s">
        <v>43</v>
      </c>
      <c r="D508" s="4" t="s">
        <v>47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44743</v>
      </c>
      <c r="J508" s="6">
        <v>2415</v>
      </c>
      <c r="K508" s="6">
        <v>2415</v>
      </c>
      <c r="L508" s="6">
        <v>0</v>
      </c>
      <c r="M508" s="6">
        <v>0</v>
      </c>
      <c r="N508" s="6">
        <v>0</v>
      </c>
      <c r="O508" s="6">
        <v>0</v>
      </c>
      <c r="P508" s="6">
        <v>9</v>
      </c>
      <c r="Q508" s="4" t="s">
        <v>26</v>
      </c>
      <c r="R508" s="4">
        <v>0</v>
      </c>
      <c r="S508" s="6">
        <v>2</v>
      </c>
      <c r="T508" s="6">
        <v>0</v>
      </c>
      <c r="U508" s="6">
        <v>0</v>
      </c>
      <c r="V508" s="6">
        <f>IF(ISERROR(VLOOKUP($S$508,'TAR FIN'!$A$1:$O$108,15,0)),0,VLOOKUP($S$508,'TAR FIN'!$A$1:$O$108,15,0))</f>
        <v>21.38</v>
      </c>
      <c r="W508" s="6">
        <f>IF(ISERROR(VLOOKUP($T$508,'TAR FIN'!$A$1:$O$108,15,0)),0,VLOOKUP($T$508,'TAR FIN'!$A$1:$O$108,15,0))</f>
        <v>0</v>
      </c>
      <c r="X508" s="6">
        <f>IF(ISERROR(VLOOKUP($U$508,'TAR FIN'!$A$1:$O$108,15,0)),0,VLOOKUP($U$508,'TAR FIN'!$A$1:$O$108,15,0))</f>
        <v>0</v>
      </c>
      <c r="Y508" s="6">
        <f ca="1">('TUSD BE'!$AM$26+'TUSD BF'!$AM$26+'TUSD CVA'!$AM$26)*1</f>
        <v>21.189390814529755</v>
      </c>
      <c r="Z508" s="6"/>
      <c r="AA508" s="6"/>
      <c r="AB508" s="6">
        <f>$K$508*$V$508</f>
        <v>51632.7</v>
      </c>
      <c r="AC508" s="6">
        <f>$M$508*$W$508</f>
        <v>0</v>
      </c>
      <c r="AD508" s="6">
        <f>$O$508*$X$508</f>
        <v>0</v>
      </c>
      <c r="AE508" s="6">
        <f ca="1">$K$508*$Y$508</f>
        <v>51172.37881708936</v>
      </c>
      <c r="AF508" s="6">
        <f>$M$508*$Z$508</f>
        <v>0</v>
      </c>
      <c r="AG508" s="6">
        <f>$O$508*$AA$508</f>
        <v>0</v>
      </c>
    </row>
    <row r="509" spans="1:33" ht="11.25" customHeight="1" x14ac:dyDescent="0.25">
      <c r="A509" s="4" t="s">
        <v>21</v>
      </c>
      <c r="B509" s="4" t="s">
        <v>41</v>
      </c>
      <c r="C509" s="4" t="s">
        <v>43</v>
      </c>
      <c r="D509" s="4" t="s">
        <v>47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44774</v>
      </c>
      <c r="J509" s="6">
        <v>23952</v>
      </c>
      <c r="K509" s="6">
        <v>23952</v>
      </c>
      <c r="L509" s="6">
        <v>0</v>
      </c>
      <c r="M509" s="6">
        <v>0</v>
      </c>
      <c r="N509" s="6">
        <v>0</v>
      </c>
      <c r="O509" s="6">
        <v>0</v>
      </c>
      <c r="P509" s="6">
        <v>236</v>
      </c>
      <c r="Q509" s="4" t="s">
        <v>26</v>
      </c>
      <c r="R509" s="4">
        <v>0</v>
      </c>
      <c r="S509" s="6">
        <v>2</v>
      </c>
      <c r="T509" s="6">
        <v>0</v>
      </c>
      <c r="U509" s="6">
        <v>0</v>
      </c>
      <c r="V509" s="6">
        <f>IF(ISERROR(VLOOKUP($S$509,'TAR FIN'!$A$1:$O$108,15,0)),0,VLOOKUP($S$509,'TAR FIN'!$A$1:$O$108,15,0))</f>
        <v>21.38</v>
      </c>
      <c r="W509" s="6">
        <f>IF(ISERROR(VLOOKUP($T$509,'TAR FIN'!$A$1:$O$108,15,0)),0,VLOOKUP($T$509,'TAR FIN'!$A$1:$O$108,15,0))</f>
        <v>0</v>
      </c>
      <c r="X509" s="6">
        <f>IF(ISERROR(VLOOKUP($U$509,'TAR FIN'!$A$1:$O$108,15,0)),0,VLOOKUP($U$509,'TAR FIN'!$A$1:$O$108,15,0))</f>
        <v>0</v>
      </c>
      <c r="Y509" s="6">
        <f ca="1">('TUSD BE'!$AM$26+'TUSD BF'!$AM$26+'TUSD CVA'!$AM$26)*1</f>
        <v>21.189390814529755</v>
      </c>
      <c r="Z509" s="6"/>
      <c r="AA509" s="6"/>
      <c r="AB509" s="6">
        <f>$K$509*$V$509</f>
        <v>512093.75999999995</v>
      </c>
      <c r="AC509" s="6">
        <f>$M$509*$W$509</f>
        <v>0</v>
      </c>
      <c r="AD509" s="6">
        <f>$O$509*$X$509</f>
        <v>0</v>
      </c>
      <c r="AE509" s="6">
        <f ca="1">$K$509*$Y$509</f>
        <v>507528.28878961672</v>
      </c>
      <c r="AF509" s="6">
        <f>$M$509*$Z$509</f>
        <v>0</v>
      </c>
      <c r="AG509" s="6">
        <f>$O$509*$AA$509</f>
        <v>0</v>
      </c>
    </row>
    <row r="510" spans="1:33" ht="11.25" customHeight="1" x14ac:dyDescent="0.25">
      <c r="A510" s="4" t="s">
        <v>27</v>
      </c>
      <c r="B510" s="4" t="s">
        <v>41</v>
      </c>
      <c r="C510" s="4" t="s">
        <v>43</v>
      </c>
      <c r="D510" s="4" t="s">
        <v>47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44774</v>
      </c>
      <c r="J510" s="6">
        <v>-3579</v>
      </c>
      <c r="K510" s="6">
        <v>-3579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4" t="s">
        <v>26</v>
      </c>
      <c r="R510" s="4">
        <v>0</v>
      </c>
      <c r="S510" s="6">
        <v>2</v>
      </c>
      <c r="T510" s="6">
        <v>0</v>
      </c>
      <c r="U510" s="6">
        <v>0</v>
      </c>
      <c r="V510" s="6">
        <f>IF(ISERROR(VLOOKUP($S$510,'TAR FIN'!$A$1:$O$108,15,0)),0,VLOOKUP($S$510,'TAR FIN'!$A$1:$O$108,15,0))</f>
        <v>21.38</v>
      </c>
      <c r="W510" s="6">
        <f>IF(ISERROR(VLOOKUP($T$510,'TAR FIN'!$A$1:$O$108,15,0)),0,VLOOKUP($T$510,'TAR FIN'!$A$1:$O$108,15,0))</f>
        <v>0</v>
      </c>
      <c r="X510" s="6">
        <f>IF(ISERROR(VLOOKUP($U$510,'TAR FIN'!$A$1:$O$108,15,0)),0,VLOOKUP($U$510,'TAR FIN'!$A$1:$O$108,15,0))</f>
        <v>0</v>
      </c>
      <c r="Y510" s="6">
        <f ca="1">('TUSD BE'!$AM$26+'TUSD BF'!$AM$26+'TUSD CVA'!$AM$26)*1</f>
        <v>21.189390814529755</v>
      </c>
      <c r="Z510" s="6"/>
      <c r="AA510" s="6"/>
      <c r="AB510" s="6">
        <f>$K$510*$V$510</f>
        <v>-76519.01999999999</v>
      </c>
      <c r="AC510" s="6">
        <f>$M$510*$W$510</f>
        <v>0</v>
      </c>
      <c r="AD510" s="6">
        <f>$O$510*$X$510</f>
        <v>0</v>
      </c>
      <c r="AE510" s="6">
        <f ca="1">$K$510*$Y$510</f>
        <v>-75836.829725201998</v>
      </c>
      <c r="AF510" s="6">
        <f>$M$510*$Z$510</f>
        <v>0</v>
      </c>
      <c r="AG510" s="6">
        <f>$O$510*$AA$510</f>
        <v>0</v>
      </c>
    </row>
    <row r="511" spans="1:33" ht="11.25" customHeight="1" x14ac:dyDescent="0.25">
      <c r="A511" s="4" t="s">
        <v>28</v>
      </c>
      <c r="B511" s="4" t="s">
        <v>41</v>
      </c>
      <c r="C511" s="4" t="s">
        <v>43</v>
      </c>
      <c r="D511" s="4" t="s">
        <v>47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44774</v>
      </c>
      <c r="J511" s="6">
        <v>2446</v>
      </c>
      <c r="K511" s="6">
        <v>2446</v>
      </c>
      <c r="L511" s="6">
        <v>0</v>
      </c>
      <c r="M511" s="6">
        <v>0</v>
      </c>
      <c r="N511" s="6">
        <v>0</v>
      </c>
      <c r="O511" s="6">
        <v>0</v>
      </c>
      <c r="P511" s="6">
        <v>9</v>
      </c>
      <c r="Q511" s="4" t="s">
        <v>26</v>
      </c>
      <c r="R511" s="4">
        <v>0</v>
      </c>
      <c r="S511" s="6">
        <v>2</v>
      </c>
      <c r="T511" s="6">
        <v>0</v>
      </c>
      <c r="U511" s="6">
        <v>0</v>
      </c>
      <c r="V511" s="6">
        <f>IF(ISERROR(VLOOKUP($S$511,'TAR FIN'!$A$1:$O$108,15,0)),0,VLOOKUP($S$511,'TAR FIN'!$A$1:$O$108,15,0))</f>
        <v>21.38</v>
      </c>
      <c r="W511" s="6">
        <f>IF(ISERROR(VLOOKUP($T$511,'TAR FIN'!$A$1:$O$108,15,0)),0,VLOOKUP($T$511,'TAR FIN'!$A$1:$O$108,15,0))</f>
        <v>0</v>
      </c>
      <c r="X511" s="6">
        <f>IF(ISERROR(VLOOKUP($U$511,'TAR FIN'!$A$1:$O$108,15,0)),0,VLOOKUP($U$511,'TAR FIN'!$A$1:$O$108,15,0))</f>
        <v>0</v>
      </c>
      <c r="Y511" s="6">
        <f ca="1">('TUSD BE'!$AM$26+'TUSD BF'!$AM$26+'TUSD CVA'!$AM$26)*1</f>
        <v>21.189390814529755</v>
      </c>
      <c r="Z511" s="6"/>
      <c r="AA511" s="6"/>
      <c r="AB511" s="6">
        <f>$K$511*$V$511</f>
        <v>52295.479999999996</v>
      </c>
      <c r="AC511" s="6">
        <f>$M$511*$W$511</f>
        <v>0</v>
      </c>
      <c r="AD511" s="6">
        <f>$O$511*$X$511</f>
        <v>0</v>
      </c>
      <c r="AE511" s="6">
        <f ca="1">$K$511*$Y$511</f>
        <v>51829.249932339779</v>
      </c>
      <c r="AF511" s="6">
        <f>$M$511*$Z$511</f>
        <v>0</v>
      </c>
      <c r="AG511" s="6">
        <f>$O$511*$AA$511</f>
        <v>0</v>
      </c>
    </row>
    <row r="512" spans="1:33" ht="11.25" customHeight="1" x14ac:dyDescent="0.25">
      <c r="A512" s="4" t="s">
        <v>21</v>
      </c>
      <c r="B512" s="4" t="s">
        <v>41</v>
      </c>
      <c r="C512" s="4" t="s">
        <v>43</v>
      </c>
      <c r="D512" s="4" t="s">
        <v>47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44805</v>
      </c>
      <c r="J512" s="6">
        <v>26614</v>
      </c>
      <c r="K512" s="6">
        <v>26614</v>
      </c>
      <c r="L512" s="6">
        <v>0</v>
      </c>
      <c r="M512" s="6">
        <v>0</v>
      </c>
      <c r="N512" s="6">
        <v>0</v>
      </c>
      <c r="O512" s="6">
        <v>0</v>
      </c>
      <c r="P512" s="6">
        <v>255</v>
      </c>
      <c r="Q512" s="4" t="s">
        <v>26</v>
      </c>
      <c r="R512" s="4">
        <v>0</v>
      </c>
      <c r="S512" s="6">
        <v>2</v>
      </c>
      <c r="T512" s="6">
        <v>0</v>
      </c>
      <c r="U512" s="6">
        <v>0</v>
      </c>
      <c r="V512" s="6">
        <f>IF(ISERROR(VLOOKUP($S$512,'TAR FIN'!$A$1:$O$108,15,0)),0,VLOOKUP($S$512,'TAR FIN'!$A$1:$O$108,15,0))</f>
        <v>21.38</v>
      </c>
      <c r="W512" s="6">
        <f>IF(ISERROR(VLOOKUP($T$512,'TAR FIN'!$A$1:$O$108,15,0)),0,VLOOKUP($T$512,'TAR FIN'!$A$1:$O$108,15,0))</f>
        <v>0</v>
      </c>
      <c r="X512" s="6">
        <f>IF(ISERROR(VLOOKUP($U$512,'TAR FIN'!$A$1:$O$108,15,0)),0,VLOOKUP($U$512,'TAR FIN'!$A$1:$O$108,15,0))</f>
        <v>0</v>
      </c>
      <c r="Y512" s="6">
        <f ca="1">('TUSD BE'!$AM$26+'TUSD BF'!$AM$26+'TUSD CVA'!$AM$26)*1</f>
        <v>21.189390814529755</v>
      </c>
      <c r="Z512" s="6"/>
      <c r="AA512" s="6"/>
      <c r="AB512" s="6">
        <f>$K$512*$V$512</f>
        <v>569007.31999999995</v>
      </c>
      <c r="AC512" s="6">
        <f>$M$512*$W$512</f>
        <v>0</v>
      </c>
      <c r="AD512" s="6">
        <f>$O$512*$X$512</f>
        <v>0</v>
      </c>
      <c r="AE512" s="6">
        <f ca="1">$K$512*$Y$512</f>
        <v>563934.44713789492</v>
      </c>
      <c r="AF512" s="6">
        <f>$M$512*$Z$512</f>
        <v>0</v>
      </c>
      <c r="AG512" s="6">
        <f>$O$512*$AA$512</f>
        <v>0</v>
      </c>
    </row>
    <row r="513" spans="1:33" ht="11.25" customHeight="1" x14ac:dyDescent="0.25">
      <c r="A513" s="4" t="s">
        <v>27</v>
      </c>
      <c r="B513" s="4" t="s">
        <v>41</v>
      </c>
      <c r="C513" s="4" t="s">
        <v>43</v>
      </c>
      <c r="D513" s="4" t="s">
        <v>47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44805</v>
      </c>
      <c r="J513" s="6">
        <v>2940</v>
      </c>
      <c r="K513" s="6">
        <v>2940</v>
      </c>
      <c r="L513" s="6">
        <v>0</v>
      </c>
      <c r="M513" s="6">
        <v>0</v>
      </c>
      <c r="N513" s="6">
        <v>0</v>
      </c>
      <c r="O513" s="6">
        <v>0</v>
      </c>
      <c r="P513" s="6">
        <v>27</v>
      </c>
      <c r="Q513" s="4" t="s">
        <v>26</v>
      </c>
      <c r="R513" s="4">
        <v>0</v>
      </c>
      <c r="S513" s="6">
        <v>2</v>
      </c>
      <c r="T513" s="6">
        <v>0</v>
      </c>
      <c r="U513" s="6">
        <v>0</v>
      </c>
      <c r="V513" s="6">
        <f>IF(ISERROR(VLOOKUP($S$513,'TAR FIN'!$A$1:$O$108,15,0)),0,VLOOKUP($S$513,'TAR FIN'!$A$1:$O$108,15,0))</f>
        <v>21.38</v>
      </c>
      <c r="W513" s="6">
        <f>IF(ISERROR(VLOOKUP($T$513,'TAR FIN'!$A$1:$O$108,15,0)),0,VLOOKUP($T$513,'TAR FIN'!$A$1:$O$108,15,0))</f>
        <v>0</v>
      </c>
      <c r="X513" s="6">
        <f>IF(ISERROR(VLOOKUP($U$513,'TAR FIN'!$A$1:$O$108,15,0)),0,VLOOKUP($U$513,'TAR FIN'!$A$1:$O$108,15,0))</f>
        <v>0</v>
      </c>
      <c r="Y513" s="6">
        <f ca="1">('TUSD BE'!$AM$26+'TUSD BF'!$AM$26+'TUSD CVA'!$AM$26)*1</f>
        <v>21.189390814529755</v>
      </c>
      <c r="Z513" s="6"/>
      <c r="AA513" s="6"/>
      <c r="AB513" s="6">
        <f>$K$513*$V$513</f>
        <v>62857.2</v>
      </c>
      <c r="AC513" s="6">
        <f>$M$513*$W$513</f>
        <v>0</v>
      </c>
      <c r="AD513" s="6">
        <f>$O$513*$X$513</f>
        <v>0</v>
      </c>
      <c r="AE513" s="6">
        <f ca="1">$K$513*$Y$513</f>
        <v>62296.808994717481</v>
      </c>
      <c r="AF513" s="6">
        <f>$M$513*$Z$513</f>
        <v>0</v>
      </c>
      <c r="AG513" s="6">
        <f>$O$513*$AA$513</f>
        <v>0</v>
      </c>
    </row>
    <row r="514" spans="1:33" ht="11.25" customHeight="1" x14ac:dyDescent="0.25">
      <c r="A514" s="4" t="s">
        <v>28</v>
      </c>
      <c r="B514" s="4" t="s">
        <v>41</v>
      </c>
      <c r="C514" s="4" t="s">
        <v>43</v>
      </c>
      <c r="D514" s="4" t="s">
        <v>47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44805</v>
      </c>
      <c r="J514" s="6">
        <v>2493</v>
      </c>
      <c r="K514" s="6">
        <v>2493</v>
      </c>
      <c r="L514" s="6">
        <v>0</v>
      </c>
      <c r="M514" s="6">
        <v>0</v>
      </c>
      <c r="N514" s="6">
        <v>0</v>
      </c>
      <c r="O514" s="6">
        <v>0</v>
      </c>
      <c r="P514" s="6">
        <v>9</v>
      </c>
      <c r="Q514" s="4" t="s">
        <v>26</v>
      </c>
      <c r="R514" s="4">
        <v>0</v>
      </c>
      <c r="S514" s="6">
        <v>2</v>
      </c>
      <c r="T514" s="6">
        <v>0</v>
      </c>
      <c r="U514" s="6">
        <v>0</v>
      </c>
      <c r="V514" s="6">
        <f>IF(ISERROR(VLOOKUP($S$514,'TAR FIN'!$A$1:$O$108,15,0)),0,VLOOKUP($S$514,'TAR FIN'!$A$1:$O$108,15,0))</f>
        <v>21.38</v>
      </c>
      <c r="W514" s="6">
        <f>IF(ISERROR(VLOOKUP($T$514,'TAR FIN'!$A$1:$O$108,15,0)),0,VLOOKUP($T$514,'TAR FIN'!$A$1:$O$108,15,0))</f>
        <v>0</v>
      </c>
      <c r="X514" s="6">
        <f>IF(ISERROR(VLOOKUP($U$514,'TAR FIN'!$A$1:$O$108,15,0)),0,VLOOKUP($U$514,'TAR FIN'!$A$1:$O$108,15,0))</f>
        <v>0</v>
      </c>
      <c r="Y514" s="6">
        <f ca="1">('TUSD BE'!$AM$26+'TUSD BF'!$AM$26+'TUSD CVA'!$AM$26)*1</f>
        <v>21.189390814529755</v>
      </c>
      <c r="Z514" s="6"/>
      <c r="AA514" s="6"/>
      <c r="AB514" s="6">
        <f>$K$514*$V$514</f>
        <v>53300.34</v>
      </c>
      <c r="AC514" s="6">
        <f>$M$514*$W$514</f>
        <v>0</v>
      </c>
      <c r="AD514" s="6">
        <f>$O$514*$X$514</f>
        <v>0</v>
      </c>
      <c r="AE514" s="6">
        <f ca="1">$K$514*$Y$514</f>
        <v>52825.151300622681</v>
      </c>
      <c r="AF514" s="6">
        <f>$M$514*$Z$514</f>
        <v>0</v>
      </c>
      <c r="AG514" s="6">
        <f>$O$514*$AA$514</f>
        <v>0</v>
      </c>
    </row>
    <row r="515" spans="1:33" ht="11.25" customHeight="1" x14ac:dyDescent="0.25">
      <c r="A515" s="4" t="s">
        <v>21</v>
      </c>
      <c r="B515" s="4" t="s">
        <v>41</v>
      </c>
      <c r="C515" s="4" t="s">
        <v>43</v>
      </c>
      <c r="D515" s="4" t="s">
        <v>47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44835</v>
      </c>
      <c r="J515" s="6">
        <v>26538</v>
      </c>
      <c r="K515" s="6">
        <v>26538</v>
      </c>
      <c r="L515" s="6">
        <v>0</v>
      </c>
      <c r="M515" s="6">
        <v>0</v>
      </c>
      <c r="N515" s="6">
        <v>0</v>
      </c>
      <c r="O515" s="6">
        <v>0</v>
      </c>
      <c r="P515" s="6">
        <v>257</v>
      </c>
      <c r="Q515" s="4" t="s">
        <v>26</v>
      </c>
      <c r="R515" s="4">
        <v>0</v>
      </c>
      <c r="S515" s="6">
        <v>2</v>
      </c>
      <c r="T515" s="6">
        <v>0</v>
      </c>
      <c r="U515" s="6">
        <v>0</v>
      </c>
      <c r="V515" s="6">
        <f>IF(ISERROR(VLOOKUP($S$515,'TAR FIN'!$A$1:$O$108,15,0)),0,VLOOKUP($S$515,'TAR FIN'!$A$1:$O$108,15,0))</f>
        <v>21.38</v>
      </c>
      <c r="W515" s="6">
        <f>IF(ISERROR(VLOOKUP($T$515,'TAR FIN'!$A$1:$O$108,15,0)),0,VLOOKUP($T$515,'TAR FIN'!$A$1:$O$108,15,0))</f>
        <v>0</v>
      </c>
      <c r="X515" s="6">
        <f>IF(ISERROR(VLOOKUP($U$515,'TAR FIN'!$A$1:$O$108,15,0)),0,VLOOKUP($U$515,'TAR FIN'!$A$1:$O$108,15,0))</f>
        <v>0</v>
      </c>
      <c r="Y515" s="6">
        <f ca="1">('TUSD BE'!$AM$26+'TUSD BF'!$AM$26+'TUSD CVA'!$AM$26)*1</f>
        <v>21.189390814529755</v>
      </c>
      <c r="Z515" s="6"/>
      <c r="AA515" s="6"/>
      <c r="AB515" s="6">
        <f>$K$515*$V$515</f>
        <v>567382.43999999994</v>
      </c>
      <c r="AC515" s="6">
        <f>$M$515*$W$515</f>
        <v>0</v>
      </c>
      <c r="AD515" s="6">
        <f>$O$515*$X$515</f>
        <v>0</v>
      </c>
      <c r="AE515" s="6">
        <f ca="1">$K$515*$Y$515</f>
        <v>562324.05343599059</v>
      </c>
      <c r="AF515" s="6">
        <f>$M$515*$Z$515</f>
        <v>0</v>
      </c>
      <c r="AG515" s="6">
        <f>$O$515*$AA$515</f>
        <v>0</v>
      </c>
    </row>
    <row r="516" spans="1:33" ht="11.25" customHeight="1" x14ac:dyDescent="0.25">
      <c r="A516" s="4" t="s">
        <v>28</v>
      </c>
      <c r="B516" s="4" t="s">
        <v>41</v>
      </c>
      <c r="C516" s="4" t="s">
        <v>43</v>
      </c>
      <c r="D516" s="4" t="s">
        <v>47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44835</v>
      </c>
      <c r="J516" s="6">
        <v>2785</v>
      </c>
      <c r="K516" s="6">
        <v>2785</v>
      </c>
      <c r="L516" s="6">
        <v>0</v>
      </c>
      <c r="M516" s="6">
        <v>0</v>
      </c>
      <c r="N516" s="6">
        <v>0</v>
      </c>
      <c r="O516" s="6">
        <v>0</v>
      </c>
      <c r="P516" s="6">
        <v>10</v>
      </c>
      <c r="Q516" s="4" t="s">
        <v>26</v>
      </c>
      <c r="R516" s="4">
        <v>0</v>
      </c>
      <c r="S516" s="6">
        <v>2</v>
      </c>
      <c r="T516" s="6">
        <v>0</v>
      </c>
      <c r="U516" s="6">
        <v>0</v>
      </c>
      <c r="V516" s="6">
        <f>IF(ISERROR(VLOOKUP($S$516,'TAR FIN'!$A$1:$O$108,15,0)),0,VLOOKUP($S$516,'TAR FIN'!$A$1:$O$108,15,0))</f>
        <v>21.38</v>
      </c>
      <c r="W516" s="6">
        <f>IF(ISERROR(VLOOKUP($T$516,'TAR FIN'!$A$1:$O$108,15,0)),0,VLOOKUP($T$516,'TAR FIN'!$A$1:$O$108,15,0))</f>
        <v>0</v>
      </c>
      <c r="X516" s="6">
        <f>IF(ISERROR(VLOOKUP($U$516,'TAR FIN'!$A$1:$O$108,15,0)),0,VLOOKUP($U$516,'TAR FIN'!$A$1:$O$108,15,0))</f>
        <v>0</v>
      </c>
      <c r="Y516" s="6">
        <f ca="1">('TUSD BE'!$AM$26+'TUSD BF'!$AM$26+'TUSD CVA'!$AM$26)*1</f>
        <v>21.189390814529755</v>
      </c>
      <c r="Z516" s="6"/>
      <c r="AA516" s="6"/>
      <c r="AB516" s="6">
        <f>$K$516*$V$516</f>
        <v>59543.299999999996</v>
      </c>
      <c r="AC516" s="6">
        <f>$M$516*$W$516</f>
        <v>0</v>
      </c>
      <c r="AD516" s="6">
        <f>$O$516*$X$516</f>
        <v>0</v>
      </c>
      <c r="AE516" s="6">
        <f ca="1">$K$516*$Y$516</f>
        <v>59012.453418465368</v>
      </c>
      <c r="AF516" s="6">
        <f>$M$516*$Z$516</f>
        <v>0</v>
      </c>
      <c r="AG516" s="6">
        <f>$O$516*$AA$516</f>
        <v>0</v>
      </c>
    </row>
    <row r="517" spans="1:33" ht="11.25" customHeight="1" x14ac:dyDescent="0.25">
      <c r="A517" s="4" t="s">
        <v>28</v>
      </c>
      <c r="B517" s="4" t="s">
        <v>41</v>
      </c>
      <c r="C517" s="4" t="s">
        <v>43</v>
      </c>
      <c r="D517" s="4" t="s">
        <v>47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44835</v>
      </c>
      <c r="J517" s="6">
        <v>470</v>
      </c>
      <c r="K517" s="6">
        <v>470</v>
      </c>
      <c r="L517" s="6">
        <v>0</v>
      </c>
      <c r="M517" s="6">
        <v>0</v>
      </c>
      <c r="N517" s="6">
        <v>0</v>
      </c>
      <c r="O517" s="6">
        <v>0</v>
      </c>
      <c r="P517" s="6">
        <v>2</v>
      </c>
      <c r="Q517" s="4" t="s">
        <v>26</v>
      </c>
      <c r="R517" s="4">
        <v>0</v>
      </c>
      <c r="S517" s="6">
        <v>2</v>
      </c>
      <c r="T517" s="6">
        <v>0</v>
      </c>
      <c r="U517" s="6">
        <v>0</v>
      </c>
      <c r="V517" s="6">
        <f>IF(ISERROR(VLOOKUP($S$517,'TAR FIN'!$A$1:$O$108,15,0)),0,VLOOKUP($S$517,'TAR FIN'!$A$1:$O$108,15,0))</f>
        <v>21.38</v>
      </c>
      <c r="W517" s="6">
        <f>IF(ISERROR(VLOOKUP($T$517,'TAR FIN'!$A$1:$O$108,15,0)),0,VLOOKUP($T$517,'TAR FIN'!$A$1:$O$108,15,0))</f>
        <v>0</v>
      </c>
      <c r="X517" s="6">
        <f>IF(ISERROR(VLOOKUP($U$517,'TAR FIN'!$A$1:$O$108,15,0)),0,VLOOKUP($U$517,'TAR FIN'!$A$1:$O$108,15,0))</f>
        <v>0</v>
      </c>
      <c r="Y517" s="6">
        <f ca="1">('TUSD BE'!$AM$26+'TUSD BF'!$AM$26+'TUSD CVA'!$AM$26)*1</f>
        <v>21.189390814529755</v>
      </c>
      <c r="Z517" s="6"/>
      <c r="AA517" s="6"/>
      <c r="AB517" s="6">
        <f>$K$517*$V$517</f>
        <v>10048.6</v>
      </c>
      <c r="AC517" s="6">
        <f>$M$517*$W$517</f>
        <v>0</v>
      </c>
      <c r="AD517" s="6">
        <f>$O$517*$X$517</f>
        <v>0</v>
      </c>
      <c r="AE517" s="6">
        <f ca="1">$K$517*$Y$517</f>
        <v>9959.0136828289851</v>
      </c>
      <c r="AF517" s="6">
        <f>$M$517*$Z$517</f>
        <v>0</v>
      </c>
      <c r="AG517" s="6">
        <f>$O$517*$AA$517</f>
        <v>0</v>
      </c>
    </row>
    <row r="518" spans="1:33" ht="11.25" customHeight="1" x14ac:dyDescent="0.25">
      <c r="A518" s="4" t="s">
        <v>54</v>
      </c>
      <c r="B518" s="4" t="s">
        <v>41</v>
      </c>
      <c r="C518" s="4" t="s">
        <v>43</v>
      </c>
      <c r="D518" s="4" t="s">
        <v>47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44866</v>
      </c>
      <c r="J518" s="6">
        <v>26538</v>
      </c>
      <c r="K518" s="6">
        <v>26538</v>
      </c>
      <c r="L518" s="6">
        <v>0</v>
      </c>
      <c r="M518" s="6">
        <v>0</v>
      </c>
      <c r="N518" s="6">
        <v>0</v>
      </c>
      <c r="O518" s="6">
        <v>0</v>
      </c>
      <c r="P518" s="6">
        <v>257</v>
      </c>
      <c r="Q518" s="4" t="s">
        <v>26</v>
      </c>
      <c r="R518" s="4">
        <v>0</v>
      </c>
      <c r="S518" s="6">
        <v>2</v>
      </c>
      <c r="T518" s="6">
        <v>0</v>
      </c>
      <c r="U518" s="6">
        <v>0</v>
      </c>
      <c r="V518" s="6">
        <f>IF(ISERROR(VLOOKUP($S$518,'TAR FIN'!$A$1:$O$108,15,0)),0,VLOOKUP($S$518,'TAR FIN'!$A$1:$O$108,15,0))</f>
        <v>21.38</v>
      </c>
      <c r="W518" s="6">
        <f>IF(ISERROR(VLOOKUP($T$518,'TAR FIN'!$A$1:$O$108,15,0)),0,VLOOKUP($T$518,'TAR FIN'!$A$1:$O$108,15,0))</f>
        <v>0</v>
      </c>
      <c r="X518" s="6">
        <f>IF(ISERROR(VLOOKUP($U$518,'TAR FIN'!$A$1:$O$108,15,0)),0,VLOOKUP($U$518,'TAR FIN'!$A$1:$O$108,15,0))</f>
        <v>0</v>
      </c>
      <c r="Y518" s="6">
        <f ca="1">('TUSD BE'!$AM$26+'TUSD BF'!$AM$26+'TUSD CVA'!$AM$26)*1</f>
        <v>21.189390814529755</v>
      </c>
      <c r="Z518" s="6"/>
      <c r="AA518" s="6"/>
      <c r="AB518" s="6">
        <f>$K$518*$V$518</f>
        <v>567382.43999999994</v>
      </c>
      <c r="AC518" s="6">
        <f>$M$518*$W$518</f>
        <v>0</v>
      </c>
      <c r="AD518" s="6">
        <f>$O$518*$X$518</f>
        <v>0</v>
      </c>
      <c r="AE518" s="6">
        <f ca="1">$K$518*$Y$518</f>
        <v>562324.05343599059</v>
      </c>
      <c r="AF518" s="6">
        <f>$M$518*$Z$518</f>
        <v>0</v>
      </c>
      <c r="AG518" s="6">
        <f>$O$518*$AA$518</f>
        <v>0</v>
      </c>
    </row>
    <row r="519" spans="1:33" ht="11.25" customHeight="1" x14ac:dyDescent="0.25">
      <c r="A519" s="4" t="s">
        <v>54</v>
      </c>
      <c r="B519" s="4" t="s">
        <v>41</v>
      </c>
      <c r="C519" s="4" t="s">
        <v>43</v>
      </c>
      <c r="D519" s="4" t="s">
        <v>47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44866</v>
      </c>
      <c r="J519" s="6">
        <v>2785</v>
      </c>
      <c r="K519" s="6">
        <v>2785</v>
      </c>
      <c r="L519" s="6">
        <v>0</v>
      </c>
      <c r="M519" s="6">
        <v>0</v>
      </c>
      <c r="N519" s="6">
        <v>0</v>
      </c>
      <c r="O519" s="6">
        <v>0</v>
      </c>
      <c r="P519" s="6">
        <v>10</v>
      </c>
      <c r="Q519" s="4" t="s">
        <v>26</v>
      </c>
      <c r="R519" s="4">
        <v>0</v>
      </c>
      <c r="S519" s="6">
        <v>2</v>
      </c>
      <c r="T519" s="6">
        <v>0</v>
      </c>
      <c r="U519" s="6">
        <v>0</v>
      </c>
      <c r="V519" s="6">
        <f>IF(ISERROR(VLOOKUP($S$519,'TAR FIN'!$A$1:$O$108,15,0)),0,VLOOKUP($S$519,'TAR FIN'!$A$1:$O$108,15,0))</f>
        <v>21.38</v>
      </c>
      <c r="W519" s="6">
        <f>IF(ISERROR(VLOOKUP($T$519,'TAR FIN'!$A$1:$O$108,15,0)),0,VLOOKUP($T$519,'TAR FIN'!$A$1:$O$108,15,0))</f>
        <v>0</v>
      </c>
      <c r="X519" s="6">
        <f>IF(ISERROR(VLOOKUP($U$519,'TAR FIN'!$A$1:$O$108,15,0)),0,VLOOKUP($U$519,'TAR FIN'!$A$1:$O$108,15,0))</f>
        <v>0</v>
      </c>
      <c r="Y519" s="6">
        <f ca="1">('TUSD BE'!$AM$26+'TUSD BF'!$AM$26+'TUSD CVA'!$AM$26)*1</f>
        <v>21.189390814529755</v>
      </c>
      <c r="Z519" s="6"/>
      <c r="AA519" s="6"/>
      <c r="AB519" s="6">
        <f>$K$519*$V$519</f>
        <v>59543.299999999996</v>
      </c>
      <c r="AC519" s="6">
        <f>$M$519*$W$519</f>
        <v>0</v>
      </c>
      <c r="AD519" s="6">
        <f>$O$519*$X$519</f>
        <v>0</v>
      </c>
      <c r="AE519" s="6">
        <f ca="1">$K$519*$Y$519</f>
        <v>59012.453418465368</v>
      </c>
      <c r="AF519" s="6">
        <f>$M$519*$Z$519</f>
        <v>0</v>
      </c>
      <c r="AG519" s="6">
        <f>$O$519*$AA$519</f>
        <v>0</v>
      </c>
    </row>
    <row r="520" spans="1:33" ht="11.25" customHeight="1" x14ac:dyDescent="0.25">
      <c r="A520" s="4" t="s">
        <v>54</v>
      </c>
      <c r="B520" s="4" t="s">
        <v>41</v>
      </c>
      <c r="C520" s="4" t="s">
        <v>43</v>
      </c>
      <c r="D520" s="4" t="s">
        <v>47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44866</v>
      </c>
      <c r="J520" s="6">
        <v>470</v>
      </c>
      <c r="K520" s="6">
        <v>470</v>
      </c>
      <c r="L520" s="6">
        <v>0</v>
      </c>
      <c r="M520" s="6">
        <v>0</v>
      </c>
      <c r="N520" s="6">
        <v>0</v>
      </c>
      <c r="O520" s="6">
        <v>0</v>
      </c>
      <c r="P520" s="6">
        <v>2</v>
      </c>
      <c r="Q520" s="4" t="s">
        <v>26</v>
      </c>
      <c r="R520" s="4">
        <v>0</v>
      </c>
      <c r="S520" s="6">
        <v>2</v>
      </c>
      <c r="T520" s="6">
        <v>0</v>
      </c>
      <c r="U520" s="6">
        <v>0</v>
      </c>
      <c r="V520" s="6">
        <f>IF(ISERROR(VLOOKUP($S$520,'TAR FIN'!$A$1:$O$108,15,0)),0,VLOOKUP($S$520,'TAR FIN'!$A$1:$O$108,15,0))</f>
        <v>21.38</v>
      </c>
      <c r="W520" s="6">
        <f>IF(ISERROR(VLOOKUP($T$520,'TAR FIN'!$A$1:$O$108,15,0)),0,VLOOKUP($T$520,'TAR FIN'!$A$1:$O$108,15,0))</f>
        <v>0</v>
      </c>
      <c r="X520" s="6">
        <f>IF(ISERROR(VLOOKUP($U$520,'TAR FIN'!$A$1:$O$108,15,0)),0,VLOOKUP($U$520,'TAR FIN'!$A$1:$O$108,15,0))</f>
        <v>0</v>
      </c>
      <c r="Y520" s="6">
        <f ca="1">('TUSD BE'!$AM$26+'TUSD BF'!$AM$26+'TUSD CVA'!$AM$26)*1</f>
        <v>21.189390814529755</v>
      </c>
      <c r="Z520" s="6"/>
      <c r="AA520" s="6"/>
      <c r="AB520" s="6">
        <f>$K$520*$V$520</f>
        <v>10048.6</v>
      </c>
      <c r="AC520" s="6">
        <f>$M$520*$W$520</f>
        <v>0</v>
      </c>
      <c r="AD520" s="6">
        <f>$O$520*$X$520</f>
        <v>0</v>
      </c>
      <c r="AE520" s="6">
        <f ca="1">$K$520*$Y$520</f>
        <v>9959.0136828289851</v>
      </c>
      <c r="AF520" s="6">
        <f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41</v>
      </c>
      <c r="C521" s="4" t="s">
        <v>43</v>
      </c>
      <c r="D521" s="4" t="s">
        <v>47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44531</v>
      </c>
      <c r="J521" s="6">
        <v>0</v>
      </c>
      <c r="K521" s="6">
        <v>0</v>
      </c>
      <c r="L521" s="6">
        <v>347.78800000000001</v>
      </c>
      <c r="M521" s="6">
        <v>347.78800000000001</v>
      </c>
      <c r="N521" s="6">
        <v>347.78800000000001</v>
      </c>
      <c r="O521" s="6">
        <v>347.78800000000001</v>
      </c>
      <c r="P521" s="6">
        <v>0</v>
      </c>
      <c r="Q521" s="4" t="s">
        <v>26</v>
      </c>
      <c r="R521" s="4">
        <v>0</v>
      </c>
      <c r="S521" s="6">
        <v>0</v>
      </c>
      <c r="T521" s="6">
        <v>5</v>
      </c>
      <c r="U521" s="6">
        <v>75</v>
      </c>
      <c r="V521" s="6">
        <f>IF(ISERROR(VLOOKUP($S$521,'TAR FIN'!$A$1:$O$108,15,0)),0,VLOOKUP($S$521,'TAR FIN'!$A$1:$O$108,15,0))</f>
        <v>0</v>
      </c>
      <c r="W521" s="6">
        <f>IF(ISERROR(VLOOKUP($T$521,'TAR FIN'!$A$1:$O$108,15,0)),0,VLOOKUP($T$521,'TAR FIN'!$A$1:$O$108,15,0))</f>
        <v>1454.96</v>
      </c>
      <c r="X521" s="6">
        <f>IF(ISERROR(VLOOKUP($U$521,'TAR FIN'!$A$1:$O$108,15,0)),0,VLOOKUP($U$521,'TAR FIN'!$A$1:$O$108,15,0))</f>
        <v>159.43</v>
      </c>
      <c r="Y521" s="6"/>
      <c r="Z521" s="6">
        <f ca="1">('TUSD BE'!$AM$27+'TUSD BF'!$AM$27+'TUSD CVA'!$AM$27)*1</f>
        <v>1497.8900689999518</v>
      </c>
      <c r="AA521" s="6">
        <f>('TE BE'!$AB$10+'TE BF'!$AB$10+'TE CVA'!$AB$10)*1</f>
        <v>322.12477389224171</v>
      </c>
      <c r="AB521" s="6">
        <f>$K$521*$V$521</f>
        <v>0</v>
      </c>
      <c r="AC521" s="6">
        <f>$M$521*$W$521</f>
        <v>506017.62848000001</v>
      </c>
      <c r="AD521" s="6">
        <f>$O$521*$X$521</f>
        <v>55447.840840000004</v>
      </c>
      <c r="AE521" s="6">
        <f>$K$521*$Y$521</f>
        <v>0</v>
      </c>
      <c r="AF521" s="6">
        <f ca="1">$M$521*$Z$521</f>
        <v>520948.19131735526</v>
      </c>
      <c r="AG521" s="6">
        <f>$O$521*$AA$521</f>
        <v>112031.13086243496</v>
      </c>
    </row>
    <row r="522" spans="1:33" ht="11.25" customHeight="1" x14ac:dyDescent="0.25">
      <c r="A522" s="4" t="s">
        <v>27</v>
      </c>
      <c r="B522" s="4" t="s">
        <v>41</v>
      </c>
      <c r="C522" s="4" t="s">
        <v>43</v>
      </c>
      <c r="D522" s="4" t="s">
        <v>47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44531</v>
      </c>
      <c r="J522" s="6">
        <v>0</v>
      </c>
      <c r="K522" s="6">
        <v>0</v>
      </c>
      <c r="L522" s="6">
        <v>0.32800000000000001</v>
      </c>
      <c r="M522" s="6">
        <v>0.32800000000000001</v>
      </c>
      <c r="N522" s="6">
        <v>0.32800000000000001</v>
      </c>
      <c r="O522" s="6">
        <v>0.32800000000000001</v>
      </c>
      <c r="P522" s="6">
        <v>0</v>
      </c>
      <c r="Q522" s="4" t="s">
        <v>26</v>
      </c>
      <c r="R522" s="4">
        <v>0</v>
      </c>
      <c r="S522" s="6">
        <v>0</v>
      </c>
      <c r="T522" s="6">
        <v>5</v>
      </c>
      <c r="U522" s="6">
        <v>75</v>
      </c>
      <c r="V522" s="6">
        <f>IF(ISERROR(VLOOKUP($S$522,'TAR FIN'!$A$1:$O$108,15,0)),0,VLOOKUP($S$522,'TAR FIN'!$A$1:$O$108,15,0))</f>
        <v>0</v>
      </c>
      <c r="W522" s="6">
        <f>IF(ISERROR(VLOOKUP($T$522,'TAR FIN'!$A$1:$O$108,15,0)),0,VLOOKUP($T$522,'TAR FIN'!$A$1:$O$108,15,0))</f>
        <v>1454.96</v>
      </c>
      <c r="X522" s="6">
        <f>IF(ISERROR(VLOOKUP($U$522,'TAR FIN'!$A$1:$O$108,15,0)),0,VLOOKUP($U$522,'TAR FIN'!$A$1:$O$108,15,0))</f>
        <v>159.43</v>
      </c>
      <c r="Y522" s="6"/>
      <c r="Z522" s="6">
        <f ca="1">('TUSD BE'!$AM$27+'TUSD BF'!$AM$27+'TUSD CVA'!$AM$27)*1</f>
        <v>1497.8900689999518</v>
      </c>
      <c r="AA522" s="6">
        <f>('TE BE'!$AB$10+'TE BF'!$AB$10+'TE CVA'!$AB$10)*1</f>
        <v>322.12477389224171</v>
      </c>
      <c r="AB522" s="6">
        <f>$K$522*$V$522</f>
        <v>0</v>
      </c>
      <c r="AC522" s="6">
        <f>$M$522*$W$522</f>
        <v>477.22688000000005</v>
      </c>
      <c r="AD522" s="6">
        <f>$O$522*$X$522</f>
        <v>52.293040000000005</v>
      </c>
      <c r="AE522" s="6">
        <f>$K$522*$Y$522</f>
        <v>0</v>
      </c>
      <c r="AF522" s="6">
        <f ca="1">$M$522*$Z$522</f>
        <v>491.30794263198425</v>
      </c>
      <c r="AG522" s="6">
        <f>$O$522*$AA$522</f>
        <v>105.65692583665529</v>
      </c>
    </row>
    <row r="523" spans="1:33" ht="11.25" customHeight="1" x14ac:dyDescent="0.25">
      <c r="A523" s="4" t="s">
        <v>28</v>
      </c>
      <c r="B523" s="4" t="s">
        <v>41</v>
      </c>
      <c r="C523" s="4" t="s">
        <v>43</v>
      </c>
      <c r="D523" s="4" t="s">
        <v>47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44531</v>
      </c>
      <c r="J523" s="6">
        <v>0</v>
      </c>
      <c r="K523" s="6">
        <v>0</v>
      </c>
      <c r="L523" s="6">
        <v>8.6780000000000008</v>
      </c>
      <c r="M523" s="6">
        <v>8.6780000000000008</v>
      </c>
      <c r="N523" s="6">
        <v>8.6780000000000008</v>
      </c>
      <c r="O523" s="6">
        <v>8.6780000000000008</v>
      </c>
      <c r="P523" s="6">
        <v>0</v>
      </c>
      <c r="Q523" s="4" t="s">
        <v>26</v>
      </c>
      <c r="R523" s="4">
        <v>0</v>
      </c>
      <c r="S523" s="6">
        <v>0</v>
      </c>
      <c r="T523" s="6">
        <v>5</v>
      </c>
      <c r="U523" s="6">
        <v>75</v>
      </c>
      <c r="V523" s="6">
        <f>IF(ISERROR(VLOOKUP($S$523,'TAR FIN'!$A$1:$O$108,15,0)),0,VLOOKUP($S$523,'TAR FIN'!$A$1:$O$108,15,0))</f>
        <v>0</v>
      </c>
      <c r="W523" s="6">
        <f>IF(ISERROR(VLOOKUP($T$523,'TAR FIN'!$A$1:$O$108,15,0)),0,VLOOKUP($T$523,'TAR FIN'!$A$1:$O$108,15,0))</f>
        <v>1454.96</v>
      </c>
      <c r="X523" s="6">
        <f>IF(ISERROR(VLOOKUP($U$523,'TAR FIN'!$A$1:$O$108,15,0)),0,VLOOKUP($U$523,'TAR FIN'!$A$1:$O$108,15,0))</f>
        <v>159.43</v>
      </c>
      <c r="Y523" s="6"/>
      <c r="Z523" s="6">
        <f ca="1">('TUSD BE'!$AM$27+'TUSD BF'!$AM$27+'TUSD CVA'!$AM$27)*1</f>
        <v>1497.8900689999518</v>
      </c>
      <c r="AA523" s="6">
        <f>('TE BE'!$AB$10+'TE BF'!$AB$10+'TE CVA'!$AB$10)*1</f>
        <v>322.12477389224171</v>
      </c>
      <c r="AB523" s="6">
        <f>$K$523*$V$523</f>
        <v>0</v>
      </c>
      <c r="AC523" s="6">
        <f>$M$523*$W$523</f>
        <v>12626.142880000001</v>
      </c>
      <c r="AD523" s="6">
        <f>$O$523*$X$523</f>
        <v>1383.5335400000001</v>
      </c>
      <c r="AE523" s="6">
        <f>$K$523*$Y$523</f>
        <v>0</v>
      </c>
      <c r="AF523" s="6">
        <f ca="1">$M$523*$Z$523</f>
        <v>12998.690018781583</v>
      </c>
      <c r="AG523" s="6">
        <f>$O$523*$AA$523</f>
        <v>2795.3987878368739</v>
      </c>
    </row>
    <row r="524" spans="1:33" ht="11.25" customHeight="1" x14ac:dyDescent="0.25">
      <c r="A524" s="4" t="s">
        <v>21</v>
      </c>
      <c r="B524" s="4" t="s">
        <v>41</v>
      </c>
      <c r="C524" s="4" t="s">
        <v>43</v>
      </c>
      <c r="D524" s="4" t="s">
        <v>47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44562</v>
      </c>
      <c r="J524" s="6">
        <v>0</v>
      </c>
      <c r="K524" s="6">
        <v>0</v>
      </c>
      <c r="L524" s="6">
        <v>290.68700000000001</v>
      </c>
      <c r="M524" s="6">
        <v>290.68700000000001</v>
      </c>
      <c r="N524" s="6">
        <v>290.68700000000001</v>
      </c>
      <c r="O524" s="6">
        <v>290.68700000000001</v>
      </c>
      <c r="P524" s="6">
        <v>0</v>
      </c>
      <c r="Q524" s="4" t="s">
        <v>26</v>
      </c>
      <c r="R524" s="4">
        <v>0</v>
      </c>
      <c r="S524" s="6">
        <v>0</v>
      </c>
      <c r="T524" s="6">
        <v>5</v>
      </c>
      <c r="U524" s="6">
        <v>75</v>
      </c>
      <c r="V524" s="6">
        <f>IF(ISERROR(VLOOKUP($S$524,'TAR FIN'!$A$1:$O$108,15,0)),0,VLOOKUP($S$524,'TAR FIN'!$A$1:$O$108,15,0))</f>
        <v>0</v>
      </c>
      <c r="W524" s="6">
        <f>IF(ISERROR(VLOOKUP($T$524,'TAR FIN'!$A$1:$O$108,15,0)),0,VLOOKUP($T$524,'TAR FIN'!$A$1:$O$108,15,0))</f>
        <v>1454.96</v>
      </c>
      <c r="X524" s="6">
        <f>IF(ISERROR(VLOOKUP($U$524,'TAR FIN'!$A$1:$O$108,15,0)),0,VLOOKUP($U$524,'TAR FIN'!$A$1:$O$108,15,0))</f>
        <v>159.43</v>
      </c>
      <c r="Y524" s="6"/>
      <c r="Z524" s="6">
        <f ca="1">('TUSD BE'!$AM$27+'TUSD BF'!$AM$27+'TUSD CVA'!$AM$27)*1</f>
        <v>1497.8900689999518</v>
      </c>
      <c r="AA524" s="6">
        <f>('TE BE'!$AB$10+'TE BF'!$AB$10+'TE CVA'!$AB$10)*1</f>
        <v>322.12477389224171</v>
      </c>
      <c r="AB524" s="6">
        <f>$K$524*$V$524</f>
        <v>0</v>
      </c>
      <c r="AC524" s="6">
        <f>$M$524*$W$524</f>
        <v>422937.95752000005</v>
      </c>
      <c r="AD524" s="6">
        <f>$O$524*$X$524</f>
        <v>46344.228410000003</v>
      </c>
      <c r="AE524" s="6">
        <f>$K$524*$Y$524</f>
        <v>0</v>
      </c>
      <c r="AF524" s="6">
        <f ca="1">$M$524*$Z$524</f>
        <v>435417.17048738903</v>
      </c>
      <c r="AG524" s="6">
        <f>$O$524*$AA$524</f>
        <v>93637.484148414063</v>
      </c>
    </row>
    <row r="525" spans="1:33" ht="11.25" customHeight="1" x14ac:dyDescent="0.25">
      <c r="A525" s="4" t="s">
        <v>28</v>
      </c>
      <c r="B525" s="4" t="s">
        <v>41</v>
      </c>
      <c r="C525" s="4" t="s">
        <v>43</v>
      </c>
      <c r="D525" s="4" t="s">
        <v>47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44562</v>
      </c>
      <c r="J525" s="6">
        <v>0</v>
      </c>
      <c r="K525" s="6">
        <v>0</v>
      </c>
      <c r="L525" s="6">
        <v>7.7679999999999998</v>
      </c>
      <c r="M525" s="6">
        <v>7.7679999999999998</v>
      </c>
      <c r="N525" s="6">
        <v>7.7679999999999998</v>
      </c>
      <c r="O525" s="6">
        <v>7.7679999999999998</v>
      </c>
      <c r="P525" s="6">
        <v>0</v>
      </c>
      <c r="Q525" s="4" t="s">
        <v>26</v>
      </c>
      <c r="R525" s="4">
        <v>0</v>
      </c>
      <c r="S525" s="6">
        <v>0</v>
      </c>
      <c r="T525" s="6">
        <v>5</v>
      </c>
      <c r="U525" s="6">
        <v>75</v>
      </c>
      <c r="V525" s="6">
        <f>IF(ISERROR(VLOOKUP($S$525,'TAR FIN'!$A$1:$O$108,15,0)),0,VLOOKUP($S$525,'TAR FIN'!$A$1:$O$108,15,0))</f>
        <v>0</v>
      </c>
      <c r="W525" s="6">
        <f>IF(ISERROR(VLOOKUP($T$525,'TAR FIN'!$A$1:$O$108,15,0)),0,VLOOKUP($T$525,'TAR FIN'!$A$1:$O$108,15,0))</f>
        <v>1454.96</v>
      </c>
      <c r="X525" s="6">
        <f>IF(ISERROR(VLOOKUP($U$525,'TAR FIN'!$A$1:$O$108,15,0)),0,VLOOKUP($U$525,'TAR FIN'!$A$1:$O$108,15,0))</f>
        <v>159.43</v>
      </c>
      <c r="Y525" s="6"/>
      <c r="Z525" s="6">
        <f ca="1">('TUSD BE'!$AM$27+'TUSD BF'!$AM$27+'TUSD CVA'!$AM$27)*1</f>
        <v>1497.8900689999518</v>
      </c>
      <c r="AA525" s="6">
        <f>('TE BE'!$AB$10+'TE BF'!$AB$10+'TE CVA'!$AB$10)*1</f>
        <v>322.12477389224171</v>
      </c>
      <c r="AB525" s="6">
        <f>$K$525*$V$525</f>
        <v>0</v>
      </c>
      <c r="AC525" s="6">
        <f>$M$525*$W$525</f>
        <v>11302.129279999999</v>
      </c>
      <c r="AD525" s="6">
        <f>$O$525*$X$525</f>
        <v>1238.4522400000001</v>
      </c>
      <c r="AE525" s="6">
        <f>$K$525*$Y$525</f>
        <v>0</v>
      </c>
      <c r="AF525" s="6">
        <f ca="1">$M$525*$Z$525</f>
        <v>11635.610055991625</v>
      </c>
      <c r="AG525" s="6">
        <f>$O$525*$AA$525</f>
        <v>2502.2652435949335</v>
      </c>
    </row>
    <row r="526" spans="1:33" ht="11.25" customHeight="1" x14ac:dyDescent="0.25">
      <c r="A526" s="4" t="s">
        <v>21</v>
      </c>
      <c r="B526" s="4" t="s">
        <v>41</v>
      </c>
      <c r="C526" s="4" t="s">
        <v>43</v>
      </c>
      <c r="D526" s="4" t="s">
        <v>47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44593</v>
      </c>
      <c r="J526" s="6">
        <v>0</v>
      </c>
      <c r="K526" s="6">
        <v>0</v>
      </c>
      <c r="L526" s="6">
        <v>272.32</v>
      </c>
      <c r="M526" s="6">
        <v>272.32</v>
      </c>
      <c r="N526" s="6">
        <v>272.32</v>
      </c>
      <c r="O526" s="6">
        <v>272.32</v>
      </c>
      <c r="P526" s="6">
        <v>0</v>
      </c>
      <c r="Q526" s="4" t="s">
        <v>26</v>
      </c>
      <c r="R526" s="4">
        <v>0</v>
      </c>
      <c r="S526" s="6">
        <v>0</v>
      </c>
      <c r="T526" s="6">
        <v>5</v>
      </c>
      <c r="U526" s="6">
        <v>75</v>
      </c>
      <c r="V526" s="6">
        <f>IF(ISERROR(VLOOKUP($S$526,'TAR FIN'!$A$1:$O$108,15,0)),0,VLOOKUP($S$526,'TAR FIN'!$A$1:$O$108,15,0))</f>
        <v>0</v>
      </c>
      <c r="W526" s="6">
        <f>IF(ISERROR(VLOOKUP($T$526,'TAR FIN'!$A$1:$O$108,15,0)),0,VLOOKUP($T$526,'TAR FIN'!$A$1:$O$108,15,0))</f>
        <v>1454.96</v>
      </c>
      <c r="X526" s="6">
        <f>IF(ISERROR(VLOOKUP($U$526,'TAR FIN'!$A$1:$O$108,15,0)),0,VLOOKUP($U$526,'TAR FIN'!$A$1:$O$108,15,0))</f>
        <v>159.43</v>
      </c>
      <c r="Y526" s="6"/>
      <c r="Z526" s="6">
        <f ca="1">('TUSD BE'!$AM$27+'TUSD BF'!$AM$27+'TUSD CVA'!$AM$27)*1</f>
        <v>1497.8900689999518</v>
      </c>
      <c r="AA526" s="6">
        <f>('TE BE'!$AB$10+'TE BF'!$AB$10+'TE CVA'!$AB$10)*1</f>
        <v>322.12477389224171</v>
      </c>
      <c r="AB526" s="6">
        <f>$K$526*$V$526</f>
        <v>0</v>
      </c>
      <c r="AC526" s="6">
        <f>$M$526*$W$526</f>
        <v>396214.7072</v>
      </c>
      <c r="AD526" s="6">
        <f>$O$526*$X$526</f>
        <v>43415.977599999998</v>
      </c>
      <c r="AE526" s="6">
        <f>$K$526*$Y$526</f>
        <v>0</v>
      </c>
      <c r="AF526" s="6">
        <f ca="1">$M$526*$Z$526</f>
        <v>407905.4235900669</v>
      </c>
      <c r="AG526" s="6">
        <f>$O$526*$AA$526</f>
        <v>87721.018426335257</v>
      </c>
    </row>
    <row r="527" spans="1:33" ht="11.25" customHeight="1" x14ac:dyDescent="0.25">
      <c r="A527" s="4" t="s">
        <v>28</v>
      </c>
      <c r="B527" s="4" t="s">
        <v>41</v>
      </c>
      <c r="C527" s="4" t="s">
        <v>43</v>
      </c>
      <c r="D527" s="4" t="s">
        <v>47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44593</v>
      </c>
      <c r="J527" s="6">
        <v>0</v>
      </c>
      <c r="K527" s="6">
        <v>0</v>
      </c>
      <c r="L527" s="6">
        <v>7.69</v>
      </c>
      <c r="M527" s="6">
        <v>7.69</v>
      </c>
      <c r="N527" s="6">
        <v>7.69</v>
      </c>
      <c r="O527" s="6">
        <v>7.69</v>
      </c>
      <c r="P527" s="6">
        <v>0</v>
      </c>
      <c r="Q527" s="4" t="s">
        <v>26</v>
      </c>
      <c r="R527" s="4">
        <v>0</v>
      </c>
      <c r="S527" s="6">
        <v>0</v>
      </c>
      <c r="T527" s="6">
        <v>5</v>
      </c>
      <c r="U527" s="6">
        <v>75</v>
      </c>
      <c r="V527" s="6">
        <f>IF(ISERROR(VLOOKUP($S$527,'TAR FIN'!$A$1:$O$108,15,0)),0,VLOOKUP($S$527,'TAR FIN'!$A$1:$O$108,15,0))</f>
        <v>0</v>
      </c>
      <c r="W527" s="6">
        <f>IF(ISERROR(VLOOKUP($T$527,'TAR FIN'!$A$1:$O$108,15,0)),0,VLOOKUP($T$527,'TAR FIN'!$A$1:$O$108,15,0))</f>
        <v>1454.96</v>
      </c>
      <c r="X527" s="6">
        <f>IF(ISERROR(VLOOKUP($U$527,'TAR FIN'!$A$1:$O$108,15,0)),0,VLOOKUP($U$527,'TAR FIN'!$A$1:$O$108,15,0))</f>
        <v>159.43</v>
      </c>
      <c r="Y527" s="6"/>
      <c r="Z527" s="6">
        <f ca="1">('TUSD BE'!$AM$27+'TUSD BF'!$AM$27+'TUSD CVA'!$AM$27)*1</f>
        <v>1497.8900689999518</v>
      </c>
      <c r="AA527" s="6">
        <f>('TE BE'!$AB$10+'TE BF'!$AB$10+'TE CVA'!$AB$10)*1</f>
        <v>322.12477389224171</v>
      </c>
      <c r="AB527" s="6">
        <f>$K$527*$V$527</f>
        <v>0</v>
      </c>
      <c r="AC527" s="6">
        <f>$M$527*$W$527</f>
        <v>11188.642400000001</v>
      </c>
      <c r="AD527" s="6">
        <f>$O$527*$X$527</f>
        <v>1226.0167000000001</v>
      </c>
      <c r="AE527" s="6">
        <f>$K$527*$Y$527</f>
        <v>0</v>
      </c>
      <c r="AF527" s="6">
        <f ca="1">$M$527*$Z$527</f>
        <v>11518.774630609631</v>
      </c>
      <c r="AG527" s="6">
        <f>$O$527*$AA$527</f>
        <v>2477.1395112313389</v>
      </c>
    </row>
    <row r="528" spans="1:33" ht="11.25" customHeight="1" x14ac:dyDescent="0.25">
      <c r="A528" s="4" t="s">
        <v>21</v>
      </c>
      <c r="B528" s="4" t="s">
        <v>41</v>
      </c>
      <c r="C528" s="4" t="s">
        <v>43</v>
      </c>
      <c r="D528" s="4" t="s">
        <v>47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44621</v>
      </c>
      <c r="J528" s="6">
        <v>0</v>
      </c>
      <c r="K528" s="6">
        <v>0</v>
      </c>
      <c r="L528" s="6">
        <v>328.315</v>
      </c>
      <c r="M528" s="6">
        <v>328.315</v>
      </c>
      <c r="N528" s="6">
        <v>328.315</v>
      </c>
      <c r="O528" s="6">
        <v>328.315</v>
      </c>
      <c r="P528" s="6">
        <v>0</v>
      </c>
      <c r="Q528" s="4" t="s">
        <v>26</v>
      </c>
      <c r="R528" s="4">
        <v>0</v>
      </c>
      <c r="S528" s="6">
        <v>0</v>
      </c>
      <c r="T528" s="6">
        <v>5</v>
      </c>
      <c r="U528" s="6">
        <v>75</v>
      </c>
      <c r="V528" s="6">
        <f>IF(ISERROR(VLOOKUP($S$528,'TAR FIN'!$A$1:$O$108,15,0)),0,VLOOKUP($S$528,'TAR FIN'!$A$1:$O$108,15,0))</f>
        <v>0</v>
      </c>
      <c r="W528" s="6">
        <f>IF(ISERROR(VLOOKUP($T$528,'TAR FIN'!$A$1:$O$108,15,0)),0,VLOOKUP($T$528,'TAR FIN'!$A$1:$O$108,15,0))</f>
        <v>1454.96</v>
      </c>
      <c r="X528" s="6">
        <f>IF(ISERROR(VLOOKUP($U$528,'TAR FIN'!$A$1:$O$108,15,0)),0,VLOOKUP($U$528,'TAR FIN'!$A$1:$O$108,15,0))</f>
        <v>159.43</v>
      </c>
      <c r="Y528" s="6"/>
      <c r="Z528" s="6">
        <f ca="1">('TUSD BE'!$AM$27+'TUSD BF'!$AM$27+'TUSD CVA'!$AM$27)*1</f>
        <v>1497.8900689999518</v>
      </c>
      <c r="AA528" s="6">
        <f>('TE BE'!$AB$10+'TE BF'!$AB$10+'TE CVA'!$AB$10)*1</f>
        <v>322.12477389224171</v>
      </c>
      <c r="AB528" s="6">
        <f>$K$528*$V$528</f>
        <v>0</v>
      </c>
      <c r="AC528" s="6">
        <f>$M$528*$W$528</f>
        <v>477685.1924</v>
      </c>
      <c r="AD528" s="6">
        <f>$O$528*$X$528</f>
        <v>52343.260450000002</v>
      </c>
      <c r="AE528" s="6">
        <f>$K$528*$Y$528</f>
        <v>0</v>
      </c>
      <c r="AF528" s="6">
        <f ca="1">$M$528*$Z$528</f>
        <v>491779.77800371917</v>
      </c>
      <c r="AG528" s="6">
        <f>$O$528*$AA$528</f>
        <v>105758.39514043134</v>
      </c>
    </row>
    <row r="529" spans="1:33" ht="11.25" customHeight="1" x14ac:dyDescent="0.25">
      <c r="A529" s="4" t="s">
        <v>28</v>
      </c>
      <c r="B529" s="4" t="s">
        <v>41</v>
      </c>
      <c r="C529" s="4" t="s">
        <v>43</v>
      </c>
      <c r="D529" s="4" t="s">
        <v>47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44621</v>
      </c>
      <c r="J529" s="6">
        <v>0</v>
      </c>
      <c r="K529" s="6">
        <v>0</v>
      </c>
      <c r="L529" s="6">
        <v>10.706</v>
      </c>
      <c r="M529" s="6">
        <v>10.706</v>
      </c>
      <c r="N529" s="6">
        <v>10.706</v>
      </c>
      <c r="O529" s="6">
        <v>10.706</v>
      </c>
      <c r="P529" s="6">
        <v>0</v>
      </c>
      <c r="Q529" s="4" t="s">
        <v>26</v>
      </c>
      <c r="R529" s="4">
        <v>0</v>
      </c>
      <c r="S529" s="6">
        <v>0</v>
      </c>
      <c r="T529" s="6">
        <v>5</v>
      </c>
      <c r="U529" s="6">
        <v>75</v>
      </c>
      <c r="V529" s="6">
        <f>IF(ISERROR(VLOOKUP($S$529,'TAR FIN'!$A$1:$O$108,15,0)),0,VLOOKUP($S$529,'TAR FIN'!$A$1:$O$108,15,0))</f>
        <v>0</v>
      </c>
      <c r="W529" s="6">
        <f>IF(ISERROR(VLOOKUP($T$529,'TAR FIN'!$A$1:$O$108,15,0)),0,VLOOKUP($T$529,'TAR FIN'!$A$1:$O$108,15,0))</f>
        <v>1454.96</v>
      </c>
      <c r="X529" s="6">
        <f>IF(ISERROR(VLOOKUP($U$529,'TAR FIN'!$A$1:$O$108,15,0)),0,VLOOKUP($U$529,'TAR FIN'!$A$1:$O$108,15,0))</f>
        <v>159.43</v>
      </c>
      <c r="Y529" s="6"/>
      <c r="Z529" s="6">
        <f ca="1">('TUSD BE'!$AM$27+'TUSD BF'!$AM$27+'TUSD CVA'!$AM$27)*1</f>
        <v>1497.8900689999518</v>
      </c>
      <c r="AA529" s="6">
        <f>('TE BE'!$AB$10+'TE BF'!$AB$10+'TE CVA'!$AB$10)*1</f>
        <v>322.12477389224171</v>
      </c>
      <c r="AB529" s="6">
        <f>$K$529*$V$529</f>
        <v>0</v>
      </c>
      <c r="AC529" s="6">
        <f>$M$529*$W$529</f>
        <v>15576.80176</v>
      </c>
      <c r="AD529" s="6">
        <f>$O$529*$X$529</f>
        <v>1706.8575800000001</v>
      </c>
      <c r="AE529" s="6">
        <f>$K$529*$Y$529</f>
        <v>0</v>
      </c>
      <c r="AF529" s="6">
        <f ca="1">$M$529*$Z$529</f>
        <v>16036.411078713483</v>
      </c>
      <c r="AG529" s="6">
        <f>$O$529*$AA$529</f>
        <v>3448.6678292903393</v>
      </c>
    </row>
    <row r="530" spans="1:33" ht="11.25" customHeight="1" x14ac:dyDescent="0.25">
      <c r="A530" s="4" t="s">
        <v>21</v>
      </c>
      <c r="B530" s="4" t="s">
        <v>41</v>
      </c>
      <c r="C530" s="4" t="s">
        <v>43</v>
      </c>
      <c r="D530" s="4" t="s">
        <v>47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44652</v>
      </c>
      <c r="J530" s="6">
        <v>0</v>
      </c>
      <c r="K530" s="6">
        <v>0</v>
      </c>
      <c r="L530" s="6">
        <v>312.31900000000002</v>
      </c>
      <c r="M530" s="6">
        <v>312.31900000000002</v>
      </c>
      <c r="N530" s="6">
        <v>312.31900000000002</v>
      </c>
      <c r="O530" s="6">
        <v>312.31900000000002</v>
      </c>
      <c r="P530" s="6">
        <v>0</v>
      </c>
      <c r="Q530" s="4" t="s">
        <v>26</v>
      </c>
      <c r="R530" s="4">
        <v>0</v>
      </c>
      <c r="S530" s="6">
        <v>0</v>
      </c>
      <c r="T530" s="6">
        <v>5</v>
      </c>
      <c r="U530" s="6">
        <v>75</v>
      </c>
      <c r="V530" s="6">
        <f>IF(ISERROR(VLOOKUP($S$530,'TAR FIN'!$A$1:$O$108,15,0)),0,VLOOKUP($S$530,'TAR FIN'!$A$1:$O$108,15,0))</f>
        <v>0</v>
      </c>
      <c r="W530" s="6">
        <f>IF(ISERROR(VLOOKUP($T$530,'TAR FIN'!$A$1:$O$108,15,0)),0,VLOOKUP($T$530,'TAR FIN'!$A$1:$O$108,15,0))</f>
        <v>1454.96</v>
      </c>
      <c r="X530" s="6">
        <f>IF(ISERROR(VLOOKUP($U$530,'TAR FIN'!$A$1:$O$108,15,0)),0,VLOOKUP($U$530,'TAR FIN'!$A$1:$O$108,15,0))</f>
        <v>159.43</v>
      </c>
      <c r="Y530" s="6"/>
      <c r="Z530" s="6">
        <f ca="1">('TUSD BE'!$AM$27+'TUSD BF'!$AM$27+'TUSD CVA'!$AM$27)*1</f>
        <v>1497.8900689999518</v>
      </c>
      <c r="AA530" s="6">
        <f>('TE BE'!$AB$10+'TE BF'!$AB$10+'TE CVA'!$AB$10)*1</f>
        <v>322.12477389224171</v>
      </c>
      <c r="AB530" s="6">
        <f>$K$530*$V$530</f>
        <v>0</v>
      </c>
      <c r="AC530" s="6">
        <f>$M$530*$W$530</f>
        <v>454411.65224000002</v>
      </c>
      <c r="AD530" s="6">
        <f>$O$530*$X$530</f>
        <v>49793.018170000003</v>
      </c>
      <c r="AE530" s="6">
        <f>$K$530*$Y$530</f>
        <v>0</v>
      </c>
      <c r="AF530" s="6">
        <f ca="1">$M$530*$Z$530</f>
        <v>467819.52845999599</v>
      </c>
      <c r="AG530" s="6">
        <f>$O$530*$AA$530</f>
        <v>100605.68725725105</v>
      </c>
    </row>
    <row r="531" spans="1:33" ht="11.25" customHeight="1" x14ac:dyDescent="0.25">
      <c r="A531" s="4" t="s">
        <v>28</v>
      </c>
      <c r="B531" s="4" t="s">
        <v>41</v>
      </c>
      <c r="C531" s="4" t="s">
        <v>43</v>
      </c>
      <c r="D531" s="4" t="s">
        <v>47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44652</v>
      </c>
      <c r="J531" s="6">
        <v>0</v>
      </c>
      <c r="K531" s="6">
        <v>0</v>
      </c>
      <c r="L531" s="6">
        <v>9.4160000000000004</v>
      </c>
      <c r="M531" s="6">
        <v>9.4160000000000004</v>
      </c>
      <c r="N531" s="6">
        <v>9.4160000000000004</v>
      </c>
      <c r="O531" s="6">
        <v>9.4160000000000004</v>
      </c>
      <c r="P531" s="6">
        <v>0</v>
      </c>
      <c r="Q531" s="4" t="s">
        <v>26</v>
      </c>
      <c r="R531" s="4">
        <v>0</v>
      </c>
      <c r="S531" s="6">
        <v>0</v>
      </c>
      <c r="T531" s="6">
        <v>5</v>
      </c>
      <c r="U531" s="6">
        <v>75</v>
      </c>
      <c r="V531" s="6">
        <f>IF(ISERROR(VLOOKUP($S$531,'TAR FIN'!$A$1:$O$108,15,0)),0,VLOOKUP($S$531,'TAR FIN'!$A$1:$O$108,15,0))</f>
        <v>0</v>
      </c>
      <c r="W531" s="6">
        <f>IF(ISERROR(VLOOKUP($T$531,'TAR FIN'!$A$1:$O$108,15,0)),0,VLOOKUP($T$531,'TAR FIN'!$A$1:$O$108,15,0))</f>
        <v>1454.96</v>
      </c>
      <c r="X531" s="6">
        <f>IF(ISERROR(VLOOKUP($U$531,'TAR FIN'!$A$1:$O$108,15,0)),0,VLOOKUP($U$531,'TAR FIN'!$A$1:$O$108,15,0))</f>
        <v>159.43</v>
      </c>
      <c r="Y531" s="6"/>
      <c r="Z531" s="6">
        <f ca="1">('TUSD BE'!$AM$27+'TUSD BF'!$AM$27+'TUSD CVA'!$AM$27)*1</f>
        <v>1497.8900689999518</v>
      </c>
      <c r="AA531" s="6">
        <f>('TE BE'!$AB$10+'TE BF'!$AB$10+'TE CVA'!$AB$10)*1</f>
        <v>322.12477389224171</v>
      </c>
      <c r="AB531" s="6">
        <f>$K$531*$V$531</f>
        <v>0</v>
      </c>
      <c r="AC531" s="6">
        <f>$M$531*$W$531</f>
        <v>13699.90336</v>
      </c>
      <c r="AD531" s="6">
        <f>$O$531*$X$531</f>
        <v>1501.1928800000001</v>
      </c>
      <c r="AE531" s="6">
        <f>$K$531*$Y$531</f>
        <v>0</v>
      </c>
      <c r="AF531" s="6">
        <f ca="1">$M$531*$Z$531</f>
        <v>14104.132889703547</v>
      </c>
      <c r="AG531" s="6">
        <f>$O$531*$AA$531</f>
        <v>3033.1268709693481</v>
      </c>
    </row>
    <row r="532" spans="1:33" ht="11.25" customHeight="1" x14ac:dyDescent="0.25">
      <c r="A532" s="4" t="s">
        <v>21</v>
      </c>
      <c r="B532" s="4" t="s">
        <v>41</v>
      </c>
      <c r="C532" s="4" t="s">
        <v>43</v>
      </c>
      <c r="D532" s="4" t="s">
        <v>47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44682</v>
      </c>
      <c r="J532" s="6">
        <v>0</v>
      </c>
      <c r="K532" s="6">
        <v>0</v>
      </c>
      <c r="L532" s="6">
        <v>364.75799999999998</v>
      </c>
      <c r="M532" s="6">
        <v>364.75799999999998</v>
      </c>
      <c r="N532" s="6">
        <v>364.75799999999998</v>
      </c>
      <c r="O532" s="6">
        <v>364.75799999999998</v>
      </c>
      <c r="P532" s="6">
        <v>0</v>
      </c>
      <c r="Q532" s="4" t="s">
        <v>26</v>
      </c>
      <c r="R532" s="4">
        <v>0</v>
      </c>
      <c r="S532" s="6">
        <v>0</v>
      </c>
      <c r="T532" s="6">
        <v>5</v>
      </c>
      <c r="U532" s="6">
        <v>75</v>
      </c>
      <c r="V532" s="6">
        <f>IF(ISERROR(VLOOKUP($S$532,'TAR FIN'!$A$1:$O$108,15,0)),0,VLOOKUP($S$532,'TAR FIN'!$A$1:$O$108,15,0))</f>
        <v>0</v>
      </c>
      <c r="W532" s="6">
        <f>IF(ISERROR(VLOOKUP($T$532,'TAR FIN'!$A$1:$O$108,15,0)),0,VLOOKUP($T$532,'TAR FIN'!$A$1:$O$108,15,0))</f>
        <v>1454.96</v>
      </c>
      <c r="X532" s="6">
        <f>IF(ISERROR(VLOOKUP($U$532,'TAR FIN'!$A$1:$O$108,15,0)),0,VLOOKUP($U$532,'TAR FIN'!$A$1:$O$108,15,0))</f>
        <v>159.43</v>
      </c>
      <c r="Y532" s="6"/>
      <c r="Z532" s="6">
        <f ca="1">('TUSD BE'!$AM$27+'TUSD BF'!$AM$27+'TUSD CVA'!$AM$27)*1</f>
        <v>1497.8900689999518</v>
      </c>
      <c r="AA532" s="6">
        <f>('TE BE'!$AB$10+'TE BF'!$AB$10+'TE CVA'!$AB$10)*1</f>
        <v>322.12477389224171</v>
      </c>
      <c r="AB532" s="6">
        <f>$K$532*$V$532</f>
        <v>0</v>
      </c>
      <c r="AC532" s="6">
        <f>$M$532*$W$532</f>
        <v>530708.29967999994</v>
      </c>
      <c r="AD532" s="6">
        <f>$O$532*$X$532</f>
        <v>58153.367939999996</v>
      </c>
      <c r="AE532" s="6">
        <f>$K$532*$Y$532</f>
        <v>0</v>
      </c>
      <c r="AF532" s="6">
        <f ca="1">$M$532*$Z$532</f>
        <v>546367.38578828436</v>
      </c>
      <c r="AG532" s="6">
        <f>$O$532*$AA$532</f>
        <v>117497.5882753863</v>
      </c>
    </row>
    <row r="533" spans="1:33" ht="11.25" customHeight="1" x14ac:dyDescent="0.25">
      <c r="A533" s="4" t="s">
        <v>27</v>
      </c>
      <c r="B533" s="4" t="s">
        <v>41</v>
      </c>
      <c r="C533" s="4" t="s">
        <v>43</v>
      </c>
      <c r="D533" s="4" t="s">
        <v>47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44682</v>
      </c>
      <c r="J533" s="6">
        <v>0</v>
      </c>
      <c r="K533" s="6">
        <v>0</v>
      </c>
      <c r="L533" s="6">
        <v>-8.4109999999999996</v>
      </c>
      <c r="M533" s="6">
        <v>-8.4109999999999996</v>
      </c>
      <c r="N533" s="6">
        <v>-8.4109999999999996</v>
      </c>
      <c r="O533" s="6">
        <v>-8.4109999999999996</v>
      </c>
      <c r="P533" s="6">
        <v>0</v>
      </c>
      <c r="Q533" s="4" t="s">
        <v>26</v>
      </c>
      <c r="R533" s="4">
        <v>0</v>
      </c>
      <c r="S533" s="6">
        <v>0</v>
      </c>
      <c r="T533" s="6">
        <v>5</v>
      </c>
      <c r="U533" s="6">
        <v>75</v>
      </c>
      <c r="V533" s="6">
        <f>IF(ISERROR(VLOOKUP($S$533,'TAR FIN'!$A$1:$O$108,15,0)),0,VLOOKUP($S$533,'TAR FIN'!$A$1:$O$108,15,0))</f>
        <v>0</v>
      </c>
      <c r="W533" s="6">
        <f>IF(ISERROR(VLOOKUP($T$533,'TAR FIN'!$A$1:$O$108,15,0)),0,VLOOKUP($T$533,'TAR FIN'!$A$1:$O$108,15,0))</f>
        <v>1454.96</v>
      </c>
      <c r="X533" s="6">
        <f>IF(ISERROR(VLOOKUP($U$533,'TAR FIN'!$A$1:$O$108,15,0)),0,VLOOKUP($U$533,'TAR FIN'!$A$1:$O$108,15,0))</f>
        <v>159.43</v>
      </c>
      <c r="Y533" s="6"/>
      <c r="Z533" s="6">
        <f ca="1">('TUSD BE'!$AM$27+'TUSD BF'!$AM$27+'TUSD CVA'!$AM$27)*1</f>
        <v>1497.8900689999518</v>
      </c>
      <c r="AA533" s="6">
        <f>('TE BE'!$AB$10+'TE BF'!$AB$10+'TE CVA'!$AB$10)*1</f>
        <v>322.12477389224171</v>
      </c>
      <c r="AB533" s="6">
        <f>$K$533*$V$533</f>
        <v>0</v>
      </c>
      <c r="AC533" s="6">
        <f>$M$533*$W$533</f>
        <v>-12237.66856</v>
      </c>
      <c r="AD533" s="6">
        <f>$O$533*$X$533</f>
        <v>-1340.9657299999999</v>
      </c>
      <c r="AE533" s="6">
        <f>$K$533*$Y$533</f>
        <v>0</v>
      </c>
      <c r="AF533" s="6">
        <f ca="1">$M$533*$Z$533</f>
        <v>-12598.753370358594</v>
      </c>
      <c r="AG533" s="6">
        <f>$O$533*$AA$533</f>
        <v>-2709.391473207645</v>
      </c>
    </row>
    <row r="534" spans="1:33" ht="11.25" customHeight="1" x14ac:dyDescent="0.25">
      <c r="A534" s="4" t="s">
        <v>28</v>
      </c>
      <c r="B534" s="4" t="s">
        <v>41</v>
      </c>
      <c r="C534" s="4" t="s">
        <v>43</v>
      </c>
      <c r="D534" s="4" t="s">
        <v>47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44682</v>
      </c>
      <c r="J534" s="6">
        <v>0</v>
      </c>
      <c r="K534" s="6">
        <v>0</v>
      </c>
      <c r="L534" s="6">
        <v>13.199</v>
      </c>
      <c r="M534" s="6">
        <v>13.199</v>
      </c>
      <c r="N534" s="6">
        <v>13.199</v>
      </c>
      <c r="O534" s="6">
        <v>13.199</v>
      </c>
      <c r="P534" s="6">
        <v>0</v>
      </c>
      <c r="Q534" s="4" t="s">
        <v>26</v>
      </c>
      <c r="R534" s="4">
        <v>0</v>
      </c>
      <c r="S534" s="6">
        <v>0</v>
      </c>
      <c r="T534" s="6">
        <v>5</v>
      </c>
      <c r="U534" s="6">
        <v>75</v>
      </c>
      <c r="V534" s="6">
        <f>IF(ISERROR(VLOOKUP($S$534,'TAR FIN'!$A$1:$O$108,15,0)),0,VLOOKUP($S$534,'TAR FIN'!$A$1:$O$108,15,0))</f>
        <v>0</v>
      </c>
      <c r="W534" s="6">
        <f>IF(ISERROR(VLOOKUP($T$534,'TAR FIN'!$A$1:$O$108,15,0)),0,VLOOKUP($T$534,'TAR FIN'!$A$1:$O$108,15,0))</f>
        <v>1454.96</v>
      </c>
      <c r="X534" s="6">
        <f>IF(ISERROR(VLOOKUP($U$534,'TAR FIN'!$A$1:$O$108,15,0)),0,VLOOKUP($U$534,'TAR FIN'!$A$1:$O$108,15,0))</f>
        <v>159.43</v>
      </c>
      <c r="Y534" s="6"/>
      <c r="Z534" s="6">
        <f ca="1">('TUSD BE'!$AM$27+'TUSD BF'!$AM$27+'TUSD CVA'!$AM$27)*1</f>
        <v>1497.8900689999518</v>
      </c>
      <c r="AA534" s="6">
        <f>('TE BE'!$AB$10+'TE BF'!$AB$10+'TE CVA'!$AB$10)*1</f>
        <v>322.12477389224171</v>
      </c>
      <c r="AB534" s="6">
        <f>$K$534*$V$534</f>
        <v>0</v>
      </c>
      <c r="AC534" s="6">
        <f>$M$534*$W$534</f>
        <v>19204.017039999999</v>
      </c>
      <c r="AD534" s="6">
        <f>$O$534*$X$534</f>
        <v>2104.31657</v>
      </c>
      <c r="AE534" s="6">
        <f>$K$534*$Y$534</f>
        <v>0</v>
      </c>
      <c r="AF534" s="6">
        <f ca="1">$M$534*$Z$534</f>
        <v>19770.651020730365</v>
      </c>
      <c r="AG534" s="6">
        <f>$O$534*$AA$534</f>
        <v>4251.7248906036984</v>
      </c>
    </row>
    <row r="535" spans="1:33" ht="11.25" customHeight="1" x14ac:dyDescent="0.25">
      <c r="A535" s="4" t="s">
        <v>21</v>
      </c>
      <c r="B535" s="4" t="s">
        <v>41</v>
      </c>
      <c r="C535" s="4" t="s">
        <v>43</v>
      </c>
      <c r="D535" s="4" t="s">
        <v>47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44713</v>
      </c>
      <c r="J535" s="6">
        <v>0</v>
      </c>
      <c r="K535" s="6">
        <v>0</v>
      </c>
      <c r="L535" s="6">
        <v>371.40899999999999</v>
      </c>
      <c r="M535" s="6">
        <v>371.40899999999999</v>
      </c>
      <c r="N535" s="6">
        <v>371.40899999999999</v>
      </c>
      <c r="O535" s="6">
        <v>371.40899999999999</v>
      </c>
      <c r="P535" s="6">
        <v>0</v>
      </c>
      <c r="Q535" s="4" t="s">
        <v>26</v>
      </c>
      <c r="R535" s="4">
        <v>0</v>
      </c>
      <c r="S535" s="6">
        <v>0</v>
      </c>
      <c r="T535" s="6">
        <v>5</v>
      </c>
      <c r="U535" s="6">
        <v>75</v>
      </c>
      <c r="V535" s="6">
        <f>IF(ISERROR(VLOOKUP($S$535,'TAR FIN'!$A$1:$O$108,15,0)),0,VLOOKUP($S$535,'TAR FIN'!$A$1:$O$108,15,0))</f>
        <v>0</v>
      </c>
      <c r="W535" s="6">
        <f>IF(ISERROR(VLOOKUP($T$535,'TAR FIN'!$A$1:$O$108,15,0)),0,VLOOKUP($T$535,'TAR FIN'!$A$1:$O$108,15,0))</f>
        <v>1454.96</v>
      </c>
      <c r="X535" s="6">
        <f>IF(ISERROR(VLOOKUP($U$535,'TAR FIN'!$A$1:$O$108,15,0)),0,VLOOKUP($U$535,'TAR FIN'!$A$1:$O$108,15,0))</f>
        <v>159.43</v>
      </c>
      <c r="Y535" s="6"/>
      <c r="Z535" s="6">
        <f ca="1">('TUSD BE'!$AM$27+'TUSD BF'!$AM$27+'TUSD CVA'!$AM$27)*1</f>
        <v>1497.8900689999518</v>
      </c>
      <c r="AA535" s="6">
        <f>('TE BE'!$AB$10+'TE BF'!$AB$10+'TE CVA'!$AB$10)*1</f>
        <v>322.12477389224171</v>
      </c>
      <c r="AB535" s="6">
        <f>$K$535*$V$535</f>
        <v>0</v>
      </c>
      <c r="AC535" s="6">
        <f>$M$535*$W$535</f>
        <v>540385.23864</v>
      </c>
      <c r="AD535" s="6">
        <f>$O$535*$X$535</f>
        <v>59213.736870000001</v>
      </c>
      <c r="AE535" s="6">
        <f>$K$535*$Y$535</f>
        <v>0</v>
      </c>
      <c r="AF535" s="6">
        <f ca="1">$M$535*$Z$535</f>
        <v>556329.85263720306</v>
      </c>
      <c r="AG535" s="6">
        <f>$O$535*$AA$535</f>
        <v>119640.0401465436</v>
      </c>
    </row>
    <row r="536" spans="1:33" ht="11.25" customHeight="1" x14ac:dyDescent="0.25">
      <c r="A536" s="4" t="s">
        <v>28</v>
      </c>
      <c r="B536" s="4" t="s">
        <v>41</v>
      </c>
      <c r="C536" s="4" t="s">
        <v>43</v>
      </c>
      <c r="D536" s="4" t="s">
        <v>47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44713</v>
      </c>
      <c r="J536" s="6">
        <v>0</v>
      </c>
      <c r="K536" s="6">
        <v>0</v>
      </c>
      <c r="L536" s="6">
        <v>9.3460000000000001</v>
      </c>
      <c r="M536" s="6">
        <v>9.3460000000000001</v>
      </c>
      <c r="N536" s="6">
        <v>9.3460000000000001</v>
      </c>
      <c r="O536" s="6">
        <v>9.3460000000000001</v>
      </c>
      <c r="P536" s="6">
        <v>0</v>
      </c>
      <c r="Q536" s="4" t="s">
        <v>26</v>
      </c>
      <c r="R536" s="4">
        <v>0</v>
      </c>
      <c r="S536" s="6">
        <v>0</v>
      </c>
      <c r="T536" s="6">
        <v>5</v>
      </c>
      <c r="U536" s="6">
        <v>75</v>
      </c>
      <c r="V536" s="6">
        <f>IF(ISERROR(VLOOKUP($S$536,'TAR FIN'!$A$1:$O$108,15,0)),0,VLOOKUP($S$536,'TAR FIN'!$A$1:$O$108,15,0))</f>
        <v>0</v>
      </c>
      <c r="W536" s="6">
        <f>IF(ISERROR(VLOOKUP($T$536,'TAR FIN'!$A$1:$O$108,15,0)),0,VLOOKUP($T$536,'TAR FIN'!$A$1:$O$108,15,0))</f>
        <v>1454.96</v>
      </c>
      <c r="X536" s="6">
        <f>IF(ISERROR(VLOOKUP($U$536,'TAR FIN'!$A$1:$O$108,15,0)),0,VLOOKUP($U$536,'TAR FIN'!$A$1:$O$108,15,0))</f>
        <v>159.43</v>
      </c>
      <c r="Y536" s="6"/>
      <c r="Z536" s="6">
        <f ca="1">('TUSD BE'!$AM$27+'TUSD BF'!$AM$27+'TUSD CVA'!$AM$27)*1</f>
        <v>1497.8900689999518</v>
      </c>
      <c r="AA536" s="6">
        <f>('TE BE'!$AB$10+'TE BF'!$AB$10+'TE CVA'!$AB$10)*1</f>
        <v>322.12477389224171</v>
      </c>
      <c r="AB536" s="6">
        <f>$K$536*$V$536</f>
        <v>0</v>
      </c>
      <c r="AC536" s="6">
        <f>$M$536*$W$536</f>
        <v>13598.05616</v>
      </c>
      <c r="AD536" s="6">
        <f>$O$536*$X$536</f>
        <v>1490.03278</v>
      </c>
      <c r="AE536" s="6">
        <f>$K$536*$Y$536</f>
        <v>0</v>
      </c>
      <c r="AF536" s="6">
        <f ca="1">$M$536*$Z$536</f>
        <v>13999.28058487355</v>
      </c>
      <c r="AG536" s="6">
        <f>$O$536*$AA$536</f>
        <v>3010.5781367968912</v>
      </c>
    </row>
    <row r="537" spans="1:33" ht="11.25" customHeight="1" x14ac:dyDescent="0.25">
      <c r="A537" s="4" t="s">
        <v>21</v>
      </c>
      <c r="B537" s="4" t="s">
        <v>41</v>
      </c>
      <c r="C537" s="4" t="s">
        <v>43</v>
      </c>
      <c r="D537" s="4" t="s">
        <v>47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44743</v>
      </c>
      <c r="J537" s="6">
        <v>0</v>
      </c>
      <c r="K537" s="6">
        <v>0</v>
      </c>
      <c r="L537" s="6">
        <v>380.59699999999998</v>
      </c>
      <c r="M537" s="6">
        <v>380.59699999999998</v>
      </c>
      <c r="N537" s="6">
        <v>380.59699999999998</v>
      </c>
      <c r="O537" s="6">
        <v>380.59699999999998</v>
      </c>
      <c r="P537" s="6">
        <v>0</v>
      </c>
      <c r="Q537" s="4" t="s">
        <v>26</v>
      </c>
      <c r="R537" s="4">
        <v>0</v>
      </c>
      <c r="S537" s="6">
        <v>0</v>
      </c>
      <c r="T537" s="6">
        <v>5</v>
      </c>
      <c r="U537" s="6">
        <v>75</v>
      </c>
      <c r="V537" s="6">
        <f>IF(ISERROR(VLOOKUP($S$537,'TAR FIN'!$A$1:$O$108,15,0)),0,VLOOKUP($S$537,'TAR FIN'!$A$1:$O$108,15,0))</f>
        <v>0</v>
      </c>
      <c r="W537" s="6">
        <f>IF(ISERROR(VLOOKUP($T$537,'TAR FIN'!$A$1:$O$108,15,0)),0,VLOOKUP($T$537,'TAR FIN'!$A$1:$O$108,15,0))</f>
        <v>1454.96</v>
      </c>
      <c r="X537" s="6">
        <f>IF(ISERROR(VLOOKUP($U$537,'TAR FIN'!$A$1:$O$108,15,0)),0,VLOOKUP($U$537,'TAR FIN'!$A$1:$O$108,15,0))</f>
        <v>159.43</v>
      </c>
      <c r="Y537" s="6"/>
      <c r="Z537" s="6">
        <f ca="1">('TUSD BE'!$AM$27+'TUSD BF'!$AM$27+'TUSD CVA'!$AM$27)*1</f>
        <v>1497.8900689999518</v>
      </c>
      <c r="AA537" s="6">
        <f>('TE BE'!$AB$10+'TE BF'!$AB$10+'TE CVA'!$AB$10)*1</f>
        <v>322.12477389224171</v>
      </c>
      <c r="AB537" s="6">
        <f>$K$537*$V$537</f>
        <v>0</v>
      </c>
      <c r="AC537" s="6">
        <f>$M$537*$W$537</f>
        <v>553753.41111999995</v>
      </c>
      <c r="AD537" s="6">
        <f>$O$537*$X$537</f>
        <v>60678.579709999998</v>
      </c>
      <c r="AE537" s="6">
        <f>$K$537*$Y$537</f>
        <v>0</v>
      </c>
      <c r="AF537" s="6">
        <f ca="1">$M$537*$Z$537</f>
        <v>570092.4665911746</v>
      </c>
      <c r="AG537" s="6">
        <f>$O$537*$AA$537</f>
        <v>122599.7225690655</v>
      </c>
    </row>
    <row r="538" spans="1:33" ht="11.25" customHeight="1" x14ac:dyDescent="0.25">
      <c r="A538" s="4" t="s">
        <v>27</v>
      </c>
      <c r="B538" s="4" t="s">
        <v>41</v>
      </c>
      <c r="C538" s="4" t="s">
        <v>43</v>
      </c>
      <c r="D538" s="4" t="s">
        <v>47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44743</v>
      </c>
      <c r="J538" s="6">
        <v>0</v>
      </c>
      <c r="K538" s="6">
        <v>0</v>
      </c>
      <c r="L538" s="6">
        <v>2.6179999999999999</v>
      </c>
      <c r="M538" s="6">
        <v>2.6179999999999999</v>
      </c>
      <c r="N538" s="6">
        <v>2.6179999999999999</v>
      </c>
      <c r="O538" s="6">
        <v>2.6179999999999999</v>
      </c>
      <c r="P538" s="6">
        <v>0</v>
      </c>
      <c r="Q538" s="4" t="s">
        <v>26</v>
      </c>
      <c r="R538" s="4">
        <v>0</v>
      </c>
      <c r="S538" s="6">
        <v>0</v>
      </c>
      <c r="T538" s="6">
        <v>5</v>
      </c>
      <c r="U538" s="6">
        <v>75</v>
      </c>
      <c r="V538" s="6">
        <f>IF(ISERROR(VLOOKUP($S$538,'TAR FIN'!$A$1:$O$108,15,0)),0,VLOOKUP($S$538,'TAR FIN'!$A$1:$O$108,15,0))</f>
        <v>0</v>
      </c>
      <c r="W538" s="6">
        <f>IF(ISERROR(VLOOKUP($T$538,'TAR FIN'!$A$1:$O$108,15,0)),0,VLOOKUP($T$538,'TAR FIN'!$A$1:$O$108,15,0))</f>
        <v>1454.96</v>
      </c>
      <c r="X538" s="6">
        <f>IF(ISERROR(VLOOKUP($U$538,'TAR FIN'!$A$1:$O$108,15,0)),0,VLOOKUP($U$538,'TAR FIN'!$A$1:$O$108,15,0))</f>
        <v>159.43</v>
      </c>
      <c r="Y538" s="6"/>
      <c r="Z538" s="6">
        <f ca="1">('TUSD BE'!$AM$27+'TUSD BF'!$AM$27+'TUSD CVA'!$AM$27)*1</f>
        <v>1497.8900689999518</v>
      </c>
      <c r="AA538" s="6">
        <f>('TE BE'!$AB$10+'TE BF'!$AB$10+'TE CVA'!$AB$10)*1</f>
        <v>322.12477389224171</v>
      </c>
      <c r="AB538" s="6">
        <f>$K$538*$V$538</f>
        <v>0</v>
      </c>
      <c r="AC538" s="6">
        <f>$M$538*$W$538</f>
        <v>3809.0852799999998</v>
      </c>
      <c r="AD538" s="6">
        <f>$O$538*$X$538</f>
        <v>417.38774000000001</v>
      </c>
      <c r="AE538" s="6">
        <f>$K$538*$Y$538</f>
        <v>0</v>
      </c>
      <c r="AF538" s="6">
        <f ca="1">$M$538*$Z$538</f>
        <v>3921.4762006418737</v>
      </c>
      <c r="AG538" s="6">
        <f>$O$538*$AA$538</f>
        <v>843.32265804988879</v>
      </c>
    </row>
    <row r="539" spans="1:33" ht="11.25" customHeight="1" x14ac:dyDescent="0.25">
      <c r="A539" s="4" t="s">
        <v>28</v>
      </c>
      <c r="B539" s="4" t="s">
        <v>41</v>
      </c>
      <c r="C539" s="4" t="s">
        <v>43</v>
      </c>
      <c r="D539" s="4" t="s">
        <v>47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44743</v>
      </c>
      <c r="J539" s="6">
        <v>0</v>
      </c>
      <c r="K539" s="6">
        <v>0</v>
      </c>
      <c r="L539" s="6">
        <v>10.173</v>
      </c>
      <c r="M539" s="6">
        <v>10.173</v>
      </c>
      <c r="N539" s="6">
        <v>10.173</v>
      </c>
      <c r="O539" s="6">
        <v>10.173</v>
      </c>
      <c r="P539" s="6">
        <v>0</v>
      </c>
      <c r="Q539" s="4" t="s">
        <v>26</v>
      </c>
      <c r="R539" s="4">
        <v>0</v>
      </c>
      <c r="S539" s="6">
        <v>0</v>
      </c>
      <c r="T539" s="6">
        <v>5</v>
      </c>
      <c r="U539" s="6">
        <v>75</v>
      </c>
      <c r="V539" s="6">
        <f>IF(ISERROR(VLOOKUP($S$539,'TAR FIN'!$A$1:$O$108,15,0)),0,VLOOKUP($S$539,'TAR FIN'!$A$1:$O$108,15,0))</f>
        <v>0</v>
      </c>
      <c r="W539" s="6">
        <f>IF(ISERROR(VLOOKUP($T$539,'TAR FIN'!$A$1:$O$108,15,0)),0,VLOOKUP($T$539,'TAR FIN'!$A$1:$O$108,15,0))</f>
        <v>1454.96</v>
      </c>
      <c r="X539" s="6">
        <f>IF(ISERROR(VLOOKUP($U$539,'TAR FIN'!$A$1:$O$108,15,0)),0,VLOOKUP($U$539,'TAR FIN'!$A$1:$O$108,15,0))</f>
        <v>159.43</v>
      </c>
      <c r="Y539" s="6"/>
      <c r="Z539" s="6">
        <f ca="1">('TUSD BE'!$AM$27+'TUSD BF'!$AM$27+'TUSD CVA'!$AM$27)*1</f>
        <v>1497.8900689999518</v>
      </c>
      <c r="AA539" s="6">
        <f>('TE BE'!$AB$10+'TE BF'!$AB$10+'TE CVA'!$AB$10)*1</f>
        <v>322.12477389224171</v>
      </c>
      <c r="AB539" s="6">
        <f>$K$539*$V$539</f>
        <v>0</v>
      </c>
      <c r="AC539" s="6">
        <f>$M$539*$W$539</f>
        <v>14801.308080000001</v>
      </c>
      <c r="AD539" s="6">
        <f>$O$539*$X$539</f>
        <v>1621.88139</v>
      </c>
      <c r="AE539" s="6">
        <f>$K$539*$Y$539</f>
        <v>0</v>
      </c>
      <c r="AF539" s="6">
        <f ca="1">$M$539*$Z$539</f>
        <v>15238.03567193651</v>
      </c>
      <c r="AG539" s="6">
        <f>$O$539*$AA$539</f>
        <v>3276.975324805775</v>
      </c>
    </row>
    <row r="540" spans="1:33" ht="11.25" customHeight="1" x14ac:dyDescent="0.25">
      <c r="A540" s="4" t="s">
        <v>21</v>
      </c>
      <c r="B540" s="4" t="s">
        <v>41</v>
      </c>
      <c r="C540" s="4" t="s">
        <v>43</v>
      </c>
      <c r="D540" s="4" t="s">
        <v>47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44774</v>
      </c>
      <c r="J540" s="6">
        <v>0</v>
      </c>
      <c r="K540" s="6">
        <v>0</v>
      </c>
      <c r="L540" s="6">
        <v>375.03399999999999</v>
      </c>
      <c r="M540" s="6">
        <v>375.03399999999999</v>
      </c>
      <c r="N540" s="6">
        <v>375.03399999999999</v>
      </c>
      <c r="O540" s="6">
        <v>375.03399999999999</v>
      </c>
      <c r="P540" s="6">
        <v>0</v>
      </c>
      <c r="Q540" s="4" t="s">
        <v>26</v>
      </c>
      <c r="R540" s="4">
        <v>0</v>
      </c>
      <c r="S540" s="6">
        <v>0</v>
      </c>
      <c r="T540" s="6">
        <v>5</v>
      </c>
      <c r="U540" s="6">
        <v>75</v>
      </c>
      <c r="V540" s="6">
        <f>IF(ISERROR(VLOOKUP($S$540,'TAR FIN'!$A$1:$O$108,15,0)),0,VLOOKUP($S$540,'TAR FIN'!$A$1:$O$108,15,0))</f>
        <v>0</v>
      </c>
      <c r="W540" s="6">
        <f>IF(ISERROR(VLOOKUP($T$540,'TAR FIN'!$A$1:$O$108,15,0)),0,VLOOKUP($T$540,'TAR FIN'!$A$1:$O$108,15,0))</f>
        <v>1454.96</v>
      </c>
      <c r="X540" s="6">
        <f>IF(ISERROR(VLOOKUP($U$540,'TAR FIN'!$A$1:$O$108,15,0)),0,VLOOKUP($U$540,'TAR FIN'!$A$1:$O$108,15,0))</f>
        <v>159.43</v>
      </c>
      <c r="Y540" s="6"/>
      <c r="Z540" s="6">
        <f ca="1">('TUSD BE'!$AM$27+'TUSD BF'!$AM$27+'TUSD CVA'!$AM$27)*1</f>
        <v>1497.8900689999518</v>
      </c>
      <c r="AA540" s="6">
        <f>('TE BE'!$AB$10+'TE BF'!$AB$10+'TE CVA'!$AB$10)*1</f>
        <v>322.12477389224171</v>
      </c>
      <c r="AB540" s="6">
        <f>$K$540*$V$540</f>
        <v>0</v>
      </c>
      <c r="AC540" s="6">
        <f>$M$540*$W$540</f>
        <v>545659.46863999998</v>
      </c>
      <c r="AD540" s="6">
        <f>$O$540*$X$540</f>
        <v>59791.670620000004</v>
      </c>
      <c r="AE540" s="6">
        <f>$K$540*$Y$540</f>
        <v>0</v>
      </c>
      <c r="AF540" s="6">
        <f ca="1">$M$540*$Z$540</f>
        <v>561759.70413732796</v>
      </c>
      <c r="AG540" s="6">
        <f>$O$540*$AA$540</f>
        <v>120807.74245190297</v>
      </c>
    </row>
    <row r="541" spans="1:33" ht="11.25" customHeight="1" x14ac:dyDescent="0.25">
      <c r="A541" s="4" t="s">
        <v>27</v>
      </c>
      <c r="B541" s="4" t="s">
        <v>41</v>
      </c>
      <c r="C541" s="4" t="s">
        <v>43</v>
      </c>
      <c r="D541" s="4" t="s">
        <v>47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44774</v>
      </c>
      <c r="J541" s="6">
        <v>0</v>
      </c>
      <c r="K541" s="6">
        <v>0</v>
      </c>
      <c r="L541" s="6">
        <v>2E-3</v>
      </c>
      <c r="M541" s="6">
        <v>2E-3</v>
      </c>
      <c r="N541" s="6">
        <v>2E-3</v>
      </c>
      <c r="O541" s="6">
        <v>2E-3</v>
      </c>
      <c r="P541" s="6">
        <v>0</v>
      </c>
      <c r="Q541" s="4" t="s">
        <v>26</v>
      </c>
      <c r="R541" s="4">
        <v>0</v>
      </c>
      <c r="S541" s="6">
        <v>0</v>
      </c>
      <c r="T541" s="6">
        <v>5</v>
      </c>
      <c r="U541" s="6">
        <v>75</v>
      </c>
      <c r="V541" s="6">
        <f>IF(ISERROR(VLOOKUP($S$541,'TAR FIN'!$A$1:$O$108,15,0)),0,VLOOKUP($S$541,'TAR FIN'!$A$1:$O$108,15,0))</f>
        <v>0</v>
      </c>
      <c r="W541" s="6">
        <f>IF(ISERROR(VLOOKUP($T$541,'TAR FIN'!$A$1:$O$108,15,0)),0,VLOOKUP($T$541,'TAR FIN'!$A$1:$O$108,15,0))</f>
        <v>1454.96</v>
      </c>
      <c r="X541" s="6">
        <f>IF(ISERROR(VLOOKUP($U$541,'TAR FIN'!$A$1:$O$108,15,0)),0,VLOOKUP($U$541,'TAR FIN'!$A$1:$O$108,15,0))</f>
        <v>159.43</v>
      </c>
      <c r="Y541" s="6"/>
      <c r="Z541" s="6">
        <f ca="1">('TUSD BE'!$AM$27+'TUSD BF'!$AM$27+'TUSD CVA'!$AM$27)*1</f>
        <v>1497.8900689999518</v>
      </c>
      <c r="AA541" s="6">
        <f>('TE BE'!$AB$10+'TE BF'!$AB$10+'TE CVA'!$AB$10)*1</f>
        <v>322.12477389224171</v>
      </c>
      <c r="AB541" s="6">
        <f>$K$541*$V$541</f>
        <v>0</v>
      </c>
      <c r="AC541" s="6">
        <f>$M$541*$W$541</f>
        <v>2.9099200000000001</v>
      </c>
      <c r="AD541" s="6">
        <f>$O$541*$X$541</f>
        <v>0.31886000000000003</v>
      </c>
      <c r="AE541" s="6">
        <f>$K$541*$Y$541</f>
        <v>0</v>
      </c>
      <c r="AF541" s="6">
        <f ca="1">$M$541*$Z$541</f>
        <v>2.9957801379999038</v>
      </c>
      <c r="AG541" s="6">
        <f>$O$541*$AA$541</f>
        <v>0.6442495477844834</v>
      </c>
    </row>
    <row r="542" spans="1:33" ht="11.25" customHeight="1" x14ac:dyDescent="0.25">
      <c r="A542" s="4" t="s">
        <v>28</v>
      </c>
      <c r="B542" s="4" t="s">
        <v>41</v>
      </c>
      <c r="C542" s="4" t="s">
        <v>43</v>
      </c>
      <c r="D542" s="4" t="s">
        <v>47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44774</v>
      </c>
      <c r="J542" s="6">
        <v>0</v>
      </c>
      <c r="K542" s="6">
        <v>0</v>
      </c>
      <c r="L542" s="6">
        <v>15.86</v>
      </c>
      <c r="M542" s="6">
        <v>15.86</v>
      </c>
      <c r="N542" s="6">
        <v>15.86</v>
      </c>
      <c r="O542" s="6">
        <v>15.86</v>
      </c>
      <c r="P542" s="6">
        <v>0</v>
      </c>
      <c r="Q542" s="4" t="s">
        <v>26</v>
      </c>
      <c r="R542" s="4">
        <v>0</v>
      </c>
      <c r="S542" s="6">
        <v>0</v>
      </c>
      <c r="T542" s="6">
        <v>5</v>
      </c>
      <c r="U542" s="6">
        <v>75</v>
      </c>
      <c r="V542" s="6">
        <f>IF(ISERROR(VLOOKUP($S$542,'TAR FIN'!$A$1:$O$108,15,0)),0,VLOOKUP($S$542,'TAR FIN'!$A$1:$O$108,15,0))</f>
        <v>0</v>
      </c>
      <c r="W542" s="6">
        <f>IF(ISERROR(VLOOKUP($T$542,'TAR FIN'!$A$1:$O$108,15,0)),0,VLOOKUP($T$542,'TAR FIN'!$A$1:$O$108,15,0))</f>
        <v>1454.96</v>
      </c>
      <c r="X542" s="6">
        <f>IF(ISERROR(VLOOKUP($U$542,'TAR FIN'!$A$1:$O$108,15,0)),0,VLOOKUP($U$542,'TAR FIN'!$A$1:$O$108,15,0))</f>
        <v>159.43</v>
      </c>
      <c r="Y542" s="6"/>
      <c r="Z542" s="6">
        <f ca="1">('TUSD BE'!$AM$27+'TUSD BF'!$AM$27+'TUSD CVA'!$AM$27)*1</f>
        <v>1497.8900689999518</v>
      </c>
      <c r="AA542" s="6">
        <f>('TE BE'!$AB$10+'TE BF'!$AB$10+'TE CVA'!$AB$10)*1</f>
        <v>322.12477389224171</v>
      </c>
      <c r="AB542" s="6">
        <f>$K$542*$V$542</f>
        <v>0</v>
      </c>
      <c r="AC542" s="6">
        <f>$M$542*$W$542</f>
        <v>23075.6656</v>
      </c>
      <c r="AD542" s="6">
        <f>$O$542*$X$542</f>
        <v>2528.5598</v>
      </c>
      <c r="AE542" s="6">
        <f>$K$542*$Y$542</f>
        <v>0</v>
      </c>
      <c r="AF542" s="6">
        <f ca="1">$M$542*$Z$542</f>
        <v>23756.536494339234</v>
      </c>
      <c r="AG542" s="6">
        <f>$O$542*$AA$542</f>
        <v>5108.8989139309533</v>
      </c>
    </row>
    <row r="543" spans="1:33" ht="11.25" customHeight="1" x14ac:dyDescent="0.25">
      <c r="A543" s="4" t="s">
        <v>21</v>
      </c>
      <c r="B543" s="4" t="s">
        <v>41</v>
      </c>
      <c r="C543" s="4" t="s">
        <v>43</v>
      </c>
      <c r="D543" s="4" t="s">
        <v>47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44805</v>
      </c>
      <c r="J543" s="6">
        <v>0</v>
      </c>
      <c r="K543" s="6">
        <v>0</v>
      </c>
      <c r="L543" s="6">
        <v>388.40199999999999</v>
      </c>
      <c r="M543" s="6">
        <v>388.40199999999999</v>
      </c>
      <c r="N543" s="6">
        <v>388.40199999999999</v>
      </c>
      <c r="O543" s="6">
        <v>388.40199999999999</v>
      </c>
      <c r="P543" s="6">
        <v>0</v>
      </c>
      <c r="Q543" s="4" t="s">
        <v>26</v>
      </c>
      <c r="R543" s="4">
        <v>0</v>
      </c>
      <c r="S543" s="6">
        <v>0</v>
      </c>
      <c r="T543" s="6">
        <v>5</v>
      </c>
      <c r="U543" s="6">
        <v>75</v>
      </c>
      <c r="V543" s="6">
        <f>IF(ISERROR(VLOOKUP($S$543,'TAR FIN'!$A$1:$O$108,15,0)),0,VLOOKUP($S$543,'TAR FIN'!$A$1:$O$108,15,0))</f>
        <v>0</v>
      </c>
      <c r="W543" s="6">
        <f>IF(ISERROR(VLOOKUP($T$543,'TAR FIN'!$A$1:$O$108,15,0)),0,VLOOKUP($T$543,'TAR FIN'!$A$1:$O$108,15,0))</f>
        <v>1454.96</v>
      </c>
      <c r="X543" s="6">
        <f>IF(ISERROR(VLOOKUP($U$543,'TAR FIN'!$A$1:$O$108,15,0)),0,VLOOKUP($U$543,'TAR FIN'!$A$1:$O$108,15,0))</f>
        <v>159.43</v>
      </c>
      <c r="Y543" s="6"/>
      <c r="Z543" s="6">
        <f ca="1">('TUSD BE'!$AM$27+'TUSD BF'!$AM$27+'TUSD CVA'!$AM$27)*1</f>
        <v>1497.8900689999518</v>
      </c>
      <c r="AA543" s="6">
        <f>('TE BE'!$AB$10+'TE BF'!$AB$10+'TE CVA'!$AB$10)*1</f>
        <v>322.12477389224171</v>
      </c>
      <c r="AB543" s="6">
        <f>$K$543*$V$543</f>
        <v>0</v>
      </c>
      <c r="AC543" s="6">
        <f>$M$543*$W$543</f>
        <v>565109.37392000004</v>
      </c>
      <c r="AD543" s="6">
        <f>$O$543*$X$543</f>
        <v>61922.93086</v>
      </c>
      <c r="AE543" s="6">
        <f>$K$543*$Y$543</f>
        <v>0</v>
      </c>
      <c r="AF543" s="6">
        <f ca="1">$M$543*$Z$543</f>
        <v>581783.49857971922</v>
      </c>
      <c r="AG543" s="6">
        <f>$O$543*$AA$543</f>
        <v>125113.90642929445</v>
      </c>
    </row>
    <row r="544" spans="1:33" ht="11.25" customHeight="1" x14ac:dyDescent="0.25">
      <c r="A544" s="4" t="s">
        <v>27</v>
      </c>
      <c r="B544" s="4" t="s">
        <v>41</v>
      </c>
      <c r="C544" s="4" t="s">
        <v>43</v>
      </c>
      <c r="D544" s="4" t="s">
        <v>47</v>
      </c>
      <c r="E544" s="4" t="s">
        <v>25</v>
      </c>
      <c r="F544" s="4" t="s">
        <v>25</v>
      </c>
      <c r="G544" s="4" t="s">
        <v>25</v>
      </c>
      <c r="H544" s="4" t="s">
        <v>34</v>
      </c>
      <c r="I544" s="5">
        <v>44805</v>
      </c>
      <c r="J544" s="6">
        <v>0</v>
      </c>
      <c r="K544" s="6">
        <v>0</v>
      </c>
      <c r="L544" s="6">
        <v>30.645</v>
      </c>
      <c r="M544" s="6">
        <v>30.645</v>
      </c>
      <c r="N544" s="6">
        <v>30.645</v>
      </c>
      <c r="O544" s="6">
        <v>30.645</v>
      </c>
      <c r="P544" s="6">
        <v>0</v>
      </c>
      <c r="Q544" s="4" t="s">
        <v>26</v>
      </c>
      <c r="R544" s="4">
        <v>0</v>
      </c>
      <c r="S544" s="6">
        <v>0</v>
      </c>
      <c r="T544" s="6">
        <v>5</v>
      </c>
      <c r="U544" s="6">
        <v>75</v>
      </c>
      <c r="V544" s="6">
        <f>IF(ISERROR(VLOOKUP($S$544,'TAR FIN'!$A$1:$O$108,15,0)),0,VLOOKUP($S$544,'TAR FIN'!$A$1:$O$108,15,0))</f>
        <v>0</v>
      </c>
      <c r="W544" s="6">
        <f>IF(ISERROR(VLOOKUP($T$544,'TAR FIN'!$A$1:$O$108,15,0)),0,VLOOKUP($T$544,'TAR FIN'!$A$1:$O$108,15,0))</f>
        <v>1454.96</v>
      </c>
      <c r="X544" s="6">
        <f>IF(ISERROR(VLOOKUP($U$544,'TAR FIN'!$A$1:$O$108,15,0)),0,VLOOKUP($U$544,'TAR FIN'!$A$1:$O$108,15,0))</f>
        <v>159.43</v>
      </c>
      <c r="Y544" s="6"/>
      <c r="Z544" s="6">
        <f ca="1">('TUSD BE'!$AM$27+'TUSD BF'!$AM$27+'TUSD CVA'!$AM$27)*1</f>
        <v>1497.8900689999518</v>
      </c>
      <c r="AA544" s="6">
        <f>('TE BE'!$AB$10+'TE BF'!$AB$10+'TE CVA'!$AB$10)*1</f>
        <v>322.12477389224171</v>
      </c>
      <c r="AB544" s="6">
        <f>$K$544*$V$544</f>
        <v>0</v>
      </c>
      <c r="AC544" s="6">
        <f>$M$544*$W$544</f>
        <v>44587.249199999998</v>
      </c>
      <c r="AD544" s="6">
        <f>$O$544*$X$544</f>
        <v>4885.7323500000002</v>
      </c>
      <c r="AE544" s="6">
        <f>$K$544*$Y$544</f>
        <v>0</v>
      </c>
      <c r="AF544" s="6">
        <f ca="1">$M$544*$Z$544</f>
        <v>45902.841164503523</v>
      </c>
      <c r="AG544" s="6">
        <f>$O$544*$AA$544</f>
        <v>9871.5136959277461</v>
      </c>
    </row>
    <row r="545" spans="1:33" ht="11.25" customHeight="1" x14ac:dyDescent="0.25">
      <c r="A545" s="4" t="s">
        <v>28</v>
      </c>
      <c r="B545" s="4" t="s">
        <v>41</v>
      </c>
      <c r="C545" s="4" t="s">
        <v>43</v>
      </c>
      <c r="D545" s="4" t="s">
        <v>47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44805</v>
      </c>
      <c r="J545" s="6">
        <v>0</v>
      </c>
      <c r="K545" s="6">
        <v>0</v>
      </c>
      <c r="L545" s="6">
        <v>10.074</v>
      </c>
      <c r="M545" s="6">
        <v>10.074</v>
      </c>
      <c r="N545" s="6">
        <v>10.074</v>
      </c>
      <c r="O545" s="6">
        <v>10.074</v>
      </c>
      <c r="P545" s="6">
        <v>0</v>
      </c>
      <c r="Q545" s="4" t="s">
        <v>26</v>
      </c>
      <c r="R545" s="4">
        <v>0</v>
      </c>
      <c r="S545" s="6">
        <v>0</v>
      </c>
      <c r="T545" s="6">
        <v>5</v>
      </c>
      <c r="U545" s="6">
        <v>75</v>
      </c>
      <c r="V545" s="6">
        <f>IF(ISERROR(VLOOKUP($S$545,'TAR FIN'!$A$1:$O$108,15,0)),0,VLOOKUP($S$545,'TAR FIN'!$A$1:$O$108,15,0))</f>
        <v>0</v>
      </c>
      <c r="W545" s="6">
        <f>IF(ISERROR(VLOOKUP($T$545,'TAR FIN'!$A$1:$O$108,15,0)),0,VLOOKUP($T$545,'TAR FIN'!$A$1:$O$108,15,0))</f>
        <v>1454.96</v>
      </c>
      <c r="X545" s="6">
        <f>IF(ISERROR(VLOOKUP($U$545,'TAR FIN'!$A$1:$O$108,15,0)),0,VLOOKUP($U$545,'TAR FIN'!$A$1:$O$108,15,0))</f>
        <v>159.43</v>
      </c>
      <c r="Y545" s="6"/>
      <c r="Z545" s="6">
        <f ca="1">('TUSD BE'!$AM$27+'TUSD BF'!$AM$27+'TUSD CVA'!$AM$27)*1</f>
        <v>1497.8900689999518</v>
      </c>
      <c r="AA545" s="6">
        <f>('TE BE'!$AB$10+'TE BF'!$AB$10+'TE CVA'!$AB$10)*1</f>
        <v>322.12477389224171</v>
      </c>
      <c r="AB545" s="6">
        <f>$K$545*$V$545</f>
        <v>0</v>
      </c>
      <c r="AC545" s="6">
        <f>$M$545*$W$545</f>
        <v>14657.267040000001</v>
      </c>
      <c r="AD545" s="6">
        <f>$O$545*$X$545</f>
        <v>1606.09782</v>
      </c>
      <c r="AE545" s="6">
        <f>$K$545*$Y$545</f>
        <v>0</v>
      </c>
      <c r="AF545" s="6">
        <f ca="1">$M$545*$Z$545</f>
        <v>15089.744555105515</v>
      </c>
      <c r="AG545" s="6">
        <f>$O$545*$AA$545</f>
        <v>3245.0849721904428</v>
      </c>
    </row>
    <row r="546" spans="1:33" ht="11.25" customHeight="1" x14ac:dyDescent="0.25">
      <c r="A546" s="4" t="s">
        <v>21</v>
      </c>
      <c r="B546" s="4" t="s">
        <v>41</v>
      </c>
      <c r="C546" s="4" t="s">
        <v>43</v>
      </c>
      <c r="D546" s="4" t="s">
        <v>47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44835</v>
      </c>
      <c r="J546" s="6">
        <v>0</v>
      </c>
      <c r="K546" s="6">
        <v>0</v>
      </c>
      <c r="L546" s="6">
        <v>377.23500000000001</v>
      </c>
      <c r="M546" s="6">
        <v>377.23500000000001</v>
      </c>
      <c r="N546" s="6">
        <v>377.23500000000001</v>
      </c>
      <c r="O546" s="6">
        <v>377.23500000000001</v>
      </c>
      <c r="P546" s="6">
        <v>0</v>
      </c>
      <c r="Q546" s="4" t="s">
        <v>26</v>
      </c>
      <c r="R546" s="4">
        <v>0</v>
      </c>
      <c r="S546" s="6">
        <v>0</v>
      </c>
      <c r="T546" s="6">
        <v>5</v>
      </c>
      <c r="U546" s="6">
        <v>75</v>
      </c>
      <c r="V546" s="6">
        <f>IF(ISERROR(VLOOKUP($S$546,'TAR FIN'!$A$1:$O$108,15,0)),0,VLOOKUP($S$546,'TAR FIN'!$A$1:$O$108,15,0))</f>
        <v>0</v>
      </c>
      <c r="W546" s="6">
        <f>IF(ISERROR(VLOOKUP($T$546,'TAR FIN'!$A$1:$O$108,15,0)),0,VLOOKUP($T$546,'TAR FIN'!$A$1:$O$108,15,0))</f>
        <v>1454.96</v>
      </c>
      <c r="X546" s="6">
        <f>IF(ISERROR(VLOOKUP($U$546,'TAR FIN'!$A$1:$O$108,15,0)),0,VLOOKUP($U$546,'TAR FIN'!$A$1:$O$108,15,0))</f>
        <v>159.43</v>
      </c>
      <c r="Y546" s="6"/>
      <c r="Z546" s="6">
        <f ca="1">('TUSD BE'!$AM$27+'TUSD BF'!$AM$27+'TUSD CVA'!$AM$27)*1</f>
        <v>1497.8900689999518</v>
      </c>
      <c r="AA546" s="6">
        <f>('TE BE'!$AB$10+'TE BF'!$AB$10+'TE CVA'!$AB$10)*1</f>
        <v>322.12477389224171</v>
      </c>
      <c r="AB546" s="6">
        <f>$K$546*$V$546</f>
        <v>0</v>
      </c>
      <c r="AC546" s="6">
        <f>$M$546*$W$546</f>
        <v>548861.83559999999</v>
      </c>
      <c r="AD546" s="6">
        <f>$O$546*$X$546</f>
        <v>60142.576050000003</v>
      </c>
      <c r="AE546" s="6">
        <f>$K$546*$Y$546</f>
        <v>0</v>
      </c>
      <c r="AF546" s="6">
        <f ca="1">$M$546*$Z$546</f>
        <v>565056.56017919688</v>
      </c>
      <c r="AG546" s="6">
        <f>$O$546*$AA$546</f>
        <v>121516.73907923981</v>
      </c>
    </row>
    <row r="547" spans="1:33" ht="11.25" customHeight="1" x14ac:dyDescent="0.25">
      <c r="A547" s="4" t="s">
        <v>28</v>
      </c>
      <c r="B547" s="4" t="s">
        <v>41</v>
      </c>
      <c r="C547" s="4" t="s">
        <v>43</v>
      </c>
      <c r="D547" s="4" t="s">
        <v>47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44835</v>
      </c>
      <c r="J547" s="6">
        <v>0</v>
      </c>
      <c r="K547" s="6">
        <v>0</v>
      </c>
      <c r="L547" s="6">
        <v>11.032999999999999</v>
      </c>
      <c r="M547" s="6">
        <v>11.032999999999999</v>
      </c>
      <c r="N547" s="6">
        <v>11.032999999999999</v>
      </c>
      <c r="O547" s="6">
        <v>11.032999999999999</v>
      </c>
      <c r="P547" s="6">
        <v>0</v>
      </c>
      <c r="Q547" s="4" t="s">
        <v>26</v>
      </c>
      <c r="R547" s="4">
        <v>0</v>
      </c>
      <c r="S547" s="6">
        <v>0</v>
      </c>
      <c r="T547" s="6">
        <v>5</v>
      </c>
      <c r="U547" s="6">
        <v>75</v>
      </c>
      <c r="V547" s="6">
        <f>IF(ISERROR(VLOOKUP($S$547,'TAR FIN'!$A$1:$O$108,15,0)),0,VLOOKUP($S$547,'TAR FIN'!$A$1:$O$108,15,0))</f>
        <v>0</v>
      </c>
      <c r="W547" s="6">
        <f>IF(ISERROR(VLOOKUP($T$547,'TAR FIN'!$A$1:$O$108,15,0)),0,VLOOKUP($T$547,'TAR FIN'!$A$1:$O$108,15,0))</f>
        <v>1454.96</v>
      </c>
      <c r="X547" s="6">
        <f>IF(ISERROR(VLOOKUP($U$547,'TAR FIN'!$A$1:$O$108,15,0)),0,VLOOKUP($U$547,'TAR FIN'!$A$1:$O$108,15,0))</f>
        <v>159.43</v>
      </c>
      <c r="Y547" s="6"/>
      <c r="Z547" s="6">
        <f ca="1">('TUSD BE'!$AM$27+'TUSD BF'!$AM$27+'TUSD CVA'!$AM$27)*1</f>
        <v>1497.8900689999518</v>
      </c>
      <c r="AA547" s="6">
        <f>('TE BE'!$AB$10+'TE BF'!$AB$10+'TE CVA'!$AB$10)*1</f>
        <v>322.12477389224171</v>
      </c>
      <c r="AB547" s="6">
        <f>$K$547*$V$547</f>
        <v>0</v>
      </c>
      <c r="AC547" s="6">
        <f>$M$547*$W$547</f>
        <v>16052.57368</v>
      </c>
      <c r="AD547" s="6">
        <f>$O$547*$X$547</f>
        <v>1758.99119</v>
      </c>
      <c r="AE547" s="6">
        <f>$K$547*$Y$547</f>
        <v>0</v>
      </c>
      <c r="AF547" s="6">
        <f ca="1">$M$547*$Z$547</f>
        <v>16526.221131276467</v>
      </c>
      <c r="AG547" s="6">
        <f>$O$547*$AA$547</f>
        <v>3554.0026303531026</v>
      </c>
    </row>
    <row r="548" spans="1:33" ht="11.25" customHeight="1" x14ac:dyDescent="0.25">
      <c r="A548" s="4" t="s">
        <v>28</v>
      </c>
      <c r="B548" s="4" t="s">
        <v>41</v>
      </c>
      <c r="C548" s="4" t="s">
        <v>43</v>
      </c>
      <c r="D548" s="4" t="s">
        <v>47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44835</v>
      </c>
      <c r="J548" s="6">
        <v>0</v>
      </c>
      <c r="K548" s="6">
        <v>0</v>
      </c>
      <c r="L548" s="6">
        <v>7.8170000000000002</v>
      </c>
      <c r="M548" s="6">
        <v>7.8170000000000002</v>
      </c>
      <c r="N548" s="6">
        <v>7.8170000000000002</v>
      </c>
      <c r="O548" s="6">
        <v>7.8170000000000002</v>
      </c>
      <c r="P548" s="6">
        <v>0</v>
      </c>
      <c r="Q548" s="4" t="s">
        <v>26</v>
      </c>
      <c r="R548" s="4">
        <v>0</v>
      </c>
      <c r="S548" s="6">
        <v>0</v>
      </c>
      <c r="T548" s="6">
        <v>5</v>
      </c>
      <c r="U548" s="6">
        <v>75</v>
      </c>
      <c r="V548" s="6">
        <f>IF(ISERROR(VLOOKUP($S$548,'TAR FIN'!$A$1:$O$108,15,0)),0,VLOOKUP($S$548,'TAR FIN'!$A$1:$O$108,15,0))</f>
        <v>0</v>
      </c>
      <c r="W548" s="6">
        <f>IF(ISERROR(VLOOKUP($T$548,'TAR FIN'!$A$1:$O$108,15,0)),0,VLOOKUP($T$548,'TAR FIN'!$A$1:$O$108,15,0))</f>
        <v>1454.96</v>
      </c>
      <c r="X548" s="6">
        <f>IF(ISERROR(VLOOKUP($U$548,'TAR FIN'!$A$1:$O$108,15,0)),0,VLOOKUP($U$548,'TAR FIN'!$A$1:$O$108,15,0))</f>
        <v>159.43</v>
      </c>
      <c r="Y548" s="6"/>
      <c r="Z548" s="6">
        <f ca="1">('TUSD BE'!$AM$27+'TUSD BF'!$AM$27+'TUSD CVA'!$AM$27)*1</f>
        <v>1497.8900689999518</v>
      </c>
      <c r="AA548" s="6">
        <f>('TE BE'!$AB$10+'TE BF'!$AB$10+'TE CVA'!$AB$10)*1</f>
        <v>322.12477389224171</v>
      </c>
      <c r="AB548" s="6">
        <f>$K$548*$V$548</f>
        <v>0</v>
      </c>
      <c r="AC548" s="6">
        <f>$M$548*$W$548</f>
        <v>11373.42232</v>
      </c>
      <c r="AD548" s="6">
        <f>$O$548*$X$548</f>
        <v>1246.26431</v>
      </c>
      <c r="AE548" s="6">
        <f>$K$548*$Y$548</f>
        <v>0</v>
      </c>
      <c r="AF548" s="6">
        <f ca="1">$M$548*$Z$548</f>
        <v>11709.006669372624</v>
      </c>
      <c r="AG548" s="6">
        <f>$O$548*$AA$548</f>
        <v>2518.0493575156534</v>
      </c>
    </row>
    <row r="549" spans="1:33" ht="11.25" customHeight="1" x14ac:dyDescent="0.25">
      <c r="A549" s="4" t="s">
        <v>54</v>
      </c>
      <c r="B549" s="4" t="s">
        <v>41</v>
      </c>
      <c r="C549" s="4" t="s">
        <v>43</v>
      </c>
      <c r="D549" s="4" t="s">
        <v>47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44866</v>
      </c>
      <c r="J549" s="6">
        <v>0</v>
      </c>
      <c r="K549" s="6">
        <v>0</v>
      </c>
      <c r="L549" s="6">
        <v>377.23500000000001</v>
      </c>
      <c r="M549" s="6">
        <v>377.23500000000001</v>
      </c>
      <c r="N549" s="6">
        <v>377.23500000000001</v>
      </c>
      <c r="O549" s="6">
        <v>377.23500000000001</v>
      </c>
      <c r="P549" s="6">
        <v>0</v>
      </c>
      <c r="Q549" s="4" t="s">
        <v>26</v>
      </c>
      <c r="R549" s="4">
        <v>0</v>
      </c>
      <c r="S549" s="6">
        <v>0</v>
      </c>
      <c r="T549" s="6">
        <v>5</v>
      </c>
      <c r="U549" s="6">
        <v>75</v>
      </c>
      <c r="V549" s="6">
        <f>IF(ISERROR(VLOOKUP($S$549,'TAR FIN'!$A$1:$O$108,15,0)),0,VLOOKUP($S$549,'TAR FIN'!$A$1:$O$108,15,0))</f>
        <v>0</v>
      </c>
      <c r="W549" s="6">
        <f>IF(ISERROR(VLOOKUP($T$549,'TAR FIN'!$A$1:$O$108,15,0)),0,VLOOKUP($T$549,'TAR FIN'!$A$1:$O$108,15,0))</f>
        <v>1454.96</v>
      </c>
      <c r="X549" s="6">
        <f>IF(ISERROR(VLOOKUP($U$549,'TAR FIN'!$A$1:$O$108,15,0)),0,VLOOKUP($U$549,'TAR FIN'!$A$1:$O$108,15,0))</f>
        <v>159.43</v>
      </c>
      <c r="Y549" s="6"/>
      <c r="Z549" s="6">
        <f ca="1">('TUSD BE'!$AM$27+'TUSD BF'!$AM$27+'TUSD CVA'!$AM$27)*1</f>
        <v>1497.8900689999518</v>
      </c>
      <c r="AA549" s="6">
        <f>('TE BE'!$AB$10+'TE BF'!$AB$10+'TE CVA'!$AB$10)*1</f>
        <v>322.12477389224171</v>
      </c>
      <c r="AB549" s="6">
        <f>$K$549*$V$549</f>
        <v>0</v>
      </c>
      <c r="AC549" s="6">
        <f>$M$549*$W$549</f>
        <v>548861.83559999999</v>
      </c>
      <c r="AD549" s="6">
        <f>$O$549*$X$549</f>
        <v>60142.576050000003</v>
      </c>
      <c r="AE549" s="6">
        <f>$K$549*$Y$549</f>
        <v>0</v>
      </c>
      <c r="AF549" s="6">
        <f ca="1">$M$549*$Z$549</f>
        <v>565056.56017919688</v>
      </c>
      <c r="AG549" s="6">
        <f>$O$549*$AA$549</f>
        <v>121516.73907923981</v>
      </c>
    </row>
    <row r="550" spans="1:33" ht="11.25" customHeight="1" x14ac:dyDescent="0.25">
      <c r="A550" s="4" t="s">
        <v>54</v>
      </c>
      <c r="B550" s="4" t="s">
        <v>41</v>
      </c>
      <c r="C550" s="4" t="s">
        <v>43</v>
      </c>
      <c r="D550" s="4" t="s">
        <v>47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44866</v>
      </c>
      <c r="J550" s="6">
        <v>0</v>
      </c>
      <c r="K550" s="6">
        <v>0</v>
      </c>
      <c r="L550" s="6">
        <v>11.032999999999999</v>
      </c>
      <c r="M550" s="6">
        <v>11.032999999999999</v>
      </c>
      <c r="N550" s="6">
        <v>11.032999999999999</v>
      </c>
      <c r="O550" s="6">
        <v>11.032999999999999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5</v>
      </c>
      <c r="U550" s="6">
        <v>75</v>
      </c>
      <c r="V550" s="6">
        <f>IF(ISERROR(VLOOKUP($S$550,'TAR FIN'!$A$1:$O$108,15,0)),0,VLOOKUP($S$550,'TAR FIN'!$A$1:$O$108,15,0))</f>
        <v>0</v>
      </c>
      <c r="W550" s="6">
        <f>IF(ISERROR(VLOOKUP($T$550,'TAR FIN'!$A$1:$O$108,15,0)),0,VLOOKUP($T$550,'TAR FIN'!$A$1:$O$108,15,0))</f>
        <v>1454.96</v>
      </c>
      <c r="X550" s="6">
        <f>IF(ISERROR(VLOOKUP($U$550,'TAR FIN'!$A$1:$O$108,15,0)),0,VLOOKUP($U$550,'TAR FIN'!$A$1:$O$108,15,0))</f>
        <v>159.43</v>
      </c>
      <c r="Y550" s="6"/>
      <c r="Z550" s="6">
        <f ca="1">('TUSD BE'!$AM$27+'TUSD BF'!$AM$27+'TUSD CVA'!$AM$27)*1</f>
        <v>1497.8900689999518</v>
      </c>
      <c r="AA550" s="6">
        <f>('TE BE'!$AB$10+'TE BF'!$AB$10+'TE CVA'!$AB$10)*1</f>
        <v>322.12477389224171</v>
      </c>
      <c r="AB550" s="6">
        <f>$K$550*$V$550</f>
        <v>0</v>
      </c>
      <c r="AC550" s="6">
        <f>$M$550*$W$550</f>
        <v>16052.57368</v>
      </c>
      <c r="AD550" s="6">
        <f>$O$550*$X$550</f>
        <v>1758.99119</v>
      </c>
      <c r="AE550" s="6">
        <f>$K$550*$Y$550</f>
        <v>0</v>
      </c>
      <c r="AF550" s="6">
        <f ca="1">$M$550*$Z$550</f>
        <v>16526.221131276467</v>
      </c>
      <c r="AG550" s="6">
        <f>$O$550*$AA$550</f>
        <v>3554.0026303531026</v>
      </c>
    </row>
    <row r="551" spans="1:33" ht="11.25" customHeight="1" x14ac:dyDescent="0.25">
      <c r="A551" s="4" t="s">
        <v>54</v>
      </c>
      <c r="B551" s="4" t="s">
        <v>41</v>
      </c>
      <c r="C551" s="4" t="s">
        <v>43</v>
      </c>
      <c r="D551" s="4" t="s">
        <v>47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44866</v>
      </c>
      <c r="J551" s="6">
        <v>0</v>
      </c>
      <c r="K551" s="6">
        <v>0</v>
      </c>
      <c r="L551" s="6">
        <v>7.8170000000000002</v>
      </c>
      <c r="M551" s="6">
        <v>7.8170000000000002</v>
      </c>
      <c r="N551" s="6">
        <v>7.8170000000000002</v>
      </c>
      <c r="O551" s="6">
        <v>7.8170000000000002</v>
      </c>
      <c r="P551" s="6">
        <v>0</v>
      </c>
      <c r="Q551" s="4" t="s">
        <v>26</v>
      </c>
      <c r="R551" s="4">
        <v>0</v>
      </c>
      <c r="S551" s="6">
        <v>0</v>
      </c>
      <c r="T551" s="6">
        <v>5</v>
      </c>
      <c r="U551" s="6">
        <v>75</v>
      </c>
      <c r="V551" s="6">
        <f>IF(ISERROR(VLOOKUP($S$551,'TAR FIN'!$A$1:$O$108,15,0)),0,VLOOKUP($S$551,'TAR FIN'!$A$1:$O$108,15,0))</f>
        <v>0</v>
      </c>
      <c r="W551" s="6">
        <f>IF(ISERROR(VLOOKUP($T$551,'TAR FIN'!$A$1:$O$108,15,0)),0,VLOOKUP($T$551,'TAR FIN'!$A$1:$O$108,15,0))</f>
        <v>1454.96</v>
      </c>
      <c r="X551" s="6">
        <f>IF(ISERROR(VLOOKUP($U$551,'TAR FIN'!$A$1:$O$108,15,0)),0,VLOOKUP($U$551,'TAR FIN'!$A$1:$O$108,15,0))</f>
        <v>159.43</v>
      </c>
      <c r="Y551" s="6"/>
      <c r="Z551" s="6">
        <f ca="1">('TUSD BE'!$AM$27+'TUSD BF'!$AM$27+'TUSD CVA'!$AM$27)*1</f>
        <v>1497.8900689999518</v>
      </c>
      <c r="AA551" s="6">
        <f>('TE BE'!$AB$10+'TE BF'!$AB$10+'TE CVA'!$AB$10)*1</f>
        <v>322.12477389224171</v>
      </c>
      <c r="AB551" s="6">
        <f>$K$551*$V$551</f>
        <v>0</v>
      </c>
      <c r="AC551" s="6">
        <f>$M$551*$W$551</f>
        <v>11373.42232</v>
      </c>
      <c r="AD551" s="6">
        <f>$O$551*$X$551</f>
        <v>1246.26431</v>
      </c>
      <c r="AE551" s="6">
        <f>$K$551*$Y$551</f>
        <v>0</v>
      </c>
      <c r="AF551" s="6">
        <f ca="1">$M$551*$Z$551</f>
        <v>11709.006669372624</v>
      </c>
      <c r="AG551" s="6">
        <f>$O$551*$AA$551</f>
        <v>2518.0493575156534</v>
      </c>
    </row>
    <row r="552" spans="1:33" ht="11.25" customHeight="1" x14ac:dyDescent="0.25">
      <c r="A552" s="4" t="s">
        <v>21</v>
      </c>
      <c r="B552" s="4" t="s">
        <v>41</v>
      </c>
      <c r="C552" s="4" t="s">
        <v>43</v>
      </c>
      <c r="D552" s="4" t="s">
        <v>51</v>
      </c>
      <c r="E552" s="4" t="s">
        <v>52</v>
      </c>
      <c r="F552" s="4" t="s">
        <v>25</v>
      </c>
      <c r="G552" s="4" t="s">
        <v>25</v>
      </c>
      <c r="H552" s="4" t="s">
        <v>35</v>
      </c>
      <c r="I552" s="5">
        <v>44531</v>
      </c>
      <c r="J552" s="6">
        <v>0</v>
      </c>
      <c r="K552" s="71">
        <v>0</v>
      </c>
      <c r="L552" s="6">
        <v>533.77</v>
      </c>
      <c r="M552" s="71">
        <v>533.77</v>
      </c>
      <c r="N552" s="6">
        <v>533.77</v>
      </c>
      <c r="O552" s="71">
        <v>533.77</v>
      </c>
      <c r="P552" s="6">
        <v>0</v>
      </c>
      <c r="Q552" s="4" t="s">
        <v>26</v>
      </c>
      <c r="R552" s="4">
        <v>0</v>
      </c>
      <c r="S552" s="6">
        <v>0</v>
      </c>
      <c r="T552" s="6">
        <v>7</v>
      </c>
      <c r="U552" s="6">
        <v>76</v>
      </c>
      <c r="V552" s="71">
        <f>IF(ISERROR(VLOOKUP($S$552,'TAR FIN'!$A$1:$O$108,15,0)),0,VLOOKUP($S$552,'TAR FIN'!$A$1:$O$108,15,0))</f>
        <v>0</v>
      </c>
      <c r="W552" s="71">
        <f>IF(ISERROR(VLOOKUP($T$552,'TAR FIN'!$A$1:$O$108,15,0)),0,VLOOKUP($T$552,'TAR FIN'!$A$1:$O$108,15,0))*(1-0.06)</f>
        <v>96.462800000000001</v>
      </c>
      <c r="X552" s="71">
        <f>IF(ISERROR(VLOOKUP($U$552,'TAR FIN'!$A$1:$O$108,15,0)),0,VLOOKUP($U$552,'TAR FIN'!$A$1:$O$108,15,0))*(1-0.06)</f>
        <v>96.913999999999987</v>
      </c>
      <c r="Y552" s="71"/>
      <c r="Z552" s="71">
        <f ca="1">('TUSD BE'!$AM$28+'TUSD BF'!$AM$28+'TUSD CVA'!$AM$28)*1*(1-0.03)</f>
        <v>176.03212128696998</v>
      </c>
      <c r="AA552" s="71">
        <f>('TE BE'!$AB$11+'TE BF'!$AB$11+'TE CVA'!$AB$11)*1*(1-0.03)</f>
        <v>209.13469685121515</v>
      </c>
      <c r="AB552" s="6">
        <f>$K$552*$V$552</f>
        <v>0</v>
      </c>
      <c r="AC552" s="6">
        <f>$M$552*$W$552</f>
        <v>51488.948755999998</v>
      </c>
      <c r="AD552" s="6">
        <f>$O$552*$X$552</f>
        <v>51729.785779999991</v>
      </c>
      <c r="AE552" s="6">
        <f>$K$552*$Y$552</f>
        <v>0</v>
      </c>
      <c r="AF552" s="6">
        <f ca="1">$M$552*$Z$552</f>
        <v>93960.66537934597</v>
      </c>
      <c r="AG552" s="6">
        <f>$O$552*$AA$552</f>
        <v>111629.8271382731</v>
      </c>
    </row>
    <row r="553" spans="1:33" ht="11.25" customHeight="1" x14ac:dyDescent="0.25">
      <c r="A553" s="4" t="s">
        <v>21</v>
      </c>
      <c r="B553" s="4" t="s">
        <v>41</v>
      </c>
      <c r="C553" s="4" t="s">
        <v>43</v>
      </c>
      <c r="D553" s="4" t="s">
        <v>51</v>
      </c>
      <c r="E553" s="4" t="s">
        <v>52</v>
      </c>
      <c r="F553" s="4" t="s">
        <v>25</v>
      </c>
      <c r="G553" s="4" t="s">
        <v>25</v>
      </c>
      <c r="H553" s="4" t="s">
        <v>35</v>
      </c>
      <c r="I553" s="5">
        <v>44562</v>
      </c>
      <c r="J553" s="6">
        <v>0</v>
      </c>
      <c r="K553" s="71">
        <v>0</v>
      </c>
      <c r="L553" s="6">
        <v>541.12599999999998</v>
      </c>
      <c r="M553" s="71">
        <v>541.12599999999998</v>
      </c>
      <c r="N553" s="6">
        <v>541.12599999999998</v>
      </c>
      <c r="O553" s="71">
        <v>541.12599999999998</v>
      </c>
      <c r="P553" s="6">
        <v>0</v>
      </c>
      <c r="Q553" s="4" t="s">
        <v>26</v>
      </c>
      <c r="R553" s="4">
        <v>0</v>
      </c>
      <c r="S553" s="6">
        <v>0</v>
      </c>
      <c r="T553" s="6">
        <v>7</v>
      </c>
      <c r="U553" s="6">
        <v>76</v>
      </c>
      <c r="V553" s="71">
        <f>IF(ISERROR(VLOOKUP($S$553,'TAR FIN'!$A$1:$O$108,15,0)),0,VLOOKUP($S$553,'TAR FIN'!$A$1:$O$108,15,0))</f>
        <v>0</v>
      </c>
      <c r="W553" s="71">
        <f>IF(ISERROR(VLOOKUP($T$553,'TAR FIN'!$A$1:$O$108,15,0)),0,VLOOKUP($T$553,'TAR FIN'!$A$1:$O$108,15,0))*(1-0.06)</f>
        <v>96.462800000000001</v>
      </c>
      <c r="X553" s="71">
        <f>IF(ISERROR(VLOOKUP($U$553,'TAR FIN'!$A$1:$O$108,15,0)),0,VLOOKUP($U$553,'TAR FIN'!$A$1:$O$108,15,0))*(1-0.06)</f>
        <v>96.913999999999987</v>
      </c>
      <c r="Y553" s="71"/>
      <c r="Z553" s="71">
        <f ca="1">('TUSD BE'!$AM$28+'TUSD BF'!$AM$28+'TUSD CVA'!$AM$28)*1*(1-0.03)</f>
        <v>176.03212128696998</v>
      </c>
      <c r="AA553" s="71">
        <f>('TE BE'!$AB$11+'TE BF'!$AB$11+'TE CVA'!$AB$11)*1*(1-0.03)</f>
        <v>209.13469685121515</v>
      </c>
      <c r="AB553" s="6">
        <f>$K$553*$V$553</f>
        <v>0</v>
      </c>
      <c r="AC553" s="6">
        <f>$M$553*$W$553</f>
        <v>52198.529112799995</v>
      </c>
      <c r="AD553" s="6">
        <f>$O$553*$X$553</f>
        <v>52442.685163999988</v>
      </c>
      <c r="AE553" s="6">
        <f>$K$553*$Y$553</f>
        <v>0</v>
      </c>
      <c r="AF553" s="6">
        <f ca="1">$M$553*$Z$553</f>
        <v>95255.55766353292</v>
      </c>
      <c r="AG553" s="6">
        <f>$O$553*$AA$553</f>
        <v>113168.22196831065</v>
      </c>
    </row>
    <row r="554" spans="1:33" ht="11.25" customHeight="1" x14ac:dyDescent="0.25">
      <c r="A554" s="4" t="s">
        <v>21</v>
      </c>
      <c r="B554" s="4" t="s">
        <v>41</v>
      </c>
      <c r="C554" s="4" t="s">
        <v>43</v>
      </c>
      <c r="D554" s="4" t="s">
        <v>51</v>
      </c>
      <c r="E554" s="4" t="s">
        <v>52</v>
      </c>
      <c r="F554" s="4" t="s">
        <v>25</v>
      </c>
      <c r="G554" s="4" t="s">
        <v>25</v>
      </c>
      <c r="H554" s="4" t="s">
        <v>35</v>
      </c>
      <c r="I554" s="5">
        <v>44593</v>
      </c>
      <c r="J554" s="6">
        <v>0</v>
      </c>
      <c r="K554" s="71">
        <v>0</v>
      </c>
      <c r="L554" s="6">
        <v>454.30099999999999</v>
      </c>
      <c r="M554" s="71">
        <v>454.30099999999999</v>
      </c>
      <c r="N554" s="6">
        <v>454.30099999999999</v>
      </c>
      <c r="O554" s="71">
        <v>454.30099999999999</v>
      </c>
      <c r="P554" s="6">
        <v>0</v>
      </c>
      <c r="Q554" s="4" t="s">
        <v>26</v>
      </c>
      <c r="R554" s="4">
        <v>0</v>
      </c>
      <c r="S554" s="6">
        <v>0</v>
      </c>
      <c r="T554" s="6">
        <v>7</v>
      </c>
      <c r="U554" s="6">
        <v>76</v>
      </c>
      <c r="V554" s="71">
        <f>IF(ISERROR(VLOOKUP($S$554,'TAR FIN'!$A$1:$O$108,15,0)),0,VLOOKUP($S$554,'TAR FIN'!$A$1:$O$108,15,0))</f>
        <v>0</v>
      </c>
      <c r="W554" s="71">
        <f>IF(ISERROR(VLOOKUP($T$554,'TAR FIN'!$A$1:$O$108,15,0)),0,VLOOKUP($T$554,'TAR FIN'!$A$1:$O$108,15,0))*(1-0.06)</f>
        <v>96.462800000000001</v>
      </c>
      <c r="X554" s="71">
        <f>IF(ISERROR(VLOOKUP($U$554,'TAR FIN'!$A$1:$O$108,15,0)),0,VLOOKUP($U$554,'TAR FIN'!$A$1:$O$108,15,0))*(1-0.06)</f>
        <v>96.913999999999987</v>
      </c>
      <c r="Y554" s="71"/>
      <c r="Z554" s="71">
        <f ca="1">('TUSD BE'!$AM$28+'TUSD BF'!$AM$28+'TUSD CVA'!$AM$28)*1*(1-0.03)</f>
        <v>176.03212128696998</v>
      </c>
      <c r="AA554" s="71">
        <f>('TE BE'!$AB$11+'TE BF'!$AB$11+'TE CVA'!$AB$11)*1*(1-0.03)</f>
        <v>209.13469685121515</v>
      </c>
      <c r="AB554" s="6">
        <f>$K$554*$V$554</f>
        <v>0</v>
      </c>
      <c r="AC554" s="6">
        <f>$M$554*$W$554</f>
        <v>43823.146502800002</v>
      </c>
      <c r="AD554" s="6">
        <f>$O$554*$X$554</f>
        <v>44028.127113999995</v>
      </c>
      <c r="AE554" s="6">
        <f>$K$554*$Y$554</f>
        <v>0</v>
      </c>
      <c r="AF554" s="6">
        <f ca="1">$M$554*$Z$554</f>
        <v>79971.568732791755</v>
      </c>
      <c r="AG554" s="6">
        <f>$O$554*$AA$554</f>
        <v>95010.101914203886</v>
      </c>
    </row>
    <row r="555" spans="1:33" ht="11.25" customHeight="1" x14ac:dyDescent="0.25">
      <c r="A555" s="4" t="s">
        <v>21</v>
      </c>
      <c r="B555" s="4" t="s">
        <v>41</v>
      </c>
      <c r="C555" s="4" t="s">
        <v>43</v>
      </c>
      <c r="D555" s="4" t="s">
        <v>51</v>
      </c>
      <c r="E555" s="4" t="s">
        <v>52</v>
      </c>
      <c r="F555" s="4" t="s">
        <v>25</v>
      </c>
      <c r="G555" s="4" t="s">
        <v>25</v>
      </c>
      <c r="H555" s="4" t="s">
        <v>35</v>
      </c>
      <c r="I555" s="5">
        <v>44621</v>
      </c>
      <c r="J555" s="6">
        <v>0</v>
      </c>
      <c r="K555" s="71">
        <v>0</v>
      </c>
      <c r="L555" s="6">
        <v>575.00099999999998</v>
      </c>
      <c r="M555" s="71">
        <v>575.00099999999998</v>
      </c>
      <c r="N555" s="6">
        <v>575.00099999999998</v>
      </c>
      <c r="O555" s="71">
        <v>575.00099999999998</v>
      </c>
      <c r="P555" s="6">
        <v>0</v>
      </c>
      <c r="Q555" s="4" t="s">
        <v>26</v>
      </c>
      <c r="R555" s="4">
        <v>0</v>
      </c>
      <c r="S555" s="6">
        <v>0</v>
      </c>
      <c r="T555" s="6">
        <v>7</v>
      </c>
      <c r="U555" s="6">
        <v>76</v>
      </c>
      <c r="V555" s="71">
        <f>IF(ISERROR(VLOOKUP($S$555,'TAR FIN'!$A$1:$O$108,15,0)),0,VLOOKUP($S$555,'TAR FIN'!$A$1:$O$108,15,0))</f>
        <v>0</v>
      </c>
      <c r="W555" s="71">
        <f>IF(ISERROR(VLOOKUP($T$555,'TAR FIN'!$A$1:$O$108,15,0)),0,VLOOKUP($T$555,'TAR FIN'!$A$1:$O$108,15,0))*(1-0.06)</f>
        <v>96.462800000000001</v>
      </c>
      <c r="X555" s="71">
        <f>IF(ISERROR(VLOOKUP($U$555,'TAR FIN'!$A$1:$O$108,15,0)),0,VLOOKUP($U$555,'TAR FIN'!$A$1:$O$108,15,0))*(1-0.06)</f>
        <v>96.913999999999987</v>
      </c>
      <c r="Y555" s="71"/>
      <c r="Z555" s="71">
        <f ca="1">('TUSD BE'!$AM$28+'TUSD BF'!$AM$28+'TUSD CVA'!$AM$28)*1*(1-0.03)</f>
        <v>176.03212128696998</v>
      </c>
      <c r="AA555" s="71">
        <f>('TE BE'!$AB$11+'TE BF'!$AB$11+'TE CVA'!$AB$11)*1*(1-0.03)</f>
        <v>209.13469685121515</v>
      </c>
      <c r="AB555" s="6">
        <f>$K$555*$V$555</f>
        <v>0</v>
      </c>
      <c r="AC555" s="6">
        <f>$M$555*$W$555</f>
        <v>55466.206462800001</v>
      </c>
      <c r="AD555" s="6">
        <f>$O$555*$X$555</f>
        <v>55725.64691399999</v>
      </c>
      <c r="AE555" s="6">
        <f>$K$555*$Y$555</f>
        <v>0</v>
      </c>
      <c r="AF555" s="6">
        <f ca="1">$M$555*$Z$555</f>
        <v>101218.64577212902</v>
      </c>
      <c r="AG555" s="6">
        <f>$O$555*$AA$555</f>
        <v>120252.65982414556</v>
      </c>
    </row>
    <row r="556" spans="1:33" ht="11.25" customHeight="1" x14ac:dyDescent="0.25">
      <c r="A556" s="4" t="s">
        <v>27</v>
      </c>
      <c r="B556" s="4" t="s">
        <v>41</v>
      </c>
      <c r="C556" s="4" t="s">
        <v>43</v>
      </c>
      <c r="D556" s="4" t="s">
        <v>51</v>
      </c>
      <c r="E556" s="4" t="s">
        <v>52</v>
      </c>
      <c r="F556" s="4" t="s">
        <v>25</v>
      </c>
      <c r="G556" s="4" t="s">
        <v>25</v>
      </c>
      <c r="H556" s="4" t="s">
        <v>35</v>
      </c>
      <c r="I556" s="5">
        <v>44621</v>
      </c>
      <c r="J556" s="6">
        <v>0</v>
      </c>
      <c r="K556" s="71">
        <v>0</v>
      </c>
      <c r="L556" s="6">
        <v>10.036</v>
      </c>
      <c r="M556" s="71">
        <v>10.036</v>
      </c>
      <c r="N556" s="6">
        <v>10.036</v>
      </c>
      <c r="O556" s="71">
        <v>10.036</v>
      </c>
      <c r="P556" s="6">
        <v>0</v>
      </c>
      <c r="Q556" s="4" t="s">
        <v>26</v>
      </c>
      <c r="R556" s="4">
        <v>0</v>
      </c>
      <c r="S556" s="6">
        <v>0</v>
      </c>
      <c r="T556" s="6">
        <v>7</v>
      </c>
      <c r="U556" s="6">
        <v>76</v>
      </c>
      <c r="V556" s="71">
        <f>IF(ISERROR(VLOOKUP($S$556,'TAR FIN'!$A$1:$O$108,15,0)),0,VLOOKUP($S$556,'TAR FIN'!$A$1:$O$108,15,0))</f>
        <v>0</v>
      </c>
      <c r="W556" s="71">
        <f>IF(ISERROR(VLOOKUP($T$556,'TAR FIN'!$A$1:$O$108,15,0)),0,VLOOKUP($T$556,'TAR FIN'!$A$1:$O$108,15,0))*(1-0.06)</f>
        <v>96.462800000000001</v>
      </c>
      <c r="X556" s="71">
        <f>IF(ISERROR(VLOOKUP($U$556,'TAR FIN'!$A$1:$O$108,15,0)),0,VLOOKUP($U$556,'TAR FIN'!$A$1:$O$108,15,0))*(1-0.06)</f>
        <v>96.913999999999987</v>
      </c>
      <c r="Y556" s="71"/>
      <c r="Z556" s="71">
        <f ca="1">('TUSD BE'!$AM$28+'TUSD BF'!$AM$28+'TUSD CVA'!$AM$28)*1*(1-0.03)</f>
        <v>176.03212128696998</v>
      </c>
      <c r="AA556" s="71">
        <f>('TE BE'!$AB$11+'TE BF'!$AB$11+'TE CVA'!$AB$11)*1*(1-0.03)</f>
        <v>209.13469685121515</v>
      </c>
      <c r="AB556" s="6">
        <f>$K$556*$V$556</f>
        <v>0</v>
      </c>
      <c r="AC556" s="6">
        <f>$M$556*$W$556</f>
        <v>968.10066080000001</v>
      </c>
      <c r="AD556" s="6">
        <f>$O$556*$X$556</f>
        <v>972.62890399999981</v>
      </c>
      <c r="AE556" s="6">
        <f>$K$556*$Y$556</f>
        <v>0</v>
      </c>
      <c r="AF556" s="6">
        <f ca="1">$M$556*$Z$556</f>
        <v>1766.6583692360307</v>
      </c>
      <c r="AG556" s="6">
        <f>$O$556*$AA$556</f>
        <v>2098.875817598795</v>
      </c>
    </row>
    <row r="557" spans="1:33" ht="11.25" customHeight="1" x14ac:dyDescent="0.25">
      <c r="A557" s="4" t="s">
        <v>21</v>
      </c>
      <c r="B557" s="4" t="s">
        <v>41</v>
      </c>
      <c r="C557" s="4" t="s">
        <v>43</v>
      </c>
      <c r="D557" s="4" t="s">
        <v>51</v>
      </c>
      <c r="E557" s="4" t="s">
        <v>52</v>
      </c>
      <c r="F557" s="4" t="s">
        <v>25</v>
      </c>
      <c r="G557" s="4" t="s">
        <v>25</v>
      </c>
      <c r="H557" s="4" t="s">
        <v>35</v>
      </c>
      <c r="I557" s="5">
        <v>44652</v>
      </c>
      <c r="J557" s="6">
        <v>0</v>
      </c>
      <c r="K557" s="71">
        <v>0</v>
      </c>
      <c r="L557" s="6">
        <v>509.452</v>
      </c>
      <c r="M557" s="71">
        <v>509.452</v>
      </c>
      <c r="N557" s="6">
        <v>509.452</v>
      </c>
      <c r="O557" s="71">
        <v>509.452</v>
      </c>
      <c r="P557" s="6">
        <v>0</v>
      </c>
      <c r="Q557" s="4" t="s">
        <v>26</v>
      </c>
      <c r="R557" s="4">
        <v>0</v>
      </c>
      <c r="S557" s="6">
        <v>0</v>
      </c>
      <c r="T557" s="6">
        <v>7</v>
      </c>
      <c r="U557" s="6">
        <v>76</v>
      </c>
      <c r="V557" s="71">
        <f>IF(ISERROR(VLOOKUP($S$557,'TAR FIN'!$A$1:$O$108,15,0)),0,VLOOKUP($S$557,'TAR FIN'!$A$1:$O$108,15,0))</f>
        <v>0</v>
      </c>
      <c r="W557" s="71">
        <f>IF(ISERROR(VLOOKUP($T$557,'TAR FIN'!$A$1:$O$108,15,0)),0,VLOOKUP($T$557,'TAR FIN'!$A$1:$O$108,15,0))*(1-0.06)</f>
        <v>96.462800000000001</v>
      </c>
      <c r="X557" s="71">
        <f>IF(ISERROR(VLOOKUP($U$557,'TAR FIN'!$A$1:$O$108,15,0)),0,VLOOKUP($U$557,'TAR FIN'!$A$1:$O$108,15,0))*(1-0.06)</f>
        <v>96.913999999999987</v>
      </c>
      <c r="Y557" s="71"/>
      <c r="Z557" s="71">
        <f ca="1">('TUSD BE'!$AM$28+'TUSD BF'!$AM$28+'TUSD CVA'!$AM$28)*1*(1-0.03)</f>
        <v>176.03212128696998</v>
      </c>
      <c r="AA557" s="71">
        <f>('TE BE'!$AB$11+'TE BF'!$AB$11+'TE CVA'!$AB$11)*1*(1-0.03)</f>
        <v>209.13469685121515</v>
      </c>
      <c r="AB557" s="6">
        <f>$K$557*$V$557</f>
        <v>0</v>
      </c>
      <c r="AC557" s="6">
        <f>$M$557*$W$557</f>
        <v>49143.166385600001</v>
      </c>
      <c r="AD557" s="6">
        <f>$O$557*$X$557</f>
        <v>49373.031127999995</v>
      </c>
      <c r="AE557" s="6">
        <f>$K$557*$Y$557</f>
        <v>0</v>
      </c>
      <c r="AF557" s="6">
        <f ca="1">$M$557*$Z$557</f>
        <v>89679.916253889431</v>
      </c>
      <c r="AG557" s="6">
        <f>$O$557*$AA$557</f>
        <v>106544.08958024526</v>
      </c>
    </row>
    <row r="558" spans="1:33" ht="11.25" customHeight="1" x14ac:dyDescent="0.25">
      <c r="A558" s="4" t="s">
        <v>21</v>
      </c>
      <c r="B558" s="4" t="s">
        <v>41</v>
      </c>
      <c r="C558" s="4" t="s">
        <v>43</v>
      </c>
      <c r="D558" s="4" t="s">
        <v>51</v>
      </c>
      <c r="E558" s="4" t="s">
        <v>52</v>
      </c>
      <c r="F558" s="4" t="s">
        <v>25</v>
      </c>
      <c r="G558" s="4" t="s">
        <v>25</v>
      </c>
      <c r="H558" s="4" t="s">
        <v>35</v>
      </c>
      <c r="I558" s="5">
        <v>44682</v>
      </c>
      <c r="J558" s="6">
        <v>0</v>
      </c>
      <c r="K558" s="71">
        <v>0</v>
      </c>
      <c r="L558" s="6">
        <v>502.738</v>
      </c>
      <c r="M558" s="71">
        <v>502.738</v>
      </c>
      <c r="N558" s="6">
        <v>502.738</v>
      </c>
      <c r="O558" s="71">
        <v>502.738</v>
      </c>
      <c r="P558" s="6">
        <v>0</v>
      </c>
      <c r="Q558" s="4" t="s">
        <v>26</v>
      </c>
      <c r="R558" s="4">
        <v>0</v>
      </c>
      <c r="S558" s="6">
        <v>0</v>
      </c>
      <c r="T558" s="6">
        <v>7</v>
      </c>
      <c r="U558" s="6">
        <v>76</v>
      </c>
      <c r="V558" s="71">
        <f>IF(ISERROR(VLOOKUP($S$558,'TAR FIN'!$A$1:$O$108,15,0)),0,VLOOKUP($S$558,'TAR FIN'!$A$1:$O$108,15,0))</f>
        <v>0</v>
      </c>
      <c r="W558" s="71">
        <f>IF(ISERROR(VLOOKUP($T$558,'TAR FIN'!$A$1:$O$108,15,0)),0,VLOOKUP($T$558,'TAR FIN'!$A$1:$O$108,15,0))*(1-0.06)</f>
        <v>96.462800000000001</v>
      </c>
      <c r="X558" s="71">
        <f>IF(ISERROR(VLOOKUP($U$558,'TAR FIN'!$A$1:$O$108,15,0)),0,VLOOKUP($U$558,'TAR FIN'!$A$1:$O$108,15,0))*(1-0.06)</f>
        <v>96.913999999999987</v>
      </c>
      <c r="Y558" s="71"/>
      <c r="Z558" s="71">
        <f ca="1">('TUSD BE'!$AM$28+'TUSD BF'!$AM$28+'TUSD CVA'!$AM$28)*1*(1-0.03)</f>
        <v>176.03212128696998</v>
      </c>
      <c r="AA558" s="71">
        <f>('TE BE'!$AB$11+'TE BF'!$AB$11+'TE CVA'!$AB$11)*1*(1-0.03)</f>
        <v>209.13469685121515</v>
      </c>
      <c r="AB558" s="6">
        <f>$K$558*$V$558</f>
        <v>0</v>
      </c>
      <c r="AC558" s="6">
        <f>$M$558*$W$558</f>
        <v>48495.515146400001</v>
      </c>
      <c r="AD558" s="6">
        <f>$O$558*$X$558</f>
        <v>48722.350531999997</v>
      </c>
      <c r="AE558" s="6">
        <f>$K$558*$Y$558</f>
        <v>0</v>
      </c>
      <c r="AF558" s="6">
        <f ca="1">$M$558*$Z$558</f>
        <v>88498.036591568714</v>
      </c>
      <c r="AG558" s="6">
        <f>$O$558*$AA$558</f>
        <v>105139.95922558621</v>
      </c>
    </row>
    <row r="559" spans="1:33" ht="11.25" customHeight="1" x14ac:dyDescent="0.25">
      <c r="A559" s="4" t="s">
        <v>21</v>
      </c>
      <c r="B559" s="4" t="s">
        <v>41</v>
      </c>
      <c r="C559" s="4" t="s">
        <v>43</v>
      </c>
      <c r="D559" s="4" t="s">
        <v>51</v>
      </c>
      <c r="E559" s="4" t="s">
        <v>52</v>
      </c>
      <c r="F559" s="4" t="s">
        <v>25</v>
      </c>
      <c r="G559" s="4" t="s">
        <v>25</v>
      </c>
      <c r="H559" s="4" t="s">
        <v>35</v>
      </c>
      <c r="I559" s="5">
        <v>44713</v>
      </c>
      <c r="J559" s="6">
        <v>0</v>
      </c>
      <c r="K559" s="71">
        <v>0</v>
      </c>
      <c r="L559" s="6">
        <v>484.745</v>
      </c>
      <c r="M559" s="71">
        <v>484.745</v>
      </c>
      <c r="N559" s="6">
        <v>484.745</v>
      </c>
      <c r="O559" s="71">
        <v>484.745</v>
      </c>
      <c r="P559" s="6">
        <v>0</v>
      </c>
      <c r="Q559" s="4" t="s">
        <v>26</v>
      </c>
      <c r="R559" s="4">
        <v>0</v>
      </c>
      <c r="S559" s="6">
        <v>0</v>
      </c>
      <c r="T559" s="6">
        <v>7</v>
      </c>
      <c r="U559" s="6">
        <v>76</v>
      </c>
      <c r="V559" s="71">
        <f>IF(ISERROR(VLOOKUP($S$559,'TAR FIN'!$A$1:$O$108,15,0)),0,VLOOKUP($S$559,'TAR FIN'!$A$1:$O$108,15,0))</f>
        <v>0</v>
      </c>
      <c r="W559" s="71">
        <f>IF(ISERROR(VLOOKUP($T$559,'TAR FIN'!$A$1:$O$108,15,0)),0,VLOOKUP($T$559,'TAR FIN'!$A$1:$O$108,15,0))*(1-0.06)</f>
        <v>96.462800000000001</v>
      </c>
      <c r="X559" s="71">
        <f>IF(ISERROR(VLOOKUP($U$559,'TAR FIN'!$A$1:$O$108,15,0)),0,VLOOKUP($U$559,'TAR FIN'!$A$1:$O$108,15,0))*(1-0.06)</f>
        <v>96.913999999999987</v>
      </c>
      <c r="Y559" s="71"/>
      <c r="Z559" s="71">
        <f ca="1">('TUSD BE'!$AM$28+'TUSD BF'!$AM$28+'TUSD CVA'!$AM$28)*1*(1-0.03)</f>
        <v>176.03212128696998</v>
      </c>
      <c r="AA559" s="71">
        <f>('TE BE'!$AB$11+'TE BF'!$AB$11+'TE CVA'!$AB$11)*1*(1-0.03)</f>
        <v>209.13469685121515</v>
      </c>
      <c r="AB559" s="6">
        <f>$K$559*$V$559</f>
        <v>0</v>
      </c>
      <c r="AC559" s="6">
        <f>$M$559*$W$559</f>
        <v>46759.859986000003</v>
      </c>
      <c r="AD559" s="6">
        <f>$O$559*$X$559</f>
        <v>46978.576929999996</v>
      </c>
      <c r="AE559" s="6">
        <f>$K$559*$Y$559</f>
        <v>0</v>
      </c>
      <c r="AF559" s="6">
        <f ca="1">$M$559*$Z$559</f>
        <v>85330.690633252263</v>
      </c>
      <c r="AG559" s="6">
        <f>$O$559*$AA$559</f>
        <v>101376.9986251423</v>
      </c>
    </row>
    <row r="560" spans="1:33" ht="11.25" customHeight="1" x14ac:dyDescent="0.25">
      <c r="A560" s="4" t="s">
        <v>21</v>
      </c>
      <c r="B560" s="4" t="s">
        <v>41</v>
      </c>
      <c r="C560" s="4" t="s">
        <v>43</v>
      </c>
      <c r="D560" s="4" t="s">
        <v>51</v>
      </c>
      <c r="E560" s="4" t="s">
        <v>52</v>
      </c>
      <c r="F560" s="4" t="s">
        <v>25</v>
      </c>
      <c r="G560" s="4" t="s">
        <v>25</v>
      </c>
      <c r="H560" s="4" t="s">
        <v>35</v>
      </c>
      <c r="I560" s="5">
        <v>44743</v>
      </c>
      <c r="J560" s="6">
        <v>0</v>
      </c>
      <c r="K560" s="71">
        <v>0</v>
      </c>
      <c r="L560" s="6">
        <v>11.79</v>
      </c>
      <c r="M560" s="71">
        <v>11.79</v>
      </c>
      <c r="N560" s="6">
        <v>11.79</v>
      </c>
      <c r="O560" s="71">
        <v>11.79</v>
      </c>
      <c r="P560" s="6">
        <v>0</v>
      </c>
      <c r="Q560" s="4" t="s">
        <v>26</v>
      </c>
      <c r="R560" s="4">
        <v>0</v>
      </c>
      <c r="S560" s="6">
        <v>0</v>
      </c>
      <c r="T560" s="6">
        <v>7</v>
      </c>
      <c r="U560" s="6">
        <v>76</v>
      </c>
      <c r="V560" s="71">
        <f>IF(ISERROR(VLOOKUP($S$560,'TAR FIN'!$A$1:$O$108,15,0)),0,VLOOKUP($S$560,'TAR FIN'!$A$1:$O$108,15,0))</f>
        <v>0</v>
      </c>
      <c r="W560" s="71">
        <f>IF(ISERROR(VLOOKUP($T$560,'TAR FIN'!$A$1:$O$108,15,0)),0,VLOOKUP($T$560,'TAR FIN'!$A$1:$O$108,15,0))*(1-0.06)</f>
        <v>96.462800000000001</v>
      </c>
      <c r="X560" s="71">
        <f>IF(ISERROR(VLOOKUP($U$560,'TAR FIN'!$A$1:$O$108,15,0)),0,VLOOKUP($U$560,'TAR FIN'!$A$1:$O$108,15,0))*(1-0.06)</f>
        <v>96.913999999999987</v>
      </c>
      <c r="Y560" s="71"/>
      <c r="Z560" s="71">
        <f ca="1">('TUSD BE'!$AM$28+'TUSD BF'!$AM$28+'TUSD CVA'!$AM$28)*1*(1-0.03)</f>
        <v>176.03212128696998</v>
      </c>
      <c r="AA560" s="71">
        <f>('TE BE'!$AB$11+'TE BF'!$AB$11+'TE CVA'!$AB$11)*1*(1-0.03)</f>
        <v>209.13469685121515</v>
      </c>
      <c r="AB560" s="6">
        <f>$K$560*$V$560</f>
        <v>0</v>
      </c>
      <c r="AC560" s="6">
        <f>$M$560*$W$560</f>
        <v>1137.2964119999999</v>
      </c>
      <c r="AD560" s="6">
        <f>$O$560*$X$560</f>
        <v>1142.6160599999998</v>
      </c>
      <c r="AE560" s="6">
        <f>$K$560*$Y$560</f>
        <v>0</v>
      </c>
      <c r="AF560" s="6">
        <f ca="1">$M$560*$Z$560</f>
        <v>2075.4187099733758</v>
      </c>
      <c r="AG560" s="6">
        <f>$O$560*$AA$560</f>
        <v>2465.6980758758264</v>
      </c>
    </row>
    <row r="561" spans="1:33" ht="11.25" customHeight="1" x14ac:dyDescent="0.25">
      <c r="A561" s="4" t="s">
        <v>27</v>
      </c>
      <c r="B561" s="4" t="s">
        <v>41</v>
      </c>
      <c r="C561" s="4" t="s">
        <v>43</v>
      </c>
      <c r="D561" s="4" t="s">
        <v>51</v>
      </c>
      <c r="E561" s="4" t="s">
        <v>52</v>
      </c>
      <c r="F561" s="4" t="s">
        <v>25</v>
      </c>
      <c r="G561" s="4" t="s">
        <v>25</v>
      </c>
      <c r="H561" s="4" t="s">
        <v>35</v>
      </c>
      <c r="I561" s="5">
        <v>44743</v>
      </c>
      <c r="J561" s="6">
        <v>0</v>
      </c>
      <c r="K561" s="71">
        <v>0</v>
      </c>
      <c r="L561" s="6">
        <v>178.679</v>
      </c>
      <c r="M561" s="71">
        <v>178.679</v>
      </c>
      <c r="N561" s="6">
        <v>178.679</v>
      </c>
      <c r="O561" s="71">
        <v>178.679</v>
      </c>
      <c r="P561" s="6">
        <v>0</v>
      </c>
      <c r="Q561" s="4" t="s">
        <v>26</v>
      </c>
      <c r="R561" s="4">
        <v>0</v>
      </c>
      <c r="S561" s="6">
        <v>0</v>
      </c>
      <c r="T561" s="6">
        <v>7</v>
      </c>
      <c r="U561" s="6">
        <v>76</v>
      </c>
      <c r="V561" s="71">
        <f>IF(ISERROR(VLOOKUP($S$561,'TAR FIN'!$A$1:$O$108,15,0)),0,VLOOKUP($S$561,'TAR FIN'!$A$1:$O$108,15,0))</f>
        <v>0</v>
      </c>
      <c r="W561" s="71">
        <f>IF(ISERROR(VLOOKUP($T$561,'TAR FIN'!$A$1:$O$108,15,0)),0,VLOOKUP($T$561,'TAR FIN'!$A$1:$O$108,15,0))*(1-0.06)</f>
        <v>96.462800000000001</v>
      </c>
      <c r="X561" s="71">
        <f>IF(ISERROR(VLOOKUP($U$561,'TAR FIN'!$A$1:$O$108,15,0)),0,VLOOKUP($U$561,'TAR FIN'!$A$1:$O$108,15,0))*(1-0.06)</f>
        <v>96.913999999999987</v>
      </c>
      <c r="Y561" s="71"/>
      <c r="Z561" s="71">
        <f ca="1">('TUSD BE'!$AM$28+'TUSD BF'!$AM$28+'TUSD CVA'!$AM$28)*1*(1-0.03)</f>
        <v>176.03212128696998</v>
      </c>
      <c r="AA561" s="71">
        <f>('TE BE'!$AB$11+'TE BF'!$AB$11+'TE CVA'!$AB$11)*1*(1-0.03)</f>
        <v>209.13469685121515</v>
      </c>
      <c r="AB561" s="6">
        <f>$K$561*$V$561</f>
        <v>0</v>
      </c>
      <c r="AC561" s="6">
        <f>$M$561*$W$561</f>
        <v>17235.8766412</v>
      </c>
      <c r="AD561" s="6">
        <f>$O$561*$X$561</f>
        <v>17316.496605999997</v>
      </c>
      <c r="AE561" s="6">
        <f>$K$561*$Y$561</f>
        <v>0</v>
      </c>
      <c r="AF561" s="6">
        <f ca="1">$M$561*$Z$561</f>
        <v>31453.243399434508</v>
      </c>
      <c r="AG561" s="6">
        <f>$O$561*$AA$561</f>
        <v>37367.978498678276</v>
      </c>
    </row>
    <row r="562" spans="1:33" ht="11.25" customHeight="1" x14ac:dyDescent="0.25">
      <c r="A562" s="4" t="s">
        <v>21</v>
      </c>
      <c r="B562" s="4" t="s">
        <v>41</v>
      </c>
      <c r="C562" s="4" t="s">
        <v>43</v>
      </c>
      <c r="D562" s="4" t="s">
        <v>51</v>
      </c>
      <c r="E562" s="4" t="s">
        <v>52</v>
      </c>
      <c r="F562" s="4" t="s">
        <v>25</v>
      </c>
      <c r="G562" s="4" t="s">
        <v>25</v>
      </c>
      <c r="H562" s="4" t="s">
        <v>35</v>
      </c>
      <c r="I562" s="5">
        <v>44774</v>
      </c>
      <c r="J562" s="6">
        <v>0</v>
      </c>
      <c r="K562" s="71">
        <v>0</v>
      </c>
      <c r="L562" s="6">
        <v>599.32600000000002</v>
      </c>
      <c r="M562" s="71">
        <v>599.32600000000002</v>
      </c>
      <c r="N562" s="6">
        <v>599.32600000000002</v>
      </c>
      <c r="O562" s="71">
        <v>599.32600000000002</v>
      </c>
      <c r="P562" s="6">
        <v>0</v>
      </c>
      <c r="Q562" s="4" t="s">
        <v>26</v>
      </c>
      <c r="R562" s="4">
        <v>0</v>
      </c>
      <c r="S562" s="6">
        <v>0</v>
      </c>
      <c r="T562" s="6">
        <v>7</v>
      </c>
      <c r="U562" s="6">
        <v>76</v>
      </c>
      <c r="V562" s="71">
        <f>IF(ISERROR(VLOOKUP($S$562,'TAR FIN'!$A$1:$O$108,15,0)),0,VLOOKUP($S$562,'TAR FIN'!$A$1:$O$108,15,0))</f>
        <v>0</v>
      </c>
      <c r="W562" s="71">
        <f>IF(ISERROR(VLOOKUP($T$562,'TAR FIN'!$A$1:$O$108,15,0)),0,VLOOKUP($T$562,'TAR FIN'!$A$1:$O$108,15,0))*(1-0.06)</f>
        <v>96.462800000000001</v>
      </c>
      <c r="X562" s="71">
        <f>IF(ISERROR(VLOOKUP($U$562,'TAR FIN'!$A$1:$O$108,15,0)),0,VLOOKUP($U$562,'TAR FIN'!$A$1:$O$108,15,0))*(1-0.06)</f>
        <v>96.913999999999987</v>
      </c>
      <c r="Y562" s="71"/>
      <c r="Z562" s="71">
        <f ca="1">('TUSD BE'!$AM$28+'TUSD BF'!$AM$28+'TUSD CVA'!$AM$28)*1*(1-0.03)</f>
        <v>176.03212128696998</v>
      </c>
      <c r="AA562" s="71">
        <f>('TE BE'!$AB$11+'TE BF'!$AB$11+'TE CVA'!$AB$11)*1*(1-0.03)</f>
        <v>209.13469685121515</v>
      </c>
      <c r="AB562" s="6">
        <f>$K$562*$V$562</f>
        <v>0</v>
      </c>
      <c r="AC562" s="6">
        <f>$M$562*$W$562</f>
        <v>57812.664072800006</v>
      </c>
      <c r="AD562" s="6">
        <f>$O$562*$X$562</f>
        <v>58083.079963999997</v>
      </c>
      <c r="AE562" s="6">
        <f>$K$562*$Y$562</f>
        <v>0</v>
      </c>
      <c r="AF562" s="6">
        <f ca="1">$M$562*$Z$562</f>
        <v>105500.62712243457</v>
      </c>
      <c r="AG562" s="6">
        <f>$O$562*$AA$562</f>
        <v>125339.86132505137</v>
      </c>
    </row>
    <row r="563" spans="1:33" ht="11.25" customHeight="1" x14ac:dyDescent="0.25">
      <c r="A563" s="4" t="s">
        <v>27</v>
      </c>
      <c r="B563" s="4" t="s">
        <v>41</v>
      </c>
      <c r="C563" s="4" t="s">
        <v>43</v>
      </c>
      <c r="D563" s="4" t="s">
        <v>51</v>
      </c>
      <c r="E563" s="4" t="s">
        <v>52</v>
      </c>
      <c r="F563" s="4" t="s">
        <v>25</v>
      </c>
      <c r="G563" s="4" t="s">
        <v>25</v>
      </c>
      <c r="H563" s="4" t="s">
        <v>35</v>
      </c>
      <c r="I563" s="5">
        <v>44774</v>
      </c>
      <c r="J563" s="6">
        <v>0</v>
      </c>
      <c r="K563" s="71">
        <v>0</v>
      </c>
      <c r="L563" s="6">
        <v>338.64400000000001</v>
      </c>
      <c r="M563" s="71">
        <v>338.64400000000001</v>
      </c>
      <c r="N563" s="6">
        <v>338.64400000000001</v>
      </c>
      <c r="O563" s="71">
        <v>338.64400000000001</v>
      </c>
      <c r="P563" s="6">
        <v>0</v>
      </c>
      <c r="Q563" s="4" t="s">
        <v>26</v>
      </c>
      <c r="R563" s="4">
        <v>0</v>
      </c>
      <c r="S563" s="6">
        <v>0</v>
      </c>
      <c r="T563" s="6">
        <v>7</v>
      </c>
      <c r="U563" s="6">
        <v>76</v>
      </c>
      <c r="V563" s="71">
        <f>IF(ISERROR(VLOOKUP($S$563,'TAR FIN'!$A$1:$O$108,15,0)),0,VLOOKUP($S$563,'TAR FIN'!$A$1:$O$108,15,0))</f>
        <v>0</v>
      </c>
      <c r="W563" s="71">
        <f>IF(ISERROR(VLOOKUP($T$563,'TAR FIN'!$A$1:$O$108,15,0)),0,VLOOKUP($T$563,'TAR FIN'!$A$1:$O$108,15,0))*(1-0.06)</f>
        <v>96.462800000000001</v>
      </c>
      <c r="X563" s="71">
        <f>IF(ISERROR(VLOOKUP($U$563,'TAR FIN'!$A$1:$O$108,15,0)),0,VLOOKUP($U$563,'TAR FIN'!$A$1:$O$108,15,0))*(1-0.06)</f>
        <v>96.913999999999987</v>
      </c>
      <c r="Y563" s="71"/>
      <c r="Z563" s="71">
        <f ca="1">('TUSD BE'!$AM$28+'TUSD BF'!$AM$28+'TUSD CVA'!$AM$28)*1*(1-0.03)</f>
        <v>176.03212128696998</v>
      </c>
      <c r="AA563" s="71">
        <f>('TE BE'!$AB$11+'TE BF'!$AB$11+'TE CVA'!$AB$11)*1*(1-0.03)</f>
        <v>209.13469685121515</v>
      </c>
      <c r="AB563" s="6">
        <f>$K$563*$V$563</f>
        <v>0</v>
      </c>
      <c r="AC563" s="6">
        <f>$M$563*$W$563</f>
        <v>32666.548443200001</v>
      </c>
      <c r="AD563" s="6">
        <f>$O$563*$X$563</f>
        <v>32819.344615999995</v>
      </c>
      <c r="AE563" s="6">
        <f>$K$563*$Y$563</f>
        <v>0</v>
      </c>
      <c r="AF563" s="6">
        <f ca="1">$M$563*$Z$563</f>
        <v>59612.22168110466</v>
      </c>
      <c r="AG563" s="6">
        <f>$O$563*$AA$563</f>
        <v>70822.210280482905</v>
      </c>
    </row>
    <row r="564" spans="1:33" ht="11.25" customHeight="1" x14ac:dyDescent="0.25">
      <c r="A564" s="4" t="s">
        <v>21</v>
      </c>
      <c r="B564" s="4" t="s">
        <v>41</v>
      </c>
      <c r="C564" s="4" t="s">
        <v>43</v>
      </c>
      <c r="D564" s="4" t="s">
        <v>51</v>
      </c>
      <c r="E564" s="4" t="s">
        <v>52</v>
      </c>
      <c r="F564" s="4" t="s">
        <v>25</v>
      </c>
      <c r="G564" s="4" t="s">
        <v>25</v>
      </c>
      <c r="H564" s="4" t="s">
        <v>35</v>
      </c>
      <c r="I564" s="5">
        <v>44805</v>
      </c>
      <c r="J564" s="6">
        <v>0</v>
      </c>
      <c r="K564" s="71">
        <v>0</v>
      </c>
      <c r="L564" s="6">
        <v>547.43100000000004</v>
      </c>
      <c r="M564" s="71">
        <v>547.43100000000004</v>
      </c>
      <c r="N564" s="6">
        <v>547.43100000000004</v>
      </c>
      <c r="O564" s="71">
        <v>547.43100000000004</v>
      </c>
      <c r="P564" s="6">
        <v>0</v>
      </c>
      <c r="Q564" s="4" t="s">
        <v>26</v>
      </c>
      <c r="R564" s="4">
        <v>0</v>
      </c>
      <c r="S564" s="6">
        <v>0</v>
      </c>
      <c r="T564" s="6">
        <v>7</v>
      </c>
      <c r="U564" s="6">
        <v>76</v>
      </c>
      <c r="V564" s="71">
        <f>IF(ISERROR(VLOOKUP($S$564,'TAR FIN'!$A$1:$O$108,15,0)),0,VLOOKUP($S$564,'TAR FIN'!$A$1:$O$108,15,0))</f>
        <v>0</v>
      </c>
      <c r="W564" s="71">
        <f>IF(ISERROR(VLOOKUP($T$564,'TAR FIN'!$A$1:$O$108,15,0)),0,VLOOKUP($T$564,'TAR FIN'!$A$1:$O$108,15,0))*(1-0.06)</f>
        <v>96.462800000000001</v>
      </c>
      <c r="X564" s="71">
        <f>IF(ISERROR(VLOOKUP($U$564,'TAR FIN'!$A$1:$O$108,15,0)),0,VLOOKUP($U$564,'TAR FIN'!$A$1:$O$108,15,0))*(1-0.06)</f>
        <v>96.913999999999987</v>
      </c>
      <c r="Y564" s="71"/>
      <c r="Z564" s="71">
        <f ca="1">('TUSD BE'!$AM$28+'TUSD BF'!$AM$28+'TUSD CVA'!$AM$28)*1*(1-0.03)</f>
        <v>176.03212128696998</v>
      </c>
      <c r="AA564" s="71">
        <f>('TE BE'!$AB$11+'TE BF'!$AB$11+'TE CVA'!$AB$11)*1*(1-0.03)</f>
        <v>209.13469685121515</v>
      </c>
      <c r="AB564" s="6">
        <f>$K$564*$V$564</f>
        <v>0</v>
      </c>
      <c r="AC564" s="6">
        <f>$M$564*$W$564</f>
        <v>52806.727066800006</v>
      </c>
      <c r="AD564" s="6">
        <f>$O$564*$X$564</f>
        <v>53053.727933999995</v>
      </c>
      <c r="AE564" s="6">
        <f>$K$564*$Y$564</f>
        <v>0</v>
      </c>
      <c r="AF564" s="6">
        <f ca="1">$M$564*$Z$564</f>
        <v>96365.440188247274</v>
      </c>
      <c r="AG564" s="6">
        <f>$O$564*$AA$564</f>
        <v>114486.81623195756</v>
      </c>
    </row>
    <row r="565" spans="1:33" ht="11.25" customHeight="1" x14ac:dyDescent="0.25">
      <c r="A565" s="4" t="s">
        <v>21</v>
      </c>
      <c r="B565" s="4" t="s">
        <v>41</v>
      </c>
      <c r="C565" s="4" t="s">
        <v>43</v>
      </c>
      <c r="D565" s="4" t="s">
        <v>51</v>
      </c>
      <c r="E565" s="4" t="s">
        <v>52</v>
      </c>
      <c r="F565" s="4" t="s">
        <v>25</v>
      </c>
      <c r="G565" s="4" t="s">
        <v>25</v>
      </c>
      <c r="H565" s="4" t="s">
        <v>35</v>
      </c>
      <c r="I565" s="5">
        <v>44835</v>
      </c>
      <c r="J565" s="6">
        <v>0</v>
      </c>
      <c r="K565" s="71">
        <v>0</v>
      </c>
      <c r="L565" s="6">
        <v>622.745</v>
      </c>
      <c r="M565" s="71">
        <v>622.745</v>
      </c>
      <c r="N565" s="6">
        <v>622.745</v>
      </c>
      <c r="O565" s="71">
        <v>622.745</v>
      </c>
      <c r="P565" s="6">
        <v>0</v>
      </c>
      <c r="Q565" s="4" t="s">
        <v>26</v>
      </c>
      <c r="R565" s="4">
        <v>0</v>
      </c>
      <c r="S565" s="6">
        <v>0</v>
      </c>
      <c r="T565" s="6">
        <v>7</v>
      </c>
      <c r="U565" s="6">
        <v>76</v>
      </c>
      <c r="V565" s="71">
        <f>IF(ISERROR(VLOOKUP($S$565,'TAR FIN'!$A$1:$O$108,15,0)),0,VLOOKUP($S$565,'TAR FIN'!$A$1:$O$108,15,0))</f>
        <v>0</v>
      </c>
      <c r="W565" s="71">
        <f>IF(ISERROR(VLOOKUP($T$565,'TAR FIN'!$A$1:$O$108,15,0)),0,VLOOKUP($T$565,'TAR FIN'!$A$1:$O$108,15,0))*(1-0.06)</f>
        <v>96.462800000000001</v>
      </c>
      <c r="X565" s="71">
        <f>IF(ISERROR(VLOOKUP($U$565,'TAR FIN'!$A$1:$O$108,15,0)),0,VLOOKUP($U$565,'TAR FIN'!$A$1:$O$108,15,0))*(1-0.06)</f>
        <v>96.913999999999987</v>
      </c>
      <c r="Y565" s="71"/>
      <c r="Z565" s="71">
        <f ca="1">('TUSD BE'!$AM$28+'TUSD BF'!$AM$28+'TUSD CVA'!$AM$28)*1*(1-0.03)</f>
        <v>176.03212128696998</v>
      </c>
      <c r="AA565" s="71">
        <f>('TE BE'!$AB$11+'TE BF'!$AB$11+'TE CVA'!$AB$11)*1*(1-0.03)</f>
        <v>209.13469685121515</v>
      </c>
      <c r="AB565" s="6">
        <f>$K$565*$V$565</f>
        <v>0</v>
      </c>
      <c r="AC565" s="6">
        <f>$M$565*$W$565</f>
        <v>60071.726386000002</v>
      </c>
      <c r="AD565" s="6">
        <f>$O$565*$X$565</f>
        <v>60352.708929999993</v>
      </c>
      <c r="AE565" s="6">
        <f>$K$565*$Y$565</f>
        <v>0</v>
      </c>
      <c r="AF565" s="6">
        <f ca="1">$M$565*$Z$565</f>
        <v>109623.12337085413</v>
      </c>
      <c r="AG565" s="6">
        <f>$O$565*$AA$565</f>
        <v>130237.58679060999</v>
      </c>
    </row>
    <row r="566" spans="1:33" ht="11.25" customHeight="1" x14ac:dyDescent="0.25">
      <c r="A566" s="4" t="s">
        <v>54</v>
      </c>
      <c r="B566" s="4" t="s">
        <v>41</v>
      </c>
      <c r="C566" s="4" t="s">
        <v>43</v>
      </c>
      <c r="D566" s="4" t="s">
        <v>51</v>
      </c>
      <c r="E566" s="4" t="s">
        <v>52</v>
      </c>
      <c r="F566" s="4" t="s">
        <v>25</v>
      </c>
      <c r="G566" s="4" t="s">
        <v>25</v>
      </c>
      <c r="H566" s="4" t="s">
        <v>35</v>
      </c>
      <c r="I566" s="5">
        <v>44866</v>
      </c>
      <c r="J566" s="6">
        <v>0</v>
      </c>
      <c r="K566" s="71">
        <v>0</v>
      </c>
      <c r="L566" s="6">
        <v>622.745</v>
      </c>
      <c r="M566" s="71">
        <v>622.745</v>
      </c>
      <c r="N566" s="6">
        <v>622.745</v>
      </c>
      <c r="O566" s="71">
        <v>622.745</v>
      </c>
      <c r="P566" s="6">
        <v>0</v>
      </c>
      <c r="Q566" s="4" t="s">
        <v>26</v>
      </c>
      <c r="R566" s="4">
        <v>0</v>
      </c>
      <c r="S566" s="6">
        <v>0</v>
      </c>
      <c r="T566" s="6">
        <v>7</v>
      </c>
      <c r="U566" s="6">
        <v>76</v>
      </c>
      <c r="V566" s="71">
        <f>IF(ISERROR(VLOOKUP($S$566,'TAR FIN'!$A$1:$O$108,15,0)),0,VLOOKUP($S$566,'TAR FIN'!$A$1:$O$108,15,0))</f>
        <v>0</v>
      </c>
      <c r="W566" s="71">
        <f>IF(ISERROR(VLOOKUP($T$566,'TAR FIN'!$A$1:$O$108,15,0)),0,VLOOKUP($T$566,'TAR FIN'!$A$1:$O$108,15,0))*(1-0.06)</f>
        <v>96.462800000000001</v>
      </c>
      <c r="X566" s="71">
        <f>IF(ISERROR(VLOOKUP($U$566,'TAR FIN'!$A$1:$O$108,15,0)),0,VLOOKUP($U$566,'TAR FIN'!$A$1:$O$108,15,0))*(1-0.06)</f>
        <v>96.913999999999987</v>
      </c>
      <c r="Y566" s="71"/>
      <c r="Z566" s="71">
        <f ca="1">('TUSD BE'!$AM$28+'TUSD BF'!$AM$28+'TUSD CVA'!$AM$28)*1*(1-0.03)</f>
        <v>176.03212128696998</v>
      </c>
      <c r="AA566" s="71">
        <f>('TE BE'!$AB$11+'TE BF'!$AB$11+'TE CVA'!$AB$11)*1*(1-0.03)</f>
        <v>209.13469685121515</v>
      </c>
      <c r="AB566" s="6">
        <f>$K$566*$V$566</f>
        <v>0</v>
      </c>
      <c r="AC566" s="6">
        <f>$M$566*$W$566</f>
        <v>60071.726386000002</v>
      </c>
      <c r="AD566" s="6">
        <f>$O$566*$X$566</f>
        <v>60352.708929999993</v>
      </c>
      <c r="AE566" s="6">
        <f>$K$566*$Y$566</f>
        <v>0</v>
      </c>
      <c r="AF566" s="6">
        <f ca="1">$M$566*$Z$566</f>
        <v>109623.12337085413</v>
      </c>
      <c r="AG566" s="6">
        <f>$O$566*$AA$566</f>
        <v>130237.58679060999</v>
      </c>
    </row>
    <row r="567" spans="1:33" ht="11.25" customHeight="1" x14ac:dyDescent="0.25">
      <c r="A567" s="4" t="s">
        <v>21</v>
      </c>
      <c r="B567" s="4" t="s">
        <v>41</v>
      </c>
      <c r="C567" s="4" t="s">
        <v>43</v>
      </c>
      <c r="D567" s="4" t="s">
        <v>51</v>
      </c>
      <c r="E567" s="4" t="s">
        <v>52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1554</v>
      </c>
      <c r="K567" s="70">
        <v>1554</v>
      </c>
      <c r="L567" s="6">
        <v>0</v>
      </c>
      <c r="M567" s="71">
        <v>0</v>
      </c>
      <c r="N567" s="6">
        <v>0</v>
      </c>
      <c r="O567" s="71">
        <v>0</v>
      </c>
      <c r="P567" s="6">
        <v>11</v>
      </c>
      <c r="Q567" s="4" t="s">
        <v>26</v>
      </c>
      <c r="R567" s="4">
        <v>0</v>
      </c>
      <c r="S567" s="6">
        <v>2</v>
      </c>
      <c r="T567" s="6">
        <v>0</v>
      </c>
      <c r="U567" s="6">
        <v>0</v>
      </c>
      <c r="V567" s="71">
        <f>IF(ISERROR(VLOOKUP($S$567,'TAR FIN'!$A$1:$O$108,15,0)),0,VLOOKUP($S$567,'TAR FIN'!$A$1:$O$108,15,0))*(1-0.06)</f>
        <v>20.097199999999997</v>
      </c>
      <c r="W567" s="71">
        <f>IF(ISERROR(VLOOKUP($T$567,'TAR FIN'!$A$1:$O$108,15,0)),0,VLOOKUP($T$567,'TAR FIN'!$A$1:$O$108,15,0))</f>
        <v>0</v>
      </c>
      <c r="X567" s="71">
        <f>IF(ISERROR(VLOOKUP($U$567,'TAR FIN'!$A$1:$O$108,15,0)),0,VLOOKUP($U$567,'TAR FIN'!$A$1:$O$108,15,0))</f>
        <v>0</v>
      </c>
      <c r="Y567" s="71">
        <f ca="1">('TUSD BE'!$AM$26+'TUSD BF'!$AM$26+'TUSD CVA'!$AM$26)*1*(1-0.03)</f>
        <v>20.553709090093861</v>
      </c>
      <c r="Z567" s="71"/>
      <c r="AA567" s="71"/>
      <c r="AB567" s="6">
        <f>$K$567*$V$567</f>
        <v>31231.048799999997</v>
      </c>
      <c r="AC567" s="6">
        <f>$M$567*$W$567</f>
        <v>0</v>
      </c>
      <c r="AD567" s="6">
        <f>$O$567*$X$567</f>
        <v>0</v>
      </c>
      <c r="AE567" s="6">
        <f ca="1">$K$567*$Y$567</f>
        <v>31940.463926005861</v>
      </c>
      <c r="AF567" s="6">
        <f>$M$567*$Z$567</f>
        <v>0</v>
      </c>
      <c r="AG567" s="6">
        <f>$O$567*$AA$567</f>
        <v>0</v>
      </c>
    </row>
    <row r="568" spans="1:33" ht="11.25" customHeight="1" x14ac:dyDescent="0.25">
      <c r="A568" s="4" t="s">
        <v>21</v>
      </c>
      <c r="B568" s="4" t="s">
        <v>41</v>
      </c>
      <c r="C568" s="4" t="s">
        <v>43</v>
      </c>
      <c r="D568" s="4" t="s">
        <v>51</v>
      </c>
      <c r="E568" s="4" t="s">
        <v>52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1542</v>
      </c>
      <c r="K568" s="70">
        <v>1542</v>
      </c>
      <c r="L568" s="6">
        <v>0</v>
      </c>
      <c r="M568" s="71">
        <v>0</v>
      </c>
      <c r="N568" s="6">
        <v>0</v>
      </c>
      <c r="O568" s="71">
        <v>0</v>
      </c>
      <c r="P568" s="6">
        <v>11</v>
      </c>
      <c r="Q568" s="4" t="s">
        <v>26</v>
      </c>
      <c r="R568" s="4">
        <v>0</v>
      </c>
      <c r="S568" s="6">
        <v>2</v>
      </c>
      <c r="T568" s="6">
        <v>0</v>
      </c>
      <c r="U568" s="6">
        <v>0</v>
      </c>
      <c r="V568" s="71">
        <f>IF(ISERROR(VLOOKUP($S$568,'TAR FIN'!$A$1:$O$108,15,0)),0,VLOOKUP($S$568,'TAR FIN'!$A$1:$O$108,15,0))*(1-0.06)</f>
        <v>20.097199999999997</v>
      </c>
      <c r="W568" s="71">
        <f>IF(ISERROR(VLOOKUP($T$568,'TAR FIN'!$A$1:$O$108,15,0)),0,VLOOKUP($T$568,'TAR FIN'!$A$1:$O$108,15,0))</f>
        <v>0</v>
      </c>
      <c r="X568" s="71">
        <f>IF(ISERROR(VLOOKUP($U$568,'TAR FIN'!$A$1:$O$108,15,0)),0,VLOOKUP($U$568,'TAR FIN'!$A$1:$O$108,15,0))</f>
        <v>0</v>
      </c>
      <c r="Y568" s="71">
        <f ca="1">('TUSD BE'!$AM$26+'TUSD BF'!$AM$26+'TUSD CVA'!$AM$26)*1*(1-0.03)</f>
        <v>20.553709090093861</v>
      </c>
      <c r="Z568" s="71"/>
      <c r="AA568" s="71"/>
      <c r="AB568" s="6">
        <f>$K$568*$V$568</f>
        <v>30989.882399999995</v>
      </c>
      <c r="AC568" s="6">
        <f>$M$568*$W$568</f>
        <v>0</v>
      </c>
      <c r="AD568" s="6">
        <f>$O$568*$X$568</f>
        <v>0</v>
      </c>
      <c r="AE568" s="6">
        <f ca="1">$K$568*$Y$568</f>
        <v>31693.819416924733</v>
      </c>
      <c r="AF568" s="6">
        <f>$M$568*$Z$568</f>
        <v>0</v>
      </c>
      <c r="AG568" s="6">
        <f>$O$568*$AA$568</f>
        <v>0</v>
      </c>
    </row>
    <row r="569" spans="1:33" ht="11.25" customHeight="1" x14ac:dyDescent="0.25">
      <c r="A569" s="4" t="s">
        <v>21</v>
      </c>
      <c r="B569" s="4" t="s">
        <v>41</v>
      </c>
      <c r="C569" s="4" t="s">
        <v>43</v>
      </c>
      <c r="D569" s="4" t="s">
        <v>51</v>
      </c>
      <c r="E569" s="4" t="s">
        <v>52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1507</v>
      </c>
      <c r="K569" s="70">
        <v>1507</v>
      </c>
      <c r="L569" s="6">
        <v>0</v>
      </c>
      <c r="M569" s="71">
        <v>0</v>
      </c>
      <c r="N569" s="6">
        <v>0</v>
      </c>
      <c r="O569" s="71">
        <v>0</v>
      </c>
      <c r="P569" s="6">
        <v>12</v>
      </c>
      <c r="Q569" s="4" t="s">
        <v>26</v>
      </c>
      <c r="R569" s="4">
        <v>0</v>
      </c>
      <c r="S569" s="6">
        <v>2</v>
      </c>
      <c r="T569" s="6">
        <v>0</v>
      </c>
      <c r="U569" s="6">
        <v>0</v>
      </c>
      <c r="V569" s="71">
        <f>IF(ISERROR(VLOOKUP($S$569,'TAR FIN'!$A$1:$O$108,15,0)),0,VLOOKUP($S$569,'TAR FIN'!$A$1:$O$108,15,0))*(1-0.06)</f>
        <v>20.097199999999997</v>
      </c>
      <c r="W569" s="71">
        <f>IF(ISERROR(VLOOKUP($T$569,'TAR FIN'!$A$1:$O$108,15,0)),0,VLOOKUP($T$569,'TAR FIN'!$A$1:$O$108,15,0))</f>
        <v>0</v>
      </c>
      <c r="X569" s="71">
        <f>IF(ISERROR(VLOOKUP($U$569,'TAR FIN'!$A$1:$O$108,15,0)),0,VLOOKUP($U$569,'TAR FIN'!$A$1:$O$108,15,0))</f>
        <v>0</v>
      </c>
      <c r="Y569" s="71">
        <f ca="1">('TUSD BE'!$AM$26+'TUSD BF'!$AM$26+'TUSD CVA'!$AM$26)*1*(1-0.03)</f>
        <v>20.553709090093861</v>
      </c>
      <c r="Z569" s="71"/>
      <c r="AA569" s="71"/>
      <c r="AB569" s="6">
        <f>$K$569*$V$569</f>
        <v>30286.480399999997</v>
      </c>
      <c r="AC569" s="6">
        <f>$M$569*$W$569</f>
        <v>0</v>
      </c>
      <c r="AD569" s="6">
        <f>$O$569*$X$569</f>
        <v>0</v>
      </c>
      <c r="AE569" s="6">
        <f ca="1">$K$569*$Y$569</f>
        <v>30974.439598771449</v>
      </c>
      <c r="AF569" s="6">
        <f>$M$569*$Z$569</f>
        <v>0</v>
      </c>
      <c r="AG569" s="6">
        <f>$O$569*$AA$569</f>
        <v>0</v>
      </c>
    </row>
    <row r="570" spans="1:33" ht="11.25" customHeight="1" x14ac:dyDescent="0.25">
      <c r="A570" s="4" t="s">
        <v>21</v>
      </c>
      <c r="B570" s="4" t="s">
        <v>41</v>
      </c>
      <c r="C570" s="4" t="s">
        <v>43</v>
      </c>
      <c r="D570" s="4" t="s">
        <v>51</v>
      </c>
      <c r="E570" s="4" t="s">
        <v>52</v>
      </c>
      <c r="F570" s="4" t="s">
        <v>25</v>
      </c>
      <c r="G570" s="4" t="s">
        <v>25</v>
      </c>
      <c r="H570" s="4" t="s">
        <v>25</v>
      </c>
      <c r="I570" s="5">
        <v>44621</v>
      </c>
      <c r="J570" s="6">
        <v>1544</v>
      </c>
      <c r="K570" s="70">
        <v>1544</v>
      </c>
      <c r="L570" s="6">
        <v>0</v>
      </c>
      <c r="M570" s="71">
        <v>0</v>
      </c>
      <c r="N570" s="6">
        <v>0</v>
      </c>
      <c r="O570" s="71">
        <v>0</v>
      </c>
      <c r="P570" s="6">
        <v>12</v>
      </c>
      <c r="Q570" s="4" t="s">
        <v>26</v>
      </c>
      <c r="R570" s="4">
        <v>0</v>
      </c>
      <c r="S570" s="6">
        <v>2</v>
      </c>
      <c r="T570" s="6">
        <v>0</v>
      </c>
      <c r="U570" s="6">
        <v>0</v>
      </c>
      <c r="V570" s="71">
        <f>IF(ISERROR(VLOOKUP($S$570,'TAR FIN'!$A$1:$O$108,15,0)),0,VLOOKUP($S$570,'TAR FIN'!$A$1:$O$108,15,0))*(1-0.06)</f>
        <v>20.097199999999997</v>
      </c>
      <c r="W570" s="71">
        <f>IF(ISERROR(VLOOKUP($T$570,'TAR FIN'!$A$1:$O$108,15,0)),0,VLOOKUP($T$570,'TAR FIN'!$A$1:$O$108,15,0))</f>
        <v>0</v>
      </c>
      <c r="X570" s="71">
        <f>IF(ISERROR(VLOOKUP($U$570,'TAR FIN'!$A$1:$O$108,15,0)),0,VLOOKUP($U$570,'TAR FIN'!$A$1:$O$108,15,0))</f>
        <v>0</v>
      </c>
      <c r="Y570" s="71">
        <f ca="1">('TUSD BE'!$AM$26+'TUSD BF'!$AM$26+'TUSD CVA'!$AM$26)*1*(1-0.03)</f>
        <v>20.553709090093861</v>
      </c>
      <c r="Z570" s="71"/>
      <c r="AA570" s="71"/>
      <c r="AB570" s="6">
        <f>$K$570*$V$570</f>
        <v>31030.076799999995</v>
      </c>
      <c r="AC570" s="6">
        <f>$M$570*$W$570</f>
        <v>0</v>
      </c>
      <c r="AD570" s="6">
        <f>$O$570*$X$570</f>
        <v>0</v>
      </c>
      <c r="AE570" s="6">
        <f ca="1">$K$570*$Y$570</f>
        <v>31734.926835104921</v>
      </c>
      <c r="AF570" s="6">
        <f>$M$570*$Z$570</f>
        <v>0</v>
      </c>
      <c r="AG570" s="6">
        <f>$O$570*$AA$570</f>
        <v>0</v>
      </c>
    </row>
    <row r="571" spans="1:33" ht="11.25" customHeight="1" x14ac:dyDescent="0.25">
      <c r="A571" s="4" t="s">
        <v>21</v>
      </c>
      <c r="B571" s="4" t="s">
        <v>41</v>
      </c>
      <c r="C571" s="4" t="s">
        <v>43</v>
      </c>
      <c r="D571" s="4" t="s">
        <v>51</v>
      </c>
      <c r="E571" s="4" t="s">
        <v>52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1543</v>
      </c>
      <c r="K571" s="70">
        <v>1543</v>
      </c>
      <c r="L571" s="6">
        <v>0</v>
      </c>
      <c r="M571" s="71">
        <v>0</v>
      </c>
      <c r="N571" s="6">
        <v>0</v>
      </c>
      <c r="O571" s="71">
        <v>0</v>
      </c>
      <c r="P571" s="6">
        <v>12</v>
      </c>
      <c r="Q571" s="4" t="s">
        <v>26</v>
      </c>
      <c r="R571" s="4">
        <v>0</v>
      </c>
      <c r="S571" s="6">
        <v>2</v>
      </c>
      <c r="T571" s="6">
        <v>0</v>
      </c>
      <c r="U571" s="6">
        <v>0</v>
      </c>
      <c r="V571" s="71">
        <f>IF(ISERROR(VLOOKUP($S$571,'TAR FIN'!$A$1:$O$108,15,0)),0,VLOOKUP($S$571,'TAR FIN'!$A$1:$O$108,15,0))*(1-0.06)</f>
        <v>20.097199999999997</v>
      </c>
      <c r="W571" s="71">
        <f>IF(ISERROR(VLOOKUP($T$571,'TAR FIN'!$A$1:$O$108,15,0)),0,VLOOKUP($T$571,'TAR FIN'!$A$1:$O$108,15,0))</f>
        <v>0</v>
      </c>
      <c r="X571" s="71">
        <f>IF(ISERROR(VLOOKUP($U$571,'TAR FIN'!$A$1:$O$108,15,0)),0,VLOOKUP($U$571,'TAR FIN'!$A$1:$O$108,15,0))</f>
        <v>0</v>
      </c>
      <c r="Y571" s="71">
        <f ca="1">('TUSD BE'!$AM$26+'TUSD BF'!$AM$26+'TUSD CVA'!$AM$26)*1*(1-0.03)</f>
        <v>20.553709090093861</v>
      </c>
      <c r="Z571" s="71"/>
      <c r="AA571" s="71"/>
      <c r="AB571" s="6">
        <f>$K$571*$V$571</f>
        <v>31009.979599999995</v>
      </c>
      <c r="AC571" s="6">
        <f>$M$571*$W$571</f>
        <v>0</v>
      </c>
      <c r="AD571" s="6">
        <f>$O$571*$X$571</f>
        <v>0</v>
      </c>
      <c r="AE571" s="6">
        <f ca="1">$K$571*$Y$571</f>
        <v>31714.373126014827</v>
      </c>
      <c r="AF571" s="6">
        <f>$M$571*$Z$571</f>
        <v>0</v>
      </c>
      <c r="AG571" s="6">
        <f>$O$571*$AA$571</f>
        <v>0</v>
      </c>
    </row>
    <row r="572" spans="1:33" ht="11.25" customHeight="1" x14ac:dyDescent="0.25">
      <c r="A572" s="4" t="s">
        <v>21</v>
      </c>
      <c r="B572" s="4" t="s">
        <v>41</v>
      </c>
      <c r="C572" s="4" t="s">
        <v>43</v>
      </c>
      <c r="D572" s="4" t="s">
        <v>51</v>
      </c>
      <c r="E572" s="4" t="s">
        <v>52</v>
      </c>
      <c r="F572" s="4" t="s">
        <v>25</v>
      </c>
      <c r="G572" s="4" t="s">
        <v>25</v>
      </c>
      <c r="H572" s="4" t="s">
        <v>25</v>
      </c>
      <c r="I572" s="5">
        <v>44682</v>
      </c>
      <c r="J572" s="6">
        <v>1543</v>
      </c>
      <c r="K572" s="70">
        <v>1543</v>
      </c>
      <c r="L572" s="6">
        <v>0</v>
      </c>
      <c r="M572" s="71">
        <v>0</v>
      </c>
      <c r="N572" s="6">
        <v>0</v>
      </c>
      <c r="O572" s="71">
        <v>0</v>
      </c>
      <c r="P572" s="6">
        <v>12</v>
      </c>
      <c r="Q572" s="4" t="s">
        <v>26</v>
      </c>
      <c r="R572" s="4">
        <v>0</v>
      </c>
      <c r="S572" s="6">
        <v>2</v>
      </c>
      <c r="T572" s="6">
        <v>0</v>
      </c>
      <c r="U572" s="6">
        <v>0</v>
      </c>
      <c r="V572" s="71">
        <f>IF(ISERROR(VLOOKUP($S$572,'TAR FIN'!$A$1:$O$108,15,0)),0,VLOOKUP($S$572,'TAR FIN'!$A$1:$O$108,15,0))*(1-0.06)</f>
        <v>20.097199999999997</v>
      </c>
      <c r="W572" s="71">
        <f>IF(ISERROR(VLOOKUP($T$572,'TAR FIN'!$A$1:$O$108,15,0)),0,VLOOKUP($T$572,'TAR FIN'!$A$1:$O$108,15,0))</f>
        <v>0</v>
      </c>
      <c r="X572" s="71">
        <f>IF(ISERROR(VLOOKUP($U$572,'TAR FIN'!$A$1:$O$108,15,0)),0,VLOOKUP($U$572,'TAR FIN'!$A$1:$O$108,15,0))</f>
        <v>0</v>
      </c>
      <c r="Y572" s="71">
        <f ca="1">('TUSD BE'!$AM$26+'TUSD BF'!$AM$26+'TUSD CVA'!$AM$26)*1*(1-0.03)</f>
        <v>20.553709090093861</v>
      </c>
      <c r="Z572" s="71"/>
      <c r="AA572" s="71"/>
      <c r="AB572" s="6">
        <f>$K$572*$V$572</f>
        <v>31009.979599999995</v>
      </c>
      <c r="AC572" s="6">
        <f>$M$572*$W$572</f>
        <v>0</v>
      </c>
      <c r="AD572" s="6">
        <f>$O$572*$X$572</f>
        <v>0</v>
      </c>
      <c r="AE572" s="6">
        <f ca="1">$K$572*$Y$572</f>
        <v>31714.373126014827</v>
      </c>
      <c r="AF572" s="6">
        <f>$M$572*$Z$572</f>
        <v>0</v>
      </c>
      <c r="AG572" s="6">
        <f>$O$572*$AA$572</f>
        <v>0</v>
      </c>
    </row>
    <row r="573" spans="1:33" ht="11.25" customHeight="1" x14ac:dyDescent="0.25">
      <c r="A573" s="4" t="s">
        <v>21</v>
      </c>
      <c r="B573" s="4" t="s">
        <v>41</v>
      </c>
      <c r="C573" s="4" t="s">
        <v>43</v>
      </c>
      <c r="D573" s="4" t="s">
        <v>51</v>
      </c>
      <c r="E573" s="4" t="s">
        <v>52</v>
      </c>
      <c r="F573" s="4" t="s">
        <v>25</v>
      </c>
      <c r="G573" s="4" t="s">
        <v>25</v>
      </c>
      <c r="H573" s="4" t="s">
        <v>25</v>
      </c>
      <c r="I573" s="5">
        <v>44713</v>
      </c>
      <c r="J573" s="6">
        <v>1625</v>
      </c>
      <c r="K573" s="70">
        <v>1625</v>
      </c>
      <c r="L573" s="6">
        <v>0</v>
      </c>
      <c r="M573" s="71">
        <v>0</v>
      </c>
      <c r="N573" s="6">
        <v>0</v>
      </c>
      <c r="O573" s="71">
        <v>0</v>
      </c>
      <c r="P573" s="6">
        <v>12</v>
      </c>
      <c r="Q573" s="4" t="s">
        <v>26</v>
      </c>
      <c r="R573" s="4">
        <v>0</v>
      </c>
      <c r="S573" s="6">
        <v>2</v>
      </c>
      <c r="T573" s="6">
        <v>0</v>
      </c>
      <c r="U573" s="6">
        <v>0</v>
      </c>
      <c r="V573" s="71">
        <f>IF(ISERROR(VLOOKUP($S$573,'TAR FIN'!$A$1:$O$108,15,0)),0,VLOOKUP($S$573,'TAR FIN'!$A$1:$O$108,15,0))*(1-0.06)</f>
        <v>20.097199999999997</v>
      </c>
      <c r="W573" s="71">
        <f>IF(ISERROR(VLOOKUP($T$573,'TAR FIN'!$A$1:$O$108,15,0)),0,VLOOKUP($T$573,'TAR FIN'!$A$1:$O$108,15,0))</f>
        <v>0</v>
      </c>
      <c r="X573" s="71">
        <f>IF(ISERROR(VLOOKUP($U$573,'TAR FIN'!$A$1:$O$108,15,0)),0,VLOOKUP($U$573,'TAR FIN'!$A$1:$O$108,15,0))</f>
        <v>0</v>
      </c>
      <c r="Y573" s="71">
        <f ca="1">('TUSD BE'!$AM$26+'TUSD BF'!$AM$26+'TUSD CVA'!$AM$26)*1*(1-0.03)</f>
        <v>20.553709090093861</v>
      </c>
      <c r="Z573" s="71"/>
      <c r="AA573" s="71"/>
      <c r="AB573" s="6">
        <f>$K$573*$V$573</f>
        <v>32657.949999999997</v>
      </c>
      <c r="AC573" s="6">
        <f>$M$573*$W$573</f>
        <v>0</v>
      </c>
      <c r="AD573" s="6">
        <f>$O$573*$X$573</f>
        <v>0</v>
      </c>
      <c r="AE573" s="6">
        <f ca="1">$K$573*$Y$573</f>
        <v>33399.777271402527</v>
      </c>
      <c r="AF573" s="6">
        <f>$M$573*$Z$573</f>
        <v>0</v>
      </c>
      <c r="AG573" s="6">
        <f>$O$573*$AA$573</f>
        <v>0</v>
      </c>
    </row>
    <row r="574" spans="1:33" ht="11.25" customHeight="1" x14ac:dyDescent="0.25">
      <c r="A574" s="4" t="s">
        <v>21</v>
      </c>
      <c r="B574" s="4" t="s">
        <v>41</v>
      </c>
      <c r="C574" s="4" t="s">
        <v>43</v>
      </c>
      <c r="D574" s="4" t="s">
        <v>51</v>
      </c>
      <c r="E574" s="4" t="s">
        <v>52</v>
      </c>
      <c r="F574" s="4" t="s">
        <v>25</v>
      </c>
      <c r="G574" s="4" t="s">
        <v>25</v>
      </c>
      <c r="H574" s="4" t="s">
        <v>25</v>
      </c>
      <c r="I574" s="5">
        <v>44743</v>
      </c>
      <c r="J574" s="6">
        <v>111</v>
      </c>
      <c r="K574" s="70">
        <v>111</v>
      </c>
      <c r="L574" s="6">
        <v>0</v>
      </c>
      <c r="M574" s="71">
        <v>0</v>
      </c>
      <c r="N574" s="6">
        <v>0</v>
      </c>
      <c r="O574" s="71">
        <v>0</v>
      </c>
      <c r="P574" s="6">
        <v>1</v>
      </c>
      <c r="Q574" s="4" t="s">
        <v>26</v>
      </c>
      <c r="R574" s="4">
        <v>0</v>
      </c>
      <c r="S574" s="6">
        <v>2</v>
      </c>
      <c r="T574" s="6">
        <v>0</v>
      </c>
      <c r="U574" s="6">
        <v>0</v>
      </c>
      <c r="V574" s="71">
        <f>IF(ISERROR(VLOOKUP($S$574,'TAR FIN'!$A$1:$O$108,15,0)),0,VLOOKUP($S$574,'TAR FIN'!$A$1:$O$108,15,0))*(1-0.06)</f>
        <v>20.097199999999997</v>
      </c>
      <c r="W574" s="71">
        <f>IF(ISERROR(VLOOKUP($T$574,'TAR FIN'!$A$1:$O$108,15,0)),0,VLOOKUP($T$574,'TAR FIN'!$A$1:$O$108,15,0))</f>
        <v>0</v>
      </c>
      <c r="X574" s="71">
        <f>IF(ISERROR(VLOOKUP($U$574,'TAR FIN'!$A$1:$O$108,15,0)),0,VLOOKUP($U$574,'TAR FIN'!$A$1:$O$108,15,0))</f>
        <v>0</v>
      </c>
      <c r="Y574" s="71">
        <f ca="1">('TUSD BE'!$AM$26+'TUSD BF'!$AM$26+'TUSD CVA'!$AM$26)*1*(1-0.03)</f>
        <v>20.553709090093861</v>
      </c>
      <c r="Z574" s="71"/>
      <c r="AA574" s="71"/>
      <c r="AB574" s="6">
        <f>$K$574*$V$574</f>
        <v>2230.7891999999997</v>
      </c>
      <c r="AC574" s="6">
        <f>$M$574*$W$574</f>
        <v>0</v>
      </c>
      <c r="AD574" s="6">
        <f>$O$574*$X$574</f>
        <v>0</v>
      </c>
      <c r="AE574" s="6">
        <f ca="1">$K$574*$Y$574</f>
        <v>2281.4617090004185</v>
      </c>
      <c r="AF574" s="6">
        <f>$M$574*$Z$574</f>
        <v>0</v>
      </c>
      <c r="AG574" s="6">
        <f>$O$574*$AA$574</f>
        <v>0</v>
      </c>
    </row>
    <row r="575" spans="1:33" ht="11.25" customHeight="1" x14ac:dyDescent="0.25">
      <c r="A575" s="4" t="s">
        <v>27</v>
      </c>
      <c r="B575" s="4" t="s">
        <v>41</v>
      </c>
      <c r="C575" s="4" t="s">
        <v>43</v>
      </c>
      <c r="D575" s="4" t="s">
        <v>51</v>
      </c>
      <c r="E575" s="4" t="s">
        <v>52</v>
      </c>
      <c r="F575" s="4" t="s">
        <v>25</v>
      </c>
      <c r="G575" s="4" t="s">
        <v>25</v>
      </c>
      <c r="H575" s="4" t="s">
        <v>25</v>
      </c>
      <c r="I575" s="5">
        <v>44743</v>
      </c>
      <c r="J575" s="6">
        <v>1506</v>
      </c>
      <c r="K575" s="70">
        <v>1506</v>
      </c>
      <c r="L575" s="6">
        <v>0</v>
      </c>
      <c r="M575" s="71">
        <v>0</v>
      </c>
      <c r="N575" s="6">
        <v>0</v>
      </c>
      <c r="O575" s="71">
        <v>0</v>
      </c>
      <c r="P575" s="6">
        <v>11</v>
      </c>
      <c r="Q575" s="4" t="s">
        <v>26</v>
      </c>
      <c r="R575" s="4">
        <v>0</v>
      </c>
      <c r="S575" s="6">
        <v>2</v>
      </c>
      <c r="T575" s="6">
        <v>0</v>
      </c>
      <c r="U575" s="6">
        <v>0</v>
      </c>
      <c r="V575" s="71">
        <f>IF(ISERROR(VLOOKUP($S$575,'TAR FIN'!$A$1:$O$108,15,0)),0,VLOOKUP($S$575,'TAR FIN'!$A$1:$O$108,15,0))*(1-0.06)</f>
        <v>20.097199999999997</v>
      </c>
      <c r="W575" s="71">
        <f>IF(ISERROR(VLOOKUP($T$575,'TAR FIN'!$A$1:$O$108,15,0)),0,VLOOKUP($T$575,'TAR FIN'!$A$1:$O$108,15,0))</f>
        <v>0</v>
      </c>
      <c r="X575" s="71">
        <f>IF(ISERROR(VLOOKUP($U$575,'TAR FIN'!$A$1:$O$108,15,0)),0,VLOOKUP($U$575,'TAR FIN'!$A$1:$O$108,15,0))</f>
        <v>0</v>
      </c>
      <c r="Y575" s="71">
        <f ca="1">('TUSD BE'!$AM$26+'TUSD BF'!$AM$26+'TUSD CVA'!$AM$26)*1*(1-0.03)</f>
        <v>20.553709090093861</v>
      </c>
      <c r="Z575" s="71"/>
      <c r="AA575" s="71"/>
      <c r="AB575" s="6">
        <f>$K$575*$V$575</f>
        <v>30266.383199999997</v>
      </c>
      <c r="AC575" s="6">
        <f>$M$575*$W$575</f>
        <v>0</v>
      </c>
      <c r="AD575" s="6">
        <f>$O$575*$X$575</f>
        <v>0</v>
      </c>
      <c r="AE575" s="6">
        <f ca="1">$K$575*$Y$575</f>
        <v>30953.885889681354</v>
      </c>
      <c r="AF575" s="6">
        <f>$M$575*$Z$575</f>
        <v>0</v>
      </c>
      <c r="AG575" s="6">
        <f>$O$575*$AA$575</f>
        <v>0</v>
      </c>
    </row>
    <row r="576" spans="1:33" ht="11.25" customHeight="1" x14ac:dyDescent="0.25">
      <c r="A576" s="4" t="s">
        <v>21</v>
      </c>
      <c r="B576" s="4" t="s">
        <v>41</v>
      </c>
      <c r="C576" s="4" t="s">
        <v>43</v>
      </c>
      <c r="D576" s="4" t="s">
        <v>51</v>
      </c>
      <c r="E576" s="4" t="s">
        <v>52</v>
      </c>
      <c r="F576" s="4" t="s">
        <v>25</v>
      </c>
      <c r="G576" s="4" t="s">
        <v>25</v>
      </c>
      <c r="H576" s="4" t="s">
        <v>25</v>
      </c>
      <c r="I576" s="5">
        <v>44774</v>
      </c>
      <c r="J576" s="6">
        <v>1577</v>
      </c>
      <c r="K576" s="70">
        <v>1577</v>
      </c>
      <c r="L576" s="6">
        <v>0</v>
      </c>
      <c r="M576" s="71">
        <v>0</v>
      </c>
      <c r="N576" s="6">
        <v>0</v>
      </c>
      <c r="O576" s="71">
        <v>0</v>
      </c>
      <c r="P576" s="6">
        <v>15</v>
      </c>
      <c r="Q576" s="4" t="s">
        <v>26</v>
      </c>
      <c r="R576" s="4">
        <v>0</v>
      </c>
      <c r="S576" s="6">
        <v>2</v>
      </c>
      <c r="T576" s="6">
        <v>0</v>
      </c>
      <c r="U576" s="6">
        <v>0</v>
      </c>
      <c r="V576" s="71">
        <f>IF(ISERROR(VLOOKUP($S$576,'TAR FIN'!$A$1:$O$108,15,0)),0,VLOOKUP($S$576,'TAR FIN'!$A$1:$O$108,15,0))*(1-0.06)</f>
        <v>20.097199999999997</v>
      </c>
      <c r="W576" s="71">
        <f>IF(ISERROR(VLOOKUP($T$576,'TAR FIN'!$A$1:$O$108,15,0)),0,VLOOKUP($T$576,'TAR FIN'!$A$1:$O$108,15,0))</f>
        <v>0</v>
      </c>
      <c r="X576" s="71">
        <f>IF(ISERROR(VLOOKUP($U$576,'TAR FIN'!$A$1:$O$108,15,0)),0,VLOOKUP($U$576,'TAR FIN'!$A$1:$O$108,15,0))</f>
        <v>0</v>
      </c>
      <c r="Y576" s="71">
        <f ca="1">('TUSD BE'!$AM$26+'TUSD BF'!$AM$26+'TUSD CVA'!$AM$26)*1*(1-0.03)</f>
        <v>20.553709090093861</v>
      </c>
      <c r="Z576" s="71"/>
      <c r="AA576" s="71"/>
      <c r="AB576" s="6">
        <f>$K$576*$V$576</f>
        <v>31693.284399999997</v>
      </c>
      <c r="AC576" s="6">
        <f>$M$576*$W$576</f>
        <v>0</v>
      </c>
      <c r="AD576" s="6">
        <f>$O$576*$X$576</f>
        <v>0</v>
      </c>
      <c r="AE576" s="6">
        <f ca="1">$K$576*$Y$576</f>
        <v>32413.19923507802</v>
      </c>
      <c r="AF576" s="6">
        <f>$M$576*$Z$576</f>
        <v>0</v>
      </c>
      <c r="AG576" s="6">
        <f>$O$576*$AA$576</f>
        <v>0</v>
      </c>
    </row>
    <row r="577" spans="1:33" ht="11.25" customHeight="1" x14ac:dyDescent="0.25">
      <c r="A577" s="4" t="s">
        <v>27</v>
      </c>
      <c r="B577" s="4" t="s">
        <v>41</v>
      </c>
      <c r="C577" s="4" t="s">
        <v>43</v>
      </c>
      <c r="D577" s="4" t="s">
        <v>51</v>
      </c>
      <c r="E577" s="4" t="s">
        <v>52</v>
      </c>
      <c r="F577" s="4" t="s">
        <v>25</v>
      </c>
      <c r="G577" s="4" t="s">
        <v>25</v>
      </c>
      <c r="H577" s="4" t="s">
        <v>25</v>
      </c>
      <c r="I577" s="5">
        <v>44774</v>
      </c>
      <c r="J577" s="6">
        <v>201</v>
      </c>
      <c r="K577" s="70">
        <v>201</v>
      </c>
      <c r="L577" s="6">
        <v>0</v>
      </c>
      <c r="M577" s="71">
        <v>0</v>
      </c>
      <c r="N577" s="6">
        <v>0</v>
      </c>
      <c r="O577" s="71">
        <v>0</v>
      </c>
      <c r="P577" s="6">
        <v>13</v>
      </c>
      <c r="Q577" s="4" t="s">
        <v>26</v>
      </c>
      <c r="R577" s="4">
        <v>0</v>
      </c>
      <c r="S577" s="6">
        <v>2</v>
      </c>
      <c r="T577" s="6">
        <v>0</v>
      </c>
      <c r="U577" s="6">
        <v>0</v>
      </c>
      <c r="V577" s="71">
        <f>IF(ISERROR(VLOOKUP($S$577,'TAR FIN'!$A$1:$O$108,15,0)),0,VLOOKUP($S$577,'TAR FIN'!$A$1:$O$108,15,0))*(1-0.06)</f>
        <v>20.097199999999997</v>
      </c>
      <c r="W577" s="71">
        <f>IF(ISERROR(VLOOKUP($T$577,'TAR FIN'!$A$1:$O$108,15,0)),0,VLOOKUP($T$577,'TAR FIN'!$A$1:$O$108,15,0))</f>
        <v>0</v>
      </c>
      <c r="X577" s="71">
        <f>IF(ISERROR(VLOOKUP($U$577,'TAR FIN'!$A$1:$O$108,15,0)),0,VLOOKUP($U$577,'TAR FIN'!$A$1:$O$108,15,0))</f>
        <v>0</v>
      </c>
      <c r="Y577" s="71">
        <f ca="1">('TUSD BE'!$AM$26+'TUSD BF'!$AM$26+'TUSD CVA'!$AM$26)*1*(1-0.03)</f>
        <v>20.553709090093861</v>
      </c>
      <c r="Z577" s="71"/>
      <c r="AA577" s="71"/>
      <c r="AB577" s="6">
        <f>$K$577*$V$577</f>
        <v>4039.5371999999993</v>
      </c>
      <c r="AC577" s="6">
        <f>$M$577*$W$577</f>
        <v>0</v>
      </c>
      <c r="AD577" s="6">
        <f>$O$577*$X$577</f>
        <v>0</v>
      </c>
      <c r="AE577" s="6">
        <f ca="1">$K$577*$Y$577</f>
        <v>4131.2955271088658</v>
      </c>
      <c r="AF577" s="6">
        <f>$M$577*$Z$577</f>
        <v>0</v>
      </c>
      <c r="AG577" s="6">
        <f>$O$577*$AA$577</f>
        <v>0</v>
      </c>
    </row>
    <row r="578" spans="1:33" ht="11.25" customHeight="1" x14ac:dyDescent="0.25">
      <c r="A578" s="4" t="s">
        <v>21</v>
      </c>
      <c r="B578" s="4" t="s">
        <v>41</v>
      </c>
      <c r="C578" s="4" t="s">
        <v>43</v>
      </c>
      <c r="D578" s="4" t="s">
        <v>51</v>
      </c>
      <c r="E578" s="4" t="s">
        <v>52</v>
      </c>
      <c r="F578" s="4" t="s">
        <v>25</v>
      </c>
      <c r="G578" s="4" t="s">
        <v>25</v>
      </c>
      <c r="H578" s="4" t="s">
        <v>25</v>
      </c>
      <c r="I578" s="5">
        <v>44805</v>
      </c>
      <c r="J578" s="6">
        <v>1634</v>
      </c>
      <c r="K578" s="70">
        <v>1634</v>
      </c>
      <c r="L578" s="6">
        <v>0</v>
      </c>
      <c r="M578" s="71">
        <v>0</v>
      </c>
      <c r="N578" s="6">
        <v>0</v>
      </c>
      <c r="O578" s="71">
        <v>0</v>
      </c>
      <c r="P578" s="6">
        <v>15</v>
      </c>
      <c r="Q578" s="4" t="s">
        <v>26</v>
      </c>
      <c r="R578" s="4">
        <v>0</v>
      </c>
      <c r="S578" s="6">
        <v>2</v>
      </c>
      <c r="T578" s="6">
        <v>0</v>
      </c>
      <c r="U578" s="6">
        <v>0</v>
      </c>
      <c r="V578" s="71">
        <f>IF(ISERROR(VLOOKUP($S$578,'TAR FIN'!$A$1:$O$108,15,0)),0,VLOOKUP($S$578,'TAR FIN'!$A$1:$O$108,15,0))*(1-0.06)</f>
        <v>20.097199999999997</v>
      </c>
      <c r="W578" s="71">
        <f>IF(ISERROR(VLOOKUP($T$578,'TAR FIN'!$A$1:$O$108,15,0)),0,VLOOKUP($T$578,'TAR FIN'!$A$1:$O$108,15,0))</f>
        <v>0</v>
      </c>
      <c r="X578" s="71">
        <f>IF(ISERROR(VLOOKUP($U$578,'TAR FIN'!$A$1:$O$108,15,0)),0,VLOOKUP($U$578,'TAR FIN'!$A$1:$O$108,15,0))</f>
        <v>0</v>
      </c>
      <c r="Y578" s="71">
        <f ca="1">('TUSD BE'!$AM$26+'TUSD BF'!$AM$26+'TUSD CVA'!$AM$26)*1*(1-0.03)</f>
        <v>20.553709090093861</v>
      </c>
      <c r="Z578" s="71"/>
      <c r="AA578" s="71"/>
      <c r="AB578" s="6">
        <f>$K$578*$V$578</f>
        <v>32838.824799999995</v>
      </c>
      <c r="AC578" s="6">
        <f>$M$578*$W$578</f>
        <v>0</v>
      </c>
      <c r="AD578" s="6">
        <f>$O$578*$X$578</f>
        <v>0</v>
      </c>
      <c r="AE578" s="6">
        <f ca="1">$K$578*$Y$578</f>
        <v>33584.760653213365</v>
      </c>
      <c r="AF578" s="6">
        <f>$M$578*$Z$578</f>
        <v>0</v>
      </c>
      <c r="AG578" s="6">
        <f>$O$578*$AA$578</f>
        <v>0</v>
      </c>
    </row>
    <row r="579" spans="1:33" ht="11.25" customHeight="1" x14ac:dyDescent="0.25">
      <c r="A579" s="4" t="s">
        <v>21</v>
      </c>
      <c r="B579" s="4" t="s">
        <v>41</v>
      </c>
      <c r="C579" s="4" t="s">
        <v>43</v>
      </c>
      <c r="D579" s="4" t="s">
        <v>51</v>
      </c>
      <c r="E579" s="4" t="s">
        <v>52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1676</v>
      </c>
      <c r="K579" s="70">
        <v>1676</v>
      </c>
      <c r="L579" s="6">
        <v>0</v>
      </c>
      <c r="M579" s="71">
        <v>0</v>
      </c>
      <c r="N579" s="6">
        <v>0</v>
      </c>
      <c r="O579" s="71">
        <v>0</v>
      </c>
      <c r="P579" s="6">
        <v>16</v>
      </c>
      <c r="Q579" s="4" t="s">
        <v>26</v>
      </c>
      <c r="R579" s="4">
        <v>0</v>
      </c>
      <c r="S579" s="6">
        <v>2</v>
      </c>
      <c r="T579" s="6">
        <v>0</v>
      </c>
      <c r="U579" s="6">
        <v>0</v>
      </c>
      <c r="V579" s="71">
        <f>IF(ISERROR(VLOOKUP($S$579,'TAR FIN'!$A$1:$O$108,15,0)),0,VLOOKUP($S$579,'TAR FIN'!$A$1:$O$108,15,0))*(1-0.06)</f>
        <v>20.097199999999997</v>
      </c>
      <c r="W579" s="71">
        <f>IF(ISERROR(VLOOKUP($T$579,'TAR FIN'!$A$1:$O$108,15,0)),0,VLOOKUP($T$579,'TAR FIN'!$A$1:$O$108,15,0))</f>
        <v>0</v>
      </c>
      <c r="X579" s="71">
        <f>IF(ISERROR(VLOOKUP($U$579,'TAR FIN'!$A$1:$O$108,15,0)),0,VLOOKUP($U$579,'TAR FIN'!$A$1:$O$108,15,0))</f>
        <v>0</v>
      </c>
      <c r="Y579" s="71">
        <f ca="1">('TUSD BE'!$AM$26+'TUSD BF'!$AM$26+'TUSD CVA'!$AM$26)*1*(1-0.03)</f>
        <v>20.553709090093861</v>
      </c>
      <c r="Z579" s="71"/>
      <c r="AA579" s="71"/>
      <c r="AB579" s="6">
        <f>$K$579*$V$579</f>
        <v>33682.907199999994</v>
      </c>
      <c r="AC579" s="6">
        <f>$M$579*$W$579</f>
        <v>0</v>
      </c>
      <c r="AD579" s="6">
        <f>$O$579*$X$579</f>
        <v>0</v>
      </c>
      <c r="AE579" s="6">
        <f ca="1">$K$579*$Y$579</f>
        <v>34448.016434997313</v>
      </c>
      <c r="AF579" s="6">
        <f>$M$579*$Z$579</f>
        <v>0</v>
      </c>
      <c r="AG579" s="6">
        <f>$O$579*$AA$579</f>
        <v>0</v>
      </c>
    </row>
    <row r="580" spans="1:33" ht="11.25" customHeight="1" x14ac:dyDescent="0.25">
      <c r="A580" s="4" t="s">
        <v>54</v>
      </c>
      <c r="B580" s="4" t="s">
        <v>41</v>
      </c>
      <c r="C580" s="4" t="s">
        <v>43</v>
      </c>
      <c r="D580" s="4" t="s">
        <v>51</v>
      </c>
      <c r="E580" s="4" t="s">
        <v>52</v>
      </c>
      <c r="F580" s="4" t="s">
        <v>25</v>
      </c>
      <c r="G580" s="4" t="s">
        <v>25</v>
      </c>
      <c r="H580" s="4" t="s">
        <v>25</v>
      </c>
      <c r="I580" s="5">
        <v>44866</v>
      </c>
      <c r="J580" s="6">
        <v>1676</v>
      </c>
      <c r="K580" s="70">
        <v>1676</v>
      </c>
      <c r="L580" s="6">
        <v>0</v>
      </c>
      <c r="M580" s="71">
        <v>0</v>
      </c>
      <c r="N580" s="6">
        <v>0</v>
      </c>
      <c r="O580" s="71">
        <v>0</v>
      </c>
      <c r="P580" s="6">
        <v>16</v>
      </c>
      <c r="Q580" s="4" t="s">
        <v>26</v>
      </c>
      <c r="R580" s="4">
        <v>0</v>
      </c>
      <c r="S580" s="6">
        <v>2</v>
      </c>
      <c r="T580" s="6">
        <v>0</v>
      </c>
      <c r="U580" s="6">
        <v>0</v>
      </c>
      <c r="V580" s="71">
        <f>IF(ISERROR(VLOOKUP($S$580,'TAR FIN'!$A$1:$O$108,15,0)),0,VLOOKUP($S$580,'TAR FIN'!$A$1:$O$108,15,0))*(1-0.06)</f>
        <v>20.097199999999997</v>
      </c>
      <c r="W580" s="71">
        <f>IF(ISERROR(VLOOKUP($T$580,'TAR FIN'!$A$1:$O$108,15,0)),0,VLOOKUP($T$580,'TAR FIN'!$A$1:$O$108,15,0))</f>
        <v>0</v>
      </c>
      <c r="X580" s="71">
        <f>IF(ISERROR(VLOOKUP($U$580,'TAR FIN'!$A$1:$O$108,15,0)),0,VLOOKUP($U$580,'TAR FIN'!$A$1:$O$108,15,0))</f>
        <v>0</v>
      </c>
      <c r="Y580" s="71">
        <f ca="1">('TUSD BE'!$AM$26+'TUSD BF'!$AM$26+'TUSD CVA'!$AM$26)*1*(1-0.03)</f>
        <v>20.553709090093861</v>
      </c>
      <c r="Z580" s="71"/>
      <c r="AA580" s="71"/>
      <c r="AB580" s="6">
        <f>$K$580*$V$580</f>
        <v>33682.907199999994</v>
      </c>
      <c r="AC580" s="6">
        <f>$M$580*$W$580</f>
        <v>0</v>
      </c>
      <c r="AD580" s="6">
        <f>$O$580*$X$580</f>
        <v>0</v>
      </c>
      <c r="AE580" s="6">
        <f ca="1">$K$580*$Y$580</f>
        <v>34448.016434997313</v>
      </c>
      <c r="AF580" s="6">
        <f>$M$580*$Z$580</f>
        <v>0</v>
      </c>
      <c r="AG580" s="6">
        <f>$O$580*$AA$580</f>
        <v>0</v>
      </c>
    </row>
    <row r="581" spans="1:33" ht="11.25" customHeight="1" x14ac:dyDescent="0.25">
      <c r="A581" s="4" t="s">
        <v>21</v>
      </c>
      <c r="B581" s="4" t="s">
        <v>41</v>
      </c>
      <c r="C581" s="4" t="s">
        <v>43</v>
      </c>
      <c r="D581" s="4" t="s">
        <v>51</v>
      </c>
      <c r="E581" s="4" t="s">
        <v>52</v>
      </c>
      <c r="F581" s="4" t="s">
        <v>25</v>
      </c>
      <c r="G581" s="4" t="s">
        <v>25</v>
      </c>
      <c r="H581" s="4" t="s">
        <v>34</v>
      </c>
      <c r="I581" s="5">
        <v>44531</v>
      </c>
      <c r="J581" s="6">
        <v>0</v>
      </c>
      <c r="K581" s="71">
        <v>0</v>
      </c>
      <c r="L581" s="6">
        <v>54.091999999999999</v>
      </c>
      <c r="M581" s="71">
        <v>54.091999999999999</v>
      </c>
      <c r="N581" s="6">
        <v>54.091999999999999</v>
      </c>
      <c r="O581" s="71">
        <v>54.091999999999999</v>
      </c>
      <c r="P581" s="6">
        <v>0</v>
      </c>
      <c r="Q581" s="4" t="s">
        <v>26</v>
      </c>
      <c r="R581" s="4">
        <v>0</v>
      </c>
      <c r="S581" s="6">
        <v>0</v>
      </c>
      <c r="T581" s="6">
        <v>5</v>
      </c>
      <c r="U581" s="6">
        <v>75</v>
      </c>
      <c r="V581" s="71">
        <f>IF(ISERROR(VLOOKUP($S$581,'TAR FIN'!$A$1:$O$108,15,0)),0,VLOOKUP($S$581,'TAR FIN'!$A$1:$O$108,15,0))</f>
        <v>0</v>
      </c>
      <c r="W581" s="71">
        <f>IF(ISERROR(VLOOKUP($T$581,'TAR FIN'!$A$1:$O$108,15,0)),0,VLOOKUP($T$581,'TAR FIN'!$A$1:$O$108,15,0))*(1-0.06)</f>
        <v>1367.6623999999999</v>
      </c>
      <c r="X581" s="71">
        <f>IF(ISERROR(VLOOKUP($U$581,'TAR FIN'!$A$1:$O$108,15,0)),0,VLOOKUP($U$581,'TAR FIN'!$A$1:$O$108,15,0))*(1-0.06)</f>
        <v>149.86420000000001</v>
      </c>
      <c r="Y581" s="71"/>
      <c r="Z581" s="71">
        <f ca="1">('TUSD BE'!$AM$27+'TUSD BF'!$AM$27+'TUSD CVA'!$AM$27)*1*(1-0.03)</f>
        <v>1452.9533669299533</v>
      </c>
      <c r="AA581" s="71">
        <f>('TE BE'!$AB$10+'TE BF'!$AB$10+'TE CVA'!$AB$10)*1*(1-0.03)</f>
        <v>312.46103067547443</v>
      </c>
      <c r="AB581" s="6">
        <f>$K$581*$V$581</f>
        <v>0</v>
      </c>
      <c r="AC581" s="6">
        <f>$M$581*$W$581</f>
        <v>73979.594540799997</v>
      </c>
      <c r="AD581" s="6">
        <f>$O$581*$X$581</f>
        <v>8106.4543064000009</v>
      </c>
      <c r="AE581" s="6">
        <f>$K$581*$Y$581</f>
        <v>0</v>
      </c>
      <c r="AF581" s="6">
        <f ca="1">$M$581*$Z$581</f>
        <v>78593.153523975037</v>
      </c>
      <c r="AG581" s="6">
        <f>$O$581*$AA$581</f>
        <v>16901.642071297763</v>
      </c>
    </row>
    <row r="582" spans="1:33" ht="11.25" customHeight="1" x14ac:dyDescent="0.25">
      <c r="A582" s="4" t="s">
        <v>21</v>
      </c>
      <c r="B582" s="4" t="s">
        <v>41</v>
      </c>
      <c r="C582" s="4" t="s">
        <v>43</v>
      </c>
      <c r="D582" s="4" t="s">
        <v>51</v>
      </c>
      <c r="E582" s="4" t="s">
        <v>52</v>
      </c>
      <c r="F582" s="4" t="s">
        <v>25</v>
      </c>
      <c r="G582" s="4" t="s">
        <v>25</v>
      </c>
      <c r="H582" s="4" t="s">
        <v>34</v>
      </c>
      <c r="I582" s="5">
        <v>44562</v>
      </c>
      <c r="J582" s="6">
        <v>0</v>
      </c>
      <c r="K582" s="71">
        <v>0</v>
      </c>
      <c r="L582" s="6">
        <v>48.482999999999997</v>
      </c>
      <c r="M582" s="71">
        <v>48.482999999999997</v>
      </c>
      <c r="N582" s="6">
        <v>48.482999999999997</v>
      </c>
      <c r="O582" s="71">
        <v>48.482999999999997</v>
      </c>
      <c r="P582" s="6">
        <v>0</v>
      </c>
      <c r="Q582" s="4" t="s">
        <v>26</v>
      </c>
      <c r="R582" s="4">
        <v>0</v>
      </c>
      <c r="S582" s="6">
        <v>0</v>
      </c>
      <c r="T582" s="6">
        <v>5</v>
      </c>
      <c r="U582" s="6">
        <v>75</v>
      </c>
      <c r="V582" s="71">
        <f>IF(ISERROR(VLOOKUP($S$582,'TAR FIN'!$A$1:$O$108,15,0)),0,VLOOKUP($S$582,'TAR FIN'!$A$1:$O$108,15,0))</f>
        <v>0</v>
      </c>
      <c r="W582" s="71">
        <f>IF(ISERROR(VLOOKUP($T$582,'TAR FIN'!$A$1:$O$108,15,0)),0,VLOOKUP($T$582,'TAR FIN'!$A$1:$O$108,15,0))*(1-0.06)</f>
        <v>1367.6623999999999</v>
      </c>
      <c r="X582" s="71">
        <f>IF(ISERROR(VLOOKUP($U$582,'TAR FIN'!$A$1:$O$108,15,0)),0,VLOOKUP($U$582,'TAR FIN'!$A$1:$O$108,15,0))*(1-0.06)</f>
        <v>149.86420000000001</v>
      </c>
      <c r="Y582" s="71"/>
      <c r="Z582" s="71">
        <f ca="1">('TUSD BE'!$AM$27+'TUSD BF'!$AM$27+'TUSD CVA'!$AM$27)*1*(1-0.03)</f>
        <v>1452.9533669299533</v>
      </c>
      <c r="AA582" s="71">
        <f>('TE BE'!$AB$10+'TE BF'!$AB$10+'TE CVA'!$AB$10)*1*(1-0.03)</f>
        <v>312.46103067547443</v>
      </c>
      <c r="AB582" s="6">
        <f>$K$582*$V$582</f>
        <v>0</v>
      </c>
      <c r="AC582" s="6">
        <f>$M$582*$W$582</f>
        <v>66308.376139199987</v>
      </c>
      <c r="AD582" s="6">
        <f>$O$582*$X$582</f>
        <v>7265.8660086</v>
      </c>
      <c r="AE582" s="6">
        <f>$K$582*$Y$582</f>
        <v>0</v>
      </c>
      <c r="AF582" s="6">
        <f ca="1">$M$582*$Z$582</f>
        <v>70443.538088864923</v>
      </c>
      <c r="AG582" s="6">
        <f>$O$582*$AA$582</f>
        <v>15149.048150239027</v>
      </c>
    </row>
    <row r="583" spans="1:33" ht="11.25" customHeight="1" x14ac:dyDescent="0.25">
      <c r="A583" s="4" t="s">
        <v>21</v>
      </c>
      <c r="B583" s="4" t="s">
        <v>41</v>
      </c>
      <c r="C583" s="4" t="s">
        <v>43</v>
      </c>
      <c r="D583" s="4" t="s">
        <v>51</v>
      </c>
      <c r="E583" s="4" t="s">
        <v>52</v>
      </c>
      <c r="F583" s="4" t="s">
        <v>25</v>
      </c>
      <c r="G583" s="4" t="s">
        <v>25</v>
      </c>
      <c r="H583" s="4" t="s">
        <v>34</v>
      </c>
      <c r="I583" s="5">
        <v>44593</v>
      </c>
      <c r="J583" s="6">
        <v>0</v>
      </c>
      <c r="K583" s="71">
        <v>0</v>
      </c>
      <c r="L583" s="6">
        <v>38.82</v>
      </c>
      <c r="M583" s="71">
        <v>38.82</v>
      </c>
      <c r="N583" s="6">
        <v>38.82</v>
      </c>
      <c r="O583" s="71">
        <v>38.82</v>
      </c>
      <c r="P583" s="6">
        <v>0</v>
      </c>
      <c r="Q583" s="4" t="s">
        <v>26</v>
      </c>
      <c r="R583" s="4">
        <v>0</v>
      </c>
      <c r="S583" s="6">
        <v>0</v>
      </c>
      <c r="T583" s="6">
        <v>5</v>
      </c>
      <c r="U583" s="6">
        <v>75</v>
      </c>
      <c r="V583" s="71">
        <f>IF(ISERROR(VLOOKUP($S$583,'TAR FIN'!$A$1:$O$108,15,0)),0,VLOOKUP($S$583,'TAR FIN'!$A$1:$O$108,15,0))</f>
        <v>0</v>
      </c>
      <c r="W583" s="71">
        <f>IF(ISERROR(VLOOKUP($T$583,'TAR FIN'!$A$1:$O$108,15,0)),0,VLOOKUP($T$583,'TAR FIN'!$A$1:$O$108,15,0))*(1-0.06)</f>
        <v>1367.6623999999999</v>
      </c>
      <c r="X583" s="71">
        <f>IF(ISERROR(VLOOKUP($U$583,'TAR FIN'!$A$1:$O$108,15,0)),0,VLOOKUP($U$583,'TAR FIN'!$A$1:$O$108,15,0))*(1-0.06)</f>
        <v>149.86420000000001</v>
      </c>
      <c r="Y583" s="71"/>
      <c r="Z583" s="71">
        <f ca="1">('TUSD BE'!$AM$27+'TUSD BF'!$AM$27+'TUSD CVA'!$AM$27)*1*(1-0.03)</f>
        <v>1452.9533669299533</v>
      </c>
      <c r="AA583" s="71">
        <f>('TE BE'!$AB$10+'TE BF'!$AB$10+'TE CVA'!$AB$10)*1*(1-0.03)</f>
        <v>312.46103067547443</v>
      </c>
      <c r="AB583" s="6">
        <f>$K$583*$V$583</f>
        <v>0</v>
      </c>
      <c r="AC583" s="6">
        <f>$M$583*$W$583</f>
        <v>53092.654367999996</v>
      </c>
      <c r="AD583" s="6">
        <f>$O$583*$X$583</f>
        <v>5817.7282440000008</v>
      </c>
      <c r="AE583" s="6">
        <f>$K$583*$Y$583</f>
        <v>0</v>
      </c>
      <c r="AF583" s="6">
        <f ca="1">$M$583*$Z$583</f>
        <v>56403.649704220785</v>
      </c>
      <c r="AG583" s="6">
        <f>$O$583*$AA$583</f>
        <v>12129.737210821917</v>
      </c>
    </row>
    <row r="584" spans="1:33" ht="11.25" customHeight="1" x14ac:dyDescent="0.25">
      <c r="A584" s="4" t="s">
        <v>21</v>
      </c>
      <c r="B584" s="4" t="s">
        <v>41</v>
      </c>
      <c r="C584" s="4" t="s">
        <v>43</v>
      </c>
      <c r="D584" s="4" t="s">
        <v>51</v>
      </c>
      <c r="E584" s="4" t="s">
        <v>52</v>
      </c>
      <c r="F584" s="4" t="s">
        <v>25</v>
      </c>
      <c r="G584" s="4" t="s">
        <v>25</v>
      </c>
      <c r="H584" s="4" t="s">
        <v>34</v>
      </c>
      <c r="I584" s="5">
        <v>44621</v>
      </c>
      <c r="J584" s="6">
        <v>0</v>
      </c>
      <c r="K584" s="71">
        <v>0</v>
      </c>
      <c r="L584" s="6">
        <v>57.051000000000002</v>
      </c>
      <c r="M584" s="71">
        <v>57.051000000000002</v>
      </c>
      <c r="N584" s="6">
        <v>57.051000000000002</v>
      </c>
      <c r="O584" s="71">
        <v>57.051000000000002</v>
      </c>
      <c r="P584" s="6">
        <v>0</v>
      </c>
      <c r="Q584" s="4" t="s">
        <v>26</v>
      </c>
      <c r="R584" s="4">
        <v>0</v>
      </c>
      <c r="S584" s="6">
        <v>0</v>
      </c>
      <c r="T584" s="6">
        <v>5</v>
      </c>
      <c r="U584" s="6">
        <v>75</v>
      </c>
      <c r="V584" s="71">
        <f>IF(ISERROR(VLOOKUP($S$584,'TAR FIN'!$A$1:$O$108,15,0)),0,VLOOKUP($S$584,'TAR FIN'!$A$1:$O$108,15,0))</f>
        <v>0</v>
      </c>
      <c r="W584" s="71">
        <f>IF(ISERROR(VLOOKUP($T$584,'TAR FIN'!$A$1:$O$108,15,0)),0,VLOOKUP($T$584,'TAR FIN'!$A$1:$O$108,15,0))*(1-0.06)</f>
        <v>1367.6623999999999</v>
      </c>
      <c r="X584" s="71">
        <f>IF(ISERROR(VLOOKUP($U$584,'TAR FIN'!$A$1:$O$108,15,0)),0,VLOOKUP($U$584,'TAR FIN'!$A$1:$O$108,15,0))*(1-0.06)</f>
        <v>149.86420000000001</v>
      </c>
      <c r="Y584" s="71"/>
      <c r="Z584" s="71">
        <f ca="1">('TUSD BE'!$AM$27+'TUSD BF'!$AM$27+'TUSD CVA'!$AM$27)*1*(1-0.03)</f>
        <v>1452.9533669299533</v>
      </c>
      <c r="AA584" s="71">
        <f>('TE BE'!$AB$10+'TE BF'!$AB$10+'TE CVA'!$AB$10)*1*(1-0.03)</f>
        <v>312.46103067547443</v>
      </c>
      <c r="AB584" s="6">
        <f>$K$584*$V$584</f>
        <v>0</v>
      </c>
      <c r="AC584" s="6">
        <f>$M$584*$W$584</f>
        <v>78026.507582399994</v>
      </c>
      <c r="AD584" s="6">
        <f>$O$584*$X$584</f>
        <v>8549.9024742000001</v>
      </c>
      <c r="AE584" s="6">
        <f>$K$584*$Y$584</f>
        <v>0</v>
      </c>
      <c r="AF584" s="6">
        <f ca="1">$M$584*$Z$584</f>
        <v>82892.442536720773</v>
      </c>
      <c r="AG584" s="6">
        <f>$O$584*$AA$584</f>
        <v>17826.214261066492</v>
      </c>
    </row>
    <row r="585" spans="1:33" ht="11.25" customHeight="1" x14ac:dyDescent="0.25">
      <c r="A585" s="4" t="s">
        <v>27</v>
      </c>
      <c r="B585" s="4" t="s">
        <v>41</v>
      </c>
      <c r="C585" s="4" t="s">
        <v>43</v>
      </c>
      <c r="D585" s="4" t="s">
        <v>51</v>
      </c>
      <c r="E585" s="4" t="s">
        <v>52</v>
      </c>
      <c r="F585" s="4" t="s">
        <v>25</v>
      </c>
      <c r="G585" s="4" t="s">
        <v>25</v>
      </c>
      <c r="H585" s="4" t="s">
        <v>34</v>
      </c>
      <c r="I585" s="5">
        <v>44621</v>
      </c>
      <c r="J585" s="6">
        <v>0</v>
      </c>
      <c r="K585" s="71">
        <v>0</v>
      </c>
      <c r="L585" s="6">
        <v>-5.1660000000000004</v>
      </c>
      <c r="M585" s="71">
        <v>-5.1660000000000004</v>
      </c>
      <c r="N585" s="6">
        <v>-5.1660000000000004</v>
      </c>
      <c r="O585" s="71">
        <v>-5.1660000000000004</v>
      </c>
      <c r="P585" s="6">
        <v>0</v>
      </c>
      <c r="Q585" s="4" t="s">
        <v>26</v>
      </c>
      <c r="R585" s="4">
        <v>0</v>
      </c>
      <c r="S585" s="6">
        <v>0</v>
      </c>
      <c r="T585" s="6">
        <v>5</v>
      </c>
      <c r="U585" s="6">
        <v>75</v>
      </c>
      <c r="V585" s="71">
        <f>IF(ISERROR(VLOOKUP($S$585,'TAR FIN'!$A$1:$O$108,15,0)),0,VLOOKUP($S$585,'TAR FIN'!$A$1:$O$108,15,0))</f>
        <v>0</v>
      </c>
      <c r="W585" s="71">
        <f>IF(ISERROR(VLOOKUP($T$585,'TAR FIN'!$A$1:$O$108,15,0)),0,VLOOKUP($T$585,'TAR FIN'!$A$1:$O$108,15,0))*(1-0.06)</f>
        <v>1367.6623999999999</v>
      </c>
      <c r="X585" s="71">
        <f>IF(ISERROR(VLOOKUP($U$585,'TAR FIN'!$A$1:$O$108,15,0)),0,VLOOKUP($U$585,'TAR FIN'!$A$1:$O$108,15,0))*(1-0.06)</f>
        <v>149.86420000000001</v>
      </c>
      <c r="Y585" s="71"/>
      <c r="Z585" s="71">
        <f ca="1">('TUSD BE'!$AM$27+'TUSD BF'!$AM$27+'TUSD CVA'!$AM$27)*1*(1-0.03)</f>
        <v>1452.9533669299533</v>
      </c>
      <c r="AA585" s="71">
        <f>('TE BE'!$AB$10+'TE BF'!$AB$10+'TE CVA'!$AB$10)*1*(1-0.03)</f>
        <v>312.46103067547443</v>
      </c>
      <c r="AB585" s="6">
        <f>$K$585*$V$585</f>
        <v>0</v>
      </c>
      <c r="AC585" s="6">
        <f>$M$585*$W$585</f>
        <v>-7065.3439583999998</v>
      </c>
      <c r="AD585" s="6">
        <f>$O$585*$X$585</f>
        <v>-774.19845720000012</v>
      </c>
      <c r="AE585" s="6">
        <f>$K$585*$Y$585</f>
        <v>0</v>
      </c>
      <c r="AF585" s="6">
        <f ca="1">$M$585*$Z$585</f>
        <v>-7505.9570935601396</v>
      </c>
      <c r="AG585" s="6">
        <f>$O$585*$AA$585</f>
        <v>-1614.173684469501</v>
      </c>
    </row>
    <row r="586" spans="1:33" ht="11.25" customHeight="1" x14ac:dyDescent="0.25">
      <c r="A586" s="4" t="s">
        <v>21</v>
      </c>
      <c r="B586" s="4" t="s">
        <v>41</v>
      </c>
      <c r="C586" s="4" t="s">
        <v>43</v>
      </c>
      <c r="D586" s="4" t="s">
        <v>51</v>
      </c>
      <c r="E586" s="4" t="s">
        <v>52</v>
      </c>
      <c r="F586" s="4" t="s">
        <v>25</v>
      </c>
      <c r="G586" s="4" t="s">
        <v>25</v>
      </c>
      <c r="H586" s="4" t="s">
        <v>34</v>
      </c>
      <c r="I586" s="5">
        <v>44652</v>
      </c>
      <c r="J586" s="6">
        <v>0</v>
      </c>
      <c r="K586" s="71">
        <v>0</v>
      </c>
      <c r="L586" s="6">
        <v>43.582999999999998</v>
      </c>
      <c r="M586" s="71">
        <v>43.582999999999998</v>
      </c>
      <c r="N586" s="6">
        <v>43.582999999999998</v>
      </c>
      <c r="O586" s="71">
        <v>43.582999999999998</v>
      </c>
      <c r="P586" s="6">
        <v>0</v>
      </c>
      <c r="Q586" s="4" t="s">
        <v>26</v>
      </c>
      <c r="R586" s="4">
        <v>0</v>
      </c>
      <c r="S586" s="6">
        <v>0</v>
      </c>
      <c r="T586" s="6">
        <v>5</v>
      </c>
      <c r="U586" s="6">
        <v>75</v>
      </c>
      <c r="V586" s="71">
        <f>IF(ISERROR(VLOOKUP($S$586,'TAR FIN'!$A$1:$O$108,15,0)),0,VLOOKUP($S$586,'TAR FIN'!$A$1:$O$108,15,0))</f>
        <v>0</v>
      </c>
      <c r="W586" s="71">
        <f>IF(ISERROR(VLOOKUP($T$586,'TAR FIN'!$A$1:$O$108,15,0)),0,VLOOKUP($T$586,'TAR FIN'!$A$1:$O$108,15,0))*(1-0.06)</f>
        <v>1367.6623999999999</v>
      </c>
      <c r="X586" s="71">
        <f>IF(ISERROR(VLOOKUP($U$586,'TAR FIN'!$A$1:$O$108,15,0)),0,VLOOKUP($U$586,'TAR FIN'!$A$1:$O$108,15,0))*(1-0.06)</f>
        <v>149.86420000000001</v>
      </c>
      <c r="Y586" s="71"/>
      <c r="Z586" s="71">
        <f ca="1">('TUSD BE'!$AM$27+'TUSD BF'!$AM$27+'TUSD CVA'!$AM$27)*1*(1-0.03)</f>
        <v>1452.9533669299533</v>
      </c>
      <c r="AA586" s="71">
        <f>('TE BE'!$AB$10+'TE BF'!$AB$10+'TE CVA'!$AB$10)*1*(1-0.03)</f>
        <v>312.46103067547443</v>
      </c>
      <c r="AB586" s="6">
        <f>$K$586*$V$586</f>
        <v>0</v>
      </c>
      <c r="AC586" s="6">
        <f>$M$586*$W$586</f>
        <v>59606.830379199993</v>
      </c>
      <c r="AD586" s="6">
        <f>$O$586*$X$586</f>
        <v>6531.5314286000003</v>
      </c>
      <c r="AE586" s="6">
        <f>$K$586*$Y$586</f>
        <v>0</v>
      </c>
      <c r="AF586" s="6">
        <f ca="1">$M$586*$Z$586</f>
        <v>63324.066590908151</v>
      </c>
      <c r="AG586" s="6">
        <f>$O$586*$AA$586</f>
        <v>13617.989099929202</v>
      </c>
    </row>
    <row r="587" spans="1:33" ht="11.25" customHeight="1" x14ac:dyDescent="0.25">
      <c r="A587" s="4" t="s">
        <v>21</v>
      </c>
      <c r="B587" s="4" t="s">
        <v>41</v>
      </c>
      <c r="C587" s="4" t="s">
        <v>43</v>
      </c>
      <c r="D587" s="4" t="s">
        <v>51</v>
      </c>
      <c r="E587" s="4" t="s">
        <v>52</v>
      </c>
      <c r="F587" s="4" t="s">
        <v>25</v>
      </c>
      <c r="G587" s="4" t="s">
        <v>25</v>
      </c>
      <c r="H587" s="4" t="s">
        <v>34</v>
      </c>
      <c r="I587" s="5">
        <v>44682</v>
      </c>
      <c r="J587" s="6">
        <v>0</v>
      </c>
      <c r="K587" s="71">
        <v>0</v>
      </c>
      <c r="L587" s="6">
        <v>45.466000000000001</v>
      </c>
      <c r="M587" s="71">
        <v>45.466000000000001</v>
      </c>
      <c r="N587" s="6">
        <v>45.466000000000001</v>
      </c>
      <c r="O587" s="71">
        <v>45.466000000000001</v>
      </c>
      <c r="P587" s="6">
        <v>0</v>
      </c>
      <c r="Q587" s="4" t="s">
        <v>26</v>
      </c>
      <c r="R587" s="4">
        <v>0</v>
      </c>
      <c r="S587" s="6">
        <v>0</v>
      </c>
      <c r="T587" s="6">
        <v>5</v>
      </c>
      <c r="U587" s="6">
        <v>75</v>
      </c>
      <c r="V587" s="71">
        <f>IF(ISERROR(VLOOKUP($S$587,'TAR FIN'!$A$1:$O$108,15,0)),0,VLOOKUP($S$587,'TAR FIN'!$A$1:$O$108,15,0))</f>
        <v>0</v>
      </c>
      <c r="W587" s="71">
        <f>IF(ISERROR(VLOOKUP($T$587,'TAR FIN'!$A$1:$O$108,15,0)),0,VLOOKUP($T$587,'TAR FIN'!$A$1:$O$108,15,0))*(1-0.06)</f>
        <v>1367.6623999999999</v>
      </c>
      <c r="X587" s="71">
        <f>IF(ISERROR(VLOOKUP($U$587,'TAR FIN'!$A$1:$O$108,15,0)),0,VLOOKUP($U$587,'TAR FIN'!$A$1:$O$108,15,0))*(1-0.06)</f>
        <v>149.86420000000001</v>
      </c>
      <c r="Y587" s="71"/>
      <c r="Z587" s="71">
        <f ca="1">('TUSD BE'!$AM$27+'TUSD BF'!$AM$27+'TUSD CVA'!$AM$27)*1*(1-0.03)</f>
        <v>1452.9533669299533</v>
      </c>
      <c r="AA587" s="71">
        <f>('TE BE'!$AB$10+'TE BF'!$AB$10+'TE CVA'!$AB$10)*1*(1-0.03)</f>
        <v>312.46103067547443</v>
      </c>
      <c r="AB587" s="6">
        <f>$K$587*$V$587</f>
        <v>0</v>
      </c>
      <c r="AC587" s="6">
        <f>$M$587*$W$587</f>
        <v>62182.138678399999</v>
      </c>
      <c r="AD587" s="6">
        <f>$O$587*$X$587</f>
        <v>6813.7257172000009</v>
      </c>
      <c r="AE587" s="6">
        <f>$K$587*$Y$587</f>
        <v>0</v>
      </c>
      <c r="AF587" s="6">
        <f ca="1">$M$587*$Z$587</f>
        <v>66059.97778083726</v>
      </c>
      <c r="AG587" s="6">
        <f>$O$587*$AA$587</f>
        <v>14206.35322069112</v>
      </c>
    </row>
    <row r="588" spans="1:33" ht="11.25" customHeight="1" x14ac:dyDescent="0.25">
      <c r="A588" s="4" t="s">
        <v>21</v>
      </c>
      <c r="B588" s="4" t="s">
        <v>41</v>
      </c>
      <c r="C588" s="4" t="s">
        <v>43</v>
      </c>
      <c r="D588" s="4" t="s">
        <v>51</v>
      </c>
      <c r="E588" s="4" t="s">
        <v>52</v>
      </c>
      <c r="F588" s="4" t="s">
        <v>25</v>
      </c>
      <c r="G588" s="4" t="s">
        <v>25</v>
      </c>
      <c r="H588" s="4" t="s">
        <v>34</v>
      </c>
      <c r="I588" s="5">
        <v>44713</v>
      </c>
      <c r="J588" s="6">
        <v>0</v>
      </c>
      <c r="K588" s="71">
        <v>0</v>
      </c>
      <c r="L588" s="6">
        <v>44.741</v>
      </c>
      <c r="M588" s="71">
        <v>44.741</v>
      </c>
      <c r="N588" s="6">
        <v>44.741</v>
      </c>
      <c r="O588" s="71">
        <v>44.741</v>
      </c>
      <c r="P588" s="6">
        <v>0</v>
      </c>
      <c r="Q588" s="4" t="s">
        <v>26</v>
      </c>
      <c r="R588" s="4">
        <v>0</v>
      </c>
      <c r="S588" s="6">
        <v>0</v>
      </c>
      <c r="T588" s="6">
        <v>5</v>
      </c>
      <c r="U588" s="6">
        <v>75</v>
      </c>
      <c r="V588" s="71">
        <f>IF(ISERROR(VLOOKUP($S$588,'TAR FIN'!$A$1:$O$108,15,0)),0,VLOOKUP($S$588,'TAR FIN'!$A$1:$O$108,15,0))</f>
        <v>0</v>
      </c>
      <c r="W588" s="71">
        <f>IF(ISERROR(VLOOKUP($T$588,'TAR FIN'!$A$1:$O$108,15,0)),0,VLOOKUP($T$588,'TAR FIN'!$A$1:$O$108,15,0))*(1-0.06)</f>
        <v>1367.6623999999999</v>
      </c>
      <c r="X588" s="71">
        <f>IF(ISERROR(VLOOKUP($U$588,'TAR FIN'!$A$1:$O$108,15,0)),0,VLOOKUP($U$588,'TAR FIN'!$A$1:$O$108,15,0))*(1-0.06)</f>
        <v>149.86420000000001</v>
      </c>
      <c r="Y588" s="71"/>
      <c r="Z588" s="71">
        <f ca="1">('TUSD BE'!$AM$27+'TUSD BF'!$AM$27+'TUSD CVA'!$AM$27)*1*(1-0.03)</f>
        <v>1452.9533669299533</v>
      </c>
      <c r="AA588" s="71">
        <f>('TE BE'!$AB$10+'TE BF'!$AB$10+'TE CVA'!$AB$10)*1*(1-0.03)</f>
        <v>312.46103067547443</v>
      </c>
      <c r="AB588" s="6">
        <f>$K$588*$V$588</f>
        <v>0</v>
      </c>
      <c r="AC588" s="6">
        <f>$M$588*$W$588</f>
        <v>61190.583438399997</v>
      </c>
      <c r="AD588" s="6">
        <f>$O$588*$X$588</f>
        <v>6705.0741722000002</v>
      </c>
      <c r="AE588" s="6">
        <f>$K$588*$Y$588</f>
        <v>0</v>
      </c>
      <c r="AF588" s="6">
        <f ca="1">$M$588*$Z$588</f>
        <v>65006.586589813043</v>
      </c>
      <c r="AG588" s="6">
        <f>$O$588*$AA$588</f>
        <v>13979.818973451402</v>
      </c>
    </row>
    <row r="589" spans="1:33" ht="11.25" customHeight="1" x14ac:dyDescent="0.25">
      <c r="A589" s="4" t="s">
        <v>21</v>
      </c>
      <c r="B589" s="4" t="s">
        <v>41</v>
      </c>
      <c r="C589" s="4" t="s">
        <v>43</v>
      </c>
      <c r="D589" s="4" t="s">
        <v>51</v>
      </c>
      <c r="E589" s="4" t="s">
        <v>52</v>
      </c>
      <c r="F589" s="4" t="s">
        <v>25</v>
      </c>
      <c r="G589" s="4" t="s">
        <v>25</v>
      </c>
      <c r="H589" s="4" t="s">
        <v>34</v>
      </c>
      <c r="I589" s="5">
        <v>44743</v>
      </c>
      <c r="J589" s="6">
        <v>0</v>
      </c>
      <c r="K589" s="71">
        <v>0</v>
      </c>
      <c r="L589" s="6">
        <v>1.903</v>
      </c>
      <c r="M589" s="71">
        <v>1.903</v>
      </c>
      <c r="N589" s="6">
        <v>1.903</v>
      </c>
      <c r="O589" s="71">
        <v>1.903</v>
      </c>
      <c r="P589" s="6">
        <v>0</v>
      </c>
      <c r="Q589" s="4" t="s">
        <v>26</v>
      </c>
      <c r="R589" s="4">
        <v>0</v>
      </c>
      <c r="S589" s="6">
        <v>0</v>
      </c>
      <c r="T589" s="6">
        <v>5</v>
      </c>
      <c r="U589" s="6">
        <v>75</v>
      </c>
      <c r="V589" s="71">
        <f>IF(ISERROR(VLOOKUP($S$589,'TAR FIN'!$A$1:$O$108,15,0)),0,VLOOKUP($S$589,'TAR FIN'!$A$1:$O$108,15,0))</f>
        <v>0</v>
      </c>
      <c r="W589" s="71">
        <f>IF(ISERROR(VLOOKUP($T$589,'TAR FIN'!$A$1:$O$108,15,0)),0,VLOOKUP($T$589,'TAR FIN'!$A$1:$O$108,15,0))*(1-0.06)</f>
        <v>1367.6623999999999</v>
      </c>
      <c r="X589" s="71">
        <f>IF(ISERROR(VLOOKUP($U$589,'TAR FIN'!$A$1:$O$108,15,0)),0,VLOOKUP($U$589,'TAR FIN'!$A$1:$O$108,15,0))*(1-0.06)</f>
        <v>149.86420000000001</v>
      </c>
      <c r="Y589" s="71"/>
      <c r="Z589" s="71">
        <f ca="1">('TUSD BE'!$AM$27+'TUSD BF'!$AM$27+'TUSD CVA'!$AM$27)*1*(1-0.03)</f>
        <v>1452.9533669299533</v>
      </c>
      <c r="AA589" s="71">
        <f>('TE BE'!$AB$10+'TE BF'!$AB$10+'TE CVA'!$AB$10)*1*(1-0.03)</f>
        <v>312.46103067547443</v>
      </c>
      <c r="AB589" s="6">
        <f>$K$589*$V$589</f>
        <v>0</v>
      </c>
      <c r="AC589" s="6">
        <f>$M$589*$W$589</f>
        <v>2602.6615471999999</v>
      </c>
      <c r="AD589" s="6">
        <f>$O$589*$X$589</f>
        <v>285.19157260000003</v>
      </c>
      <c r="AE589" s="6">
        <f>$K$589*$Y$589</f>
        <v>0</v>
      </c>
      <c r="AF589" s="6">
        <f ca="1">$M$589*$Z$589</f>
        <v>2764.9702572677011</v>
      </c>
      <c r="AG589" s="6">
        <f>$O$589*$AA$589</f>
        <v>594.61334137542781</v>
      </c>
    </row>
    <row r="590" spans="1:33" ht="11.25" customHeight="1" x14ac:dyDescent="0.25">
      <c r="A590" s="4" t="s">
        <v>27</v>
      </c>
      <c r="B590" s="4" t="s">
        <v>41</v>
      </c>
      <c r="C590" s="4" t="s">
        <v>43</v>
      </c>
      <c r="D590" s="4" t="s">
        <v>51</v>
      </c>
      <c r="E590" s="4" t="s">
        <v>52</v>
      </c>
      <c r="F590" s="4" t="s">
        <v>25</v>
      </c>
      <c r="G590" s="4" t="s">
        <v>25</v>
      </c>
      <c r="H590" s="4" t="s">
        <v>34</v>
      </c>
      <c r="I590" s="5">
        <v>44743</v>
      </c>
      <c r="J590" s="6">
        <v>0</v>
      </c>
      <c r="K590" s="71">
        <v>0</v>
      </c>
      <c r="L590" s="6">
        <v>14.6</v>
      </c>
      <c r="M590" s="71">
        <v>14.6</v>
      </c>
      <c r="N590" s="6">
        <v>14.6</v>
      </c>
      <c r="O590" s="71">
        <v>14.6</v>
      </c>
      <c r="P590" s="6">
        <v>0</v>
      </c>
      <c r="Q590" s="4" t="s">
        <v>26</v>
      </c>
      <c r="R590" s="4">
        <v>0</v>
      </c>
      <c r="S590" s="6">
        <v>0</v>
      </c>
      <c r="T590" s="6">
        <v>5</v>
      </c>
      <c r="U590" s="6">
        <v>75</v>
      </c>
      <c r="V590" s="71">
        <f>IF(ISERROR(VLOOKUP($S$590,'TAR FIN'!$A$1:$O$108,15,0)),0,VLOOKUP($S$590,'TAR FIN'!$A$1:$O$108,15,0))</f>
        <v>0</v>
      </c>
      <c r="W590" s="71">
        <f>IF(ISERROR(VLOOKUP($T$590,'TAR FIN'!$A$1:$O$108,15,0)),0,VLOOKUP($T$590,'TAR FIN'!$A$1:$O$108,15,0))*(1-0.06)</f>
        <v>1367.6623999999999</v>
      </c>
      <c r="X590" s="71">
        <f>IF(ISERROR(VLOOKUP($U$590,'TAR FIN'!$A$1:$O$108,15,0)),0,VLOOKUP($U$590,'TAR FIN'!$A$1:$O$108,15,0))*(1-0.06)</f>
        <v>149.86420000000001</v>
      </c>
      <c r="Y590" s="71"/>
      <c r="Z590" s="71">
        <f ca="1">('TUSD BE'!$AM$27+'TUSD BF'!$AM$27+'TUSD CVA'!$AM$27)*1*(1-0.03)</f>
        <v>1452.9533669299533</v>
      </c>
      <c r="AA590" s="71">
        <f>('TE BE'!$AB$10+'TE BF'!$AB$10+'TE CVA'!$AB$10)*1*(1-0.03)</f>
        <v>312.46103067547443</v>
      </c>
      <c r="AB590" s="6">
        <f>$K$590*$V$590</f>
        <v>0</v>
      </c>
      <c r="AC590" s="6">
        <f>$M$590*$W$590</f>
        <v>19967.871039999998</v>
      </c>
      <c r="AD590" s="6">
        <f>$O$590*$X$590</f>
        <v>2188.0173199999999</v>
      </c>
      <c r="AE590" s="6">
        <f>$K$590*$Y$590</f>
        <v>0</v>
      </c>
      <c r="AF590" s="6">
        <f ca="1">$M$590*$Z$590</f>
        <v>21213.119157177316</v>
      </c>
      <c r="AG590" s="6">
        <f>$O$590*$AA$590</f>
        <v>4561.9310478619263</v>
      </c>
    </row>
    <row r="591" spans="1:33" ht="11.25" customHeight="1" x14ac:dyDescent="0.25">
      <c r="A591" s="4" t="s">
        <v>21</v>
      </c>
      <c r="B591" s="4" t="s">
        <v>41</v>
      </c>
      <c r="C591" s="4" t="s">
        <v>43</v>
      </c>
      <c r="D591" s="4" t="s">
        <v>51</v>
      </c>
      <c r="E591" s="4" t="s">
        <v>52</v>
      </c>
      <c r="F591" s="4" t="s">
        <v>25</v>
      </c>
      <c r="G591" s="4" t="s">
        <v>25</v>
      </c>
      <c r="H591" s="4" t="s">
        <v>34</v>
      </c>
      <c r="I591" s="5">
        <v>44774</v>
      </c>
      <c r="J591" s="6">
        <v>0</v>
      </c>
      <c r="K591" s="71">
        <v>0</v>
      </c>
      <c r="L591" s="6">
        <v>56.722999999999999</v>
      </c>
      <c r="M591" s="71">
        <v>56.722999999999999</v>
      </c>
      <c r="N591" s="6">
        <v>56.722999999999999</v>
      </c>
      <c r="O591" s="71">
        <v>56.722999999999999</v>
      </c>
      <c r="P591" s="6">
        <v>0</v>
      </c>
      <c r="Q591" s="4" t="s">
        <v>26</v>
      </c>
      <c r="R591" s="4">
        <v>0</v>
      </c>
      <c r="S591" s="6">
        <v>0</v>
      </c>
      <c r="T591" s="6">
        <v>5</v>
      </c>
      <c r="U591" s="6">
        <v>75</v>
      </c>
      <c r="V591" s="71">
        <f>IF(ISERROR(VLOOKUP($S$591,'TAR FIN'!$A$1:$O$108,15,0)),0,VLOOKUP($S$591,'TAR FIN'!$A$1:$O$108,15,0))</f>
        <v>0</v>
      </c>
      <c r="W591" s="71">
        <f>IF(ISERROR(VLOOKUP($T$591,'TAR FIN'!$A$1:$O$108,15,0)),0,VLOOKUP($T$591,'TAR FIN'!$A$1:$O$108,15,0))*(1-0.06)</f>
        <v>1367.6623999999999</v>
      </c>
      <c r="X591" s="71">
        <f>IF(ISERROR(VLOOKUP($U$591,'TAR FIN'!$A$1:$O$108,15,0)),0,VLOOKUP($U$591,'TAR FIN'!$A$1:$O$108,15,0))*(1-0.06)</f>
        <v>149.86420000000001</v>
      </c>
      <c r="Y591" s="71"/>
      <c r="Z591" s="71">
        <f ca="1">('TUSD BE'!$AM$27+'TUSD BF'!$AM$27+'TUSD CVA'!$AM$27)*1*(1-0.03)</f>
        <v>1452.9533669299533</v>
      </c>
      <c r="AA591" s="71">
        <f>('TE BE'!$AB$10+'TE BF'!$AB$10+'TE CVA'!$AB$10)*1*(1-0.03)</f>
        <v>312.46103067547443</v>
      </c>
      <c r="AB591" s="6">
        <f>$K$591*$V$591</f>
        <v>0</v>
      </c>
      <c r="AC591" s="6">
        <f>$M$591*$W$591</f>
        <v>77577.914315199989</v>
      </c>
      <c r="AD591" s="6">
        <f>$O$591*$X$591</f>
        <v>8500.7470166000003</v>
      </c>
      <c r="AE591" s="6">
        <f>$K$591*$Y$591</f>
        <v>0</v>
      </c>
      <c r="AF591" s="6">
        <f ca="1">$M$591*$Z$591</f>
        <v>82415.873832367739</v>
      </c>
      <c r="AG591" s="6">
        <f>$O$591*$AA$591</f>
        <v>17723.727043004936</v>
      </c>
    </row>
    <row r="592" spans="1:33" ht="11.25" customHeight="1" x14ac:dyDescent="0.25">
      <c r="A592" s="4" t="s">
        <v>27</v>
      </c>
      <c r="B592" s="4" t="s">
        <v>41</v>
      </c>
      <c r="C592" s="4" t="s">
        <v>43</v>
      </c>
      <c r="D592" s="4" t="s">
        <v>51</v>
      </c>
      <c r="E592" s="4" t="s">
        <v>52</v>
      </c>
      <c r="F592" s="4" t="s">
        <v>25</v>
      </c>
      <c r="G592" s="4" t="s">
        <v>25</v>
      </c>
      <c r="H592" s="4" t="s">
        <v>34</v>
      </c>
      <c r="I592" s="5">
        <v>44774</v>
      </c>
      <c r="J592" s="6">
        <v>0</v>
      </c>
      <c r="K592" s="71">
        <v>0</v>
      </c>
      <c r="L592" s="6">
        <v>30.300999999999998</v>
      </c>
      <c r="M592" s="71">
        <v>30.300999999999998</v>
      </c>
      <c r="N592" s="6">
        <v>30.300999999999998</v>
      </c>
      <c r="O592" s="71">
        <v>30.300999999999998</v>
      </c>
      <c r="P592" s="6">
        <v>0</v>
      </c>
      <c r="Q592" s="4" t="s">
        <v>26</v>
      </c>
      <c r="R592" s="4">
        <v>0</v>
      </c>
      <c r="S592" s="6">
        <v>0</v>
      </c>
      <c r="T592" s="6">
        <v>5</v>
      </c>
      <c r="U592" s="6">
        <v>75</v>
      </c>
      <c r="V592" s="71">
        <f>IF(ISERROR(VLOOKUP($S$592,'TAR FIN'!$A$1:$O$108,15,0)),0,VLOOKUP($S$592,'TAR FIN'!$A$1:$O$108,15,0))</f>
        <v>0</v>
      </c>
      <c r="W592" s="71">
        <f>IF(ISERROR(VLOOKUP($T$592,'TAR FIN'!$A$1:$O$108,15,0)),0,VLOOKUP($T$592,'TAR FIN'!$A$1:$O$108,15,0))*(1-0.06)</f>
        <v>1367.6623999999999</v>
      </c>
      <c r="X592" s="71">
        <f>IF(ISERROR(VLOOKUP($U$592,'TAR FIN'!$A$1:$O$108,15,0)),0,VLOOKUP($U$592,'TAR FIN'!$A$1:$O$108,15,0))*(1-0.06)</f>
        <v>149.86420000000001</v>
      </c>
      <c r="Y592" s="71"/>
      <c r="Z592" s="71">
        <f ca="1">('TUSD BE'!$AM$27+'TUSD BF'!$AM$27+'TUSD CVA'!$AM$27)*1*(1-0.03)</f>
        <v>1452.9533669299533</v>
      </c>
      <c r="AA592" s="71">
        <f>('TE BE'!$AB$10+'TE BF'!$AB$10+'TE CVA'!$AB$10)*1*(1-0.03)</f>
        <v>312.46103067547443</v>
      </c>
      <c r="AB592" s="6">
        <f>$K$592*$V$592</f>
        <v>0</v>
      </c>
      <c r="AC592" s="6">
        <f>$M$592*$W$592</f>
        <v>41441.538382399995</v>
      </c>
      <c r="AD592" s="6">
        <f>$O$592*$X$592</f>
        <v>4541.0351241999997</v>
      </c>
      <c r="AE592" s="6">
        <f>$K$592*$Y$592</f>
        <v>0</v>
      </c>
      <c r="AF592" s="6">
        <f ca="1">$M$592*$Z$592</f>
        <v>44025.939971344509</v>
      </c>
      <c r="AG592" s="6">
        <f>$O$592*$AA$592</f>
        <v>9467.8816904975502</v>
      </c>
    </row>
    <row r="593" spans="1:33" ht="11.25" customHeight="1" x14ac:dyDescent="0.25">
      <c r="A593" s="4" t="s">
        <v>21</v>
      </c>
      <c r="B593" s="4" t="s">
        <v>41</v>
      </c>
      <c r="C593" s="4" t="s">
        <v>43</v>
      </c>
      <c r="D593" s="4" t="s">
        <v>51</v>
      </c>
      <c r="E593" s="4" t="s">
        <v>52</v>
      </c>
      <c r="F593" s="4" t="s">
        <v>25</v>
      </c>
      <c r="G593" s="4" t="s">
        <v>25</v>
      </c>
      <c r="H593" s="4" t="s">
        <v>34</v>
      </c>
      <c r="I593" s="5">
        <v>44805</v>
      </c>
      <c r="J593" s="6">
        <v>0</v>
      </c>
      <c r="K593" s="71">
        <v>0</v>
      </c>
      <c r="L593" s="6">
        <v>49.582999999999998</v>
      </c>
      <c r="M593" s="71">
        <v>49.582999999999998</v>
      </c>
      <c r="N593" s="6">
        <v>49.582999999999998</v>
      </c>
      <c r="O593" s="71">
        <v>49.582999999999998</v>
      </c>
      <c r="P593" s="6">
        <v>0</v>
      </c>
      <c r="Q593" s="4" t="s">
        <v>26</v>
      </c>
      <c r="R593" s="4">
        <v>0</v>
      </c>
      <c r="S593" s="6">
        <v>0</v>
      </c>
      <c r="T593" s="6">
        <v>5</v>
      </c>
      <c r="U593" s="6">
        <v>75</v>
      </c>
      <c r="V593" s="71">
        <f>IF(ISERROR(VLOOKUP($S$593,'TAR FIN'!$A$1:$O$108,15,0)),0,VLOOKUP($S$593,'TAR FIN'!$A$1:$O$108,15,0))</f>
        <v>0</v>
      </c>
      <c r="W593" s="71">
        <f>IF(ISERROR(VLOOKUP($T$593,'TAR FIN'!$A$1:$O$108,15,0)),0,VLOOKUP($T$593,'TAR FIN'!$A$1:$O$108,15,0))*(1-0.06)</f>
        <v>1367.6623999999999</v>
      </c>
      <c r="X593" s="71">
        <f>IF(ISERROR(VLOOKUP($U$593,'TAR FIN'!$A$1:$O$108,15,0)),0,VLOOKUP($U$593,'TAR FIN'!$A$1:$O$108,15,0))*(1-0.06)</f>
        <v>149.86420000000001</v>
      </c>
      <c r="Y593" s="71"/>
      <c r="Z593" s="71">
        <f ca="1">('TUSD BE'!$AM$27+'TUSD BF'!$AM$27+'TUSD CVA'!$AM$27)*1*(1-0.03)</f>
        <v>1452.9533669299533</v>
      </c>
      <c r="AA593" s="71">
        <f>('TE BE'!$AB$10+'TE BF'!$AB$10+'TE CVA'!$AB$10)*1*(1-0.03)</f>
        <v>312.46103067547443</v>
      </c>
      <c r="AB593" s="6">
        <f>$K$593*$V$593</f>
        <v>0</v>
      </c>
      <c r="AC593" s="6">
        <f>$M$593*$W$593</f>
        <v>67812.8047792</v>
      </c>
      <c r="AD593" s="6">
        <f>$O$593*$X$593</f>
        <v>7430.7166286000001</v>
      </c>
      <c r="AE593" s="6">
        <f>$K$593*$Y$593</f>
        <v>0</v>
      </c>
      <c r="AF593" s="6">
        <f ca="1">$M$593*$Z$593</f>
        <v>72041.786792487866</v>
      </c>
      <c r="AG593" s="6">
        <f>$O$593*$AA$593</f>
        <v>15492.755283982049</v>
      </c>
    </row>
    <row r="594" spans="1:33" ht="11.25" customHeight="1" x14ac:dyDescent="0.25">
      <c r="A594" s="4" t="s">
        <v>21</v>
      </c>
      <c r="B594" s="4" t="s">
        <v>41</v>
      </c>
      <c r="C594" s="4" t="s">
        <v>43</v>
      </c>
      <c r="D594" s="4" t="s">
        <v>51</v>
      </c>
      <c r="E594" s="4" t="s">
        <v>52</v>
      </c>
      <c r="F594" s="4" t="s">
        <v>25</v>
      </c>
      <c r="G594" s="4" t="s">
        <v>25</v>
      </c>
      <c r="H594" s="4" t="s">
        <v>34</v>
      </c>
      <c r="I594" s="5">
        <v>44835</v>
      </c>
      <c r="J594" s="6">
        <v>0</v>
      </c>
      <c r="K594" s="71">
        <v>0</v>
      </c>
      <c r="L594" s="6">
        <v>51.789000000000001</v>
      </c>
      <c r="M594" s="71">
        <v>51.789000000000001</v>
      </c>
      <c r="N594" s="6">
        <v>51.789000000000001</v>
      </c>
      <c r="O594" s="71">
        <v>51.789000000000001</v>
      </c>
      <c r="P594" s="6">
        <v>0</v>
      </c>
      <c r="Q594" s="4" t="s">
        <v>26</v>
      </c>
      <c r="R594" s="4">
        <v>0</v>
      </c>
      <c r="S594" s="6">
        <v>0</v>
      </c>
      <c r="T594" s="6">
        <v>5</v>
      </c>
      <c r="U594" s="6">
        <v>75</v>
      </c>
      <c r="V594" s="71">
        <f>IF(ISERROR(VLOOKUP($S$594,'TAR FIN'!$A$1:$O$108,15,0)),0,VLOOKUP($S$594,'TAR FIN'!$A$1:$O$108,15,0))</f>
        <v>0</v>
      </c>
      <c r="W594" s="71">
        <f>IF(ISERROR(VLOOKUP($T$594,'TAR FIN'!$A$1:$O$108,15,0)),0,VLOOKUP($T$594,'TAR FIN'!$A$1:$O$108,15,0))*(1-0.06)</f>
        <v>1367.6623999999999</v>
      </c>
      <c r="X594" s="71">
        <f>IF(ISERROR(VLOOKUP($U$594,'TAR FIN'!$A$1:$O$108,15,0)),0,VLOOKUP($U$594,'TAR FIN'!$A$1:$O$108,15,0))*(1-0.06)</f>
        <v>149.86420000000001</v>
      </c>
      <c r="Y594" s="71"/>
      <c r="Z594" s="71">
        <f ca="1">('TUSD BE'!$AM$27+'TUSD BF'!$AM$27+'TUSD CVA'!$AM$27)*1*(1-0.03)</f>
        <v>1452.9533669299533</v>
      </c>
      <c r="AA594" s="71">
        <f>('TE BE'!$AB$10+'TE BF'!$AB$10+'TE CVA'!$AB$10)*1*(1-0.03)</f>
        <v>312.46103067547443</v>
      </c>
      <c r="AB594" s="6">
        <f>$K$594*$V$594</f>
        <v>0</v>
      </c>
      <c r="AC594" s="6">
        <f>$M$594*$W$594</f>
        <v>70829.868033599996</v>
      </c>
      <c r="AD594" s="6">
        <f>$O$594*$X$594</f>
        <v>7761.3170538000004</v>
      </c>
      <c r="AE594" s="6">
        <f>$K$594*$Y$594</f>
        <v>0</v>
      </c>
      <c r="AF594" s="6">
        <f ca="1">$M$594*$Z$594</f>
        <v>75247.001919935356</v>
      </c>
      <c r="AG594" s="6">
        <f>$O$594*$AA$594</f>
        <v>16182.044317652146</v>
      </c>
    </row>
    <row r="595" spans="1:33" ht="11.25" customHeight="1" x14ac:dyDescent="0.25">
      <c r="A595" s="4" t="s">
        <v>54</v>
      </c>
      <c r="B595" s="4" t="s">
        <v>41</v>
      </c>
      <c r="C595" s="4" t="s">
        <v>43</v>
      </c>
      <c r="D595" s="4" t="s">
        <v>51</v>
      </c>
      <c r="E595" s="4" t="s">
        <v>52</v>
      </c>
      <c r="F595" s="4" t="s">
        <v>25</v>
      </c>
      <c r="G595" s="4" t="s">
        <v>25</v>
      </c>
      <c r="H595" s="4" t="s">
        <v>34</v>
      </c>
      <c r="I595" s="5">
        <v>44866</v>
      </c>
      <c r="J595" s="6">
        <v>0</v>
      </c>
      <c r="K595" s="71">
        <v>0</v>
      </c>
      <c r="L595" s="6">
        <v>51.789000000000001</v>
      </c>
      <c r="M595" s="71">
        <v>51.789000000000001</v>
      </c>
      <c r="N595" s="6">
        <v>51.789000000000001</v>
      </c>
      <c r="O595" s="71">
        <v>51.789000000000001</v>
      </c>
      <c r="P595" s="6">
        <v>0</v>
      </c>
      <c r="Q595" s="4" t="s">
        <v>26</v>
      </c>
      <c r="R595" s="4">
        <v>0</v>
      </c>
      <c r="S595" s="6">
        <v>0</v>
      </c>
      <c r="T595" s="6">
        <v>5</v>
      </c>
      <c r="U595" s="6">
        <v>75</v>
      </c>
      <c r="V595" s="71">
        <f>IF(ISERROR(VLOOKUP($S$595,'TAR FIN'!$A$1:$O$108,15,0)),0,VLOOKUP($S$595,'TAR FIN'!$A$1:$O$108,15,0))</f>
        <v>0</v>
      </c>
      <c r="W595" s="71">
        <f>IF(ISERROR(VLOOKUP($T$595,'TAR FIN'!$A$1:$O$108,15,0)),0,VLOOKUP($T$595,'TAR FIN'!$A$1:$O$108,15,0))*(1-0.06)</f>
        <v>1367.6623999999999</v>
      </c>
      <c r="X595" s="71">
        <f>IF(ISERROR(VLOOKUP($U$595,'TAR FIN'!$A$1:$O$108,15,0)),0,VLOOKUP($U$595,'TAR FIN'!$A$1:$O$108,15,0))*(1-0.06)</f>
        <v>149.86420000000001</v>
      </c>
      <c r="Y595" s="71"/>
      <c r="Z595" s="71">
        <f ca="1">('TUSD BE'!$AM$27+'TUSD BF'!$AM$27+'TUSD CVA'!$AM$27)*1*(1-0.03)</f>
        <v>1452.9533669299533</v>
      </c>
      <c r="AA595" s="71">
        <f>('TE BE'!$AB$10+'TE BF'!$AB$10+'TE CVA'!$AB$10)*1*(1-0.03)</f>
        <v>312.46103067547443</v>
      </c>
      <c r="AB595" s="6">
        <f>$K$595*$V$595</f>
        <v>0</v>
      </c>
      <c r="AC595" s="6">
        <f>$M$595*$W$595</f>
        <v>70829.868033599996</v>
      </c>
      <c r="AD595" s="6">
        <f>$O$595*$X$595</f>
        <v>7761.3170538000004</v>
      </c>
      <c r="AE595" s="6">
        <f>$K$595*$Y$595</f>
        <v>0</v>
      </c>
      <c r="AF595" s="6">
        <f ca="1">$M$595*$Z$595</f>
        <v>75247.001919935356</v>
      </c>
      <c r="AG595" s="6">
        <f>$O$595*$AA$595</f>
        <v>16182.044317652146</v>
      </c>
    </row>
    <row r="596" spans="1:33" ht="11.25" customHeight="1" x14ac:dyDescent="0.25">
      <c r="A596" s="4" t="s">
        <v>21</v>
      </c>
      <c r="B596" s="4" t="s">
        <v>22</v>
      </c>
      <c r="C596" s="4" t="s">
        <v>33</v>
      </c>
      <c r="D596" s="4" t="s">
        <v>24</v>
      </c>
      <c r="E596" s="4" t="s">
        <v>24</v>
      </c>
      <c r="F596" s="4" t="s">
        <v>25</v>
      </c>
      <c r="G596" s="4" t="s">
        <v>25</v>
      </c>
      <c r="H596" s="4" t="s">
        <v>35</v>
      </c>
      <c r="I596" s="5">
        <v>44531</v>
      </c>
      <c r="J596" s="6">
        <v>0</v>
      </c>
      <c r="K596" s="6">
        <v>0</v>
      </c>
      <c r="L596" s="6">
        <v>19.745999999999999</v>
      </c>
      <c r="M596" s="6">
        <v>19.745999999999999</v>
      </c>
      <c r="N596" s="6">
        <v>19.745999999999999</v>
      </c>
      <c r="O596" s="6">
        <v>19.745999999999999</v>
      </c>
      <c r="P596" s="6">
        <v>0</v>
      </c>
      <c r="Q596" s="4" t="s">
        <v>26</v>
      </c>
      <c r="R596" s="4">
        <v>0</v>
      </c>
      <c r="S596" s="6">
        <v>0</v>
      </c>
      <c r="T596" s="6">
        <v>24</v>
      </c>
      <c r="U596" s="6">
        <v>79</v>
      </c>
      <c r="V596" s="6">
        <f>IF(ISERROR(VLOOKUP($S$596,'TAR FIN'!$A$1:$O$108,15,0)),0,VLOOKUP($S$596,'TAR FIN'!$A$1:$O$108,15,0))</f>
        <v>0</v>
      </c>
      <c r="W596" s="6">
        <f>IF(ISERROR(VLOOKUP($T$596,'TAR FIN'!$A$1:$O$108,15,0)),0,VLOOKUP($T$596,'TAR FIN'!$A$1:$O$108,15,0))</f>
        <v>322.94</v>
      </c>
      <c r="X596" s="6">
        <f>IF(ISERROR(VLOOKUP($U$596,'TAR FIN'!$A$1:$O$108,15,0)),0,VLOOKUP($U$596,'TAR FIN'!$A$1:$O$108,15,0))</f>
        <v>103.1</v>
      </c>
      <c r="Y596" s="6"/>
      <c r="Z596" s="6">
        <f ca="1">('TUSD BE'!$AM$35+'TUSD BF'!$AM$35+'TUSD CVA'!$AM$35)*1</f>
        <v>392.60303123039864</v>
      </c>
      <c r="AA596" s="6">
        <f>('TE BE'!$AB$15+'TE BF'!$AB$15+'TE CVA'!$AB$15)*1</f>
        <v>215.60278025898469</v>
      </c>
      <c r="AB596" s="6">
        <f>$K$596*$V$596</f>
        <v>0</v>
      </c>
      <c r="AC596" s="6">
        <f>$M$596*$W$596</f>
        <v>6376.7732399999995</v>
      </c>
      <c r="AD596" s="6">
        <f>$O$596*$X$596</f>
        <v>2035.8125999999997</v>
      </c>
      <c r="AE596" s="6">
        <f>$K$596*$Y$596</f>
        <v>0</v>
      </c>
      <c r="AF596" s="6">
        <f ca="1">$M$596*$Z$596</f>
        <v>7752.3394546754507</v>
      </c>
      <c r="AG596" s="6">
        <f>$O$596*$AA$596</f>
        <v>4257.2924989939111</v>
      </c>
    </row>
    <row r="597" spans="1:33" ht="11.25" customHeight="1" x14ac:dyDescent="0.25">
      <c r="A597" s="4" t="s">
        <v>21</v>
      </c>
      <c r="B597" s="4" t="s">
        <v>22</v>
      </c>
      <c r="C597" s="4" t="s">
        <v>33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35</v>
      </c>
      <c r="I597" s="5">
        <v>44562</v>
      </c>
      <c r="J597" s="6">
        <v>0</v>
      </c>
      <c r="K597" s="6">
        <v>0</v>
      </c>
      <c r="L597" s="6">
        <v>14.962999999999999</v>
      </c>
      <c r="M597" s="6">
        <v>14.962999999999999</v>
      </c>
      <c r="N597" s="6">
        <v>14.962999999999999</v>
      </c>
      <c r="O597" s="6">
        <v>14.962999999999999</v>
      </c>
      <c r="P597" s="6">
        <v>0</v>
      </c>
      <c r="Q597" s="4" t="s">
        <v>26</v>
      </c>
      <c r="R597" s="4">
        <v>0</v>
      </c>
      <c r="S597" s="6">
        <v>0</v>
      </c>
      <c r="T597" s="6">
        <v>24</v>
      </c>
      <c r="U597" s="6">
        <v>79</v>
      </c>
      <c r="V597" s="6">
        <f>IF(ISERROR(VLOOKUP($S$597,'TAR FIN'!$A$1:$O$108,15,0)),0,VLOOKUP($S$597,'TAR FIN'!$A$1:$O$108,15,0))</f>
        <v>0</v>
      </c>
      <c r="W597" s="6">
        <f>IF(ISERROR(VLOOKUP($T$597,'TAR FIN'!$A$1:$O$108,15,0)),0,VLOOKUP($T$597,'TAR FIN'!$A$1:$O$108,15,0))</f>
        <v>322.94</v>
      </c>
      <c r="X597" s="6">
        <f>IF(ISERROR(VLOOKUP($U$597,'TAR FIN'!$A$1:$O$108,15,0)),0,VLOOKUP($U$597,'TAR FIN'!$A$1:$O$108,15,0))</f>
        <v>103.1</v>
      </c>
      <c r="Y597" s="6"/>
      <c r="Z597" s="6">
        <f ca="1">('TUSD BE'!$AM$35+'TUSD BF'!$AM$35+'TUSD CVA'!$AM$35)*1</f>
        <v>392.60303123039864</v>
      </c>
      <c r="AA597" s="6">
        <f>('TE BE'!$AB$15+'TE BF'!$AB$15+'TE CVA'!$AB$15)*1</f>
        <v>215.60278025898469</v>
      </c>
      <c r="AB597" s="6">
        <f>$K$597*$V$597</f>
        <v>0</v>
      </c>
      <c r="AC597" s="6">
        <f>$M$597*$W$597</f>
        <v>4832.1512199999997</v>
      </c>
      <c r="AD597" s="6">
        <f>$O$597*$X$597</f>
        <v>1542.6852999999999</v>
      </c>
      <c r="AE597" s="6">
        <f>$K$597*$Y$597</f>
        <v>0</v>
      </c>
      <c r="AF597" s="6">
        <f ca="1">$M$597*$Z$597</f>
        <v>5874.5191563004546</v>
      </c>
      <c r="AG597" s="6">
        <f>$O$597*$AA$597</f>
        <v>3226.0644010151877</v>
      </c>
    </row>
    <row r="598" spans="1:33" ht="11.25" customHeight="1" x14ac:dyDescent="0.25">
      <c r="A598" s="4" t="s">
        <v>27</v>
      </c>
      <c r="B598" s="4" t="s">
        <v>22</v>
      </c>
      <c r="C598" s="4" t="s">
        <v>33</v>
      </c>
      <c r="D598" s="4" t="s">
        <v>24</v>
      </c>
      <c r="E598" s="4" t="s">
        <v>24</v>
      </c>
      <c r="F598" s="4" t="s">
        <v>25</v>
      </c>
      <c r="G598" s="4" t="s">
        <v>25</v>
      </c>
      <c r="H598" s="4" t="s">
        <v>35</v>
      </c>
      <c r="I598" s="5">
        <v>44562</v>
      </c>
      <c r="J598" s="6">
        <v>0</v>
      </c>
      <c r="K598" s="6">
        <v>0</v>
      </c>
      <c r="L598" s="6">
        <v>0.3</v>
      </c>
      <c r="M598" s="6">
        <v>0.3</v>
      </c>
      <c r="N598" s="6">
        <v>0.3</v>
      </c>
      <c r="O598" s="6">
        <v>0.3</v>
      </c>
      <c r="P598" s="6">
        <v>0</v>
      </c>
      <c r="Q598" s="4" t="s">
        <v>26</v>
      </c>
      <c r="R598" s="4">
        <v>0</v>
      </c>
      <c r="S598" s="6">
        <v>0</v>
      </c>
      <c r="T598" s="6">
        <v>24</v>
      </c>
      <c r="U598" s="6">
        <v>79</v>
      </c>
      <c r="V598" s="6">
        <f>IF(ISERROR(VLOOKUP($S$598,'TAR FIN'!$A$1:$O$108,15,0)),0,VLOOKUP($S$598,'TAR FIN'!$A$1:$O$108,15,0))</f>
        <v>0</v>
      </c>
      <c r="W598" s="6">
        <f>IF(ISERROR(VLOOKUP($T$598,'TAR FIN'!$A$1:$O$108,15,0)),0,VLOOKUP($T$598,'TAR FIN'!$A$1:$O$108,15,0))</f>
        <v>322.94</v>
      </c>
      <c r="X598" s="6">
        <f>IF(ISERROR(VLOOKUP($U$598,'TAR FIN'!$A$1:$O$108,15,0)),0,VLOOKUP($U$598,'TAR FIN'!$A$1:$O$108,15,0))</f>
        <v>103.1</v>
      </c>
      <c r="Y598" s="6"/>
      <c r="Z598" s="6">
        <f ca="1">('TUSD BE'!$AM$35+'TUSD BF'!$AM$35+'TUSD CVA'!$AM$35)*1</f>
        <v>392.60303123039864</v>
      </c>
      <c r="AA598" s="6">
        <f>('TE BE'!$AB$15+'TE BF'!$AB$15+'TE CVA'!$AB$15)*1</f>
        <v>215.60278025898469</v>
      </c>
      <c r="AB598" s="6">
        <f>$K$598*$V$598</f>
        <v>0</v>
      </c>
      <c r="AC598" s="6">
        <f>$M$598*$W$598</f>
        <v>96.881999999999991</v>
      </c>
      <c r="AD598" s="6">
        <f>$O$598*$X$598</f>
        <v>30.929999999999996</v>
      </c>
      <c r="AE598" s="6">
        <f>$K$598*$Y$598</f>
        <v>0</v>
      </c>
      <c r="AF598" s="6">
        <f ca="1">$M$598*$Z$598</f>
        <v>117.78090936911958</v>
      </c>
      <c r="AG598" s="6">
        <f>$O$598*$AA$598</f>
        <v>64.680834077695408</v>
      </c>
    </row>
    <row r="599" spans="1:33" ht="11.25" customHeight="1" x14ac:dyDescent="0.25">
      <c r="A599" s="4" t="s">
        <v>21</v>
      </c>
      <c r="B599" s="4" t="s">
        <v>22</v>
      </c>
      <c r="C599" s="4" t="s">
        <v>33</v>
      </c>
      <c r="D599" s="4" t="s">
        <v>24</v>
      </c>
      <c r="E599" s="4" t="s">
        <v>24</v>
      </c>
      <c r="F599" s="4" t="s">
        <v>25</v>
      </c>
      <c r="G599" s="4" t="s">
        <v>25</v>
      </c>
      <c r="H599" s="4" t="s">
        <v>35</v>
      </c>
      <c r="I599" s="5">
        <v>44593</v>
      </c>
      <c r="J599" s="6">
        <v>0</v>
      </c>
      <c r="K599" s="6">
        <v>0</v>
      </c>
      <c r="L599" s="6">
        <v>14.493</v>
      </c>
      <c r="M599" s="6">
        <v>14.493</v>
      </c>
      <c r="N599" s="6">
        <v>14.493</v>
      </c>
      <c r="O599" s="6">
        <v>14.493</v>
      </c>
      <c r="P599" s="6">
        <v>0</v>
      </c>
      <c r="Q599" s="4" t="s">
        <v>26</v>
      </c>
      <c r="R599" s="4">
        <v>0</v>
      </c>
      <c r="S599" s="6">
        <v>0</v>
      </c>
      <c r="T599" s="6">
        <v>24</v>
      </c>
      <c r="U599" s="6">
        <v>79</v>
      </c>
      <c r="V599" s="6">
        <f>IF(ISERROR(VLOOKUP($S$599,'TAR FIN'!$A$1:$O$108,15,0)),0,VLOOKUP($S$599,'TAR FIN'!$A$1:$O$108,15,0))</f>
        <v>0</v>
      </c>
      <c r="W599" s="6">
        <f>IF(ISERROR(VLOOKUP($T$599,'TAR FIN'!$A$1:$O$108,15,0)),0,VLOOKUP($T$599,'TAR FIN'!$A$1:$O$108,15,0))</f>
        <v>322.94</v>
      </c>
      <c r="X599" s="6">
        <f>IF(ISERROR(VLOOKUP($U$599,'TAR FIN'!$A$1:$O$108,15,0)),0,VLOOKUP($U$599,'TAR FIN'!$A$1:$O$108,15,0))</f>
        <v>103.1</v>
      </c>
      <c r="Y599" s="6"/>
      <c r="Z599" s="6">
        <f ca="1">('TUSD BE'!$AM$35+'TUSD BF'!$AM$35+'TUSD CVA'!$AM$35)*1</f>
        <v>392.60303123039864</v>
      </c>
      <c r="AA599" s="6">
        <f>('TE BE'!$AB$15+'TE BF'!$AB$15+'TE CVA'!$AB$15)*1</f>
        <v>215.60278025898469</v>
      </c>
      <c r="AB599" s="6">
        <f>$K$599*$V$599</f>
        <v>0</v>
      </c>
      <c r="AC599" s="6">
        <f>$M$599*$W$599</f>
        <v>4680.36942</v>
      </c>
      <c r="AD599" s="6">
        <f>$O$599*$X$599</f>
        <v>1494.2283</v>
      </c>
      <c r="AE599" s="6">
        <f>$K$599*$Y$599</f>
        <v>0</v>
      </c>
      <c r="AF599" s="6">
        <f ca="1">$M$599*$Z$599</f>
        <v>5689.995731622168</v>
      </c>
      <c r="AG599" s="6">
        <f>$O$599*$AA$599</f>
        <v>3124.731094293465</v>
      </c>
    </row>
    <row r="600" spans="1:33" ht="11.25" customHeight="1" x14ac:dyDescent="0.25">
      <c r="A600" s="4" t="s">
        <v>21</v>
      </c>
      <c r="B600" s="4" t="s">
        <v>22</v>
      </c>
      <c r="C600" s="4" t="s">
        <v>33</v>
      </c>
      <c r="D600" s="4" t="s">
        <v>24</v>
      </c>
      <c r="E600" s="4" t="s">
        <v>24</v>
      </c>
      <c r="F600" s="4" t="s">
        <v>25</v>
      </c>
      <c r="G600" s="4" t="s">
        <v>25</v>
      </c>
      <c r="H600" s="4" t="s">
        <v>35</v>
      </c>
      <c r="I600" s="5">
        <v>44621</v>
      </c>
      <c r="J600" s="6">
        <v>0</v>
      </c>
      <c r="K600" s="6">
        <v>0</v>
      </c>
      <c r="L600" s="6">
        <v>13.952</v>
      </c>
      <c r="M600" s="6">
        <v>13.952</v>
      </c>
      <c r="N600" s="6">
        <v>13.952</v>
      </c>
      <c r="O600" s="6">
        <v>13.952</v>
      </c>
      <c r="P600" s="6">
        <v>0</v>
      </c>
      <c r="Q600" s="4" t="s">
        <v>26</v>
      </c>
      <c r="R600" s="4">
        <v>0</v>
      </c>
      <c r="S600" s="6">
        <v>0</v>
      </c>
      <c r="T600" s="6">
        <v>24</v>
      </c>
      <c r="U600" s="6">
        <v>79</v>
      </c>
      <c r="V600" s="6">
        <f>IF(ISERROR(VLOOKUP($S$600,'TAR FIN'!$A$1:$O$108,15,0)),0,VLOOKUP($S$600,'TAR FIN'!$A$1:$O$108,15,0))</f>
        <v>0</v>
      </c>
      <c r="W600" s="6">
        <f>IF(ISERROR(VLOOKUP($T$600,'TAR FIN'!$A$1:$O$108,15,0)),0,VLOOKUP($T$600,'TAR FIN'!$A$1:$O$108,15,0))</f>
        <v>322.94</v>
      </c>
      <c r="X600" s="6">
        <f>IF(ISERROR(VLOOKUP($U$600,'TAR FIN'!$A$1:$O$108,15,0)),0,VLOOKUP($U$600,'TAR FIN'!$A$1:$O$108,15,0))</f>
        <v>103.1</v>
      </c>
      <c r="Y600" s="6"/>
      <c r="Z600" s="6">
        <f ca="1">('TUSD BE'!$AM$35+'TUSD BF'!$AM$35+'TUSD CVA'!$AM$35)*1</f>
        <v>392.60303123039864</v>
      </c>
      <c r="AA600" s="6">
        <f>('TE BE'!$AB$15+'TE BF'!$AB$15+'TE CVA'!$AB$15)*1</f>
        <v>215.60278025898469</v>
      </c>
      <c r="AB600" s="6">
        <f>$K$600*$V$600</f>
        <v>0</v>
      </c>
      <c r="AC600" s="6">
        <f>$M$600*$W$600</f>
        <v>4505.65888</v>
      </c>
      <c r="AD600" s="6">
        <f>$O$600*$X$600</f>
        <v>1438.4512</v>
      </c>
      <c r="AE600" s="6">
        <f>$K$600*$Y$600</f>
        <v>0</v>
      </c>
      <c r="AF600" s="6">
        <f ca="1">$M$600*$Z$600</f>
        <v>5477.5974917265221</v>
      </c>
      <c r="AG600" s="6">
        <f>$O$600*$AA$600</f>
        <v>3008.0899901733546</v>
      </c>
    </row>
    <row r="601" spans="1:33" ht="11.25" customHeight="1" x14ac:dyDescent="0.25">
      <c r="A601" s="4" t="s">
        <v>21</v>
      </c>
      <c r="B601" s="4" t="s">
        <v>22</v>
      </c>
      <c r="C601" s="4" t="s">
        <v>33</v>
      </c>
      <c r="D601" s="4" t="s">
        <v>24</v>
      </c>
      <c r="E601" s="4" t="s">
        <v>24</v>
      </c>
      <c r="F601" s="4" t="s">
        <v>25</v>
      </c>
      <c r="G601" s="4" t="s">
        <v>25</v>
      </c>
      <c r="H601" s="4" t="s">
        <v>35</v>
      </c>
      <c r="I601" s="5">
        <v>44652</v>
      </c>
      <c r="J601" s="6">
        <v>0</v>
      </c>
      <c r="K601" s="6">
        <v>0</v>
      </c>
      <c r="L601" s="6">
        <v>14.739000000000001</v>
      </c>
      <c r="M601" s="6">
        <v>14.739000000000001</v>
      </c>
      <c r="N601" s="6">
        <v>14.739000000000001</v>
      </c>
      <c r="O601" s="6">
        <v>14.739000000000001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24</v>
      </c>
      <c r="U601" s="6">
        <v>79</v>
      </c>
      <c r="V601" s="6">
        <f>IF(ISERROR(VLOOKUP($S$601,'TAR FIN'!$A$1:$O$108,15,0)),0,VLOOKUP($S$601,'TAR FIN'!$A$1:$O$108,15,0))</f>
        <v>0</v>
      </c>
      <c r="W601" s="6">
        <f>IF(ISERROR(VLOOKUP($T$601,'TAR FIN'!$A$1:$O$108,15,0)),0,VLOOKUP($T$601,'TAR FIN'!$A$1:$O$108,15,0))</f>
        <v>322.94</v>
      </c>
      <c r="X601" s="6">
        <f>IF(ISERROR(VLOOKUP($U$601,'TAR FIN'!$A$1:$O$108,15,0)),0,VLOOKUP($U$601,'TAR FIN'!$A$1:$O$108,15,0))</f>
        <v>103.1</v>
      </c>
      <c r="Y601" s="6"/>
      <c r="Z601" s="6">
        <f ca="1">('TUSD BE'!$AM$35+'TUSD BF'!$AM$35+'TUSD CVA'!$AM$35)*1</f>
        <v>392.60303123039864</v>
      </c>
      <c r="AA601" s="6">
        <f>('TE BE'!$AB$15+'TE BF'!$AB$15+'TE CVA'!$AB$15)*1</f>
        <v>215.60278025898469</v>
      </c>
      <c r="AB601" s="6">
        <f>$K$601*$V$601</f>
        <v>0</v>
      </c>
      <c r="AC601" s="6">
        <f>$M$601*$W$601</f>
        <v>4759.8126600000005</v>
      </c>
      <c r="AD601" s="6">
        <f>$O$601*$X$601</f>
        <v>1519.5908999999999</v>
      </c>
      <c r="AE601" s="6">
        <f>$K$601*$Y$601</f>
        <v>0</v>
      </c>
      <c r="AF601" s="6">
        <f ca="1">$M$601*$Z$601</f>
        <v>5786.576077304846</v>
      </c>
      <c r="AG601" s="6">
        <f>$O$601*$AA$601</f>
        <v>3177.7693782371757</v>
      </c>
    </row>
    <row r="602" spans="1:33" ht="11.25" customHeight="1" x14ac:dyDescent="0.25">
      <c r="A602" s="4" t="s">
        <v>21</v>
      </c>
      <c r="B602" s="4" t="s">
        <v>22</v>
      </c>
      <c r="C602" s="4" t="s">
        <v>33</v>
      </c>
      <c r="D602" s="4" t="s">
        <v>24</v>
      </c>
      <c r="E602" s="4" t="s">
        <v>24</v>
      </c>
      <c r="F602" s="4" t="s">
        <v>25</v>
      </c>
      <c r="G602" s="4" t="s">
        <v>25</v>
      </c>
      <c r="H602" s="4" t="s">
        <v>35</v>
      </c>
      <c r="I602" s="5">
        <v>44682</v>
      </c>
      <c r="J602" s="6">
        <v>0</v>
      </c>
      <c r="K602" s="6">
        <v>0</v>
      </c>
      <c r="L602" s="6">
        <v>13.596</v>
      </c>
      <c r="M602" s="6">
        <v>13.596</v>
      </c>
      <c r="N602" s="6">
        <v>13.596</v>
      </c>
      <c r="O602" s="6">
        <v>13.596</v>
      </c>
      <c r="P602" s="6">
        <v>0</v>
      </c>
      <c r="Q602" s="4" t="s">
        <v>26</v>
      </c>
      <c r="R602" s="4">
        <v>0</v>
      </c>
      <c r="S602" s="6">
        <v>0</v>
      </c>
      <c r="T602" s="6">
        <v>24</v>
      </c>
      <c r="U602" s="6">
        <v>79</v>
      </c>
      <c r="V602" s="6">
        <f>IF(ISERROR(VLOOKUP($S$602,'TAR FIN'!$A$1:$O$108,15,0)),0,VLOOKUP($S$602,'TAR FIN'!$A$1:$O$108,15,0))</f>
        <v>0</v>
      </c>
      <c r="W602" s="6">
        <f>IF(ISERROR(VLOOKUP($T$602,'TAR FIN'!$A$1:$O$108,15,0)),0,VLOOKUP($T$602,'TAR FIN'!$A$1:$O$108,15,0))</f>
        <v>322.94</v>
      </c>
      <c r="X602" s="6">
        <f>IF(ISERROR(VLOOKUP($U$602,'TAR FIN'!$A$1:$O$108,15,0)),0,VLOOKUP($U$602,'TAR FIN'!$A$1:$O$108,15,0))</f>
        <v>103.1</v>
      </c>
      <c r="Y602" s="6"/>
      <c r="Z602" s="6">
        <f ca="1">('TUSD BE'!$AM$35+'TUSD BF'!$AM$35+'TUSD CVA'!$AM$35)*1</f>
        <v>392.60303123039864</v>
      </c>
      <c r="AA602" s="6">
        <f>('TE BE'!$AB$15+'TE BF'!$AB$15+'TE CVA'!$AB$15)*1</f>
        <v>215.60278025898469</v>
      </c>
      <c r="AB602" s="6">
        <f>$K$602*$V$602</f>
        <v>0</v>
      </c>
      <c r="AC602" s="6">
        <f>$M$602*$W$602</f>
        <v>4390.6922400000003</v>
      </c>
      <c r="AD602" s="6">
        <f>$O$602*$X$602</f>
        <v>1401.7475999999999</v>
      </c>
      <c r="AE602" s="6">
        <f>$K$602*$Y$602</f>
        <v>0</v>
      </c>
      <c r="AF602" s="6">
        <f ca="1">$M$602*$Z$602</f>
        <v>5337.8308126085003</v>
      </c>
      <c r="AG602" s="6">
        <f>$O$602*$AA$602</f>
        <v>2931.3354004011558</v>
      </c>
    </row>
    <row r="603" spans="1:33" ht="11.25" customHeight="1" x14ac:dyDescent="0.25">
      <c r="A603" s="4" t="s">
        <v>21</v>
      </c>
      <c r="B603" s="4" t="s">
        <v>22</v>
      </c>
      <c r="C603" s="4" t="s">
        <v>33</v>
      </c>
      <c r="D603" s="4" t="s">
        <v>24</v>
      </c>
      <c r="E603" s="4" t="s">
        <v>24</v>
      </c>
      <c r="F603" s="4" t="s">
        <v>25</v>
      </c>
      <c r="G603" s="4" t="s">
        <v>25</v>
      </c>
      <c r="H603" s="4" t="s">
        <v>35</v>
      </c>
      <c r="I603" s="5">
        <v>44713</v>
      </c>
      <c r="J603" s="6">
        <v>0</v>
      </c>
      <c r="K603" s="6">
        <v>0</v>
      </c>
      <c r="L603" s="6">
        <v>19.535</v>
      </c>
      <c r="M603" s="6">
        <v>19.535</v>
      </c>
      <c r="N603" s="6">
        <v>19.535</v>
      </c>
      <c r="O603" s="6">
        <v>19.535</v>
      </c>
      <c r="P603" s="6">
        <v>0</v>
      </c>
      <c r="Q603" s="4" t="s">
        <v>26</v>
      </c>
      <c r="R603" s="4">
        <v>0</v>
      </c>
      <c r="S603" s="6">
        <v>0</v>
      </c>
      <c r="T603" s="6">
        <v>24</v>
      </c>
      <c r="U603" s="6">
        <v>79</v>
      </c>
      <c r="V603" s="6">
        <f>IF(ISERROR(VLOOKUP($S$603,'TAR FIN'!$A$1:$O$108,15,0)),0,VLOOKUP($S$603,'TAR FIN'!$A$1:$O$108,15,0))</f>
        <v>0</v>
      </c>
      <c r="W603" s="6">
        <f>IF(ISERROR(VLOOKUP($T$603,'TAR FIN'!$A$1:$O$108,15,0)),0,VLOOKUP($T$603,'TAR FIN'!$A$1:$O$108,15,0))</f>
        <v>322.94</v>
      </c>
      <c r="X603" s="6">
        <f>IF(ISERROR(VLOOKUP($U$603,'TAR FIN'!$A$1:$O$108,15,0)),0,VLOOKUP($U$603,'TAR FIN'!$A$1:$O$108,15,0))</f>
        <v>103.1</v>
      </c>
      <c r="Y603" s="6"/>
      <c r="Z603" s="6">
        <f ca="1">('TUSD BE'!$AM$35+'TUSD BF'!$AM$35+'TUSD CVA'!$AM$35)*1</f>
        <v>392.60303123039864</v>
      </c>
      <c r="AA603" s="6">
        <f>('TE BE'!$AB$15+'TE BF'!$AB$15+'TE CVA'!$AB$15)*1</f>
        <v>215.60278025898469</v>
      </c>
      <c r="AB603" s="6">
        <f>$K$603*$V$603</f>
        <v>0</v>
      </c>
      <c r="AC603" s="6">
        <f>$M$603*$W$603</f>
        <v>6308.6328999999996</v>
      </c>
      <c r="AD603" s="6">
        <f>$O$603*$X$603</f>
        <v>2014.0584999999999</v>
      </c>
      <c r="AE603" s="6">
        <f>$K$603*$Y$603</f>
        <v>0</v>
      </c>
      <c r="AF603" s="6">
        <f ca="1">$M$603*$Z$603</f>
        <v>7669.5002150858372</v>
      </c>
      <c r="AG603" s="6">
        <f>$O$603*$AA$603</f>
        <v>4211.8003123592662</v>
      </c>
    </row>
    <row r="604" spans="1:33" ht="11.25" customHeight="1" x14ac:dyDescent="0.25">
      <c r="A604" s="4" t="s">
        <v>21</v>
      </c>
      <c r="B604" s="4" t="s">
        <v>22</v>
      </c>
      <c r="C604" s="4" t="s">
        <v>33</v>
      </c>
      <c r="D604" s="4" t="s">
        <v>24</v>
      </c>
      <c r="E604" s="4" t="s">
        <v>24</v>
      </c>
      <c r="F604" s="4" t="s">
        <v>25</v>
      </c>
      <c r="G604" s="4" t="s">
        <v>25</v>
      </c>
      <c r="H604" s="4" t="s">
        <v>35</v>
      </c>
      <c r="I604" s="5">
        <v>44743</v>
      </c>
      <c r="J604" s="6">
        <v>0</v>
      </c>
      <c r="K604" s="6">
        <v>0</v>
      </c>
      <c r="L604" s="6">
        <v>28.166</v>
      </c>
      <c r="M604" s="6">
        <v>28.166</v>
      </c>
      <c r="N604" s="6">
        <v>28.166</v>
      </c>
      <c r="O604" s="6">
        <v>28.166</v>
      </c>
      <c r="P604" s="6">
        <v>0</v>
      </c>
      <c r="Q604" s="4" t="s">
        <v>26</v>
      </c>
      <c r="R604" s="4">
        <v>0</v>
      </c>
      <c r="S604" s="6">
        <v>0</v>
      </c>
      <c r="T604" s="6">
        <v>24</v>
      </c>
      <c r="U604" s="6">
        <v>79</v>
      </c>
      <c r="V604" s="6">
        <f>IF(ISERROR(VLOOKUP($S$604,'TAR FIN'!$A$1:$O$108,15,0)),0,VLOOKUP($S$604,'TAR FIN'!$A$1:$O$108,15,0))</f>
        <v>0</v>
      </c>
      <c r="W604" s="6">
        <f>IF(ISERROR(VLOOKUP($T$604,'TAR FIN'!$A$1:$O$108,15,0)),0,VLOOKUP($T$604,'TAR FIN'!$A$1:$O$108,15,0))</f>
        <v>322.94</v>
      </c>
      <c r="X604" s="6">
        <f>IF(ISERROR(VLOOKUP($U$604,'TAR FIN'!$A$1:$O$108,15,0)),0,VLOOKUP($U$604,'TAR FIN'!$A$1:$O$108,15,0))</f>
        <v>103.1</v>
      </c>
      <c r="Y604" s="6"/>
      <c r="Z604" s="6">
        <f ca="1">('TUSD BE'!$AM$35+'TUSD BF'!$AM$35+'TUSD CVA'!$AM$35)*1</f>
        <v>392.60303123039864</v>
      </c>
      <c r="AA604" s="6">
        <f>('TE BE'!$AB$15+'TE BF'!$AB$15+'TE CVA'!$AB$15)*1</f>
        <v>215.60278025898469</v>
      </c>
      <c r="AB604" s="6">
        <f>$K$604*$V$604</f>
        <v>0</v>
      </c>
      <c r="AC604" s="6">
        <f>$M$604*$W$604</f>
        <v>9095.9280400000007</v>
      </c>
      <c r="AD604" s="6">
        <f>$O$604*$X$604</f>
        <v>2903.9146000000001</v>
      </c>
      <c r="AE604" s="6">
        <f>$K$604*$Y$604</f>
        <v>0</v>
      </c>
      <c r="AF604" s="6">
        <f ca="1">$M$604*$Z$604</f>
        <v>11058.056977635408</v>
      </c>
      <c r="AG604" s="6">
        <f>$O$604*$AA$604</f>
        <v>6072.6679087745633</v>
      </c>
    </row>
    <row r="605" spans="1:33" ht="11.25" customHeight="1" x14ac:dyDescent="0.25">
      <c r="A605" s="4" t="s">
        <v>27</v>
      </c>
      <c r="B605" s="4" t="s">
        <v>22</v>
      </c>
      <c r="C605" s="4" t="s">
        <v>33</v>
      </c>
      <c r="D605" s="4" t="s">
        <v>24</v>
      </c>
      <c r="E605" s="4" t="s">
        <v>24</v>
      </c>
      <c r="F605" s="4" t="s">
        <v>25</v>
      </c>
      <c r="G605" s="4" t="s">
        <v>25</v>
      </c>
      <c r="H605" s="4" t="s">
        <v>35</v>
      </c>
      <c r="I605" s="5">
        <v>44743</v>
      </c>
      <c r="J605" s="6">
        <v>0</v>
      </c>
      <c r="K605" s="6">
        <v>0</v>
      </c>
      <c r="L605" s="6">
        <v>-1.6970000000000001</v>
      </c>
      <c r="M605" s="6">
        <v>-1.6970000000000001</v>
      </c>
      <c r="N605" s="6">
        <v>-1.6970000000000001</v>
      </c>
      <c r="O605" s="6">
        <v>-1.6970000000000001</v>
      </c>
      <c r="P605" s="6">
        <v>0</v>
      </c>
      <c r="Q605" s="4" t="s">
        <v>26</v>
      </c>
      <c r="R605" s="4">
        <v>0</v>
      </c>
      <c r="S605" s="6">
        <v>0</v>
      </c>
      <c r="T605" s="6">
        <v>24</v>
      </c>
      <c r="U605" s="6">
        <v>79</v>
      </c>
      <c r="V605" s="6">
        <f>IF(ISERROR(VLOOKUP($S$605,'TAR FIN'!$A$1:$O$108,15,0)),0,VLOOKUP($S$605,'TAR FIN'!$A$1:$O$108,15,0))</f>
        <v>0</v>
      </c>
      <c r="W605" s="6">
        <f>IF(ISERROR(VLOOKUP($T$605,'TAR FIN'!$A$1:$O$108,15,0)),0,VLOOKUP($T$605,'TAR FIN'!$A$1:$O$108,15,0))</f>
        <v>322.94</v>
      </c>
      <c r="X605" s="6">
        <f>IF(ISERROR(VLOOKUP($U$605,'TAR FIN'!$A$1:$O$108,15,0)),0,VLOOKUP($U$605,'TAR FIN'!$A$1:$O$108,15,0))</f>
        <v>103.1</v>
      </c>
      <c r="Y605" s="6"/>
      <c r="Z605" s="6">
        <f ca="1">('TUSD BE'!$AM$35+'TUSD BF'!$AM$35+'TUSD CVA'!$AM$35)*1</f>
        <v>392.60303123039864</v>
      </c>
      <c r="AA605" s="6">
        <f>('TE BE'!$AB$15+'TE BF'!$AB$15+'TE CVA'!$AB$15)*1</f>
        <v>215.60278025898469</v>
      </c>
      <c r="AB605" s="6">
        <f>$K$605*$V$605</f>
        <v>0</v>
      </c>
      <c r="AC605" s="6">
        <f>$M$605*$W$605</f>
        <v>-548.02918</v>
      </c>
      <c r="AD605" s="6">
        <f>$O$605*$X$605</f>
        <v>-174.9607</v>
      </c>
      <c r="AE605" s="6">
        <f>$K$605*$Y$605</f>
        <v>0</v>
      </c>
      <c r="AF605" s="6">
        <f ca="1">$M$605*$Z$605</f>
        <v>-666.24734399798649</v>
      </c>
      <c r="AG605" s="6">
        <f>$O$605*$AA$605</f>
        <v>-365.87791809949704</v>
      </c>
    </row>
    <row r="606" spans="1:33" ht="11.25" customHeight="1" x14ac:dyDescent="0.25">
      <c r="A606" s="4" t="s">
        <v>21</v>
      </c>
      <c r="B606" s="4" t="s">
        <v>22</v>
      </c>
      <c r="C606" s="4" t="s">
        <v>33</v>
      </c>
      <c r="D606" s="4" t="s">
        <v>24</v>
      </c>
      <c r="E606" s="4" t="s">
        <v>24</v>
      </c>
      <c r="F606" s="4" t="s">
        <v>25</v>
      </c>
      <c r="G606" s="4" t="s">
        <v>25</v>
      </c>
      <c r="H606" s="4" t="s">
        <v>35</v>
      </c>
      <c r="I606" s="5">
        <v>44774</v>
      </c>
      <c r="J606" s="6">
        <v>0</v>
      </c>
      <c r="K606" s="6">
        <v>0</v>
      </c>
      <c r="L606" s="6">
        <v>15.554</v>
      </c>
      <c r="M606" s="6">
        <v>15.554</v>
      </c>
      <c r="N606" s="6">
        <v>15.554</v>
      </c>
      <c r="O606" s="6">
        <v>15.554</v>
      </c>
      <c r="P606" s="6">
        <v>0</v>
      </c>
      <c r="Q606" s="4" t="s">
        <v>26</v>
      </c>
      <c r="R606" s="4">
        <v>0</v>
      </c>
      <c r="S606" s="6">
        <v>0</v>
      </c>
      <c r="T606" s="6">
        <v>24</v>
      </c>
      <c r="U606" s="6">
        <v>79</v>
      </c>
      <c r="V606" s="6">
        <f>IF(ISERROR(VLOOKUP($S$606,'TAR FIN'!$A$1:$O$108,15,0)),0,VLOOKUP($S$606,'TAR FIN'!$A$1:$O$108,15,0))</f>
        <v>0</v>
      </c>
      <c r="W606" s="6">
        <f>IF(ISERROR(VLOOKUP($T$606,'TAR FIN'!$A$1:$O$108,15,0)),0,VLOOKUP($T$606,'TAR FIN'!$A$1:$O$108,15,0))</f>
        <v>322.94</v>
      </c>
      <c r="X606" s="6">
        <f>IF(ISERROR(VLOOKUP($U$606,'TAR FIN'!$A$1:$O$108,15,0)),0,VLOOKUP($U$606,'TAR FIN'!$A$1:$O$108,15,0))</f>
        <v>103.1</v>
      </c>
      <c r="Y606" s="6"/>
      <c r="Z606" s="6">
        <f ca="1">('TUSD BE'!$AM$35+'TUSD BF'!$AM$35+'TUSD CVA'!$AM$35)*1</f>
        <v>392.60303123039864</v>
      </c>
      <c r="AA606" s="6">
        <f>('TE BE'!$AB$15+'TE BF'!$AB$15+'TE CVA'!$AB$15)*1</f>
        <v>215.60278025898469</v>
      </c>
      <c r="AB606" s="6">
        <f>$K$606*$V$606</f>
        <v>0</v>
      </c>
      <c r="AC606" s="6">
        <f>$M$606*$W$606</f>
        <v>5023.0087599999997</v>
      </c>
      <c r="AD606" s="6">
        <f>$O$606*$X$606</f>
        <v>1603.6173999999999</v>
      </c>
      <c r="AE606" s="6">
        <f>$K$606*$Y$606</f>
        <v>0</v>
      </c>
      <c r="AF606" s="6">
        <f ca="1">$M$606*$Z$606</f>
        <v>6106.547547757621</v>
      </c>
      <c r="AG606" s="6">
        <f>$O$606*$AA$606</f>
        <v>3353.485644148248</v>
      </c>
    </row>
    <row r="607" spans="1:33" ht="11.25" customHeight="1" x14ac:dyDescent="0.25">
      <c r="A607" s="4" t="s">
        <v>27</v>
      </c>
      <c r="B607" s="4" t="s">
        <v>22</v>
      </c>
      <c r="C607" s="4" t="s">
        <v>33</v>
      </c>
      <c r="D607" s="4" t="s">
        <v>24</v>
      </c>
      <c r="E607" s="4" t="s">
        <v>24</v>
      </c>
      <c r="F607" s="4" t="s">
        <v>25</v>
      </c>
      <c r="G607" s="4" t="s">
        <v>25</v>
      </c>
      <c r="H607" s="4" t="s">
        <v>35</v>
      </c>
      <c r="I607" s="5">
        <v>44774</v>
      </c>
      <c r="J607" s="6">
        <v>0</v>
      </c>
      <c r="K607" s="6">
        <v>0</v>
      </c>
      <c r="L607" s="6">
        <v>-15.247</v>
      </c>
      <c r="M607" s="6">
        <v>-15.247</v>
      </c>
      <c r="N607" s="6">
        <v>-15.247</v>
      </c>
      <c r="O607" s="6">
        <v>-15.247</v>
      </c>
      <c r="P607" s="6">
        <v>0</v>
      </c>
      <c r="Q607" s="4" t="s">
        <v>26</v>
      </c>
      <c r="R607" s="4">
        <v>0</v>
      </c>
      <c r="S607" s="6">
        <v>0</v>
      </c>
      <c r="T607" s="6">
        <v>24</v>
      </c>
      <c r="U607" s="6">
        <v>79</v>
      </c>
      <c r="V607" s="6">
        <f>IF(ISERROR(VLOOKUP($S$607,'TAR FIN'!$A$1:$O$108,15,0)),0,VLOOKUP($S$607,'TAR FIN'!$A$1:$O$108,15,0))</f>
        <v>0</v>
      </c>
      <c r="W607" s="6">
        <f>IF(ISERROR(VLOOKUP($T$607,'TAR FIN'!$A$1:$O$108,15,0)),0,VLOOKUP($T$607,'TAR FIN'!$A$1:$O$108,15,0))</f>
        <v>322.94</v>
      </c>
      <c r="X607" s="6">
        <f>IF(ISERROR(VLOOKUP($U$607,'TAR FIN'!$A$1:$O$108,15,0)),0,VLOOKUP($U$607,'TAR FIN'!$A$1:$O$108,15,0))</f>
        <v>103.1</v>
      </c>
      <c r="Y607" s="6"/>
      <c r="Z607" s="6">
        <f ca="1">('TUSD BE'!$AM$35+'TUSD BF'!$AM$35+'TUSD CVA'!$AM$35)*1</f>
        <v>392.60303123039864</v>
      </c>
      <c r="AA607" s="6">
        <f>('TE BE'!$AB$15+'TE BF'!$AB$15+'TE CVA'!$AB$15)*1</f>
        <v>215.60278025898469</v>
      </c>
      <c r="AB607" s="6">
        <f>$K$607*$V$607</f>
        <v>0</v>
      </c>
      <c r="AC607" s="6">
        <f>$M$607*$W$607</f>
        <v>-4923.86618</v>
      </c>
      <c r="AD607" s="6">
        <f>$O$607*$X$607</f>
        <v>-1571.9657</v>
      </c>
      <c r="AE607" s="6">
        <f>$K$607*$Y$607</f>
        <v>0</v>
      </c>
      <c r="AF607" s="6">
        <f ca="1">$M$607*$Z$607</f>
        <v>-5986.0184171698884</v>
      </c>
      <c r="AG607" s="6">
        <f>$O$607*$AA$607</f>
        <v>-3287.2955906087395</v>
      </c>
    </row>
    <row r="608" spans="1:33" ht="11.25" customHeight="1" x14ac:dyDescent="0.25">
      <c r="A608" s="4" t="s">
        <v>21</v>
      </c>
      <c r="B608" s="4" t="s">
        <v>22</v>
      </c>
      <c r="C608" s="4" t="s">
        <v>33</v>
      </c>
      <c r="D608" s="4" t="s">
        <v>24</v>
      </c>
      <c r="E608" s="4" t="s">
        <v>24</v>
      </c>
      <c r="F608" s="4" t="s">
        <v>25</v>
      </c>
      <c r="G608" s="4" t="s">
        <v>25</v>
      </c>
      <c r="H608" s="4" t="s">
        <v>35</v>
      </c>
      <c r="I608" s="5">
        <v>44805</v>
      </c>
      <c r="J608" s="6">
        <v>0</v>
      </c>
      <c r="K608" s="6">
        <v>0</v>
      </c>
      <c r="L608" s="6">
        <v>19.670000000000002</v>
      </c>
      <c r="M608" s="6">
        <v>19.670000000000002</v>
      </c>
      <c r="N608" s="6">
        <v>19.670000000000002</v>
      </c>
      <c r="O608" s="6">
        <v>19.670000000000002</v>
      </c>
      <c r="P608" s="6">
        <v>0</v>
      </c>
      <c r="Q608" s="4" t="s">
        <v>26</v>
      </c>
      <c r="R608" s="4">
        <v>0</v>
      </c>
      <c r="S608" s="6">
        <v>0</v>
      </c>
      <c r="T608" s="6">
        <v>24</v>
      </c>
      <c r="U608" s="6">
        <v>79</v>
      </c>
      <c r="V608" s="6">
        <f>IF(ISERROR(VLOOKUP($S$608,'TAR FIN'!$A$1:$O$108,15,0)),0,VLOOKUP($S$608,'TAR FIN'!$A$1:$O$108,15,0))</f>
        <v>0</v>
      </c>
      <c r="W608" s="6">
        <f>IF(ISERROR(VLOOKUP($T$608,'TAR FIN'!$A$1:$O$108,15,0)),0,VLOOKUP($T$608,'TAR FIN'!$A$1:$O$108,15,0))</f>
        <v>322.94</v>
      </c>
      <c r="X608" s="6">
        <f>IF(ISERROR(VLOOKUP($U$608,'TAR FIN'!$A$1:$O$108,15,0)),0,VLOOKUP($U$608,'TAR FIN'!$A$1:$O$108,15,0))</f>
        <v>103.1</v>
      </c>
      <c r="Y608" s="6"/>
      <c r="Z608" s="6">
        <f ca="1">('TUSD BE'!$AM$35+'TUSD BF'!$AM$35+'TUSD CVA'!$AM$35)*1</f>
        <v>392.60303123039864</v>
      </c>
      <c r="AA608" s="6">
        <f>('TE BE'!$AB$15+'TE BF'!$AB$15+'TE CVA'!$AB$15)*1</f>
        <v>215.60278025898469</v>
      </c>
      <c r="AB608" s="6">
        <f>$K$608*$V$608</f>
        <v>0</v>
      </c>
      <c r="AC608" s="6">
        <f>$M$608*$W$608</f>
        <v>6352.2298000000001</v>
      </c>
      <c r="AD608" s="6">
        <f>$O$608*$X$608</f>
        <v>2027.9770000000001</v>
      </c>
      <c r="AE608" s="6">
        <f>$K$608*$Y$608</f>
        <v>0</v>
      </c>
      <c r="AF608" s="6">
        <f ca="1">$M$608*$Z$608</f>
        <v>7722.5016243019418</v>
      </c>
      <c r="AG608" s="6">
        <f>$O$608*$AA$608</f>
        <v>4240.9066876942297</v>
      </c>
    </row>
    <row r="609" spans="1:33" ht="11.25" customHeight="1" x14ac:dyDescent="0.25">
      <c r="A609" s="4" t="s">
        <v>21</v>
      </c>
      <c r="B609" s="4" t="s">
        <v>22</v>
      </c>
      <c r="C609" s="4" t="s">
        <v>33</v>
      </c>
      <c r="D609" s="4" t="s">
        <v>24</v>
      </c>
      <c r="E609" s="4" t="s">
        <v>24</v>
      </c>
      <c r="F609" s="4" t="s">
        <v>25</v>
      </c>
      <c r="G609" s="4" t="s">
        <v>25</v>
      </c>
      <c r="H609" s="4" t="s">
        <v>35</v>
      </c>
      <c r="I609" s="5">
        <v>44835</v>
      </c>
      <c r="J609" s="6">
        <v>0</v>
      </c>
      <c r="K609" s="6">
        <v>0</v>
      </c>
      <c r="L609" s="6">
        <v>19.352</v>
      </c>
      <c r="M609" s="6">
        <v>19.352</v>
      </c>
      <c r="N609" s="6">
        <v>19.352</v>
      </c>
      <c r="O609" s="6">
        <v>19.352</v>
      </c>
      <c r="P609" s="6">
        <v>0</v>
      </c>
      <c r="Q609" s="4" t="s">
        <v>26</v>
      </c>
      <c r="R609" s="4">
        <v>0</v>
      </c>
      <c r="S609" s="6">
        <v>0</v>
      </c>
      <c r="T609" s="6">
        <v>24</v>
      </c>
      <c r="U609" s="6">
        <v>79</v>
      </c>
      <c r="V609" s="6">
        <f>IF(ISERROR(VLOOKUP($S$609,'TAR FIN'!$A$1:$O$108,15,0)),0,VLOOKUP($S$609,'TAR FIN'!$A$1:$O$108,15,0))</f>
        <v>0</v>
      </c>
      <c r="W609" s="6">
        <f>IF(ISERROR(VLOOKUP($T$609,'TAR FIN'!$A$1:$O$108,15,0)),0,VLOOKUP($T$609,'TAR FIN'!$A$1:$O$108,15,0))</f>
        <v>322.94</v>
      </c>
      <c r="X609" s="6">
        <f>IF(ISERROR(VLOOKUP($U$609,'TAR FIN'!$A$1:$O$108,15,0)),0,VLOOKUP($U$609,'TAR FIN'!$A$1:$O$108,15,0))</f>
        <v>103.1</v>
      </c>
      <c r="Y609" s="6"/>
      <c r="Z609" s="6">
        <f ca="1">('TUSD BE'!$AM$35+'TUSD BF'!$AM$35+'TUSD CVA'!$AM$35)*1</f>
        <v>392.60303123039864</v>
      </c>
      <c r="AA609" s="6">
        <f>('TE BE'!$AB$15+'TE BF'!$AB$15+'TE CVA'!$AB$15)*1</f>
        <v>215.60278025898469</v>
      </c>
      <c r="AB609" s="6">
        <f>$K$609*$V$609</f>
        <v>0</v>
      </c>
      <c r="AC609" s="6">
        <f>$M$609*$W$609</f>
        <v>6249.5348800000002</v>
      </c>
      <c r="AD609" s="6">
        <f>$O$609*$X$609</f>
        <v>1995.1912</v>
      </c>
      <c r="AE609" s="6">
        <f>$K$609*$Y$609</f>
        <v>0</v>
      </c>
      <c r="AF609" s="6">
        <f ca="1">$M$609*$Z$609</f>
        <v>7597.6538603706749</v>
      </c>
      <c r="AG609" s="6">
        <f>$O$609*$AA$609</f>
        <v>4172.3450035718715</v>
      </c>
    </row>
    <row r="610" spans="1:33" ht="11.25" customHeight="1" x14ac:dyDescent="0.25">
      <c r="A610" s="4" t="s">
        <v>54</v>
      </c>
      <c r="B610" s="4" t="s">
        <v>22</v>
      </c>
      <c r="C610" s="4" t="s">
        <v>33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35</v>
      </c>
      <c r="I610" s="5">
        <v>44866</v>
      </c>
      <c r="J610" s="6">
        <v>0</v>
      </c>
      <c r="K610" s="6">
        <v>0</v>
      </c>
      <c r="L610" s="6">
        <v>19.352</v>
      </c>
      <c r="M610" s="6">
        <v>19.352</v>
      </c>
      <c r="N610" s="6">
        <v>19.352</v>
      </c>
      <c r="O610" s="6">
        <v>19.352</v>
      </c>
      <c r="P610" s="6">
        <v>0</v>
      </c>
      <c r="Q610" s="4" t="s">
        <v>26</v>
      </c>
      <c r="R610" s="4">
        <v>0</v>
      </c>
      <c r="S610" s="6">
        <v>0</v>
      </c>
      <c r="T610" s="6">
        <v>24</v>
      </c>
      <c r="U610" s="6">
        <v>79</v>
      </c>
      <c r="V610" s="6">
        <f>IF(ISERROR(VLOOKUP($S$610,'TAR FIN'!$A$1:$O$108,15,0)),0,VLOOKUP($S$610,'TAR FIN'!$A$1:$O$108,15,0))</f>
        <v>0</v>
      </c>
      <c r="W610" s="6">
        <f>IF(ISERROR(VLOOKUP($T$610,'TAR FIN'!$A$1:$O$108,15,0)),0,VLOOKUP($T$610,'TAR FIN'!$A$1:$O$108,15,0))</f>
        <v>322.94</v>
      </c>
      <c r="X610" s="6">
        <f>IF(ISERROR(VLOOKUP($U$610,'TAR FIN'!$A$1:$O$108,15,0)),0,VLOOKUP($U$610,'TAR FIN'!$A$1:$O$108,15,0))</f>
        <v>103.1</v>
      </c>
      <c r="Y610" s="6"/>
      <c r="Z610" s="6">
        <f ca="1">('TUSD BE'!$AM$35+'TUSD BF'!$AM$35+'TUSD CVA'!$AM$35)*1</f>
        <v>392.60303123039864</v>
      </c>
      <c r="AA610" s="6">
        <f>('TE BE'!$AB$15+'TE BF'!$AB$15+'TE CVA'!$AB$15)*1</f>
        <v>215.60278025898469</v>
      </c>
      <c r="AB610" s="6">
        <f>$K$610*$V$610</f>
        <v>0</v>
      </c>
      <c r="AC610" s="6">
        <f>$M$610*$W$610</f>
        <v>6249.5348800000002</v>
      </c>
      <c r="AD610" s="6">
        <f>$O$610*$X$610</f>
        <v>1995.1912</v>
      </c>
      <c r="AE610" s="6">
        <f>$K$610*$Y$610</f>
        <v>0</v>
      </c>
      <c r="AF610" s="6">
        <f ca="1">$M$610*$Z$610</f>
        <v>7597.6538603706749</v>
      </c>
      <c r="AG610" s="6">
        <f>$O$610*$AA$610</f>
        <v>4172.3450035718715</v>
      </c>
    </row>
    <row r="611" spans="1:33" ht="11.25" customHeight="1" x14ac:dyDescent="0.25">
      <c r="A611" s="4" t="s">
        <v>21</v>
      </c>
      <c r="B611" s="4" t="s">
        <v>22</v>
      </c>
      <c r="C611" s="4" t="s">
        <v>33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36</v>
      </c>
      <c r="I611" s="5">
        <v>44531</v>
      </c>
      <c r="J611" s="6">
        <v>0</v>
      </c>
      <c r="K611" s="6">
        <v>0</v>
      </c>
      <c r="L611" s="6">
        <v>1.462</v>
      </c>
      <c r="M611" s="6">
        <v>1.462</v>
      </c>
      <c r="N611" s="6">
        <v>1.462</v>
      </c>
      <c r="O611" s="6">
        <v>1.462</v>
      </c>
      <c r="P611" s="6">
        <v>0</v>
      </c>
      <c r="Q611" s="4" t="s">
        <v>26</v>
      </c>
      <c r="R611" s="4">
        <v>0</v>
      </c>
      <c r="S611" s="6">
        <v>0</v>
      </c>
      <c r="T611" s="6">
        <v>21</v>
      </c>
      <c r="U611" s="6">
        <v>78</v>
      </c>
      <c r="V611" s="6">
        <f>IF(ISERROR(VLOOKUP($S$611,'TAR FIN'!$A$1:$O$108,15,0)),0,VLOOKUP($S$611,'TAR FIN'!$A$1:$O$108,15,0))</f>
        <v>0</v>
      </c>
      <c r="W611" s="6">
        <f>IF(ISERROR(VLOOKUP($T$611,'TAR FIN'!$A$1:$O$108,15,0)),0,VLOOKUP($T$611,'TAR FIN'!$A$1:$O$108,15,0))</f>
        <v>728.11</v>
      </c>
      <c r="X611" s="6">
        <f>IF(ISERROR(VLOOKUP($U$611,'TAR FIN'!$A$1:$O$108,15,0)),0,VLOOKUP($U$611,'TAR FIN'!$A$1:$O$108,15,0))</f>
        <v>103.1</v>
      </c>
      <c r="Y611" s="6"/>
      <c r="Z611" s="6">
        <f ca="1">('TUSD BE'!$AM$34+'TUSD BF'!$AM$34+'TUSD CVA'!$AM$34)*1</f>
        <v>781.0767281755011</v>
      </c>
      <c r="AA611" s="6">
        <f>('TE BE'!$AB$14+'TE BF'!$AB$14+'TE CVA'!$AB$14)*1</f>
        <v>215.60278025898469</v>
      </c>
      <c r="AB611" s="6">
        <f>$K$611*$V$611</f>
        <v>0</v>
      </c>
      <c r="AC611" s="6">
        <f>$M$611*$W$611</f>
        <v>1064.4968200000001</v>
      </c>
      <c r="AD611" s="6">
        <f>$O$611*$X$611</f>
        <v>150.73219999999998</v>
      </c>
      <c r="AE611" s="6">
        <f>$K$611*$Y$611</f>
        <v>0</v>
      </c>
      <c r="AF611" s="6">
        <f ca="1">$M$611*$Z$611</f>
        <v>1141.9341765925826</v>
      </c>
      <c r="AG611" s="6">
        <f>$O$611*$AA$611</f>
        <v>315.21126473863563</v>
      </c>
    </row>
    <row r="612" spans="1:33" ht="11.25" customHeight="1" x14ac:dyDescent="0.25">
      <c r="A612" s="4" t="s">
        <v>21</v>
      </c>
      <c r="B612" s="4" t="s">
        <v>22</v>
      </c>
      <c r="C612" s="4" t="s">
        <v>33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36</v>
      </c>
      <c r="I612" s="5">
        <v>44562</v>
      </c>
      <c r="J612" s="6">
        <v>0</v>
      </c>
      <c r="K612" s="6">
        <v>0</v>
      </c>
      <c r="L612" s="6">
        <v>1.05</v>
      </c>
      <c r="M612" s="6">
        <v>1.05</v>
      </c>
      <c r="N612" s="6">
        <v>1.05</v>
      </c>
      <c r="O612" s="6">
        <v>1.05</v>
      </c>
      <c r="P612" s="6">
        <v>0</v>
      </c>
      <c r="Q612" s="4" t="s">
        <v>26</v>
      </c>
      <c r="R612" s="4">
        <v>0</v>
      </c>
      <c r="S612" s="6">
        <v>0</v>
      </c>
      <c r="T612" s="6">
        <v>21</v>
      </c>
      <c r="U612" s="6">
        <v>78</v>
      </c>
      <c r="V612" s="6">
        <f>IF(ISERROR(VLOOKUP($S$612,'TAR FIN'!$A$1:$O$108,15,0)),0,VLOOKUP($S$612,'TAR FIN'!$A$1:$O$108,15,0))</f>
        <v>0</v>
      </c>
      <c r="W612" s="6">
        <f>IF(ISERROR(VLOOKUP($T$612,'TAR FIN'!$A$1:$O$108,15,0)),0,VLOOKUP($T$612,'TAR FIN'!$A$1:$O$108,15,0))</f>
        <v>728.11</v>
      </c>
      <c r="X612" s="6">
        <f>IF(ISERROR(VLOOKUP($U$612,'TAR FIN'!$A$1:$O$108,15,0)),0,VLOOKUP($U$612,'TAR FIN'!$A$1:$O$108,15,0))</f>
        <v>103.1</v>
      </c>
      <c r="Y612" s="6"/>
      <c r="Z612" s="6">
        <f ca="1">('TUSD BE'!$AM$34+'TUSD BF'!$AM$34+'TUSD CVA'!$AM$34)*1</f>
        <v>781.0767281755011</v>
      </c>
      <c r="AA612" s="6">
        <f>('TE BE'!$AB$14+'TE BF'!$AB$14+'TE CVA'!$AB$14)*1</f>
        <v>215.60278025898469</v>
      </c>
      <c r="AB612" s="6">
        <f>$K$612*$V$612</f>
        <v>0</v>
      </c>
      <c r="AC612" s="6">
        <f>$M$612*$W$612</f>
        <v>764.51550000000009</v>
      </c>
      <c r="AD612" s="6">
        <f>$O$612*$X$612</f>
        <v>108.255</v>
      </c>
      <c r="AE612" s="6">
        <f>$K$612*$Y$612</f>
        <v>0</v>
      </c>
      <c r="AF612" s="6">
        <f ca="1">$M$612*$Z$612</f>
        <v>820.13056458427616</v>
      </c>
      <c r="AG612" s="6">
        <f>$O$612*$AA$612</f>
        <v>226.38291927193393</v>
      </c>
    </row>
    <row r="613" spans="1:33" ht="11.25" customHeight="1" x14ac:dyDescent="0.25">
      <c r="A613" s="4" t="s">
        <v>27</v>
      </c>
      <c r="B613" s="4" t="s">
        <v>22</v>
      </c>
      <c r="C613" s="4" t="s">
        <v>33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36</v>
      </c>
      <c r="I613" s="5">
        <v>44562</v>
      </c>
      <c r="J613" s="6">
        <v>0</v>
      </c>
      <c r="K613" s="6">
        <v>0</v>
      </c>
      <c r="L613" s="6">
        <v>3.3000000000000002E-2</v>
      </c>
      <c r="M613" s="6">
        <v>3.3000000000000002E-2</v>
      </c>
      <c r="N613" s="6">
        <v>3.3000000000000002E-2</v>
      </c>
      <c r="O613" s="6">
        <v>3.3000000000000002E-2</v>
      </c>
      <c r="P613" s="6">
        <v>0</v>
      </c>
      <c r="Q613" s="4" t="s">
        <v>26</v>
      </c>
      <c r="R613" s="4">
        <v>0</v>
      </c>
      <c r="S613" s="6">
        <v>0</v>
      </c>
      <c r="T613" s="6">
        <v>21</v>
      </c>
      <c r="U613" s="6">
        <v>78</v>
      </c>
      <c r="V613" s="6">
        <f>IF(ISERROR(VLOOKUP($S$613,'TAR FIN'!$A$1:$O$108,15,0)),0,VLOOKUP($S$613,'TAR FIN'!$A$1:$O$108,15,0))</f>
        <v>0</v>
      </c>
      <c r="W613" s="6">
        <f>IF(ISERROR(VLOOKUP($T$613,'TAR FIN'!$A$1:$O$108,15,0)),0,VLOOKUP($T$613,'TAR FIN'!$A$1:$O$108,15,0))</f>
        <v>728.11</v>
      </c>
      <c r="X613" s="6">
        <f>IF(ISERROR(VLOOKUP($U$613,'TAR FIN'!$A$1:$O$108,15,0)),0,VLOOKUP($U$613,'TAR FIN'!$A$1:$O$108,15,0))</f>
        <v>103.1</v>
      </c>
      <c r="Y613" s="6"/>
      <c r="Z613" s="6">
        <f ca="1">('TUSD BE'!$AM$34+'TUSD BF'!$AM$34+'TUSD CVA'!$AM$34)*1</f>
        <v>781.0767281755011</v>
      </c>
      <c r="AA613" s="6">
        <f>('TE BE'!$AB$14+'TE BF'!$AB$14+'TE CVA'!$AB$14)*1</f>
        <v>215.60278025898469</v>
      </c>
      <c r="AB613" s="6">
        <f>$K$613*$V$613</f>
        <v>0</v>
      </c>
      <c r="AC613" s="6">
        <f>$M$613*$W$613</f>
        <v>24.027630000000002</v>
      </c>
      <c r="AD613" s="6">
        <f>$O$613*$X$613</f>
        <v>3.4022999999999999</v>
      </c>
      <c r="AE613" s="6">
        <f>$K$613*$Y$613</f>
        <v>0</v>
      </c>
      <c r="AF613" s="6">
        <f ca="1">$M$613*$Z$613</f>
        <v>25.775532029791538</v>
      </c>
      <c r="AG613" s="6">
        <f>$O$613*$AA$613</f>
        <v>7.1148917485464951</v>
      </c>
    </row>
    <row r="614" spans="1:33" ht="11.25" customHeight="1" x14ac:dyDescent="0.25">
      <c r="A614" s="4" t="s">
        <v>21</v>
      </c>
      <c r="B614" s="4" t="s">
        <v>22</v>
      </c>
      <c r="C614" s="4" t="s">
        <v>33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36</v>
      </c>
      <c r="I614" s="5">
        <v>44593</v>
      </c>
      <c r="J614" s="6">
        <v>0</v>
      </c>
      <c r="K614" s="6">
        <v>0</v>
      </c>
      <c r="L614" s="6">
        <v>0.94299999999999995</v>
      </c>
      <c r="M614" s="6">
        <v>0.94299999999999995</v>
      </c>
      <c r="N614" s="6">
        <v>0.94299999999999995</v>
      </c>
      <c r="O614" s="6">
        <v>0.94299999999999995</v>
      </c>
      <c r="P614" s="6">
        <v>0</v>
      </c>
      <c r="Q614" s="4" t="s">
        <v>26</v>
      </c>
      <c r="R614" s="4">
        <v>0</v>
      </c>
      <c r="S614" s="6">
        <v>0</v>
      </c>
      <c r="T614" s="6">
        <v>21</v>
      </c>
      <c r="U614" s="6">
        <v>78</v>
      </c>
      <c r="V614" s="6">
        <f>IF(ISERROR(VLOOKUP($S$614,'TAR FIN'!$A$1:$O$108,15,0)),0,VLOOKUP($S$614,'TAR FIN'!$A$1:$O$108,15,0))</f>
        <v>0</v>
      </c>
      <c r="W614" s="6">
        <f>IF(ISERROR(VLOOKUP($T$614,'TAR FIN'!$A$1:$O$108,15,0)),0,VLOOKUP($T$614,'TAR FIN'!$A$1:$O$108,15,0))</f>
        <v>728.11</v>
      </c>
      <c r="X614" s="6">
        <f>IF(ISERROR(VLOOKUP($U$614,'TAR FIN'!$A$1:$O$108,15,0)),0,VLOOKUP($U$614,'TAR FIN'!$A$1:$O$108,15,0))</f>
        <v>103.1</v>
      </c>
      <c r="Y614" s="6"/>
      <c r="Z614" s="6">
        <f ca="1">('TUSD BE'!$AM$34+'TUSD BF'!$AM$34+'TUSD CVA'!$AM$34)*1</f>
        <v>781.0767281755011</v>
      </c>
      <c r="AA614" s="6">
        <f>('TE BE'!$AB$14+'TE BF'!$AB$14+'TE CVA'!$AB$14)*1</f>
        <v>215.60278025898469</v>
      </c>
      <c r="AB614" s="6">
        <f>$K$614*$V$614</f>
        <v>0</v>
      </c>
      <c r="AC614" s="6">
        <f>$M$614*$W$614</f>
        <v>686.60772999999995</v>
      </c>
      <c r="AD614" s="6">
        <f>$O$614*$X$614</f>
        <v>97.223299999999995</v>
      </c>
      <c r="AE614" s="6">
        <f>$K$614*$Y$614</f>
        <v>0</v>
      </c>
      <c r="AF614" s="6">
        <f ca="1">$M$614*$Z$614</f>
        <v>736.55535466949755</v>
      </c>
      <c r="AG614" s="6">
        <f>$O$614*$AA$614</f>
        <v>203.31342178422256</v>
      </c>
    </row>
    <row r="615" spans="1:33" ht="11.25" customHeight="1" x14ac:dyDescent="0.25">
      <c r="A615" s="4" t="s">
        <v>21</v>
      </c>
      <c r="B615" s="4" t="s">
        <v>22</v>
      </c>
      <c r="C615" s="4" t="s">
        <v>33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36</v>
      </c>
      <c r="I615" s="5">
        <v>44621</v>
      </c>
      <c r="J615" s="6">
        <v>0</v>
      </c>
      <c r="K615" s="6">
        <v>0</v>
      </c>
      <c r="L615" s="6">
        <v>0.83699999999999997</v>
      </c>
      <c r="M615" s="6">
        <v>0.83699999999999997</v>
      </c>
      <c r="N615" s="6">
        <v>0.83699999999999997</v>
      </c>
      <c r="O615" s="6">
        <v>0.83699999999999997</v>
      </c>
      <c r="P615" s="6">
        <v>0</v>
      </c>
      <c r="Q615" s="4" t="s">
        <v>26</v>
      </c>
      <c r="R615" s="4">
        <v>0</v>
      </c>
      <c r="S615" s="6">
        <v>0</v>
      </c>
      <c r="T615" s="6">
        <v>21</v>
      </c>
      <c r="U615" s="6">
        <v>78</v>
      </c>
      <c r="V615" s="6">
        <f>IF(ISERROR(VLOOKUP($S$615,'TAR FIN'!$A$1:$O$108,15,0)),0,VLOOKUP($S$615,'TAR FIN'!$A$1:$O$108,15,0))</f>
        <v>0</v>
      </c>
      <c r="W615" s="6">
        <f>IF(ISERROR(VLOOKUP($T$615,'TAR FIN'!$A$1:$O$108,15,0)),0,VLOOKUP($T$615,'TAR FIN'!$A$1:$O$108,15,0))</f>
        <v>728.11</v>
      </c>
      <c r="X615" s="6">
        <f>IF(ISERROR(VLOOKUP($U$615,'TAR FIN'!$A$1:$O$108,15,0)),0,VLOOKUP($U$615,'TAR FIN'!$A$1:$O$108,15,0))</f>
        <v>103.1</v>
      </c>
      <c r="Y615" s="6"/>
      <c r="Z615" s="6">
        <f ca="1">('TUSD BE'!$AM$34+'TUSD BF'!$AM$34+'TUSD CVA'!$AM$34)*1</f>
        <v>781.0767281755011</v>
      </c>
      <c r="AA615" s="6">
        <f>('TE BE'!$AB$14+'TE BF'!$AB$14+'TE CVA'!$AB$14)*1</f>
        <v>215.60278025898469</v>
      </c>
      <c r="AB615" s="6">
        <f>$K$615*$V$615</f>
        <v>0</v>
      </c>
      <c r="AC615" s="6">
        <f>$M$615*$W$615</f>
        <v>609.42806999999993</v>
      </c>
      <c r="AD615" s="6">
        <f>$O$615*$X$615</f>
        <v>86.294699999999992</v>
      </c>
      <c r="AE615" s="6">
        <f>$K$615*$Y$615</f>
        <v>0</v>
      </c>
      <c r="AF615" s="6">
        <f ca="1">$M$615*$Z$615</f>
        <v>653.76122148289437</v>
      </c>
      <c r="AG615" s="6">
        <f>$O$615*$AA$615</f>
        <v>180.45952707677017</v>
      </c>
    </row>
    <row r="616" spans="1:33" ht="11.25" customHeight="1" x14ac:dyDescent="0.25">
      <c r="A616" s="4" t="s">
        <v>21</v>
      </c>
      <c r="B616" s="4" t="s">
        <v>22</v>
      </c>
      <c r="C616" s="4" t="s">
        <v>33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36</v>
      </c>
      <c r="I616" s="5">
        <v>44652</v>
      </c>
      <c r="J616" s="6">
        <v>0</v>
      </c>
      <c r="K616" s="6">
        <v>0</v>
      </c>
      <c r="L616" s="6">
        <v>1.002</v>
      </c>
      <c r="M616" s="6">
        <v>1.002</v>
      </c>
      <c r="N616" s="6">
        <v>1.002</v>
      </c>
      <c r="O616" s="6">
        <v>1.002</v>
      </c>
      <c r="P616" s="6">
        <v>0</v>
      </c>
      <c r="Q616" s="4" t="s">
        <v>26</v>
      </c>
      <c r="R616" s="4">
        <v>0</v>
      </c>
      <c r="S616" s="6">
        <v>0</v>
      </c>
      <c r="T616" s="6">
        <v>21</v>
      </c>
      <c r="U616" s="6">
        <v>78</v>
      </c>
      <c r="V616" s="6">
        <f>IF(ISERROR(VLOOKUP($S$616,'TAR FIN'!$A$1:$O$108,15,0)),0,VLOOKUP($S$616,'TAR FIN'!$A$1:$O$108,15,0))</f>
        <v>0</v>
      </c>
      <c r="W616" s="6">
        <f>IF(ISERROR(VLOOKUP($T$616,'TAR FIN'!$A$1:$O$108,15,0)),0,VLOOKUP($T$616,'TAR FIN'!$A$1:$O$108,15,0))</f>
        <v>728.11</v>
      </c>
      <c r="X616" s="6">
        <f>IF(ISERROR(VLOOKUP($U$616,'TAR FIN'!$A$1:$O$108,15,0)),0,VLOOKUP($U$616,'TAR FIN'!$A$1:$O$108,15,0))</f>
        <v>103.1</v>
      </c>
      <c r="Y616" s="6"/>
      <c r="Z616" s="6">
        <f ca="1">('TUSD BE'!$AM$34+'TUSD BF'!$AM$34+'TUSD CVA'!$AM$34)*1</f>
        <v>781.0767281755011</v>
      </c>
      <c r="AA616" s="6">
        <f>('TE BE'!$AB$14+'TE BF'!$AB$14+'TE CVA'!$AB$14)*1</f>
        <v>215.60278025898469</v>
      </c>
      <c r="AB616" s="6">
        <f>$K$616*$V$616</f>
        <v>0</v>
      </c>
      <c r="AC616" s="6">
        <f>$M$616*$W$616</f>
        <v>729.56622000000004</v>
      </c>
      <c r="AD616" s="6">
        <f>$O$616*$X$616</f>
        <v>103.30619999999999</v>
      </c>
      <c r="AE616" s="6">
        <f>$K$616*$Y$616</f>
        <v>0</v>
      </c>
      <c r="AF616" s="6">
        <f ca="1">$M$616*$Z$616</f>
        <v>782.63888163185209</v>
      </c>
      <c r="AG616" s="6">
        <f>$O$616*$AA$616</f>
        <v>216.03398581950267</v>
      </c>
    </row>
    <row r="617" spans="1:33" ht="11.25" customHeight="1" x14ac:dyDescent="0.25">
      <c r="A617" s="4" t="s">
        <v>21</v>
      </c>
      <c r="B617" s="4" t="s">
        <v>22</v>
      </c>
      <c r="C617" s="4" t="s">
        <v>33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36</v>
      </c>
      <c r="I617" s="5">
        <v>44682</v>
      </c>
      <c r="J617" s="6">
        <v>0</v>
      </c>
      <c r="K617" s="6">
        <v>0</v>
      </c>
      <c r="L617" s="6">
        <v>0.89700000000000002</v>
      </c>
      <c r="M617" s="6">
        <v>0.89700000000000002</v>
      </c>
      <c r="N617" s="6">
        <v>0.89700000000000002</v>
      </c>
      <c r="O617" s="6">
        <v>0.89700000000000002</v>
      </c>
      <c r="P617" s="6">
        <v>0</v>
      </c>
      <c r="Q617" s="4" t="s">
        <v>26</v>
      </c>
      <c r="R617" s="4">
        <v>0</v>
      </c>
      <c r="S617" s="6">
        <v>0</v>
      </c>
      <c r="T617" s="6">
        <v>21</v>
      </c>
      <c r="U617" s="6">
        <v>78</v>
      </c>
      <c r="V617" s="6">
        <f>IF(ISERROR(VLOOKUP($S$617,'TAR FIN'!$A$1:$O$108,15,0)),0,VLOOKUP($S$617,'TAR FIN'!$A$1:$O$108,15,0))</f>
        <v>0</v>
      </c>
      <c r="W617" s="6">
        <f>IF(ISERROR(VLOOKUP($T$617,'TAR FIN'!$A$1:$O$108,15,0)),0,VLOOKUP($T$617,'TAR FIN'!$A$1:$O$108,15,0))</f>
        <v>728.11</v>
      </c>
      <c r="X617" s="6">
        <f>IF(ISERROR(VLOOKUP($U$617,'TAR FIN'!$A$1:$O$108,15,0)),0,VLOOKUP($U$617,'TAR FIN'!$A$1:$O$108,15,0))</f>
        <v>103.1</v>
      </c>
      <c r="Y617" s="6"/>
      <c r="Z617" s="6">
        <f ca="1">('TUSD BE'!$AM$34+'TUSD BF'!$AM$34+'TUSD CVA'!$AM$34)*1</f>
        <v>781.0767281755011</v>
      </c>
      <c r="AA617" s="6">
        <f>('TE BE'!$AB$14+'TE BF'!$AB$14+'TE CVA'!$AB$14)*1</f>
        <v>215.60278025898469</v>
      </c>
      <c r="AB617" s="6">
        <f>$K$617*$V$617</f>
        <v>0</v>
      </c>
      <c r="AC617" s="6">
        <f>$M$617*$W$617</f>
        <v>653.11467000000005</v>
      </c>
      <c r="AD617" s="6">
        <f>$O$617*$X$617</f>
        <v>92.480699999999999</v>
      </c>
      <c r="AE617" s="6">
        <f>$K$617*$Y$617</f>
        <v>0</v>
      </c>
      <c r="AF617" s="6">
        <f ca="1">$M$617*$Z$617</f>
        <v>700.62582517342446</v>
      </c>
      <c r="AG617" s="6">
        <f>$O$617*$AA$617</f>
        <v>193.39569389230928</v>
      </c>
    </row>
    <row r="618" spans="1:33" ht="11.25" customHeight="1" x14ac:dyDescent="0.25">
      <c r="A618" s="4" t="s">
        <v>21</v>
      </c>
      <c r="B618" s="4" t="s">
        <v>22</v>
      </c>
      <c r="C618" s="4" t="s">
        <v>33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36</v>
      </c>
      <c r="I618" s="5">
        <v>44713</v>
      </c>
      <c r="J618" s="6">
        <v>0</v>
      </c>
      <c r="K618" s="6">
        <v>0</v>
      </c>
      <c r="L618" s="6">
        <v>1.3120000000000001</v>
      </c>
      <c r="M618" s="6">
        <v>1.3120000000000001</v>
      </c>
      <c r="N618" s="6">
        <v>1.3120000000000001</v>
      </c>
      <c r="O618" s="6">
        <v>1.3120000000000001</v>
      </c>
      <c r="P618" s="6">
        <v>0</v>
      </c>
      <c r="Q618" s="4" t="s">
        <v>26</v>
      </c>
      <c r="R618" s="4">
        <v>0</v>
      </c>
      <c r="S618" s="6">
        <v>0</v>
      </c>
      <c r="T618" s="6">
        <v>21</v>
      </c>
      <c r="U618" s="6">
        <v>78</v>
      </c>
      <c r="V618" s="6">
        <f>IF(ISERROR(VLOOKUP($S$618,'TAR FIN'!$A$1:$O$108,15,0)),0,VLOOKUP($S$618,'TAR FIN'!$A$1:$O$108,15,0))</f>
        <v>0</v>
      </c>
      <c r="W618" s="6">
        <f>IF(ISERROR(VLOOKUP($T$618,'TAR FIN'!$A$1:$O$108,15,0)),0,VLOOKUP($T$618,'TAR FIN'!$A$1:$O$108,15,0))</f>
        <v>728.11</v>
      </c>
      <c r="X618" s="6">
        <f>IF(ISERROR(VLOOKUP($U$618,'TAR FIN'!$A$1:$O$108,15,0)),0,VLOOKUP($U$618,'TAR FIN'!$A$1:$O$108,15,0))</f>
        <v>103.1</v>
      </c>
      <c r="Y618" s="6"/>
      <c r="Z618" s="6">
        <f ca="1">('TUSD BE'!$AM$34+'TUSD BF'!$AM$34+'TUSD CVA'!$AM$34)*1</f>
        <v>781.0767281755011</v>
      </c>
      <c r="AA618" s="6">
        <f>('TE BE'!$AB$14+'TE BF'!$AB$14+'TE CVA'!$AB$14)*1</f>
        <v>215.60278025898469</v>
      </c>
      <c r="AB618" s="6">
        <f>$K$618*$V$618</f>
        <v>0</v>
      </c>
      <c r="AC618" s="6">
        <f>$M$618*$W$618</f>
        <v>955.28032000000007</v>
      </c>
      <c r="AD618" s="6">
        <f>$O$618*$X$618</f>
        <v>135.2672</v>
      </c>
      <c r="AE618" s="6">
        <f>$K$618*$Y$618</f>
        <v>0</v>
      </c>
      <c r="AF618" s="6">
        <f ca="1">$M$618*$Z$618</f>
        <v>1024.7726673662576</v>
      </c>
      <c r="AG618" s="6">
        <f>$O$618*$AA$618</f>
        <v>282.87084769978793</v>
      </c>
    </row>
    <row r="619" spans="1:33" ht="11.25" customHeight="1" x14ac:dyDescent="0.25">
      <c r="A619" s="4" t="s">
        <v>21</v>
      </c>
      <c r="B619" s="4" t="s">
        <v>22</v>
      </c>
      <c r="C619" s="4" t="s">
        <v>33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36</v>
      </c>
      <c r="I619" s="5">
        <v>44743</v>
      </c>
      <c r="J619" s="6">
        <v>0</v>
      </c>
      <c r="K619" s="6">
        <v>0</v>
      </c>
      <c r="L619" s="6">
        <v>1.679</v>
      </c>
      <c r="M619" s="6">
        <v>1.679</v>
      </c>
      <c r="N619" s="6">
        <v>1.679</v>
      </c>
      <c r="O619" s="6">
        <v>1.679</v>
      </c>
      <c r="P619" s="6">
        <v>0</v>
      </c>
      <c r="Q619" s="4" t="s">
        <v>26</v>
      </c>
      <c r="R619" s="4">
        <v>0</v>
      </c>
      <c r="S619" s="6">
        <v>0</v>
      </c>
      <c r="T619" s="6">
        <v>21</v>
      </c>
      <c r="U619" s="6">
        <v>78</v>
      </c>
      <c r="V619" s="6">
        <f>IF(ISERROR(VLOOKUP($S$619,'TAR FIN'!$A$1:$O$108,15,0)),0,VLOOKUP($S$619,'TAR FIN'!$A$1:$O$108,15,0))</f>
        <v>0</v>
      </c>
      <c r="W619" s="6">
        <f>IF(ISERROR(VLOOKUP($T$619,'TAR FIN'!$A$1:$O$108,15,0)),0,VLOOKUP($T$619,'TAR FIN'!$A$1:$O$108,15,0))</f>
        <v>728.11</v>
      </c>
      <c r="X619" s="6">
        <f>IF(ISERROR(VLOOKUP($U$619,'TAR FIN'!$A$1:$O$108,15,0)),0,VLOOKUP($U$619,'TAR FIN'!$A$1:$O$108,15,0))</f>
        <v>103.1</v>
      </c>
      <c r="Y619" s="6"/>
      <c r="Z619" s="6">
        <f ca="1">('TUSD BE'!$AM$34+'TUSD BF'!$AM$34+'TUSD CVA'!$AM$34)*1</f>
        <v>781.0767281755011</v>
      </c>
      <c r="AA619" s="6">
        <f>('TE BE'!$AB$14+'TE BF'!$AB$14+'TE CVA'!$AB$14)*1</f>
        <v>215.60278025898469</v>
      </c>
      <c r="AB619" s="6">
        <f>$K$619*$V$619</f>
        <v>0</v>
      </c>
      <c r="AC619" s="6">
        <f>$M$619*$W$619</f>
        <v>1222.4966899999999</v>
      </c>
      <c r="AD619" s="6">
        <f>$O$619*$X$619</f>
        <v>173.10489999999999</v>
      </c>
      <c r="AE619" s="6">
        <f>$K$619*$Y$619</f>
        <v>0</v>
      </c>
      <c r="AF619" s="6">
        <f ca="1">$M$619*$Z$619</f>
        <v>1311.4278266066665</v>
      </c>
      <c r="AG619" s="6">
        <f>$O$619*$AA$619</f>
        <v>361.99706805483532</v>
      </c>
    </row>
    <row r="620" spans="1:33" ht="11.25" customHeight="1" x14ac:dyDescent="0.25">
      <c r="A620" s="4" t="s">
        <v>21</v>
      </c>
      <c r="B620" s="4" t="s">
        <v>22</v>
      </c>
      <c r="C620" s="4" t="s">
        <v>33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36</v>
      </c>
      <c r="I620" s="5">
        <v>44774</v>
      </c>
      <c r="J620" s="6">
        <v>0</v>
      </c>
      <c r="K620" s="6">
        <v>0</v>
      </c>
      <c r="L620" s="6">
        <v>1.06</v>
      </c>
      <c r="M620" s="6">
        <v>1.06</v>
      </c>
      <c r="N620" s="6">
        <v>1.06</v>
      </c>
      <c r="O620" s="6">
        <v>1.06</v>
      </c>
      <c r="P620" s="6">
        <v>0</v>
      </c>
      <c r="Q620" s="4" t="s">
        <v>26</v>
      </c>
      <c r="R620" s="4">
        <v>0</v>
      </c>
      <c r="S620" s="6">
        <v>0</v>
      </c>
      <c r="T620" s="6">
        <v>21</v>
      </c>
      <c r="U620" s="6">
        <v>78</v>
      </c>
      <c r="V620" s="6">
        <f>IF(ISERROR(VLOOKUP($S$620,'TAR FIN'!$A$1:$O$108,15,0)),0,VLOOKUP($S$620,'TAR FIN'!$A$1:$O$108,15,0))</f>
        <v>0</v>
      </c>
      <c r="W620" s="6">
        <f>IF(ISERROR(VLOOKUP($T$620,'TAR FIN'!$A$1:$O$108,15,0)),0,VLOOKUP($T$620,'TAR FIN'!$A$1:$O$108,15,0))</f>
        <v>728.11</v>
      </c>
      <c r="X620" s="6">
        <f>IF(ISERROR(VLOOKUP($U$620,'TAR FIN'!$A$1:$O$108,15,0)),0,VLOOKUP($U$620,'TAR FIN'!$A$1:$O$108,15,0))</f>
        <v>103.1</v>
      </c>
      <c r="Y620" s="6"/>
      <c r="Z620" s="6">
        <f ca="1">('TUSD BE'!$AM$34+'TUSD BF'!$AM$34+'TUSD CVA'!$AM$34)*1</f>
        <v>781.0767281755011</v>
      </c>
      <c r="AA620" s="6">
        <f>('TE BE'!$AB$14+'TE BF'!$AB$14+'TE CVA'!$AB$14)*1</f>
        <v>215.60278025898469</v>
      </c>
      <c r="AB620" s="6">
        <f>$K$620*$V$620</f>
        <v>0</v>
      </c>
      <c r="AC620" s="6">
        <f>$M$620*$W$620</f>
        <v>771.79660000000001</v>
      </c>
      <c r="AD620" s="6">
        <f>$O$620*$X$620</f>
        <v>109.286</v>
      </c>
      <c r="AE620" s="6">
        <f>$K$620*$Y$620</f>
        <v>0</v>
      </c>
      <c r="AF620" s="6">
        <f ca="1">$M$620*$Z$620</f>
        <v>827.94133186603119</v>
      </c>
      <c r="AG620" s="6">
        <f>$O$620*$AA$620</f>
        <v>228.53894707452378</v>
      </c>
    </row>
    <row r="621" spans="1:33" ht="11.25" customHeight="1" x14ac:dyDescent="0.25">
      <c r="A621" s="4" t="s">
        <v>27</v>
      </c>
      <c r="B621" s="4" t="s">
        <v>22</v>
      </c>
      <c r="C621" s="4" t="s">
        <v>33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36</v>
      </c>
      <c r="I621" s="5">
        <v>44774</v>
      </c>
      <c r="J621" s="6">
        <v>0</v>
      </c>
      <c r="K621" s="6">
        <v>0</v>
      </c>
      <c r="L621" s="6">
        <v>-0.70699999999999996</v>
      </c>
      <c r="M621" s="6">
        <v>-0.70699999999999996</v>
      </c>
      <c r="N621" s="6">
        <v>-0.70699999999999996</v>
      </c>
      <c r="O621" s="6">
        <v>-0.70699999999999996</v>
      </c>
      <c r="P621" s="6">
        <v>0</v>
      </c>
      <c r="Q621" s="4" t="s">
        <v>26</v>
      </c>
      <c r="R621" s="4">
        <v>0</v>
      </c>
      <c r="S621" s="6">
        <v>0</v>
      </c>
      <c r="T621" s="6">
        <v>21</v>
      </c>
      <c r="U621" s="6">
        <v>78</v>
      </c>
      <c r="V621" s="6">
        <f>IF(ISERROR(VLOOKUP($S$621,'TAR FIN'!$A$1:$O$108,15,0)),0,VLOOKUP($S$621,'TAR FIN'!$A$1:$O$108,15,0))</f>
        <v>0</v>
      </c>
      <c r="W621" s="6">
        <f>IF(ISERROR(VLOOKUP($T$621,'TAR FIN'!$A$1:$O$108,15,0)),0,VLOOKUP($T$621,'TAR FIN'!$A$1:$O$108,15,0))</f>
        <v>728.11</v>
      </c>
      <c r="X621" s="6">
        <f>IF(ISERROR(VLOOKUP($U$621,'TAR FIN'!$A$1:$O$108,15,0)),0,VLOOKUP($U$621,'TAR FIN'!$A$1:$O$108,15,0))</f>
        <v>103.1</v>
      </c>
      <c r="Y621" s="6"/>
      <c r="Z621" s="6">
        <f ca="1">('TUSD BE'!$AM$34+'TUSD BF'!$AM$34+'TUSD CVA'!$AM$34)*1</f>
        <v>781.0767281755011</v>
      </c>
      <c r="AA621" s="6">
        <f>('TE BE'!$AB$14+'TE BF'!$AB$14+'TE CVA'!$AB$14)*1</f>
        <v>215.60278025898469</v>
      </c>
      <c r="AB621" s="6">
        <f>$K$621*$V$621</f>
        <v>0</v>
      </c>
      <c r="AC621" s="6">
        <f>$M$621*$W$621</f>
        <v>-514.77377000000001</v>
      </c>
      <c r="AD621" s="6">
        <f>$O$621*$X$621</f>
        <v>-72.891699999999986</v>
      </c>
      <c r="AE621" s="6">
        <f>$K$621*$Y$621</f>
        <v>0</v>
      </c>
      <c r="AF621" s="6">
        <f ca="1">$M$621*$Z$621</f>
        <v>-552.22124682007927</v>
      </c>
      <c r="AG621" s="6">
        <f>$O$621*$AA$621</f>
        <v>-152.43116564310216</v>
      </c>
    </row>
    <row r="622" spans="1:33" ht="11.25" customHeight="1" x14ac:dyDescent="0.25">
      <c r="A622" s="4" t="s">
        <v>21</v>
      </c>
      <c r="B622" s="4" t="s">
        <v>22</v>
      </c>
      <c r="C622" s="4" t="s">
        <v>33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36</v>
      </c>
      <c r="I622" s="5">
        <v>44805</v>
      </c>
      <c r="J622" s="6">
        <v>0</v>
      </c>
      <c r="K622" s="6">
        <v>0</v>
      </c>
      <c r="L622" s="6">
        <v>1.2629999999999999</v>
      </c>
      <c r="M622" s="6">
        <v>1.2629999999999999</v>
      </c>
      <c r="N622" s="6">
        <v>1.2629999999999999</v>
      </c>
      <c r="O622" s="6">
        <v>1.2629999999999999</v>
      </c>
      <c r="P622" s="6">
        <v>0</v>
      </c>
      <c r="Q622" s="4" t="s">
        <v>26</v>
      </c>
      <c r="R622" s="4">
        <v>0</v>
      </c>
      <c r="S622" s="6">
        <v>0</v>
      </c>
      <c r="T622" s="6">
        <v>21</v>
      </c>
      <c r="U622" s="6">
        <v>78</v>
      </c>
      <c r="V622" s="6">
        <f>IF(ISERROR(VLOOKUP($S$622,'TAR FIN'!$A$1:$O$108,15,0)),0,VLOOKUP($S$622,'TAR FIN'!$A$1:$O$108,15,0))</f>
        <v>0</v>
      </c>
      <c r="W622" s="6">
        <f>IF(ISERROR(VLOOKUP($T$622,'TAR FIN'!$A$1:$O$108,15,0)),0,VLOOKUP($T$622,'TAR FIN'!$A$1:$O$108,15,0))</f>
        <v>728.11</v>
      </c>
      <c r="X622" s="6">
        <f>IF(ISERROR(VLOOKUP($U$622,'TAR FIN'!$A$1:$O$108,15,0)),0,VLOOKUP($U$622,'TAR FIN'!$A$1:$O$108,15,0))</f>
        <v>103.1</v>
      </c>
      <c r="Y622" s="6"/>
      <c r="Z622" s="6">
        <f ca="1">('TUSD BE'!$AM$34+'TUSD BF'!$AM$34+'TUSD CVA'!$AM$34)*1</f>
        <v>781.0767281755011</v>
      </c>
      <c r="AA622" s="6">
        <f>('TE BE'!$AB$14+'TE BF'!$AB$14+'TE CVA'!$AB$14)*1</f>
        <v>215.60278025898469</v>
      </c>
      <c r="AB622" s="6">
        <f>$K$622*$V$622</f>
        <v>0</v>
      </c>
      <c r="AC622" s="6">
        <f>$M$622*$W$622</f>
        <v>919.6029299999999</v>
      </c>
      <c r="AD622" s="6">
        <f>$O$622*$X$622</f>
        <v>130.21529999999998</v>
      </c>
      <c r="AE622" s="6">
        <f>$K$622*$Y$622</f>
        <v>0</v>
      </c>
      <c r="AF622" s="6">
        <f ca="1">$M$622*$Z$622</f>
        <v>986.49990768565783</v>
      </c>
      <c r="AG622" s="6">
        <f>$O$622*$AA$622</f>
        <v>272.30631146709766</v>
      </c>
    </row>
    <row r="623" spans="1:33" ht="11.25" customHeight="1" x14ac:dyDescent="0.25">
      <c r="A623" s="4" t="s">
        <v>21</v>
      </c>
      <c r="B623" s="4" t="s">
        <v>22</v>
      </c>
      <c r="C623" s="4" t="s">
        <v>33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36</v>
      </c>
      <c r="I623" s="5">
        <v>44835</v>
      </c>
      <c r="J623" s="6">
        <v>0</v>
      </c>
      <c r="K623" s="6">
        <v>0</v>
      </c>
      <c r="L623" s="6">
        <v>1.2230000000000001</v>
      </c>
      <c r="M623" s="6">
        <v>1.2230000000000001</v>
      </c>
      <c r="N623" s="6">
        <v>1.2230000000000001</v>
      </c>
      <c r="O623" s="6">
        <v>1.2230000000000001</v>
      </c>
      <c r="P623" s="6">
        <v>0</v>
      </c>
      <c r="Q623" s="4" t="s">
        <v>26</v>
      </c>
      <c r="R623" s="4">
        <v>0</v>
      </c>
      <c r="S623" s="6">
        <v>0</v>
      </c>
      <c r="T623" s="6">
        <v>21</v>
      </c>
      <c r="U623" s="6">
        <v>78</v>
      </c>
      <c r="V623" s="6">
        <f>IF(ISERROR(VLOOKUP($S$623,'TAR FIN'!$A$1:$O$108,15,0)),0,VLOOKUP($S$623,'TAR FIN'!$A$1:$O$108,15,0))</f>
        <v>0</v>
      </c>
      <c r="W623" s="6">
        <f>IF(ISERROR(VLOOKUP($T$623,'TAR FIN'!$A$1:$O$108,15,0)),0,VLOOKUP($T$623,'TAR FIN'!$A$1:$O$108,15,0))</f>
        <v>728.11</v>
      </c>
      <c r="X623" s="6">
        <f>IF(ISERROR(VLOOKUP($U$623,'TAR FIN'!$A$1:$O$108,15,0)),0,VLOOKUP($U$623,'TAR FIN'!$A$1:$O$108,15,0))</f>
        <v>103.1</v>
      </c>
      <c r="Y623" s="6"/>
      <c r="Z623" s="6">
        <f ca="1">('TUSD BE'!$AM$34+'TUSD BF'!$AM$34+'TUSD CVA'!$AM$34)*1</f>
        <v>781.0767281755011</v>
      </c>
      <c r="AA623" s="6">
        <f>('TE BE'!$AB$14+'TE BF'!$AB$14+'TE CVA'!$AB$14)*1</f>
        <v>215.60278025898469</v>
      </c>
      <c r="AB623" s="6">
        <f>$K$623*$V$623</f>
        <v>0</v>
      </c>
      <c r="AC623" s="6">
        <f>$M$623*$W$623</f>
        <v>890.47853000000009</v>
      </c>
      <c r="AD623" s="6">
        <f>$O$623*$X$623</f>
        <v>126.0913</v>
      </c>
      <c r="AE623" s="6">
        <f>$K$623*$Y$623</f>
        <v>0</v>
      </c>
      <c r="AF623" s="6">
        <f ca="1">$M$623*$Z$623</f>
        <v>955.25683855863792</v>
      </c>
      <c r="AG623" s="6">
        <f>$O$623*$AA$623</f>
        <v>263.68220025673833</v>
      </c>
    </row>
    <row r="624" spans="1:33" ht="11.25" customHeight="1" x14ac:dyDescent="0.25">
      <c r="A624" s="4" t="s">
        <v>54</v>
      </c>
      <c r="B624" s="4" t="s">
        <v>22</v>
      </c>
      <c r="C624" s="4" t="s">
        <v>33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36</v>
      </c>
      <c r="I624" s="5">
        <v>44866</v>
      </c>
      <c r="J624" s="6">
        <v>0</v>
      </c>
      <c r="K624" s="6">
        <v>0</v>
      </c>
      <c r="L624" s="6">
        <v>1.2230000000000001</v>
      </c>
      <c r="M624" s="6">
        <v>1.2230000000000001</v>
      </c>
      <c r="N624" s="6">
        <v>1.2230000000000001</v>
      </c>
      <c r="O624" s="6">
        <v>1.2230000000000001</v>
      </c>
      <c r="P624" s="6">
        <v>0</v>
      </c>
      <c r="Q624" s="4" t="s">
        <v>26</v>
      </c>
      <c r="R624" s="4">
        <v>0</v>
      </c>
      <c r="S624" s="6">
        <v>0</v>
      </c>
      <c r="T624" s="6">
        <v>21</v>
      </c>
      <c r="U624" s="6">
        <v>78</v>
      </c>
      <c r="V624" s="6">
        <f>IF(ISERROR(VLOOKUP($S$624,'TAR FIN'!$A$1:$O$108,15,0)),0,VLOOKUP($S$624,'TAR FIN'!$A$1:$O$108,15,0))</f>
        <v>0</v>
      </c>
      <c r="W624" s="6">
        <f>IF(ISERROR(VLOOKUP($T$624,'TAR FIN'!$A$1:$O$108,15,0)),0,VLOOKUP($T$624,'TAR FIN'!$A$1:$O$108,15,0))</f>
        <v>728.11</v>
      </c>
      <c r="X624" s="6">
        <f>IF(ISERROR(VLOOKUP($U$624,'TAR FIN'!$A$1:$O$108,15,0)),0,VLOOKUP($U$624,'TAR FIN'!$A$1:$O$108,15,0))</f>
        <v>103.1</v>
      </c>
      <c r="Y624" s="6"/>
      <c r="Z624" s="6">
        <f ca="1">('TUSD BE'!$AM$34+'TUSD BF'!$AM$34+'TUSD CVA'!$AM$34)*1</f>
        <v>781.0767281755011</v>
      </c>
      <c r="AA624" s="6">
        <f>('TE BE'!$AB$14+'TE BF'!$AB$14+'TE CVA'!$AB$14)*1</f>
        <v>215.60278025898469</v>
      </c>
      <c r="AB624" s="6">
        <f>$K$624*$V$624</f>
        <v>0</v>
      </c>
      <c r="AC624" s="6">
        <f>$M$624*$W$624</f>
        <v>890.47853000000009</v>
      </c>
      <c r="AD624" s="6">
        <f>$O$624*$X$624</f>
        <v>126.0913</v>
      </c>
      <c r="AE624" s="6">
        <f>$K$624*$Y$624</f>
        <v>0</v>
      </c>
      <c r="AF624" s="6">
        <f ca="1">$M$624*$Z$624</f>
        <v>955.25683855863792</v>
      </c>
      <c r="AG624" s="6">
        <f>$O$624*$AA$624</f>
        <v>263.68220025673833</v>
      </c>
    </row>
    <row r="625" spans="1:33" ht="11.25" customHeight="1" x14ac:dyDescent="0.25">
      <c r="A625" s="4" t="s">
        <v>21</v>
      </c>
      <c r="B625" s="4" t="s">
        <v>22</v>
      </c>
      <c r="C625" s="4" t="s">
        <v>33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34</v>
      </c>
      <c r="I625" s="5">
        <v>44531</v>
      </c>
      <c r="J625" s="6">
        <v>0</v>
      </c>
      <c r="K625" s="6">
        <v>0</v>
      </c>
      <c r="L625" s="6">
        <v>1.653</v>
      </c>
      <c r="M625" s="6">
        <v>1.653</v>
      </c>
      <c r="N625" s="6">
        <v>1.653</v>
      </c>
      <c r="O625" s="6">
        <v>1.653</v>
      </c>
      <c r="P625" s="6">
        <v>0</v>
      </c>
      <c r="Q625" s="4" t="s">
        <v>26</v>
      </c>
      <c r="R625" s="4">
        <v>0</v>
      </c>
      <c r="S625" s="6">
        <v>0</v>
      </c>
      <c r="T625" s="6">
        <v>20</v>
      </c>
      <c r="U625" s="6">
        <v>77</v>
      </c>
      <c r="V625" s="6">
        <f>IF(ISERROR(VLOOKUP($S$625,'TAR FIN'!$A$1:$O$108,15,0)),0,VLOOKUP($S$625,'TAR FIN'!$A$1:$O$108,15,0))</f>
        <v>0</v>
      </c>
      <c r="W625" s="6">
        <f>IF(ISERROR(VLOOKUP($T$625,'TAR FIN'!$A$1:$O$108,15,0)),0,VLOOKUP($T$625,'TAR FIN'!$A$1:$O$108,15,0))</f>
        <v>1133.28</v>
      </c>
      <c r="X625" s="6">
        <f>IF(ISERROR(VLOOKUP($U$625,'TAR FIN'!$A$1:$O$108,15,0)),0,VLOOKUP($U$625,'TAR FIN'!$A$1:$O$108,15,0))</f>
        <v>159.43</v>
      </c>
      <c r="Y625" s="6"/>
      <c r="Z625" s="6">
        <f ca="1">('TUSD BE'!$AM$33+'TUSD BF'!$AM$33+'TUSD CVA'!$AM$33)*1</f>
        <v>1169.5504192635606</v>
      </c>
      <c r="AA625" s="6">
        <f>('TE BE'!$AB$13+'TE BF'!$AB$13+'TE CVA'!$AB$13)*1</f>
        <v>322.12477389224171</v>
      </c>
      <c r="AB625" s="6">
        <f>$K$625*$V$625</f>
        <v>0</v>
      </c>
      <c r="AC625" s="6">
        <f>$M$625*$W$625</f>
        <v>1873.3118400000001</v>
      </c>
      <c r="AD625" s="6">
        <f>$O$625*$X$625</f>
        <v>263.53779000000003</v>
      </c>
      <c r="AE625" s="6">
        <f>$K$625*$Y$625</f>
        <v>0</v>
      </c>
      <c r="AF625" s="6">
        <f ca="1">$M$625*$Z$625</f>
        <v>1933.2668430426656</v>
      </c>
      <c r="AG625" s="6">
        <f>$O$625*$AA$625</f>
        <v>532.47225124387558</v>
      </c>
    </row>
    <row r="626" spans="1:33" ht="11.25" customHeight="1" x14ac:dyDescent="0.25">
      <c r="A626" s="4" t="s">
        <v>21</v>
      </c>
      <c r="B626" s="4" t="s">
        <v>22</v>
      </c>
      <c r="C626" s="4" t="s">
        <v>33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34</v>
      </c>
      <c r="I626" s="5">
        <v>44562</v>
      </c>
      <c r="J626" s="6">
        <v>0</v>
      </c>
      <c r="K626" s="6">
        <v>0</v>
      </c>
      <c r="L626" s="6">
        <v>1.2430000000000001</v>
      </c>
      <c r="M626" s="6">
        <v>1.2430000000000001</v>
      </c>
      <c r="N626" s="6">
        <v>1.2430000000000001</v>
      </c>
      <c r="O626" s="6">
        <v>1.2430000000000001</v>
      </c>
      <c r="P626" s="6">
        <v>0</v>
      </c>
      <c r="Q626" s="4" t="s">
        <v>26</v>
      </c>
      <c r="R626" s="4">
        <v>0</v>
      </c>
      <c r="S626" s="6">
        <v>0</v>
      </c>
      <c r="T626" s="6">
        <v>20</v>
      </c>
      <c r="U626" s="6">
        <v>77</v>
      </c>
      <c r="V626" s="6">
        <f>IF(ISERROR(VLOOKUP($S$626,'TAR FIN'!$A$1:$O$108,15,0)),0,VLOOKUP($S$626,'TAR FIN'!$A$1:$O$108,15,0))</f>
        <v>0</v>
      </c>
      <c r="W626" s="6">
        <f>IF(ISERROR(VLOOKUP($T$626,'TAR FIN'!$A$1:$O$108,15,0)),0,VLOOKUP($T$626,'TAR FIN'!$A$1:$O$108,15,0))</f>
        <v>1133.28</v>
      </c>
      <c r="X626" s="6">
        <f>IF(ISERROR(VLOOKUP($U$626,'TAR FIN'!$A$1:$O$108,15,0)),0,VLOOKUP($U$626,'TAR FIN'!$A$1:$O$108,15,0))</f>
        <v>159.43</v>
      </c>
      <c r="Y626" s="6"/>
      <c r="Z626" s="6">
        <f ca="1">('TUSD BE'!$AM$33+'TUSD BF'!$AM$33+'TUSD CVA'!$AM$33)*1</f>
        <v>1169.5504192635606</v>
      </c>
      <c r="AA626" s="6">
        <f>('TE BE'!$AB$13+'TE BF'!$AB$13+'TE CVA'!$AB$13)*1</f>
        <v>322.12477389224171</v>
      </c>
      <c r="AB626" s="6">
        <f>$K$626*$V$626</f>
        <v>0</v>
      </c>
      <c r="AC626" s="6">
        <f>$M$626*$W$626</f>
        <v>1408.66704</v>
      </c>
      <c r="AD626" s="6">
        <f>$O$626*$X$626</f>
        <v>198.17149000000003</v>
      </c>
      <c r="AE626" s="6">
        <f>$K$626*$Y$626</f>
        <v>0</v>
      </c>
      <c r="AF626" s="6">
        <f ca="1">$M$626*$Z$626</f>
        <v>1453.7511711446059</v>
      </c>
      <c r="AG626" s="6">
        <f>$O$626*$AA$626</f>
        <v>400.40109394805648</v>
      </c>
    </row>
    <row r="627" spans="1:33" ht="11.25" customHeight="1" x14ac:dyDescent="0.25">
      <c r="A627" s="4" t="s">
        <v>27</v>
      </c>
      <c r="B627" s="4" t="s">
        <v>22</v>
      </c>
      <c r="C627" s="4" t="s">
        <v>33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34</v>
      </c>
      <c r="I627" s="5">
        <v>44562</v>
      </c>
      <c r="J627" s="6">
        <v>0</v>
      </c>
      <c r="K627" s="6">
        <v>0</v>
      </c>
      <c r="L627" s="6">
        <v>0.03</v>
      </c>
      <c r="M627" s="6">
        <v>0.03</v>
      </c>
      <c r="N627" s="6">
        <v>0.03</v>
      </c>
      <c r="O627" s="6">
        <v>0.03</v>
      </c>
      <c r="P627" s="6">
        <v>0</v>
      </c>
      <c r="Q627" s="4" t="s">
        <v>26</v>
      </c>
      <c r="R627" s="4">
        <v>0</v>
      </c>
      <c r="S627" s="6">
        <v>0</v>
      </c>
      <c r="T627" s="6">
        <v>20</v>
      </c>
      <c r="U627" s="6">
        <v>77</v>
      </c>
      <c r="V627" s="6">
        <f>IF(ISERROR(VLOOKUP($S$627,'TAR FIN'!$A$1:$O$108,15,0)),0,VLOOKUP($S$627,'TAR FIN'!$A$1:$O$108,15,0))</f>
        <v>0</v>
      </c>
      <c r="W627" s="6">
        <f>IF(ISERROR(VLOOKUP($T$627,'TAR FIN'!$A$1:$O$108,15,0)),0,VLOOKUP($T$627,'TAR FIN'!$A$1:$O$108,15,0))</f>
        <v>1133.28</v>
      </c>
      <c r="X627" s="6">
        <f>IF(ISERROR(VLOOKUP($U$627,'TAR FIN'!$A$1:$O$108,15,0)),0,VLOOKUP($U$627,'TAR FIN'!$A$1:$O$108,15,0))</f>
        <v>159.43</v>
      </c>
      <c r="Y627" s="6"/>
      <c r="Z627" s="6">
        <f ca="1">('TUSD BE'!$AM$33+'TUSD BF'!$AM$33+'TUSD CVA'!$AM$33)*1</f>
        <v>1169.5504192635606</v>
      </c>
      <c r="AA627" s="6">
        <f>('TE BE'!$AB$13+'TE BF'!$AB$13+'TE CVA'!$AB$13)*1</f>
        <v>322.12477389224171</v>
      </c>
      <c r="AB627" s="6">
        <f>$K$627*$V$627</f>
        <v>0</v>
      </c>
      <c r="AC627" s="6">
        <f>$M$627*$W$627</f>
        <v>33.998399999999997</v>
      </c>
      <c r="AD627" s="6">
        <f>$O$627*$X$627</f>
        <v>4.7828999999999997</v>
      </c>
      <c r="AE627" s="6">
        <f>$K$627*$Y$627</f>
        <v>0</v>
      </c>
      <c r="AF627" s="6">
        <f ca="1">$M$627*$Z$627</f>
        <v>35.086512577906817</v>
      </c>
      <c r="AG627" s="6">
        <f>$O$627*$AA$627</f>
        <v>9.6637432167672515</v>
      </c>
    </row>
    <row r="628" spans="1:33" ht="11.25" customHeight="1" x14ac:dyDescent="0.25">
      <c r="A628" s="4" t="s">
        <v>21</v>
      </c>
      <c r="B628" s="4" t="s">
        <v>22</v>
      </c>
      <c r="C628" s="4" t="s">
        <v>33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34</v>
      </c>
      <c r="I628" s="5">
        <v>44593</v>
      </c>
      <c r="J628" s="6">
        <v>0</v>
      </c>
      <c r="K628" s="6">
        <v>0</v>
      </c>
      <c r="L628" s="6">
        <v>0.83399999999999996</v>
      </c>
      <c r="M628" s="6">
        <v>0.83399999999999996</v>
      </c>
      <c r="N628" s="6">
        <v>0.83399999999999996</v>
      </c>
      <c r="O628" s="6">
        <v>0.83399999999999996</v>
      </c>
      <c r="P628" s="6">
        <v>0</v>
      </c>
      <c r="Q628" s="4" t="s">
        <v>26</v>
      </c>
      <c r="R628" s="4">
        <v>0</v>
      </c>
      <c r="S628" s="6">
        <v>0</v>
      </c>
      <c r="T628" s="6">
        <v>20</v>
      </c>
      <c r="U628" s="6">
        <v>77</v>
      </c>
      <c r="V628" s="6">
        <f>IF(ISERROR(VLOOKUP($S$628,'TAR FIN'!$A$1:$O$108,15,0)),0,VLOOKUP($S$628,'TAR FIN'!$A$1:$O$108,15,0))</f>
        <v>0</v>
      </c>
      <c r="W628" s="6">
        <f>IF(ISERROR(VLOOKUP($T$628,'TAR FIN'!$A$1:$O$108,15,0)),0,VLOOKUP($T$628,'TAR FIN'!$A$1:$O$108,15,0))</f>
        <v>1133.28</v>
      </c>
      <c r="X628" s="6">
        <f>IF(ISERROR(VLOOKUP($U$628,'TAR FIN'!$A$1:$O$108,15,0)),0,VLOOKUP($U$628,'TAR FIN'!$A$1:$O$108,15,0))</f>
        <v>159.43</v>
      </c>
      <c r="Y628" s="6"/>
      <c r="Z628" s="6">
        <f ca="1">('TUSD BE'!$AM$33+'TUSD BF'!$AM$33+'TUSD CVA'!$AM$33)*1</f>
        <v>1169.5504192635606</v>
      </c>
      <c r="AA628" s="6">
        <f>('TE BE'!$AB$13+'TE BF'!$AB$13+'TE CVA'!$AB$13)*1</f>
        <v>322.12477389224171</v>
      </c>
      <c r="AB628" s="6">
        <f>$K$628*$V$628</f>
        <v>0</v>
      </c>
      <c r="AC628" s="6">
        <f>$M$628*$W$628</f>
        <v>945.15551999999991</v>
      </c>
      <c r="AD628" s="6">
        <f>$O$628*$X$628</f>
        <v>132.96462</v>
      </c>
      <c r="AE628" s="6">
        <f>$K$628*$Y$628</f>
        <v>0</v>
      </c>
      <c r="AF628" s="6">
        <f ca="1">$M$628*$Z$628</f>
        <v>975.40504966580943</v>
      </c>
      <c r="AG628" s="6">
        <f>$O$628*$AA$628</f>
        <v>268.65206142612959</v>
      </c>
    </row>
    <row r="629" spans="1:33" ht="11.25" customHeight="1" x14ac:dyDescent="0.25">
      <c r="A629" s="4" t="s">
        <v>21</v>
      </c>
      <c r="B629" s="4" t="s">
        <v>22</v>
      </c>
      <c r="C629" s="4" t="s">
        <v>33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34</v>
      </c>
      <c r="I629" s="5">
        <v>44621</v>
      </c>
      <c r="J629" s="6">
        <v>0</v>
      </c>
      <c r="K629" s="6">
        <v>0</v>
      </c>
      <c r="L629" s="6">
        <v>0.80400000000000005</v>
      </c>
      <c r="M629" s="6">
        <v>0.80400000000000005</v>
      </c>
      <c r="N629" s="6">
        <v>0.80400000000000005</v>
      </c>
      <c r="O629" s="6">
        <v>0.80400000000000005</v>
      </c>
      <c r="P629" s="6">
        <v>0</v>
      </c>
      <c r="Q629" s="4" t="s">
        <v>26</v>
      </c>
      <c r="R629" s="4">
        <v>0</v>
      </c>
      <c r="S629" s="6">
        <v>0</v>
      </c>
      <c r="T629" s="6">
        <v>20</v>
      </c>
      <c r="U629" s="6">
        <v>77</v>
      </c>
      <c r="V629" s="6">
        <f>IF(ISERROR(VLOOKUP($S$629,'TAR FIN'!$A$1:$O$108,15,0)),0,VLOOKUP($S$629,'TAR FIN'!$A$1:$O$108,15,0))</f>
        <v>0</v>
      </c>
      <c r="W629" s="6">
        <f>IF(ISERROR(VLOOKUP($T$629,'TAR FIN'!$A$1:$O$108,15,0)),0,VLOOKUP($T$629,'TAR FIN'!$A$1:$O$108,15,0))</f>
        <v>1133.28</v>
      </c>
      <c r="X629" s="6">
        <f>IF(ISERROR(VLOOKUP($U$629,'TAR FIN'!$A$1:$O$108,15,0)),0,VLOOKUP($U$629,'TAR FIN'!$A$1:$O$108,15,0))</f>
        <v>159.43</v>
      </c>
      <c r="Y629" s="6"/>
      <c r="Z629" s="6">
        <f ca="1">('TUSD BE'!$AM$33+'TUSD BF'!$AM$33+'TUSD CVA'!$AM$33)*1</f>
        <v>1169.5504192635606</v>
      </c>
      <c r="AA629" s="6">
        <f>('TE BE'!$AB$13+'TE BF'!$AB$13+'TE CVA'!$AB$13)*1</f>
        <v>322.12477389224171</v>
      </c>
      <c r="AB629" s="6">
        <f>$K$629*$V$629</f>
        <v>0</v>
      </c>
      <c r="AC629" s="6">
        <f>$M$629*$W$629</f>
        <v>911.15712000000008</v>
      </c>
      <c r="AD629" s="6">
        <f>$O$629*$X$629</f>
        <v>128.18172000000001</v>
      </c>
      <c r="AE629" s="6">
        <f>$K$629*$Y$629</f>
        <v>0</v>
      </c>
      <c r="AF629" s="6">
        <f ca="1">$M$629*$Z$629</f>
        <v>940.31853708790277</v>
      </c>
      <c r="AG629" s="6">
        <f>$O$629*$AA$629</f>
        <v>258.98831820936232</v>
      </c>
    </row>
    <row r="630" spans="1:33" ht="11.25" customHeight="1" x14ac:dyDescent="0.25">
      <c r="A630" s="4" t="s">
        <v>21</v>
      </c>
      <c r="B630" s="4" t="s">
        <v>22</v>
      </c>
      <c r="C630" s="4" t="s">
        <v>33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34</v>
      </c>
      <c r="I630" s="5">
        <v>44652</v>
      </c>
      <c r="J630" s="6">
        <v>0</v>
      </c>
      <c r="K630" s="6">
        <v>0</v>
      </c>
      <c r="L630" s="6">
        <v>1.206</v>
      </c>
      <c r="M630" s="6">
        <v>1.206</v>
      </c>
      <c r="N630" s="6">
        <v>1.206</v>
      </c>
      <c r="O630" s="6">
        <v>1.206</v>
      </c>
      <c r="P630" s="6">
        <v>0</v>
      </c>
      <c r="Q630" s="4" t="s">
        <v>26</v>
      </c>
      <c r="R630" s="4">
        <v>0</v>
      </c>
      <c r="S630" s="6">
        <v>0</v>
      </c>
      <c r="T630" s="6">
        <v>20</v>
      </c>
      <c r="U630" s="6">
        <v>77</v>
      </c>
      <c r="V630" s="6">
        <f>IF(ISERROR(VLOOKUP($S$630,'TAR FIN'!$A$1:$O$108,15,0)),0,VLOOKUP($S$630,'TAR FIN'!$A$1:$O$108,15,0))</f>
        <v>0</v>
      </c>
      <c r="W630" s="6">
        <f>IF(ISERROR(VLOOKUP($T$630,'TAR FIN'!$A$1:$O$108,15,0)),0,VLOOKUP($T$630,'TAR FIN'!$A$1:$O$108,15,0))</f>
        <v>1133.28</v>
      </c>
      <c r="X630" s="6">
        <f>IF(ISERROR(VLOOKUP($U$630,'TAR FIN'!$A$1:$O$108,15,0)),0,VLOOKUP($U$630,'TAR FIN'!$A$1:$O$108,15,0))</f>
        <v>159.43</v>
      </c>
      <c r="Y630" s="6"/>
      <c r="Z630" s="6">
        <f ca="1">('TUSD BE'!$AM$33+'TUSD BF'!$AM$33+'TUSD CVA'!$AM$33)*1</f>
        <v>1169.5504192635606</v>
      </c>
      <c r="AA630" s="6">
        <f>('TE BE'!$AB$13+'TE BF'!$AB$13+'TE CVA'!$AB$13)*1</f>
        <v>322.12477389224171</v>
      </c>
      <c r="AB630" s="6">
        <f>$K$630*$V$630</f>
        <v>0</v>
      </c>
      <c r="AC630" s="6">
        <f>$M$630*$W$630</f>
        <v>1366.73568</v>
      </c>
      <c r="AD630" s="6">
        <f>$O$630*$X$630</f>
        <v>192.27258</v>
      </c>
      <c r="AE630" s="6">
        <f>$K$630*$Y$630</f>
        <v>0</v>
      </c>
      <c r="AF630" s="6">
        <f ca="1">$M$630*$Z$630</f>
        <v>1410.4778056318539</v>
      </c>
      <c r="AG630" s="6">
        <f>$O$630*$AA$630</f>
        <v>388.48247731404348</v>
      </c>
    </row>
    <row r="631" spans="1:33" ht="11.25" customHeight="1" x14ac:dyDescent="0.25">
      <c r="A631" s="4" t="s">
        <v>21</v>
      </c>
      <c r="B631" s="4" t="s">
        <v>22</v>
      </c>
      <c r="C631" s="4" t="s">
        <v>33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34</v>
      </c>
      <c r="I631" s="5">
        <v>44682</v>
      </c>
      <c r="J631" s="6">
        <v>0</v>
      </c>
      <c r="K631" s="6">
        <v>0</v>
      </c>
      <c r="L631" s="6">
        <v>1.2410000000000001</v>
      </c>
      <c r="M631" s="6">
        <v>1.2410000000000001</v>
      </c>
      <c r="N631" s="6">
        <v>1.2410000000000001</v>
      </c>
      <c r="O631" s="6">
        <v>1.2410000000000001</v>
      </c>
      <c r="P631" s="6">
        <v>0</v>
      </c>
      <c r="Q631" s="4" t="s">
        <v>26</v>
      </c>
      <c r="R631" s="4">
        <v>0</v>
      </c>
      <c r="S631" s="6">
        <v>0</v>
      </c>
      <c r="T631" s="6">
        <v>20</v>
      </c>
      <c r="U631" s="6">
        <v>77</v>
      </c>
      <c r="V631" s="6">
        <f>IF(ISERROR(VLOOKUP($S$631,'TAR FIN'!$A$1:$O$108,15,0)),0,VLOOKUP($S$631,'TAR FIN'!$A$1:$O$108,15,0))</f>
        <v>0</v>
      </c>
      <c r="W631" s="6">
        <f>IF(ISERROR(VLOOKUP($T$631,'TAR FIN'!$A$1:$O$108,15,0)),0,VLOOKUP($T$631,'TAR FIN'!$A$1:$O$108,15,0))</f>
        <v>1133.28</v>
      </c>
      <c r="X631" s="6">
        <f>IF(ISERROR(VLOOKUP($U$631,'TAR FIN'!$A$1:$O$108,15,0)),0,VLOOKUP($U$631,'TAR FIN'!$A$1:$O$108,15,0))</f>
        <v>159.43</v>
      </c>
      <c r="Y631" s="6"/>
      <c r="Z631" s="6">
        <f ca="1">('TUSD BE'!$AM$33+'TUSD BF'!$AM$33+'TUSD CVA'!$AM$33)*1</f>
        <v>1169.5504192635606</v>
      </c>
      <c r="AA631" s="6">
        <f>('TE BE'!$AB$13+'TE BF'!$AB$13+'TE CVA'!$AB$13)*1</f>
        <v>322.12477389224171</v>
      </c>
      <c r="AB631" s="6">
        <f>$K$631*$V$631</f>
        <v>0</v>
      </c>
      <c r="AC631" s="6">
        <f>$M$631*$W$631</f>
        <v>1406.40048</v>
      </c>
      <c r="AD631" s="6">
        <f>$O$631*$X$631</f>
        <v>197.85263000000003</v>
      </c>
      <c r="AE631" s="6">
        <f>$K$631*$Y$631</f>
        <v>0</v>
      </c>
      <c r="AF631" s="6">
        <f ca="1">$M$631*$Z$631</f>
        <v>1451.4120703060787</v>
      </c>
      <c r="AG631" s="6">
        <f>$O$631*$AA$631</f>
        <v>399.75684440027197</v>
      </c>
    </row>
    <row r="632" spans="1:33" ht="11.25" customHeight="1" x14ac:dyDescent="0.25">
      <c r="A632" s="4" t="s">
        <v>21</v>
      </c>
      <c r="B632" s="4" t="s">
        <v>22</v>
      </c>
      <c r="C632" s="4" t="s">
        <v>33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34</v>
      </c>
      <c r="I632" s="5">
        <v>44713</v>
      </c>
      <c r="J632" s="6">
        <v>0</v>
      </c>
      <c r="K632" s="6">
        <v>0</v>
      </c>
      <c r="L632" s="6">
        <v>1.4039999999999999</v>
      </c>
      <c r="M632" s="6">
        <v>1.4039999999999999</v>
      </c>
      <c r="N632" s="6">
        <v>1.4039999999999999</v>
      </c>
      <c r="O632" s="6">
        <v>1.4039999999999999</v>
      </c>
      <c r="P632" s="6">
        <v>0</v>
      </c>
      <c r="Q632" s="4" t="s">
        <v>26</v>
      </c>
      <c r="R632" s="4">
        <v>0</v>
      </c>
      <c r="S632" s="6">
        <v>0</v>
      </c>
      <c r="T632" s="6">
        <v>20</v>
      </c>
      <c r="U632" s="6">
        <v>77</v>
      </c>
      <c r="V632" s="6">
        <f>IF(ISERROR(VLOOKUP($S$632,'TAR FIN'!$A$1:$O$108,15,0)),0,VLOOKUP($S$632,'TAR FIN'!$A$1:$O$108,15,0))</f>
        <v>0</v>
      </c>
      <c r="W632" s="6">
        <f>IF(ISERROR(VLOOKUP($T$632,'TAR FIN'!$A$1:$O$108,15,0)),0,VLOOKUP($T$632,'TAR FIN'!$A$1:$O$108,15,0))</f>
        <v>1133.28</v>
      </c>
      <c r="X632" s="6">
        <f>IF(ISERROR(VLOOKUP($U$632,'TAR FIN'!$A$1:$O$108,15,0)),0,VLOOKUP($U$632,'TAR FIN'!$A$1:$O$108,15,0))</f>
        <v>159.43</v>
      </c>
      <c r="Y632" s="6"/>
      <c r="Z632" s="6">
        <f ca="1">('TUSD BE'!$AM$33+'TUSD BF'!$AM$33+'TUSD CVA'!$AM$33)*1</f>
        <v>1169.5504192635606</v>
      </c>
      <c r="AA632" s="6">
        <f>('TE BE'!$AB$13+'TE BF'!$AB$13+'TE CVA'!$AB$13)*1</f>
        <v>322.12477389224171</v>
      </c>
      <c r="AB632" s="6">
        <f>$K$632*$V$632</f>
        <v>0</v>
      </c>
      <c r="AC632" s="6">
        <f>$M$632*$W$632</f>
        <v>1591.1251199999999</v>
      </c>
      <c r="AD632" s="6">
        <f>$O$632*$X$632</f>
        <v>223.83972</v>
      </c>
      <c r="AE632" s="6">
        <f>$K$632*$Y$632</f>
        <v>0</v>
      </c>
      <c r="AF632" s="6">
        <f ca="1">$M$632*$Z$632</f>
        <v>1642.0487886460389</v>
      </c>
      <c r="AG632" s="6">
        <f>$O$632*$AA$632</f>
        <v>452.26318254470732</v>
      </c>
    </row>
    <row r="633" spans="1:33" ht="11.25" customHeight="1" x14ac:dyDescent="0.25">
      <c r="A633" s="4" t="s">
        <v>21</v>
      </c>
      <c r="B633" s="4" t="s">
        <v>22</v>
      </c>
      <c r="C633" s="4" t="s">
        <v>33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34</v>
      </c>
      <c r="I633" s="5">
        <v>44743</v>
      </c>
      <c r="J633" s="6">
        <v>0</v>
      </c>
      <c r="K633" s="6">
        <v>0</v>
      </c>
      <c r="L633" s="6">
        <v>2.1219999999999999</v>
      </c>
      <c r="M633" s="6">
        <v>2.1219999999999999</v>
      </c>
      <c r="N633" s="6">
        <v>2.1219999999999999</v>
      </c>
      <c r="O633" s="6">
        <v>2.1219999999999999</v>
      </c>
      <c r="P633" s="6">
        <v>0</v>
      </c>
      <c r="Q633" s="4" t="s">
        <v>26</v>
      </c>
      <c r="R633" s="4">
        <v>0</v>
      </c>
      <c r="S633" s="6">
        <v>0</v>
      </c>
      <c r="T633" s="6">
        <v>20</v>
      </c>
      <c r="U633" s="6">
        <v>77</v>
      </c>
      <c r="V633" s="6">
        <f>IF(ISERROR(VLOOKUP($S$633,'TAR FIN'!$A$1:$O$108,15,0)),0,VLOOKUP($S$633,'TAR FIN'!$A$1:$O$108,15,0))</f>
        <v>0</v>
      </c>
      <c r="W633" s="6">
        <f>IF(ISERROR(VLOOKUP($T$633,'TAR FIN'!$A$1:$O$108,15,0)),0,VLOOKUP($T$633,'TAR FIN'!$A$1:$O$108,15,0))</f>
        <v>1133.28</v>
      </c>
      <c r="X633" s="6">
        <f>IF(ISERROR(VLOOKUP($U$633,'TAR FIN'!$A$1:$O$108,15,0)),0,VLOOKUP($U$633,'TAR FIN'!$A$1:$O$108,15,0))</f>
        <v>159.43</v>
      </c>
      <c r="Y633" s="6"/>
      <c r="Z633" s="6">
        <f ca="1">('TUSD BE'!$AM$33+'TUSD BF'!$AM$33+'TUSD CVA'!$AM$33)*1</f>
        <v>1169.5504192635606</v>
      </c>
      <c r="AA633" s="6">
        <f>('TE BE'!$AB$13+'TE BF'!$AB$13+'TE CVA'!$AB$13)*1</f>
        <v>322.12477389224171</v>
      </c>
      <c r="AB633" s="6">
        <f>$K$633*$V$633</f>
        <v>0</v>
      </c>
      <c r="AC633" s="6">
        <f>$M$633*$W$633</f>
        <v>2404.8201599999998</v>
      </c>
      <c r="AD633" s="6">
        <f>$O$633*$X$633</f>
        <v>338.31045999999998</v>
      </c>
      <c r="AE633" s="6">
        <f>$K$633*$Y$633</f>
        <v>0</v>
      </c>
      <c r="AF633" s="6">
        <f ca="1">$M$633*$Z$633</f>
        <v>2481.7859896772752</v>
      </c>
      <c r="AG633" s="6">
        <f>$O$633*$AA$633</f>
        <v>683.5487701993369</v>
      </c>
    </row>
    <row r="634" spans="1:33" ht="11.25" customHeight="1" x14ac:dyDescent="0.25">
      <c r="A634" s="4" t="s">
        <v>21</v>
      </c>
      <c r="B634" s="4" t="s">
        <v>22</v>
      </c>
      <c r="C634" s="4" t="s">
        <v>33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34</v>
      </c>
      <c r="I634" s="5">
        <v>44774</v>
      </c>
      <c r="J634" s="6">
        <v>0</v>
      </c>
      <c r="K634" s="6">
        <v>0</v>
      </c>
      <c r="L634" s="6">
        <v>1.2450000000000001</v>
      </c>
      <c r="M634" s="6">
        <v>1.2450000000000001</v>
      </c>
      <c r="N634" s="6">
        <v>1.2450000000000001</v>
      </c>
      <c r="O634" s="6">
        <v>1.2450000000000001</v>
      </c>
      <c r="P634" s="6">
        <v>0</v>
      </c>
      <c r="Q634" s="4" t="s">
        <v>26</v>
      </c>
      <c r="R634" s="4">
        <v>0</v>
      </c>
      <c r="S634" s="6">
        <v>0</v>
      </c>
      <c r="T634" s="6">
        <v>20</v>
      </c>
      <c r="U634" s="6">
        <v>77</v>
      </c>
      <c r="V634" s="6">
        <f>IF(ISERROR(VLOOKUP($S$634,'TAR FIN'!$A$1:$O$108,15,0)),0,VLOOKUP($S$634,'TAR FIN'!$A$1:$O$108,15,0))</f>
        <v>0</v>
      </c>
      <c r="W634" s="6">
        <f>IF(ISERROR(VLOOKUP($T$634,'TAR FIN'!$A$1:$O$108,15,0)),0,VLOOKUP($T$634,'TAR FIN'!$A$1:$O$108,15,0))</f>
        <v>1133.28</v>
      </c>
      <c r="X634" s="6">
        <f>IF(ISERROR(VLOOKUP($U$634,'TAR FIN'!$A$1:$O$108,15,0)),0,VLOOKUP($U$634,'TAR FIN'!$A$1:$O$108,15,0))</f>
        <v>159.43</v>
      </c>
      <c r="Y634" s="6"/>
      <c r="Z634" s="6">
        <f ca="1">('TUSD BE'!$AM$33+'TUSD BF'!$AM$33+'TUSD CVA'!$AM$33)*1</f>
        <v>1169.5504192635606</v>
      </c>
      <c r="AA634" s="6">
        <f>('TE BE'!$AB$13+'TE BF'!$AB$13+'TE CVA'!$AB$13)*1</f>
        <v>322.12477389224171</v>
      </c>
      <c r="AB634" s="6">
        <f>$K$634*$V$634</f>
        <v>0</v>
      </c>
      <c r="AC634" s="6">
        <f>$M$634*$W$634</f>
        <v>1410.9336000000001</v>
      </c>
      <c r="AD634" s="6">
        <f>$O$634*$X$634</f>
        <v>198.49035000000003</v>
      </c>
      <c r="AE634" s="6">
        <f>$K$634*$Y$634</f>
        <v>0</v>
      </c>
      <c r="AF634" s="6">
        <f ca="1">$M$634*$Z$634</f>
        <v>1456.0902719831331</v>
      </c>
      <c r="AG634" s="6">
        <f>$O$634*$AA$634</f>
        <v>401.04534349584094</v>
      </c>
    </row>
    <row r="635" spans="1:33" ht="11.25" customHeight="1" x14ac:dyDescent="0.25">
      <c r="A635" s="4" t="s">
        <v>27</v>
      </c>
      <c r="B635" s="4" t="s">
        <v>22</v>
      </c>
      <c r="C635" s="4" t="s">
        <v>33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34</v>
      </c>
      <c r="I635" s="5">
        <v>44774</v>
      </c>
      <c r="J635" s="6">
        <v>0</v>
      </c>
      <c r="K635" s="6">
        <v>0</v>
      </c>
      <c r="L635" s="6">
        <v>-0.93300000000000005</v>
      </c>
      <c r="M635" s="6">
        <v>-0.93300000000000005</v>
      </c>
      <c r="N635" s="6">
        <v>-0.93300000000000005</v>
      </c>
      <c r="O635" s="6">
        <v>-0.93300000000000005</v>
      </c>
      <c r="P635" s="6">
        <v>0</v>
      </c>
      <c r="Q635" s="4" t="s">
        <v>26</v>
      </c>
      <c r="R635" s="4">
        <v>0</v>
      </c>
      <c r="S635" s="6">
        <v>0</v>
      </c>
      <c r="T635" s="6">
        <v>20</v>
      </c>
      <c r="U635" s="6">
        <v>77</v>
      </c>
      <c r="V635" s="6">
        <f>IF(ISERROR(VLOOKUP($S$635,'TAR FIN'!$A$1:$O$108,15,0)),0,VLOOKUP($S$635,'TAR FIN'!$A$1:$O$108,15,0))</f>
        <v>0</v>
      </c>
      <c r="W635" s="6">
        <f>IF(ISERROR(VLOOKUP($T$635,'TAR FIN'!$A$1:$O$108,15,0)),0,VLOOKUP($T$635,'TAR FIN'!$A$1:$O$108,15,0))</f>
        <v>1133.28</v>
      </c>
      <c r="X635" s="6">
        <f>IF(ISERROR(VLOOKUP($U$635,'TAR FIN'!$A$1:$O$108,15,0)),0,VLOOKUP($U$635,'TAR FIN'!$A$1:$O$108,15,0))</f>
        <v>159.43</v>
      </c>
      <c r="Y635" s="6"/>
      <c r="Z635" s="6">
        <f ca="1">('TUSD BE'!$AM$33+'TUSD BF'!$AM$33+'TUSD CVA'!$AM$33)*1</f>
        <v>1169.5504192635606</v>
      </c>
      <c r="AA635" s="6">
        <f>('TE BE'!$AB$13+'TE BF'!$AB$13+'TE CVA'!$AB$13)*1</f>
        <v>322.12477389224171</v>
      </c>
      <c r="AB635" s="6">
        <f>$K$635*$V$635</f>
        <v>0</v>
      </c>
      <c r="AC635" s="6">
        <f>$M$635*$W$635</f>
        <v>-1057.35024</v>
      </c>
      <c r="AD635" s="6">
        <f>$O$635*$X$635</f>
        <v>-148.74819000000002</v>
      </c>
      <c r="AE635" s="6">
        <f>$K$635*$Y$635</f>
        <v>0</v>
      </c>
      <c r="AF635" s="6">
        <f ca="1">$M$635*$Z$635</f>
        <v>-1091.1905411729022</v>
      </c>
      <c r="AG635" s="6">
        <f>$O$635*$AA$635</f>
        <v>-300.54241404146154</v>
      </c>
    </row>
    <row r="636" spans="1:33" ht="11.25" customHeight="1" x14ac:dyDescent="0.25">
      <c r="A636" s="4" t="s">
        <v>28</v>
      </c>
      <c r="B636" s="4" t="s">
        <v>22</v>
      </c>
      <c r="C636" s="4" t="s">
        <v>33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34</v>
      </c>
      <c r="I636" s="5">
        <v>44774</v>
      </c>
      <c r="J636" s="6">
        <v>0</v>
      </c>
      <c r="K636" s="6">
        <v>0</v>
      </c>
      <c r="L636" s="6">
        <v>6.3E-2</v>
      </c>
      <c r="M636" s="6">
        <v>6.3E-2</v>
      </c>
      <c r="N636" s="6">
        <v>6.3E-2</v>
      </c>
      <c r="O636" s="6">
        <v>6.3E-2</v>
      </c>
      <c r="P636" s="6">
        <v>0</v>
      </c>
      <c r="Q636" s="4" t="s">
        <v>26</v>
      </c>
      <c r="R636" s="4">
        <v>0</v>
      </c>
      <c r="S636" s="6">
        <v>0</v>
      </c>
      <c r="T636" s="6">
        <v>20</v>
      </c>
      <c r="U636" s="6">
        <v>77</v>
      </c>
      <c r="V636" s="6">
        <f>IF(ISERROR(VLOOKUP($S$636,'TAR FIN'!$A$1:$O$108,15,0)),0,VLOOKUP($S$636,'TAR FIN'!$A$1:$O$108,15,0))</f>
        <v>0</v>
      </c>
      <c r="W636" s="6">
        <f>IF(ISERROR(VLOOKUP($T$636,'TAR FIN'!$A$1:$O$108,15,0)),0,VLOOKUP($T$636,'TAR FIN'!$A$1:$O$108,15,0))</f>
        <v>1133.28</v>
      </c>
      <c r="X636" s="6">
        <f>IF(ISERROR(VLOOKUP($U$636,'TAR FIN'!$A$1:$O$108,15,0)),0,VLOOKUP($U$636,'TAR FIN'!$A$1:$O$108,15,0))</f>
        <v>159.43</v>
      </c>
      <c r="Y636" s="6"/>
      <c r="Z636" s="6">
        <f ca="1">('TUSD BE'!$AM$33+'TUSD BF'!$AM$33+'TUSD CVA'!$AM$33)*1</f>
        <v>1169.5504192635606</v>
      </c>
      <c r="AA636" s="6">
        <f>('TE BE'!$AB$13+'TE BF'!$AB$13+'TE CVA'!$AB$13)*1</f>
        <v>322.12477389224171</v>
      </c>
      <c r="AB636" s="6">
        <f>$K$636*$V$636</f>
        <v>0</v>
      </c>
      <c r="AC636" s="6">
        <f>$M$636*$W$636</f>
        <v>71.396640000000005</v>
      </c>
      <c r="AD636" s="6">
        <f>$O$636*$X$636</f>
        <v>10.044090000000001</v>
      </c>
      <c r="AE636" s="6">
        <f>$K$636*$Y$636</f>
        <v>0</v>
      </c>
      <c r="AF636" s="6">
        <f ca="1">$M$636*$Z$636</f>
        <v>73.681676413604322</v>
      </c>
      <c r="AG636" s="6">
        <f>$O$636*$AA$636</f>
        <v>20.293860755211227</v>
      </c>
    </row>
    <row r="637" spans="1:33" ht="11.25" customHeight="1" x14ac:dyDescent="0.25">
      <c r="A637" s="4" t="s">
        <v>21</v>
      </c>
      <c r="B637" s="4" t="s">
        <v>22</v>
      </c>
      <c r="C637" s="4" t="s">
        <v>33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34</v>
      </c>
      <c r="I637" s="5">
        <v>44805</v>
      </c>
      <c r="J637" s="6">
        <v>0</v>
      </c>
      <c r="K637" s="6">
        <v>0</v>
      </c>
      <c r="L637" s="6">
        <v>1.411</v>
      </c>
      <c r="M637" s="6">
        <v>1.411</v>
      </c>
      <c r="N637" s="6">
        <v>1.411</v>
      </c>
      <c r="O637" s="6">
        <v>1.411</v>
      </c>
      <c r="P637" s="6">
        <v>0</v>
      </c>
      <c r="Q637" s="4" t="s">
        <v>26</v>
      </c>
      <c r="R637" s="4">
        <v>0</v>
      </c>
      <c r="S637" s="6">
        <v>0</v>
      </c>
      <c r="T637" s="6">
        <v>20</v>
      </c>
      <c r="U637" s="6">
        <v>77</v>
      </c>
      <c r="V637" s="6">
        <f>IF(ISERROR(VLOOKUP($S$637,'TAR FIN'!$A$1:$O$108,15,0)),0,VLOOKUP($S$637,'TAR FIN'!$A$1:$O$108,15,0))</f>
        <v>0</v>
      </c>
      <c r="W637" s="6">
        <f>IF(ISERROR(VLOOKUP($T$637,'TAR FIN'!$A$1:$O$108,15,0)),0,VLOOKUP($T$637,'TAR FIN'!$A$1:$O$108,15,0))</f>
        <v>1133.28</v>
      </c>
      <c r="X637" s="6">
        <f>IF(ISERROR(VLOOKUP($U$637,'TAR FIN'!$A$1:$O$108,15,0)),0,VLOOKUP($U$637,'TAR FIN'!$A$1:$O$108,15,0))</f>
        <v>159.43</v>
      </c>
      <c r="Y637" s="6"/>
      <c r="Z637" s="6">
        <f ca="1">('TUSD BE'!$AM$33+'TUSD BF'!$AM$33+'TUSD CVA'!$AM$33)*1</f>
        <v>1169.5504192635606</v>
      </c>
      <c r="AA637" s="6">
        <f>('TE BE'!$AB$13+'TE BF'!$AB$13+'TE CVA'!$AB$13)*1</f>
        <v>322.12477389224171</v>
      </c>
      <c r="AB637" s="6">
        <f>$K$637*$V$637</f>
        <v>0</v>
      </c>
      <c r="AC637" s="6">
        <f>$M$637*$W$637</f>
        <v>1599.05808</v>
      </c>
      <c r="AD637" s="6">
        <f>$O$637*$X$637</f>
        <v>224.95573000000002</v>
      </c>
      <c r="AE637" s="6">
        <f>$K$637*$Y$637</f>
        <v>0</v>
      </c>
      <c r="AF637" s="6">
        <f ca="1">$M$637*$Z$637</f>
        <v>1650.235641580884</v>
      </c>
      <c r="AG637" s="6">
        <f>$O$637*$AA$637</f>
        <v>454.51805596195305</v>
      </c>
    </row>
    <row r="638" spans="1:33" ht="11.25" customHeight="1" x14ac:dyDescent="0.25">
      <c r="A638" s="4" t="s">
        <v>21</v>
      </c>
      <c r="B638" s="4" t="s">
        <v>22</v>
      </c>
      <c r="C638" s="4" t="s">
        <v>33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34</v>
      </c>
      <c r="I638" s="5">
        <v>44835</v>
      </c>
      <c r="J638" s="6">
        <v>0</v>
      </c>
      <c r="K638" s="6">
        <v>0</v>
      </c>
      <c r="L638" s="6">
        <v>1.337</v>
      </c>
      <c r="M638" s="6">
        <v>1.337</v>
      </c>
      <c r="N638" s="6">
        <v>1.337</v>
      </c>
      <c r="O638" s="6">
        <v>1.337</v>
      </c>
      <c r="P638" s="6">
        <v>0</v>
      </c>
      <c r="Q638" s="4" t="s">
        <v>26</v>
      </c>
      <c r="R638" s="4">
        <v>0</v>
      </c>
      <c r="S638" s="6">
        <v>0</v>
      </c>
      <c r="T638" s="6">
        <v>20</v>
      </c>
      <c r="U638" s="6">
        <v>77</v>
      </c>
      <c r="V638" s="6">
        <f>IF(ISERROR(VLOOKUP($S$638,'TAR FIN'!$A$1:$O$108,15,0)),0,VLOOKUP($S$638,'TAR FIN'!$A$1:$O$108,15,0))</f>
        <v>0</v>
      </c>
      <c r="W638" s="6">
        <f>IF(ISERROR(VLOOKUP($T$638,'TAR FIN'!$A$1:$O$108,15,0)),0,VLOOKUP($T$638,'TAR FIN'!$A$1:$O$108,15,0))</f>
        <v>1133.28</v>
      </c>
      <c r="X638" s="6">
        <f>IF(ISERROR(VLOOKUP($U$638,'TAR FIN'!$A$1:$O$108,15,0)),0,VLOOKUP($U$638,'TAR FIN'!$A$1:$O$108,15,0))</f>
        <v>159.43</v>
      </c>
      <c r="Y638" s="6"/>
      <c r="Z638" s="6">
        <f ca="1">('TUSD BE'!$AM$33+'TUSD BF'!$AM$33+'TUSD CVA'!$AM$33)*1</f>
        <v>1169.5504192635606</v>
      </c>
      <c r="AA638" s="6">
        <f>('TE BE'!$AB$13+'TE BF'!$AB$13+'TE CVA'!$AB$13)*1</f>
        <v>322.12477389224171</v>
      </c>
      <c r="AB638" s="6">
        <f>$K$638*$V$638</f>
        <v>0</v>
      </c>
      <c r="AC638" s="6">
        <f>$M$638*$W$638</f>
        <v>1515.1953599999999</v>
      </c>
      <c r="AD638" s="6">
        <f>$O$638*$X$638</f>
        <v>213.15791000000002</v>
      </c>
      <c r="AE638" s="6">
        <f>$K$638*$Y$638</f>
        <v>0</v>
      </c>
      <c r="AF638" s="6">
        <f ca="1">$M$638*$Z$638</f>
        <v>1563.6889105553805</v>
      </c>
      <c r="AG638" s="6">
        <f>$O$638*$AA$638</f>
        <v>430.68082269392715</v>
      </c>
    </row>
    <row r="639" spans="1:33" ht="11.25" customHeight="1" x14ac:dyDescent="0.25">
      <c r="A639" s="4" t="s">
        <v>54</v>
      </c>
      <c r="B639" s="4" t="s">
        <v>22</v>
      </c>
      <c r="C639" s="4" t="s">
        <v>33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34</v>
      </c>
      <c r="I639" s="5">
        <v>44866</v>
      </c>
      <c r="J639" s="6">
        <v>0</v>
      </c>
      <c r="K639" s="6">
        <v>0</v>
      </c>
      <c r="L639" s="6">
        <v>1.337</v>
      </c>
      <c r="M639" s="6">
        <v>1.337</v>
      </c>
      <c r="N639" s="6">
        <v>1.337</v>
      </c>
      <c r="O639" s="6">
        <v>1.337</v>
      </c>
      <c r="P639" s="6">
        <v>0</v>
      </c>
      <c r="Q639" s="4" t="s">
        <v>26</v>
      </c>
      <c r="R639" s="4">
        <v>0</v>
      </c>
      <c r="S639" s="6">
        <v>0</v>
      </c>
      <c r="T639" s="6">
        <v>20</v>
      </c>
      <c r="U639" s="6">
        <v>77</v>
      </c>
      <c r="V639" s="6">
        <f>IF(ISERROR(VLOOKUP($S$639,'TAR FIN'!$A$1:$O$108,15,0)),0,VLOOKUP($S$639,'TAR FIN'!$A$1:$O$108,15,0))</f>
        <v>0</v>
      </c>
      <c r="W639" s="6">
        <f>IF(ISERROR(VLOOKUP($T$639,'TAR FIN'!$A$1:$O$108,15,0)),0,VLOOKUP($T$639,'TAR FIN'!$A$1:$O$108,15,0))</f>
        <v>1133.28</v>
      </c>
      <c r="X639" s="6">
        <f>IF(ISERROR(VLOOKUP($U$639,'TAR FIN'!$A$1:$O$108,15,0)),0,VLOOKUP($U$639,'TAR FIN'!$A$1:$O$108,15,0))</f>
        <v>159.43</v>
      </c>
      <c r="Y639" s="6"/>
      <c r="Z639" s="6">
        <f ca="1">('TUSD BE'!$AM$33+'TUSD BF'!$AM$33+'TUSD CVA'!$AM$33)*1</f>
        <v>1169.5504192635606</v>
      </c>
      <c r="AA639" s="6">
        <f>('TE BE'!$AB$13+'TE BF'!$AB$13+'TE CVA'!$AB$13)*1</f>
        <v>322.12477389224171</v>
      </c>
      <c r="AB639" s="6">
        <f>$K$639*$V$639</f>
        <v>0</v>
      </c>
      <c r="AC639" s="6">
        <f>$M$639*$W$639</f>
        <v>1515.1953599999999</v>
      </c>
      <c r="AD639" s="6">
        <f>$O$639*$X$639</f>
        <v>213.15791000000002</v>
      </c>
      <c r="AE639" s="6">
        <f>$K$639*$Y$639</f>
        <v>0</v>
      </c>
      <c r="AF639" s="6">
        <f ca="1">$M$639*$Z$639</f>
        <v>1563.6889105553805</v>
      </c>
      <c r="AG639" s="6">
        <f>$O$639*$AA$639</f>
        <v>430.68082269392715</v>
      </c>
    </row>
    <row r="640" spans="1:33" ht="11.25" customHeight="1" x14ac:dyDescent="0.25">
      <c r="A640" s="4" t="s">
        <v>21</v>
      </c>
      <c r="B640" s="4" t="s">
        <v>22</v>
      </c>
      <c r="C640" s="4" t="s">
        <v>23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40253.358</v>
      </c>
      <c r="M640" s="6">
        <v>40253.358</v>
      </c>
      <c r="N640" s="6">
        <v>40253.358</v>
      </c>
      <c r="O640" s="6">
        <v>40253.358</v>
      </c>
      <c r="P640" s="6">
        <v>147531</v>
      </c>
      <c r="Q640" s="4" t="s">
        <v>26</v>
      </c>
      <c r="R640" s="4">
        <v>0</v>
      </c>
      <c r="S640" s="6">
        <v>0</v>
      </c>
      <c r="T640" s="6">
        <v>25</v>
      </c>
      <c r="U640" s="6">
        <v>80</v>
      </c>
      <c r="V640" s="6">
        <f>IF(ISERROR(VLOOKUP($S$640,'TAR FIN'!$A$1:$O$108,15,0)),0,VLOOKUP($S$640,'TAR FIN'!$A$1:$O$108,15,0))</f>
        <v>0</v>
      </c>
      <c r="W640" s="6">
        <f>IF(ISERROR(VLOOKUP($T$640,'TAR FIN'!$A$1:$O$108,15,0)),0,VLOOKUP($T$640,'TAR FIN'!$A$1:$O$108,15,0))</f>
        <v>432.02</v>
      </c>
      <c r="X640" s="6">
        <f>IF(ISERROR(VLOOKUP($U$640,'TAR FIN'!$A$1:$O$108,15,0)),0,VLOOKUP($U$640,'TAR FIN'!$A$1:$O$108,15,0))</f>
        <v>107.79</v>
      </c>
      <c r="Y640" s="6"/>
      <c r="Z640" s="6">
        <f ca="1">('TUSD BE'!$AM$36+'TUSD BF'!$AM$36+'TUSD CVA'!$AM$36)*1</f>
        <v>497.19204594021971</v>
      </c>
      <c r="AA640" s="6">
        <f>('TE BE'!$AB$16+'TE BF'!$AB$16+'TE CVA'!$AB$16)*1</f>
        <v>224.47961306175614</v>
      </c>
      <c r="AB640" s="6">
        <f>$K$640*$V$640</f>
        <v>0</v>
      </c>
      <c r="AC640" s="6">
        <f>$M$640*$W$640</f>
        <v>17390255.723159999</v>
      </c>
      <c r="AD640" s="6">
        <f>$O$640*$X$640</f>
        <v>4338909.4588200003</v>
      </c>
      <c r="AE640" s="6">
        <f>$K$640*$Y$640</f>
        <v>0</v>
      </c>
      <c r="AF640" s="6">
        <f ca="1">$M$640*$Z$640</f>
        <v>20013649.41998411</v>
      </c>
      <c r="AG640" s="6">
        <f>$O$640*$AA$640</f>
        <v>9036058.2282763459</v>
      </c>
    </row>
    <row r="641" spans="1:33" ht="11.25" customHeight="1" x14ac:dyDescent="0.25">
      <c r="A641" s="4" t="s">
        <v>27</v>
      </c>
      <c r="B641" s="4" t="s">
        <v>22</v>
      </c>
      <c r="C641" s="4" t="s">
        <v>23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-1538.8630000000001</v>
      </c>
      <c r="M641" s="6">
        <v>-1538.8630000000001</v>
      </c>
      <c r="N641" s="6">
        <v>-1538.8630000000001</v>
      </c>
      <c r="O641" s="6">
        <v>-1538.8630000000001</v>
      </c>
      <c r="P641" s="6">
        <v>-946</v>
      </c>
      <c r="Q641" s="4" t="s">
        <v>26</v>
      </c>
      <c r="R641" s="4">
        <v>0</v>
      </c>
      <c r="S641" s="6">
        <v>0</v>
      </c>
      <c r="T641" s="6">
        <v>25</v>
      </c>
      <c r="U641" s="6">
        <v>80</v>
      </c>
      <c r="V641" s="6">
        <f>IF(ISERROR(VLOOKUP($S$641,'TAR FIN'!$A$1:$O$108,15,0)),0,VLOOKUP($S$641,'TAR FIN'!$A$1:$O$108,15,0))</f>
        <v>0</v>
      </c>
      <c r="W641" s="6">
        <f>IF(ISERROR(VLOOKUP($T$641,'TAR FIN'!$A$1:$O$108,15,0)),0,VLOOKUP($T$641,'TAR FIN'!$A$1:$O$108,15,0))</f>
        <v>432.02</v>
      </c>
      <c r="X641" s="6">
        <f>IF(ISERROR(VLOOKUP($U$641,'TAR FIN'!$A$1:$O$108,15,0)),0,VLOOKUP($U$641,'TAR FIN'!$A$1:$O$108,15,0))</f>
        <v>107.79</v>
      </c>
      <c r="Y641" s="6"/>
      <c r="Z641" s="6">
        <f ca="1">('TUSD BE'!$AM$36+'TUSD BF'!$AM$36+'TUSD CVA'!$AM$36)*1</f>
        <v>497.19204594021971</v>
      </c>
      <c r="AA641" s="6">
        <f>('TE BE'!$AB$16+'TE BF'!$AB$16+'TE CVA'!$AB$16)*1</f>
        <v>224.47961306175614</v>
      </c>
      <c r="AB641" s="6">
        <f>$K$641*$V$641</f>
        <v>0</v>
      </c>
      <c r="AC641" s="6">
        <f>$M$641*$W$641</f>
        <v>-664819.59325999999</v>
      </c>
      <c r="AD641" s="6">
        <f>$O$641*$X$641</f>
        <v>-165874.04277000003</v>
      </c>
      <c r="AE641" s="6">
        <f>$K$641*$Y$641</f>
        <v>0</v>
      </c>
      <c r="AF641" s="6">
        <f ca="1">$M$641*$Z$641</f>
        <v>-765110.44339170435</v>
      </c>
      <c r="AG641" s="6">
        <f>$O$641*$AA$641</f>
        <v>-345443.37079505326</v>
      </c>
    </row>
    <row r="642" spans="1:33" ht="11.25" customHeight="1" x14ac:dyDescent="0.25">
      <c r="A642" s="4" t="s">
        <v>28</v>
      </c>
      <c r="B642" s="4" t="s">
        <v>22</v>
      </c>
      <c r="C642" s="4" t="s">
        <v>23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25</v>
      </c>
      <c r="I642" s="5">
        <v>44531</v>
      </c>
      <c r="J642" s="6">
        <v>0</v>
      </c>
      <c r="K642" s="6">
        <v>0</v>
      </c>
      <c r="L642" s="6">
        <v>195.648</v>
      </c>
      <c r="M642" s="6">
        <v>195.648</v>
      </c>
      <c r="N642" s="6">
        <v>195.648</v>
      </c>
      <c r="O642" s="6">
        <v>195.648</v>
      </c>
      <c r="P642" s="6">
        <v>735</v>
      </c>
      <c r="Q642" s="4" t="s">
        <v>26</v>
      </c>
      <c r="R642" s="4">
        <v>0</v>
      </c>
      <c r="S642" s="6">
        <v>0</v>
      </c>
      <c r="T642" s="6">
        <v>25</v>
      </c>
      <c r="U642" s="6">
        <v>80</v>
      </c>
      <c r="V642" s="6">
        <f>IF(ISERROR(VLOOKUP($S$642,'TAR FIN'!$A$1:$O$108,15,0)),0,VLOOKUP($S$642,'TAR FIN'!$A$1:$O$108,15,0))</f>
        <v>0</v>
      </c>
      <c r="W642" s="6">
        <f>IF(ISERROR(VLOOKUP($T$642,'TAR FIN'!$A$1:$O$108,15,0)),0,VLOOKUP($T$642,'TAR FIN'!$A$1:$O$108,15,0))</f>
        <v>432.02</v>
      </c>
      <c r="X642" s="6">
        <f>IF(ISERROR(VLOOKUP($U$642,'TAR FIN'!$A$1:$O$108,15,0)),0,VLOOKUP($U$642,'TAR FIN'!$A$1:$O$108,15,0))</f>
        <v>107.79</v>
      </c>
      <c r="Y642" s="6"/>
      <c r="Z642" s="6">
        <f ca="1">('TUSD BE'!$AM$36+'TUSD BF'!$AM$36+'TUSD CVA'!$AM$36)*1</f>
        <v>497.19204594021971</v>
      </c>
      <c r="AA642" s="6">
        <f>('TE BE'!$AB$16+'TE BF'!$AB$16+'TE CVA'!$AB$16)*1</f>
        <v>224.47961306175614</v>
      </c>
      <c r="AB642" s="6">
        <f>$K$642*$V$642</f>
        <v>0</v>
      </c>
      <c r="AC642" s="6">
        <f>$M$642*$W$642</f>
        <v>84523.848959999988</v>
      </c>
      <c r="AD642" s="6">
        <f>$O$642*$X$642</f>
        <v>21088.897919999999</v>
      </c>
      <c r="AE642" s="6">
        <f>$K$642*$Y$642</f>
        <v>0</v>
      </c>
      <c r="AF642" s="6">
        <f ca="1">$M$642*$Z$642</f>
        <v>97274.6294041121</v>
      </c>
      <c r="AG642" s="6">
        <f>$O$642*$AA$642</f>
        <v>43918.987336306462</v>
      </c>
    </row>
    <row r="643" spans="1:33" ht="11.25" customHeight="1" x14ac:dyDescent="0.25">
      <c r="A643" s="4" t="s">
        <v>28</v>
      </c>
      <c r="B643" s="4" t="s">
        <v>22</v>
      </c>
      <c r="C643" s="4" t="s">
        <v>23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25</v>
      </c>
      <c r="I643" s="5">
        <v>44531</v>
      </c>
      <c r="J643" s="6">
        <v>0</v>
      </c>
      <c r="K643" s="6">
        <v>0</v>
      </c>
      <c r="L643" s="6">
        <v>2.4060000000000001</v>
      </c>
      <c r="M643" s="6">
        <v>2.4060000000000001</v>
      </c>
      <c r="N643" s="6">
        <v>2.4060000000000001</v>
      </c>
      <c r="O643" s="6">
        <v>2.4060000000000001</v>
      </c>
      <c r="P643" s="6">
        <v>12</v>
      </c>
      <c r="Q643" s="4" t="s">
        <v>26</v>
      </c>
      <c r="R643" s="4">
        <v>0</v>
      </c>
      <c r="S643" s="6">
        <v>0</v>
      </c>
      <c r="T643" s="6">
        <v>25</v>
      </c>
      <c r="U643" s="6">
        <v>80</v>
      </c>
      <c r="V643" s="6">
        <f>IF(ISERROR(VLOOKUP($S$643,'TAR FIN'!$A$1:$O$108,15,0)),0,VLOOKUP($S$643,'TAR FIN'!$A$1:$O$108,15,0))</f>
        <v>0</v>
      </c>
      <c r="W643" s="6">
        <f>IF(ISERROR(VLOOKUP($T$643,'TAR FIN'!$A$1:$O$108,15,0)),0,VLOOKUP($T$643,'TAR FIN'!$A$1:$O$108,15,0))</f>
        <v>432.02</v>
      </c>
      <c r="X643" s="6">
        <f>IF(ISERROR(VLOOKUP($U$643,'TAR FIN'!$A$1:$O$108,15,0)),0,VLOOKUP($U$643,'TAR FIN'!$A$1:$O$108,15,0))</f>
        <v>107.79</v>
      </c>
      <c r="Y643" s="6"/>
      <c r="Z643" s="6">
        <f ca="1">('TUSD BE'!$AM$36+'TUSD BF'!$AM$36+'TUSD CVA'!$AM$36)*1</f>
        <v>497.19204594021971</v>
      </c>
      <c r="AA643" s="6">
        <f>('TE BE'!$AB$16+'TE BF'!$AB$16+'TE CVA'!$AB$16)*1</f>
        <v>224.47961306175614</v>
      </c>
      <c r="AB643" s="6">
        <f>$K$643*$V$643</f>
        <v>0</v>
      </c>
      <c r="AC643" s="6">
        <f>$M$643*$W$643</f>
        <v>1039.44012</v>
      </c>
      <c r="AD643" s="6">
        <f>$O$643*$X$643</f>
        <v>259.34274000000005</v>
      </c>
      <c r="AE643" s="6">
        <f>$K$643*$Y$643</f>
        <v>0</v>
      </c>
      <c r="AF643" s="6">
        <f ca="1">$M$643*$Z$643</f>
        <v>1196.2440625321688</v>
      </c>
      <c r="AG643" s="6">
        <f>$O$643*$AA$643</f>
        <v>540.0979490265853</v>
      </c>
    </row>
    <row r="644" spans="1:33" ht="11.25" customHeight="1" x14ac:dyDescent="0.25">
      <c r="A644" s="4" t="s">
        <v>21</v>
      </c>
      <c r="B644" s="4" t="s">
        <v>22</v>
      </c>
      <c r="C644" s="4" t="s">
        <v>23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25</v>
      </c>
      <c r="I644" s="5">
        <v>44562</v>
      </c>
      <c r="J644" s="6">
        <v>0</v>
      </c>
      <c r="K644" s="6">
        <v>0</v>
      </c>
      <c r="L644" s="6">
        <v>35955.514999999999</v>
      </c>
      <c r="M644" s="6">
        <v>35955.514999999999</v>
      </c>
      <c r="N644" s="6">
        <v>35955.514999999999</v>
      </c>
      <c r="O644" s="6">
        <v>35955.514999999999</v>
      </c>
      <c r="P644" s="6">
        <v>145405</v>
      </c>
      <c r="Q644" s="4" t="s">
        <v>26</v>
      </c>
      <c r="R644" s="4">
        <v>0</v>
      </c>
      <c r="S644" s="6">
        <v>0</v>
      </c>
      <c r="T644" s="6">
        <v>25</v>
      </c>
      <c r="U644" s="6">
        <v>80</v>
      </c>
      <c r="V644" s="6">
        <f>IF(ISERROR(VLOOKUP($S$644,'TAR FIN'!$A$1:$O$108,15,0)),0,VLOOKUP($S$644,'TAR FIN'!$A$1:$O$108,15,0))</f>
        <v>0</v>
      </c>
      <c r="W644" s="6">
        <f>IF(ISERROR(VLOOKUP($T$644,'TAR FIN'!$A$1:$O$108,15,0)),0,VLOOKUP($T$644,'TAR FIN'!$A$1:$O$108,15,0))</f>
        <v>432.02</v>
      </c>
      <c r="X644" s="6">
        <f>IF(ISERROR(VLOOKUP($U$644,'TAR FIN'!$A$1:$O$108,15,0)),0,VLOOKUP($U$644,'TAR FIN'!$A$1:$O$108,15,0))</f>
        <v>107.79</v>
      </c>
      <c r="Y644" s="6"/>
      <c r="Z644" s="6">
        <f ca="1">('TUSD BE'!$AM$36+'TUSD BF'!$AM$36+'TUSD CVA'!$AM$36)*1</f>
        <v>497.19204594021971</v>
      </c>
      <c r="AA644" s="6">
        <f>('TE BE'!$AB$16+'TE BF'!$AB$16+'TE CVA'!$AB$16)*1</f>
        <v>224.47961306175614</v>
      </c>
      <c r="AB644" s="6">
        <f>$K$644*$V$644</f>
        <v>0</v>
      </c>
      <c r="AC644" s="6">
        <f>$M$644*$W$644</f>
        <v>15533501.590299999</v>
      </c>
      <c r="AD644" s="6">
        <f>$O$644*$X$644</f>
        <v>3875644.9618500001</v>
      </c>
      <c r="AE644" s="6">
        <f>$K$644*$Y$644</f>
        <v>0</v>
      </c>
      <c r="AF644" s="6">
        <f ca="1">$M$644*$Z$644</f>
        <v>17876796.065684259</v>
      </c>
      <c r="AG644" s="6">
        <f>$O$644*$AA$644</f>
        <v>8071280.0946361683</v>
      </c>
    </row>
    <row r="645" spans="1:33" ht="11.25" customHeight="1" x14ac:dyDescent="0.25">
      <c r="A645" s="4" t="s">
        <v>27</v>
      </c>
      <c r="B645" s="4" t="s">
        <v>22</v>
      </c>
      <c r="C645" s="4" t="s">
        <v>23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25</v>
      </c>
      <c r="I645" s="5">
        <v>44562</v>
      </c>
      <c r="J645" s="6">
        <v>0</v>
      </c>
      <c r="K645" s="6">
        <v>0</v>
      </c>
      <c r="L645" s="6">
        <v>-1895.162</v>
      </c>
      <c r="M645" s="6">
        <v>-1895.162</v>
      </c>
      <c r="N645" s="6">
        <v>-1895.162</v>
      </c>
      <c r="O645" s="6">
        <v>-1895.162</v>
      </c>
      <c r="P645" s="6">
        <v>-1168</v>
      </c>
      <c r="Q645" s="4" t="s">
        <v>26</v>
      </c>
      <c r="R645" s="4">
        <v>0</v>
      </c>
      <c r="S645" s="6">
        <v>0</v>
      </c>
      <c r="T645" s="6">
        <v>25</v>
      </c>
      <c r="U645" s="6">
        <v>80</v>
      </c>
      <c r="V645" s="6">
        <f>IF(ISERROR(VLOOKUP($S$645,'TAR FIN'!$A$1:$O$108,15,0)),0,VLOOKUP($S$645,'TAR FIN'!$A$1:$O$108,15,0))</f>
        <v>0</v>
      </c>
      <c r="W645" s="6">
        <f>IF(ISERROR(VLOOKUP($T$645,'TAR FIN'!$A$1:$O$108,15,0)),0,VLOOKUP($T$645,'TAR FIN'!$A$1:$O$108,15,0))</f>
        <v>432.02</v>
      </c>
      <c r="X645" s="6">
        <f>IF(ISERROR(VLOOKUP($U$645,'TAR FIN'!$A$1:$O$108,15,0)),0,VLOOKUP($U$645,'TAR FIN'!$A$1:$O$108,15,0))</f>
        <v>107.79</v>
      </c>
      <c r="Y645" s="6"/>
      <c r="Z645" s="6">
        <f ca="1">('TUSD BE'!$AM$36+'TUSD BF'!$AM$36+'TUSD CVA'!$AM$36)*1</f>
        <v>497.19204594021971</v>
      </c>
      <c r="AA645" s="6">
        <f>('TE BE'!$AB$16+'TE BF'!$AB$16+'TE CVA'!$AB$16)*1</f>
        <v>224.47961306175614</v>
      </c>
      <c r="AB645" s="6">
        <f>$K$645*$V$645</f>
        <v>0</v>
      </c>
      <c r="AC645" s="6">
        <f>$M$645*$W$645</f>
        <v>-818747.88723999995</v>
      </c>
      <c r="AD645" s="6">
        <f>$O$645*$X$645</f>
        <v>-204279.51198000001</v>
      </c>
      <c r="AE645" s="6">
        <f>$K$645*$Y$645</f>
        <v>0</v>
      </c>
      <c r="AF645" s="6">
        <f ca="1">$M$645*$Z$645</f>
        <v>-942259.47216815874</v>
      </c>
      <c r="AG645" s="6">
        <f>$O$645*$AA$645</f>
        <v>-425425.23244934389</v>
      </c>
    </row>
    <row r="646" spans="1:33" ht="11.25" customHeight="1" x14ac:dyDescent="0.25">
      <c r="A646" s="4" t="s">
        <v>28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44562</v>
      </c>
      <c r="J646" s="6">
        <v>0</v>
      </c>
      <c r="K646" s="6">
        <v>0</v>
      </c>
      <c r="L646" s="6">
        <v>183.24199999999999</v>
      </c>
      <c r="M646" s="6">
        <v>183.24199999999999</v>
      </c>
      <c r="N646" s="6">
        <v>183.24199999999999</v>
      </c>
      <c r="O646" s="6">
        <v>183.24199999999999</v>
      </c>
      <c r="P646" s="6">
        <v>761</v>
      </c>
      <c r="Q646" s="4" t="s">
        <v>26</v>
      </c>
      <c r="R646" s="4">
        <v>0</v>
      </c>
      <c r="S646" s="6">
        <v>0</v>
      </c>
      <c r="T646" s="6">
        <v>25</v>
      </c>
      <c r="U646" s="6">
        <v>80</v>
      </c>
      <c r="V646" s="6">
        <f>IF(ISERROR(VLOOKUP($S$646,'TAR FIN'!$A$1:$O$108,15,0)),0,VLOOKUP($S$646,'TAR FIN'!$A$1:$O$108,15,0))</f>
        <v>0</v>
      </c>
      <c r="W646" s="6">
        <f>IF(ISERROR(VLOOKUP($T$646,'TAR FIN'!$A$1:$O$108,15,0)),0,VLOOKUP($T$646,'TAR FIN'!$A$1:$O$108,15,0))</f>
        <v>432.02</v>
      </c>
      <c r="X646" s="6">
        <f>IF(ISERROR(VLOOKUP($U$646,'TAR FIN'!$A$1:$O$108,15,0)),0,VLOOKUP($U$646,'TAR FIN'!$A$1:$O$108,15,0))</f>
        <v>107.79</v>
      </c>
      <c r="Y646" s="6"/>
      <c r="Z646" s="6">
        <f ca="1">('TUSD BE'!$AM$36+'TUSD BF'!$AM$36+'TUSD CVA'!$AM$36)*1</f>
        <v>497.19204594021971</v>
      </c>
      <c r="AA646" s="6">
        <f>('TE BE'!$AB$16+'TE BF'!$AB$16+'TE CVA'!$AB$16)*1</f>
        <v>224.47961306175614</v>
      </c>
      <c r="AB646" s="6">
        <f>$K$646*$V$646</f>
        <v>0</v>
      </c>
      <c r="AC646" s="6">
        <f>$M$646*$W$646</f>
        <v>79164.208839999992</v>
      </c>
      <c r="AD646" s="6">
        <f>$O$646*$X$646</f>
        <v>19751.655180000002</v>
      </c>
      <c r="AE646" s="6">
        <f>$K$646*$Y$646</f>
        <v>0</v>
      </c>
      <c r="AF646" s="6">
        <f ca="1">$M$646*$Z$646</f>
        <v>91106.464882177737</v>
      </c>
      <c r="AG646" s="6">
        <f>$O$646*$AA$646</f>
        <v>41134.093256662316</v>
      </c>
    </row>
    <row r="647" spans="1:33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44562</v>
      </c>
      <c r="J647" s="6">
        <v>0</v>
      </c>
      <c r="K647" s="6">
        <v>0</v>
      </c>
      <c r="L647" s="6">
        <v>-0.81799999999999995</v>
      </c>
      <c r="M647" s="6">
        <v>-0.81799999999999995</v>
      </c>
      <c r="N647" s="6">
        <v>-0.81799999999999995</v>
      </c>
      <c r="O647" s="6">
        <v>-0.81799999999999995</v>
      </c>
      <c r="P647" s="6">
        <v>6</v>
      </c>
      <c r="Q647" s="4" t="s">
        <v>26</v>
      </c>
      <c r="R647" s="4">
        <v>0</v>
      </c>
      <c r="S647" s="6">
        <v>0</v>
      </c>
      <c r="T647" s="6">
        <v>25</v>
      </c>
      <c r="U647" s="6">
        <v>80</v>
      </c>
      <c r="V647" s="6">
        <f>IF(ISERROR(VLOOKUP($S$647,'TAR FIN'!$A$1:$O$108,15,0)),0,VLOOKUP($S$647,'TAR FIN'!$A$1:$O$108,15,0))</f>
        <v>0</v>
      </c>
      <c r="W647" s="6">
        <f>IF(ISERROR(VLOOKUP($T$647,'TAR FIN'!$A$1:$O$108,15,0)),0,VLOOKUP($T$647,'TAR FIN'!$A$1:$O$108,15,0))</f>
        <v>432.02</v>
      </c>
      <c r="X647" s="6">
        <f>IF(ISERROR(VLOOKUP($U$647,'TAR FIN'!$A$1:$O$108,15,0)),0,VLOOKUP($U$647,'TAR FIN'!$A$1:$O$108,15,0))</f>
        <v>107.79</v>
      </c>
      <c r="Y647" s="6"/>
      <c r="Z647" s="6">
        <f ca="1">('TUSD BE'!$AM$36+'TUSD BF'!$AM$36+'TUSD CVA'!$AM$36)*1</f>
        <v>497.19204594021971</v>
      </c>
      <c r="AA647" s="6">
        <f>('TE BE'!$AB$16+'TE BF'!$AB$16+'TE CVA'!$AB$16)*1</f>
        <v>224.47961306175614</v>
      </c>
      <c r="AB647" s="6">
        <f>$K$647*$V$647</f>
        <v>0</v>
      </c>
      <c r="AC647" s="6">
        <f>$M$647*$W$647</f>
        <v>-353.39235999999994</v>
      </c>
      <c r="AD647" s="6">
        <f>$O$647*$X$647</f>
        <v>-88.172219999999996</v>
      </c>
      <c r="AE647" s="6">
        <f>$K$647*$Y$647</f>
        <v>0</v>
      </c>
      <c r="AF647" s="6">
        <f ca="1">$M$647*$Z$647</f>
        <v>-406.70309357909969</v>
      </c>
      <c r="AG647" s="6">
        <f>$O$647*$AA$647</f>
        <v>-183.62432348451651</v>
      </c>
    </row>
    <row r="648" spans="1:33" ht="11.25" customHeight="1" x14ac:dyDescent="0.25">
      <c r="A648" s="4" t="s">
        <v>21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44593</v>
      </c>
      <c r="J648" s="6">
        <v>0</v>
      </c>
      <c r="K648" s="6">
        <v>0</v>
      </c>
      <c r="L648" s="6">
        <v>31305.56</v>
      </c>
      <c r="M648" s="6">
        <v>31305.56</v>
      </c>
      <c r="N648" s="6">
        <v>31305.56</v>
      </c>
      <c r="O648" s="6">
        <v>31305.56</v>
      </c>
      <c r="P648" s="6">
        <v>133310</v>
      </c>
      <c r="Q648" s="4" t="s">
        <v>26</v>
      </c>
      <c r="R648" s="4">
        <v>0</v>
      </c>
      <c r="S648" s="6">
        <v>0</v>
      </c>
      <c r="T648" s="6">
        <v>25</v>
      </c>
      <c r="U648" s="6">
        <v>80</v>
      </c>
      <c r="V648" s="6">
        <f>IF(ISERROR(VLOOKUP($S$648,'TAR FIN'!$A$1:$O$108,15,0)),0,VLOOKUP($S$648,'TAR FIN'!$A$1:$O$108,15,0))</f>
        <v>0</v>
      </c>
      <c r="W648" s="6">
        <f>IF(ISERROR(VLOOKUP($T$648,'TAR FIN'!$A$1:$O$108,15,0)),0,VLOOKUP($T$648,'TAR FIN'!$A$1:$O$108,15,0))</f>
        <v>432.02</v>
      </c>
      <c r="X648" s="6">
        <f>IF(ISERROR(VLOOKUP($U$648,'TAR FIN'!$A$1:$O$108,15,0)),0,VLOOKUP($U$648,'TAR FIN'!$A$1:$O$108,15,0))</f>
        <v>107.79</v>
      </c>
      <c r="Y648" s="6"/>
      <c r="Z648" s="6">
        <f ca="1">('TUSD BE'!$AM$36+'TUSD BF'!$AM$36+'TUSD CVA'!$AM$36)*1</f>
        <v>497.19204594021971</v>
      </c>
      <c r="AA648" s="6">
        <f>('TE BE'!$AB$16+'TE BF'!$AB$16+'TE CVA'!$AB$16)*1</f>
        <v>224.47961306175614</v>
      </c>
      <c r="AB648" s="6">
        <f>$K$648*$V$648</f>
        <v>0</v>
      </c>
      <c r="AC648" s="6">
        <f>$M$648*$W$648</f>
        <v>13524628.031199999</v>
      </c>
      <c r="AD648" s="6">
        <f>$O$648*$X$648</f>
        <v>3374426.3124000002</v>
      </c>
      <c r="AE648" s="6">
        <f>$K$648*$Y$648</f>
        <v>0</v>
      </c>
      <c r="AF648" s="6">
        <f ca="1">$M$648*$Z$648</f>
        <v>15564875.425704306</v>
      </c>
      <c r="AG648" s="6">
        <f>$O$648*$AA$648</f>
        <v>7027459.9954815907</v>
      </c>
    </row>
    <row r="649" spans="1:33" ht="11.25" customHeight="1" x14ac:dyDescent="0.25">
      <c r="A649" s="4" t="s">
        <v>27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44593</v>
      </c>
      <c r="J649" s="6">
        <v>0</v>
      </c>
      <c r="K649" s="6">
        <v>0</v>
      </c>
      <c r="L649" s="6">
        <v>-2167.8159999999998</v>
      </c>
      <c r="M649" s="6">
        <v>-2167.8159999999998</v>
      </c>
      <c r="N649" s="6">
        <v>-2167.8159999999998</v>
      </c>
      <c r="O649" s="6">
        <v>-2167.8159999999998</v>
      </c>
      <c r="P649" s="6">
        <v>-1997</v>
      </c>
      <c r="Q649" s="4" t="s">
        <v>26</v>
      </c>
      <c r="R649" s="4">
        <v>0</v>
      </c>
      <c r="S649" s="6">
        <v>0</v>
      </c>
      <c r="T649" s="6">
        <v>25</v>
      </c>
      <c r="U649" s="6">
        <v>80</v>
      </c>
      <c r="V649" s="6">
        <f>IF(ISERROR(VLOOKUP($S$649,'TAR FIN'!$A$1:$O$108,15,0)),0,VLOOKUP($S$649,'TAR FIN'!$A$1:$O$108,15,0))</f>
        <v>0</v>
      </c>
      <c r="W649" s="6">
        <f>IF(ISERROR(VLOOKUP($T$649,'TAR FIN'!$A$1:$O$108,15,0)),0,VLOOKUP($T$649,'TAR FIN'!$A$1:$O$108,15,0))</f>
        <v>432.02</v>
      </c>
      <c r="X649" s="6">
        <f>IF(ISERROR(VLOOKUP($U$649,'TAR FIN'!$A$1:$O$108,15,0)),0,VLOOKUP($U$649,'TAR FIN'!$A$1:$O$108,15,0))</f>
        <v>107.79</v>
      </c>
      <c r="Y649" s="6"/>
      <c r="Z649" s="6">
        <f ca="1">('TUSD BE'!$AM$36+'TUSD BF'!$AM$36+'TUSD CVA'!$AM$36)*1</f>
        <v>497.19204594021971</v>
      </c>
      <c r="AA649" s="6">
        <f>('TE BE'!$AB$16+'TE BF'!$AB$16+'TE CVA'!$AB$16)*1</f>
        <v>224.47961306175614</v>
      </c>
      <c r="AB649" s="6">
        <f>$K$649*$V$649</f>
        <v>0</v>
      </c>
      <c r="AC649" s="6">
        <f>$M$649*$W$649</f>
        <v>-936539.86831999989</v>
      </c>
      <c r="AD649" s="6">
        <f>$O$649*$X$649</f>
        <v>-233668.88663999998</v>
      </c>
      <c r="AE649" s="6">
        <f>$K$649*$Y$649</f>
        <v>0</v>
      </c>
      <c r="AF649" s="6">
        <f ca="1">$M$649*$Z$649</f>
        <v>-1077820.8722619433</v>
      </c>
      <c r="AG649" s="6">
        <f>$O$649*$AA$649</f>
        <v>-486630.4968690839</v>
      </c>
    </row>
    <row r="650" spans="1:33" ht="11.25" customHeight="1" x14ac:dyDescent="0.25">
      <c r="A650" s="4" t="s">
        <v>28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44593</v>
      </c>
      <c r="J650" s="6">
        <v>0</v>
      </c>
      <c r="K650" s="6">
        <v>0</v>
      </c>
      <c r="L650" s="6">
        <v>381.43400000000003</v>
      </c>
      <c r="M650" s="6">
        <v>381.43400000000003</v>
      </c>
      <c r="N650" s="6">
        <v>381.43400000000003</v>
      </c>
      <c r="O650" s="6">
        <v>381.43400000000003</v>
      </c>
      <c r="P650" s="6">
        <v>806</v>
      </c>
      <c r="Q650" s="4" t="s">
        <v>26</v>
      </c>
      <c r="R650" s="4">
        <v>0</v>
      </c>
      <c r="S650" s="6">
        <v>0</v>
      </c>
      <c r="T650" s="6">
        <v>25</v>
      </c>
      <c r="U650" s="6">
        <v>80</v>
      </c>
      <c r="V650" s="6">
        <f>IF(ISERROR(VLOOKUP($S$650,'TAR FIN'!$A$1:$O$108,15,0)),0,VLOOKUP($S$650,'TAR FIN'!$A$1:$O$108,15,0))</f>
        <v>0</v>
      </c>
      <c r="W650" s="6">
        <f>IF(ISERROR(VLOOKUP($T$650,'TAR FIN'!$A$1:$O$108,15,0)),0,VLOOKUP($T$650,'TAR FIN'!$A$1:$O$108,15,0))</f>
        <v>432.02</v>
      </c>
      <c r="X650" s="6">
        <f>IF(ISERROR(VLOOKUP($U$650,'TAR FIN'!$A$1:$O$108,15,0)),0,VLOOKUP($U$650,'TAR FIN'!$A$1:$O$108,15,0))</f>
        <v>107.79</v>
      </c>
      <c r="Y650" s="6"/>
      <c r="Z650" s="6">
        <f ca="1">('TUSD BE'!$AM$36+'TUSD BF'!$AM$36+'TUSD CVA'!$AM$36)*1</f>
        <v>497.19204594021971</v>
      </c>
      <c r="AA650" s="6">
        <f>('TE BE'!$AB$16+'TE BF'!$AB$16+'TE CVA'!$AB$16)*1</f>
        <v>224.47961306175614</v>
      </c>
      <c r="AB650" s="6">
        <f>$K$650*$V$650</f>
        <v>0</v>
      </c>
      <c r="AC650" s="6">
        <f>$M$650*$W$650</f>
        <v>164787.11668000001</v>
      </c>
      <c r="AD650" s="6">
        <f>$O$650*$X$650</f>
        <v>41114.770860000004</v>
      </c>
      <c r="AE650" s="6">
        <f>$K$650*$Y$650</f>
        <v>0</v>
      </c>
      <c r="AF650" s="6">
        <f ca="1">$M$650*$Z$650</f>
        <v>189645.95085116179</v>
      </c>
      <c r="AG650" s="6">
        <f>$O$650*$AA$650</f>
        <v>85624.156728597896</v>
      </c>
    </row>
    <row r="651" spans="1:3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44593</v>
      </c>
      <c r="J651" s="6">
        <v>0</v>
      </c>
      <c r="K651" s="6">
        <v>0</v>
      </c>
      <c r="L651" s="6">
        <v>-12.226000000000001</v>
      </c>
      <c r="M651" s="6">
        <v>-12.226000000000001</v>
      </c>
      <c r="N651" s="6">
        <v>-12.226000000000001</v>
      </c>
      <c r="O651" s="6">
        <v>-12.226000000000001</v>
      </c>
      <c r="P651" s="6">
        <v>-2</v>
      </c>
      <c r="Q651" s="4" t="s">
        <v>26</v>
      </c>
      <c r="R651" s="4">
        <v>0</v>
      </c>
      <c r="S651" s="6">
        <v>0</v>
      </c>
      <c r="T651" s="6">
        <v>25</v>
      </c>
      <c r="U651" s="6">
        <v>80</v>
      </c>
      <c r="V651" s="6">
        <f>IF(ISERROR(VLOOKUP($S$651,'TAR FIN'!$A$1:$O$108,15,0)),0,VLOOKUP($S$651,'TAR FIN'!$A$1:$O$108,15,0))</f>
        <v>0</v>
      </c>
      <c r="W651" s="6">
        <f>IF(ISERROR(VLOOKUP($T$651,'TAR FIN'!$A$1:$O$108,15,0)),0,VLOOKUP($T$651,'TAR FIN'!$A$1:$O$108,15,0))</f>
        <v>432.02</v>
      </c>
      <c r="X651" s="6">
        <f>IF(ISERROR(VLOOKUP($U$651,'TAR FIN'!$A$1:$O$108,15,0)),0,VLOOKUP($U$651,'TAR FIN'!$A$1:$O$108,15,0))</f>
        <v>107.79</v>
      </c>
      <c r="Y651" s="6"/>
      <c r="Z651" s="6">
        <f ca="1">('TUSD BE'!$AM$36+'TUSD BF'!$AM$36+'TUSD CVA'!$AM$36)*1</f>
        <v>497.19204594021971</v>
      </c>
      <c r="AA651" s="6">
        <f>('TE BE'!$AB$16+'TE BF'!$AB$16+'TE CVA'!$AB$16)*1</f>
        <v>224.47961306175614</v>
      </c>
      <c r="AB651" s="6">
        <f>$K$651*$V$651</f>
        <v>0</v>
      </c>
      <c r="AC651" s="6">
        <f>$M$651*$W$651</f>
        <v>-5281.8765199999998</v>
      </c>
      <c r="AD651" s="6">
        <f>$O$651*$X$651</f>
        <v>-1317.8405400000001</v>
      </c>
      <c r="AE651" s="6">
        <f>$K$651*$Y$651</f>
        <v>0</v>
      </c>
      <c r="AF651" s="6">
        <f ca="1">$M$651*$Z$651</f>
        <v>-6078.6699536651267</v>
      </c>
      <c r="AG651" s="6">
        <f>$O$651*$AA$651</f>
        <v>-2744.4877492930309</v>
      </c>
    </row>
    <row r="652" spans="1:33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44621</v>
      </c>
      <c r="J652" s="6">
        <v>0</v>
      </c>
      <c r="K652" s="6">
        <v>0</v>
      </c>
      <c r="L652" s="6">
        <v>34532.336000000003</v>
      </c>
      <c r="M652" s="6">
        <v>34532.336000000003</v>
      </c>
      <c r="N652" s="6">
        <v>34532.336000000003</v>
      </c>
      <c r="O652" s="6">
        <v>34532.336000000003</v>
      </c>
      <c r="P652" s="6">
        <v>134087</v>
      </c>
      <c r="Q652" s="4" t="s">
        <v>26</v>
      </c>
      <c r="R652" s="4">
        <v>0</v>
      </c>
      <c r="S652" s="6">
        <v>0</v>
      </c>
      <c r="T652" s="6">
        <v>25</v>
      </c>
      <c r="U652" s="6">
        <v>80</v>
      </c>
      <c r="V652" s="6">
        <f>IF(ISERROR(VLOOKUP($S$652,'TAR FIN'!$A$1:$O$108,15,0)),0,VLOOKUP($S$652,'TAR FIN'!$A$1:$O$108,15,0))</f>
        <v>0</v>
      </c>
      <c r="W652" s="6">
        <f>IF(ISERROR(VLOOKUP($T$652,'TAR FIN'!$A$1:$O$108,15,0)),0,VLOOKUP($T$652,'TAR FIN'!$A$1:$O$108,15,0))</f>
        <v>432.02</v>
      </c>
      <c r="X652" s="6">
        <f>IF(ISERROR(VLOOKUP($U$652,'TAR FIN'!$A$1:$O$108,15,0)),0,VLOOKUP($U$652,'TAR FIN'!$A$1:$O$108,15,0))</f>
        <v>107.79</v>
      </c>
      <c r="Y652" s="6"/>
      <c r="Z652" s="6">
        <f ca="1">('TUSD BE'!$AM$36+'TUSD BF'!$AM$36+'TUSD CVA'!$AM$36)*1</f>
        <v>497.19204594021971</v>
      </c>
      <c r="AA652" s="6">
        <f>('TE BE'!$AB$16+'TE BF'!$AB$16+'TE CVA'!$AB$16)*1</f>
        <v>224.47961306175614</v>
      </c>
      <c r="AB652" s="6">
        <f>$K$652*$V$652</f>
        <v>0</v>
      </c>
      <c r="AC652" s="6">
        <f>$M$652*$W$652</f>
        <v>14918659.79872</v>
      </c>
      <c r="AD652" s="6">
        <f>$O$652*$X$652</f>
        <v>3722240.4974400005</v>
      </c>
      <c r="AE652" s="6">
        <f>$K$652*$Y$652</f>
        <v>0</v>
      </c>
      <c r="AF652" s="6">
        <f ca="1">$M$652*$Z$652</f>
        <v>17169202.786935106</v>
      </c>
      <c r="AG652" s="6">
        <f>$O$652*$AA$652</f>
        <v>7751805.4233985525</v>
      </c>
    </row>
    <row r="653" spans="1:33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44621</v>
      </c>
      <c r="J653" s="6">
        <v>0</v>
      </c>
      <c r="K653" s="6">
        <v>0</v>
      </c>
      <c r="L653" s="6">
        <v>-1400.6690000000001</v>
      </c>
      <c r="M653" s="6">
        <v>-1400.6690000000001</v>
      </c>
      <c r="N653" s="6">
        <v>-1400.6690000000001</v>
      </c>
      <c r="O653" s="6">
        <v>-1400.6690000000001</v>
      </c>
      <c r="P653" s="6">
        <v>-1364</v>
      </c>
      <c r="Q653" s="4" t="s">
        <v>26</v>
      </c>
      <c r="R653" s="4">
        <v>0</v>
      </c>
      <c r="S653" s="6">
        <v>0</v>
      </c>
      <c r="T653" s="6">
        <v>25</v>
      </c>
      <c r="U653" s="6">
        <v>80</v>
      </c>
      <c r="V653" s="6">
        <f>IF(ISERROR(VLOOKUP($S$653,'TAR FIN'!$A$1:$O$108,15,0)),0,VLOOKUP($S$653,'TAR FIN'!$A$1:$O$108,15,0))</f>
        <v>0</v>
      </c>
      <c r="W653" s="6">
        <f>IF(ISERROR(VLOOKUP($T$653,'TAR FIN'!$A$1:$O$108,15,0)),0,VLOOKUP($T$653,'TAR FIN'!$A$1:$O$108,15,0))</f>
        <v>432.02</v>
      </c>
      <c r="X653" s="6">
        <f>IF(ISERROR(VLOOKUP($U$653,'TAR FIN'!$A$1:$O$108,15,0)),0,VLOOKUP($U$653,'TAR FIN'!$A$1:$O$108,15,0))</f>
        <v>107.79</v>
      </c>
      <c r="Y653" s="6"/>
      <c r="Z653" s="6">
        <f ca="1">('TUSD BE'!$AM$36+'TUSD BF'!$AM$36+'TUSD CVA'!$AM$36)*1</f>
        <v>497.19204594021971</v>
      </c>
      <c r="AA653" s="6">
        <f>('TE BE'!$AB$16+'TE BF'!$AB$16+'TE CVA'!$AB$16)*1</f>
        <v>224.47961306175614</v>
      </c>
      <c r="AB653" s="6">
        <f>$K$653*$V$653</f>
        <v>0</v>
      </c>
      <c r="AC653" s="6">
        <f>$M$653*$W$653</f>
        <v>-605117.02138000005</v>
      </c>
      <c r="AD653" s="6">
        <f>$O$653*$X$653</f>
        <v>-150978.11151000002</v>
      </c>
      <c r="AE653" s="6">
        <f>$K$653*$Y$653</f>
        <v>0</v>
      </c>
      <c r="AF653" s="6">
        <f ca="1">$M$653*$Z$653</f>
        <v>-696401.48579504166</v>
      </c>
      <c r="AG653" s="6">
        <f>$O$653*$AA$653</f>
        <v>-314421.63514759694</v>
      </c>
    </row>
    <row r="654" spans="1:33" ht="11.25" customHeight="1" x14ac:dyDescent="0.25">
      <c r="A654" s="4" t="s">
        <v>28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44621</v>
      </c>
      <c r="J654" s="6">
        <v>0</v>
      </c>
      <c r="K654" s="6">
        <v>0</v>
      </c>
      <c r="L654" s="6">
        <v>219.94499999999999</v>
      </c>
      <c r="M654" s="6">
        <v>219.94499999999999</v>
      </c>
      <c r="N654" s="6">
        <v>219.94499999999999</v>
      </c>
      <c r="O654" s="6">
        <v>219.94499999999999</v>
      </c>
      <c r="P654" s="6">
        <v>909</v>
      </c>
      <c r="Q654" s="4" t="s">
        <v>26</v>
      </c>
      <c r="R654" s="4">
        <v>0</v>
      </c>
      <c r="S654" s="6">
        <v>0</v>
      </c>
      <c r="T654" s="6">
        <v>25</v>
      </c>
      <c r="U654" s="6">
        <v>80</v>
      </c>
      <c r="V654" s="6">
        <f>IF(ISERROR(VLOOKUP($S$654,'TAR FIN'!$A$1:$O$108,15,0)),0,VLOOKUP($S$654,'TAR FIN'!$A$1:$O$108,15,0))</f>
        <v>0</v>
      </c>
      <c r="W654" s="6">
        <f>IF(ISERROR(VLOOKUP($T$654,'TAR FIN'!$A$1:$O$108,15,0)),0,VLOOKUP($T$654,'TAR FIN'!$A$1:$O$108,15,0))</f>
        <v>432.02</v>
      </c>
      <c r="X654" s="6">
        <f>IF(ISERROR(VLOOKUP($U$654,'TAR FIN'!$A$1:$O$108,15,0)),0,VLOOKUP($U$654,'TAR FIN'!$A$1:$O$108,15,0))</f>
        <v>107.79</v>
      </c>
      <c r="Y654" s="6"/>
      <c r="Z654" s="6">
        <f ca="1">('TUSD BE'!$AM$36+'TUSD BF'!$AM$36+'TUSD CVA'!$AM$36)*1</f>
        <v>497.19204594021971</v>
      </c>
      <c r="AA654" s="6">
        <f>('TE BE'!$AB$16+'TE BF'!$AB$16+'TE CVA'!$AB$16)*1</f>
        <v>224.47961306175614</v>
      </c>
      <c r="AB654" s="6">
        <f>$K$654*$V$654</f>
        <v>0</v>
      </c>
      <c r="AC654" s="6">
        <f>$M$654*$W$654</f>
        <v>95020.638899999991</v>
      </c>
      <c r="AD654" s="6">
        <f>$O$654*$X$654</f>
        <v>23707.87155</v>
      </c>
      <c r="AE654" s="6">
        <f>$K$654*$Y$654</f>
        <v>0</v>
      </c>
      <c r="AF654" s="6">
        <f ca="1">$M$654*$Z$654</f>
        <v>109354.90454432162</v>
      </c>
      <c r="AG654" s="6">
        <f>$O$654*$AA$654</f>
        <v>49373.168494867954</v>
      </c>
    </row>
    <row r="655" spans="1:33" ht="11.25" customHeight="1" x14ac:dyDescent="0.25">
      <c r="A655" s="4" t="s">
        <v>28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44621</v>
      </c>
      <c r="J655" s="6">
        <v>0</v>
      </c>
      <c r="K655" s="6">
        <v>0</v>
      </c>
      <c r="L655" s="6">
        <v>-0.50900000000000001</v>
      </c>
      <c r="M655" s="6">
        <v>-0.50900000000000001</v>
      </c>
      <c r="N655" s="6">
        <v>-0.50900000000000001</v>
      </c>
      <c r="O655" s="6">
        <v>-0.50900000000000001</v>
      </c>
      <c r="P655" s="6">
        <v>6</v>
      </c>
      <c r="Q655" s="4" t="s">
        <v>26</v>
      </c>
      <c r="R655" s="4">
        <v>0</v>
      </c>
      <c r="S655" s="6">
        <v>0</v>
      </c>
      <c r="T655" s="6">
        <v>25</v>
      </c>
      <c r="U655" s="6">
        <v>80</v>
      </c>
      <c r="V655" s="6">
        <f>IF(ISERROR(VLOOKUP($S$655,'TAR FIN'!$A$1:$O$108,15,0)),0,VLOOKUP($S$655,'TAR FIN'!$A$1:$O$108,15,0))</f>
        <v>0</v>
      </c>
      <c r="W655" s="6">
        <f>IF(ISERROR(VLOOKUP($T$655,'TAR FIN'!$A$1:$O$108,15,0)),0,VLOOKUP($T$655,'TAR FIN'!$A$1:$O$108,15,0))</f>
        <v>432.02</v>
      </c>
      <c r="X655" s="6">
        <f>IF(ISERROR(VLOOKUP($U$655,'TAR FIN'!$A$1:$O$108,15,0)),0,VLOOKUP($U$655,'TAR FIN'!$A$1:$O$108,15,0))</f>
        <v>107.79</v>
      </c>
      <c r="Y655" s="6"/>
      <c r="Z655" s="6">
        <f ca="1">('TUSD BE'!$AM$36+'TUSD BF'!$AM$36+'TUSD CVA'!$AM$36)*1</f>
        <v>497.19204594021971</v>
      </c>
      <c r="AA655" s="6">
        <f>('TE BE'!$AB$16+'TE BF'!$AB$16+'TE CVA'!$AB$16)*1</f>
        <v>224.47961306175614</v>
      </c>
      <c r="AB655" s="6">
        <f>$K$655*$V$655</f>
        <v>0</v>
      </c>
      <c r="AC655" s="6">
        <f>$M$655*$W$655</f>
        <v>-219.89818</v>
      </c>
      <c r="AD655" s="6">
        <f>$O$655*$X$655</f>
        <v>-54.865110000000001</v>
      </c>
      <c r="AE655" s="6">
        <f>$K$655*$Y$655</f>
        <v>0</v>
      </c>
      <c r="AF655" s="6">
        <f ca="1">$M$655*$Z$655</f>
        <v>-253.07075138357183</v>
      </c>
      <c r="AG655" s="6">
        <f>$O$655*$AA$655</f>
        <v>-114.26012304843388</v>
      </c>
    </row>
    <row r="656" spans="1:33" ht="11.25" customHeight="1" x14ac:dyDescent="0.25">
      <c r="A656" s="4" t="s">
        <v>21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44652</v>
      </c>
      <c r="J656" s="6">
        <v>0</v>
      </c>
      <c r="K656" s="6">
        <v>0</v>
      </c>
      <c r="L656" s="6">
        <v>32921.425000000003</v>
      </c>
      <c r="M656" s="6">
        <v>32921.425000000003</v>
      </c>
      <c r="N656" s="6">
        <v>32921.425000000003</v>
      </c>
      <c r="O656" s="6">
        <v>32921.425000000003</v>
      </c>
      <c r="P656" s="6">
        <v>131750</v>
      </c>
      <c r="Q656" s="4" t="s">
        <v>26</v>
      </c>
      <c r="R656" s="4">
        <v>0</v>
      </c>
      <c r="S656" s="6">
        <v>0</v>
      </c>
      <c r="T656" s="6">
        <v>25</v>
      </c>
      <c r="U656" s="6">
        <v>80</v>
      </c>
      <c r="V656" s="6">
        <f>IF(ISERROR(VLOOKUP($S$656,'TAR FIN'!$A$1:$O$108,15,0)),0,VLOOKUP($S$656,'TAR FIN'!$A$1:$O$108,15,0))</f>
        <v>0</v>
      </c>
      <c r="W656" s="6">
        <f>IF(ISERROR(VLOOKUP($T$656,'TAR FIN'!$A$1:$O$108,15,0)),0,VLOOKUP($T$656,'TAR FIN'!$A$1:$O$108,15,0))</f>
        <v>432.02</v>
      </c>
      <c r="X656" s="6">
        <f>IF(ISERROR(VLOOKUP($U$656,'TAR FIN'!$A$1:$O$108,15,0)),0,VLOOKUP($U$656,'TAR FIN'!$A$1:$O$108,15,0))</f>
        <v>107.79</v>
      </c>
      <c r="Y656" s="6"/>
      <c r="Z656" s="6">
        <f ca="1">('TUSD BE'!$AM$36+'TUSD BF'!$AM$36+'TUSD CVA'!$AM$36)*1</f>
        <v>497.19204594021971</v>
      </c>
      <c r="AA656" s="6">
        <f>('TE BE'!$AB$16+'TE BF'!$AB$16+'TE CVA'!$AB$16)*1</f>
        <v>224.47961306175614</v>
      </c>
      <c r="AB656" s="6">
        <f>$K$656*$V$656</f>
        <v>0</v>
      </c>
      <c r="AC656" s="6">
        <f>$M$656*$W$656</f>
        <v>14222714.0285</v>
      </c>
      <c r="AD656" s="6">
        <f>$O$656*$X$656</f>
        <v>3548600.4007500005</v>
      </c>
      <c r="AE656" s="6">
        <f>$K$656*$Y$656</f>
        <v>0</v>
      </c>
      <c r="AF656" s="6">
        <f ca="1">$M$656*$Z$656</f>
        <v>16368270.6510175</v>
      </c>
      <c r="AG656" s="6">
        <f>$O$656*$AA$656</f>
        <v>7390188.7454416258</v>
      </c>
    </row>
    <row r="657" spans="1:33" ht="11.25" customHeight="1" x14ac:dyDescent="0.25">
      <c r="A657" s="4" t="s">
        <v>27</v>
      </c>
      <c r="B657" s="4" t="s">
        <v>22</v>
      </c>
      <c r="C657" s="4" t="s">
        <v>23</v>
      </c>
      <c r="D657" s="4" t="s">
        <v>24</v>
      </c>
      <c r="E657" s="4" t="s">
        <v>24</v>
      </c>
      <c r="F657" s="4" t="s">
        <v>25</v>
      </c>
      <c r="G657" s="4" t="s">
        <v>25</v>
      </c>
      <c r="H657" s="4" t="s">
        <v>25</v>
      </c>
      <c r="I657" s="5">
        <v>44652</v>
      </c>
      <c r="J657" s="6">
        <v>0</v>
      </c>
      <c r="K657" s="6">
        <v>0</v>
      </c>
      <c r="L657" s="6">
        <v>-1668.5840000000001</v>
      </c>
      <c r="M657" s="6">
        <v>-1668.5840000000001</v>
      </c>
      <c r="N657" s="6">
        <v>-1668.5840000000001</v>
      </c>
      <c r="O657" s="6">
        <v>-1668.5840000000001</v>
      </c>
      <c r="P657" s="6">
        <v>-2748</v>
      </c>
      <c r="Q657" s="4" t="s">
        <v>26</v>
      </c>
      <c r="R657" s="4">
        <v>0</v>
      </c>
      <c r="S657" s="6">
        <v>0</v>
      </c>
      <c r="T657" s="6">
        <v>25</v>
      </c>
      <c r="U657" s="6">
        <v>80</v>
      </c>
      <c r="V657" s="6">
        <f>IF(ISERROR(VLOOKUP($S$657,'TAR FIN'!$A$1:$O$108,15,0)),0,VLOOKUP($S$657,'TAR FIN'!$A$1:$O$108,15,0))</f>
        <v>0</v>
      </c>
      <c r="W657" s="6">
        <f>IF(ISERROR(VLOOKUP($T$657,'TAR FIN'!$A$1:$O$108,15,0)),0,VLOOKUP($T$657,'TAR FIN'!$A$1:$O$108,15,0))</f>
        <v>432.02</v>
      </c>
      <c r="X657" s="6">
        <f>IF(ISERROR(VLOOKUP($U$657,'TAR FIN'!$A$1:$O$108,15,0)),0,VLOOKUP($U$657,'TAR FIN'!$A$1:$O$108,15,0))</f>
        <v>107.79</v>
      </c>
      <c r="Y657" s="6"/>
      <c r="Z657" s="6">
        <f ca="1">('TUSD BE'!$AM$36+'TUSD BF'!$AM$36+'TUSD CVA'!$AM$36)*1</f>
        <v>497.19204594021971</v>
      </c>
      <c r="AA657" s="6">
        <f>('TE BE'!$AB$16+'TE BF'!$AB$16+'TE CVA'!$AB$16)*1</f>
        <v>224.47961306175614</v>
      </c>
      <c r="AB657" s="6">
        <f>$K$657*$V$657</f>
        <v>0</v>
      </c>
      <c r="AC657" s="6">
        <f>$M$657*$W$657</f>
        <v>-720861.65968000004</v>
      </c>
      <c r="AD657" s="6">
        <f>$O$657*$X$657</f>
        <v>-179856.66936000003</v>
      </c>
      <c r="AE657" s="6">
        <f>$K$657*$Y$657</f>
        <v>0</v>
      </c>
      <c r="AF657" s="6">
        <f ca="1">$M$657*$Z$657</f>
        <v>-829606.69278311555</v>
      </c>
      <c r="AG657" s="6">
        <f>$O$657*$AA$657</f>
        <v>-374563.09068103734</v>
      </c>
    </row>
    <row r="658" spans="1:33" ht="11.25" customHeight="1" x14ac:dyDescent="0.25">
      <c r="A658" s="4" t="s">
        <v>28</v>
      </c>
      <c r="B658" s="4" t="s">
        <v>22</v>
      </c>
      <c r="C658" s="4" t="s">
        <v>23</v>
      </c>
      <c r="D658" s="4" t="s">
        <v>24</v>
      </c>
      <c r="E658" s="4" t="s">
        <v>24</v>
      </c>
      <c r="F658" s="4" t="s">
        <v>25</v>
      </c>
      <c r="G658" s="4" t="s">
        <v>25</v>
      </c>
      <c r="H658" s="4" t="s">
        <v>25</v>
      </c>
      <c r="I658" s="5">
        <v>44652</v>
      </c>
      <c r="J658" s="6">
        <v>0</v>
      </c>
      <c r="K658" s="6">
        <v>0</v>
      </c>
      <c r="L658" s="6">
        <v>281.88</v>
      </c>
      <c r="M658" s="6">
        <v>281.88</v>
      </c>
      <c r="N658" s="6">
        <v>281.88</v>
      </c>
      <c r="O658" s="6">
        <v>281.88</v>
      </c>
      <c r="P658" s="6">
        <v>1002</v>
      </c>
      <c r="Q658" s="4" t="s">
        <v>26</v>
      </c>
      <c r="R658" s="4">
        <v>0</v>
      </c>
      <c r="S658" s="6">
        <v>0</v>
      </c>
      <c r="T658" s="6">
        <v>25</v>
      </c>
      <c r="U658" s="6">
        <v>80</v>
      </c>
      <c r="V658" s="6">
        <f>IF(ISERROR(VLOOKUP($S$658,'TAR FIN'!$A$1:$O$108,15,0)),0,VLOOKUP($S$658,'TAR FIN'!$A$1:$O$108,15,0))</f>
        <v>0</v>
      </c>
      <c r="W658" s="6">
        <f>IF(ISERROR(VLOOKUP($T$658,'TAR FIN'!$A$1:$O$108,15,0)),0,VLOOKUP($T$658,'TAR FIN'!$A$1:$O$108,15,0))</f>
        <v>432.02</v>
      </c>
      <c r="X658" s="6">
        <f>IF(ISERROR(VLOOKUP($U$658,'TAR FIN'!$A$1:$O$108,15,0)),0,VLOOKUP($U$658,'TAR FIN'!$A$1:$O$108,15,0))</f>
        <v>107.79</v>
      </c>
      <c r="Y658" s="6"/>
      <c r="Z658" s="6">
        <f ca="1">('TUSD BE'!$AM$36+'TUSD BF'!$AM$36+'TUSD CVA'!$AM$36)*1</f>
        <v>497.19204594021971</v>
      </c>
      <c r="AA658" s="6">
        <f>('TE BE'!$AB$16+'TE BF'!$AB$16+'TE CVA'!$AB$16)*1</f>
        <v>224.47961306175614</v>
      </c>
      <c r="AB658" s="6">
        <f>$K$658*$V$658</f>
        <v>0</v>
      </c>
      <c r="AC658" s="6">
        <f>$M$658*$W$658</f>
        <v>121777.79759999999</v>
      </c>
      <c r="AD658" s="6">
        <f>$O$658*$X$658</f>
        <v>30383.8452</v>
      </c>
      <c r="AE658" s="6">
        <f>$K$658*$Y$658</f>
        <v>0</v>
      </c>
      <c r="AF658" s="6">
        <f ca="1">$M$658*$Z$658</f>
        <v>140148.49390962912</v>
      </c>
      <c r="AG658" s="6">
        <f>$O$658*$AA$658</f>
        <v>63276.313329847821</v>
      </c>
    </row>
    <row r="659" spans="1:33" ht="11.25" customHeight="1" x14ac:dyDescent="0.25">
      <c r="A659" s="4" t="s">
        <v>28</v>
      </c>
      <c r="B659" s="4" t="s">
        <v>22</v>
      </c>
      <c r="C659" s="4" t="s">
        <v>23</v>
      </c>
      <c r="D659" s="4" t="s">
        <v>24</v>
      </c>
      <c r="E659" s="4" t="s">
        <v>24</v>
      </c>
      <c r="F659" s="4" t="s">
        <v>25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-36.261000000000003</v>
      </c>
      <c r="M659" s="6">
        <v>-36.261000000000003</v>
      </c>
      <c r="N659" s="6">
        <v>-36.261000000000003</v>
      </c>
      <c r="O659" s="6">
        <v>-36.261000000000003</v>
      </c>
      <c r="P659" s="6">
        <v>1</v>
      </c>
      <c r="Q659" s="4" t="s">
        <v>26</v>
      </c>
      <c r="R659" s="4">
        <v>0</v>
      </c>
      <c r="S659" s="6">
        <v>0</v>
      </c>
      <c r="T659" s="6">
        <v>25</v>
      </c>
      <c r="U659" s="6">
        <v>80</v>
      </c>
      <c r="V659" s="6">
        <f>IF(ISERROR(VLOOKUP($S$659,'TAR FIN'!$A$1:$O$108,15,0)),0,VLOOKUP($S$659,'TAR FIN'!$A$1:$O$108,15,0))</f>
        <v>0</v>
      </c>
      <c r="W659" s="6">
        <f>IF(ISERROR(VLOOKUP($T$659,'TAR FIN'!$A$1:$O$108,15,0)),0,VLOOKUP($T$659,'TAR FIN'!$A$1:$O$108,15,0))</f>
        <v>432.02</v>
      </c>
      <c r="X659" s="6">
        <f>IF(ISERROR(VLOOKUP($U$659,'TAR FIN'!$A$1:$O$108,15,0)),0,VLOOKUP($U$659,'TAR FIN'!$A$1:$O$108,15,0))</f>
        <v>107.79</v>
      </c>
      <c r="Y659" s="6"/>
      <c r="Z659" s="6">
        <f ca="1">('TUSD BE'!$AM$36+'TUSD BF'!$AM$36+'TUSD CVA'!$AM$36)*1</f>
        <v>497.19204594021971</v>
      </c>
      <c r="AA659" s="6">
        <f>('TE BE'!$AB$16+'TE BF'!$AB$16+'TE CVA'!$AB$16)*1</f>
        <v>224.47961306175614</v>
      </c>
      <c r="AB659" s="6">
        <f>$K$659*$V$659</f>
        <v>0</v>
      </c>
      <c r="AC659" s="6">
        <f>$M$659*$W$659</f>
        <v>-15665.477220000001</v>
      </c>
      <c r="AD659" s="6">
        <f>$O$659*$X$659</f>
        <v>-3908.5731900000005</v>
      </c>
      <c r="AE659" s="6">
        <f>$K$659*$Y$659</f>
        <v>0</v>
      </c>
      <c r="AF659" s="6">
        <f ca="1">$M$659*$Z$659</f>
        <v>-18028.680777838308</v>
      </c>
      <c r="AG659" s="6">
        <f>$O$659*$AA$659</f>
        <v>-8139.8552492323397</v>
      </c>
    </row>
    <row r="660" spans="1:33" ht="11.25" customHeight="1" x14ac:dyDescent="0.25">
      <c r="A660" s="4" t="s">
        <v>21</v>
      </c>
      <c r="B660" s="4" t="s">
        <v>22</v>
      </c>
      <c r="C660" s="4" t="s">
        <v>23</v>
      </c>
      <c r="D660" s="4" t="s">
        <v>24</v>
      </c>
      <c r="E660" s="4" t="s">
        <v>24</v>
      </c>
      <c r="F660" s="4" t="s">
        <v>25</v>
      </c>
      <c r="G660" s="4" t="s">
        <v>25</v>
      </c>
      <c r="H660" s="4" t="s">
        <v>25</v>
      </c>
      <c r="I660" s="5">
        <v>44682</v>
      </c>
      <c r="J660" s="6">
        <v>0</v>
      </c>
      <c r="K660" s="6">
        <v>0</v>
      </c>
      <c r="L660" s="6">
        <v>38413.559000000001</v>
      </c>
      <c r="M660" s="6">
        <v>38413.559000000001</v>
      </c>
      <c r="N660" s="6">
        <v>38413.559000000001</v>
      </c>
      <c r="O660" s="6">
        <v>38413.559000000001</v>
      </c>
      <c r="P660" s="6">
        <v>132969</v>
      </c>
      <c r="Q660" s="4" t="s">
        <v>26</v>
      </c>
      <c r="R660" s="4">
        <v>0</v>
      </c>
      <c r="S660" s="6">
        <v>0</v>
      </c>
      <c r="T660" s="6">
        <v>25</v>
      </c>
      <c r="U660" s="6">
        <v>80</v>
      </c>
      <c r="V660" s="6">
        <f>IF(ISERROR(VLOOKUP($S$660,'TAR FIN'!$A$1:$O$108,15,0)),0,VLOOKUP($S$660,'TAR FIN'!$A$1:$O$108,15,0))</f>
        <v>0</v>
      </c>
      <c r="W660" s="6">
        <f>IF(ISERROR(VLOOKUP($T$660,'TAR FIN'!$A$1:$O$108,15,0)),0,VLOOKUP($T$660,'TAR FIN'!$A$1:$O$108,15,0))</f>
        <v>432.02</v>
      </c>
      <c r="X660" s="6">
        <f>IF(ISERROR(VLOOKUP($U$660,'TAR FIN'!$A$1:$O$108,15,0)),0,VLOOKUP($U$660,'TAR FIN'!$A$1:$O$108,15,0))</f>
        <v>107.79</v>
      </c>
      <c r="Y660" s="6"/>
      <c r="Z660" s="6">
        <f ca="1">('TUSD BE'!$AM$36+'TUSD BF'!$AM$36+'TUSD CVA'!$AM$36)*1</f>
        <v>497.19204594021971</v>
      </c>
      <c r="AA660" s="6">
        <f>('TE BE'!$AB$16+'TE BF'!$AB$16+'TE CVA'!$AB$16)*1</f>
        <v>224.47961306175614</v>
      </c>
      <c r="AB660" s="6">
        <f>$K$660*$V$660</f>
        <v>0</v>
      </c>
      <c r="AC660" s="6">
        <f>$M$660*$W$660</f>
        <v>16595425.75918</v>
      </c>
      <c r="AD660" s="6">
        <f>$O$660*$X$660</f>
        <v>4140597.5246100002</v>
      </c>
      <c r="AE660" s="6">
        <f>$K$660*$Y$660</f>
        <v>0</v>
      </c>
      <c r="AF660" s="6">
        <f ca="1">$M$660*$Z$660</f>
        <v>19098915.99105534</v>
      </c>
      <c r="AG660" s="6">
        <f>$O$660*$AA$660</f>
        <v>8623060.8606449403</v>
      </c>
    </row>
    <row r="661" spans="1:33" ht="11.25" customHeight="1" x14ac:dyDescent="0.25">
      <c r="A661" s="4" t="s">
        <v>27</v>
      </c>
      <c r="B661" s="4" t="s">
        <v>22</v>
      </c>
      <c r="C661" s="4" t="s">
        <v>23</v>
      </c>
      <c r="D661" s="4" t="s">
        <v>24</v>
      </c>
      <c r="E661" s="4" t="s">
        <v>24</v>
      </c>
      <c r="F661" s="4" t="s">
        <v>25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-1538.1020000000001</v>
      </c>
      <c r="M661" s="6">
        <v>-1538.1020000000001</v>
      </c>
      <c r="N661" s="6">
        <v>-1538.1020000000001</v>
      </c>
      <c r="O661" s="6">
        <v>-1538.1020000000001</v>
      </c>
      <c r="P661" s="6">
        <v>-1824</v>
      </c>
      <c r="Q661" s="4" t="s">
        <v>26</v>
      </c>
      <c r="R661" s="4">
        <v>0</v>
      </c>
      <c r="S661" s="6">
        <v>0</v>
      </c>
      <c r="T661" s="6">
        <v>25</v>
      </c>
      <c r="U661" s="6">
        <v>80</v>
      </c>
      <c r="V661" s="6">
        <f>IF(ISERROR(VLOOKUP($S$661,'TAR FIN'!$A$1:$O$108,15,0)),0,VLOOKUP($S$661,'TAR FIN'!$A$1:$O$108,15,0))</f>
        <v>0</v>
      </c>
      <c r="W661" s="6">
        <f>IF(ISERROR(VLOOKUP($T$661,'TAR FIN'!$A$1:$O$108,15,0)),0,VLOOKUP($T$661,'TAR FIN'!$A$1:$O$108,15,0))</f>
        <v>432.02</v>
      </c>
      <c r="X661" s="6">
        <f>IF(ISERROR(VLOOKUP($U$661,'TAR FIN'!$A$1:$O$108,15,0)),0,VLOOKUP($U$661,'TAR FIN'!$A$1:$O$108,15,0))</f>
        <v>107.79</v>
      </c>
      <c r="Y661" s="6"/>
      <c r="Z661" s="6">
        <f ca="1">('TUSD BE'!$AM$36+'TUSD BF'!$AM$36+'TUSD CVA'!$AM$36)*1</f>
        <v>497.19204594021971</v>
      </c>
      <c r="AA661" s="6">
        <f>('TE BE'!$AB$16+'TE BF'!$AB$16+'TE CVA'!$AB$16)*1</f>
        <v>224.47961306175614</v>
      </c>
      <c r="AB661" s="6">
        <f>$K$661*$V$661</f>
        <v>0</v>
      </c>
      <c r="AC661" s="6">
        <f>$M$661*$W$661</f>
        <v>-664490.82603999996</v>
      </c>
      <c r="AD661" s="6">
        <f>$O$661*$X$661</f>
        <v>-165792.01458000002</v>
      </c>
      <c r="AE661" s="6">
        <f>$K$661*$Y$661</f>
        <v>0</v>
      </c>
      <c r="AF661" s="6">
        <f ca="1">$M$661*$Z$661</f>
        <v>-764732.08024474385</v>
      </c>
      <c r="AG661" s="6">
        <f>$O$661*$AA$661</f>
        <v>-345272.54180951329</v>
      </c>
    </row>
    <row r="662" spans="1:33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300.37400000000002</v>
      </c>
      <c r="M662" s="6">
        <v>300.37400000000002</v>
      </c>
      <c r="N662" s="6">
        <v>300.37400000000002</v>
      </c>
      <c r="O662" s="6">
        <v>300.37400000000002</v>
      </c>
      <c r="P662" s="6">
        <v>1069</v>
      </c>
      <c r="Q662" s="4" t="s">
        <v>26</v>
      </c>
      <c r="R662" s="4">
        <v>0</v>
      </c>
      <c r="S662" s="6">
        <v>0</v>
      </c>
      <c r="T662" s="6">
        <v>25</v>
      </c>
      <c r="U662" s="6">
        <v>80</v>
      </c>
      <c r="V662" s="6">
        <f>IF(ISERROR(VLOOKUP($S$662,'TAR FIN'!$A$1:$O$108,15,0)),0,VLOOKUP($S$662,'TAR FIN'!$A$1:$O$108,15,0))</f>
        <v>0</v>
      </c>
      <c r="W662" s="6">
        <f>IF(ISERROR(VLOOKUP($T$662,'TAR FIN'!$A$1:$O$108,15,0)),0,VLOOKUP($T$662,'TAR FIN'!$A$1:$O$108,15,0))</f>
        <v>432.02</v>
      </c>
      <c r="X662" s="6">
        <f>IF(ISERROR(VLOOKUP($U$662,'TAR FIN'!$A$1:$O$108,15,0)),0,VLOOKUP($U$662,'TAR FIN'!$A$1:$O$108,15,0))</f>
        <v>107.79</v>
      </c>
      <c r="Y662" s="6"/>
      <c r="Z662" s="6">
        <f ca="1">('TUSD BE'!$AM$36+'TUSD BF'!$AM$36+'TUSD CVA'!$AM$36)*1</f>
        <v>497.19204594021971</v>
      </c>
      <c r="AA662" s="6">
        <f>('TE BE'!$AB$16+'TE BF'!$AB$16+'TE CVA'!$AB$16)*1</f>
        <v>224.47961306175614</v>
      </c>
      <c r="AB662" s="6">
        <f>$K$662*$V$662</f>
        <v>0</v>
      </c>
      <c r="AC662" s="6">
        <f>$M$662*$W$662</f>
        <v>129767.57548</v>
      </c>
      <c r="AD662" s="6">
        <f>$O$662*$X$662</f>
        <v>32377.313460000005</v>
      </c>
      <c r="AE662" s="6">
        <f>$K$662*$Y$662</f>
        <v>0</v>
      </c>
      <c r="AF662" s="6">
        <f ca="1">$M$662*$Z$662</f>
        <v>149343.56360724758</v>
      </c>
      <c r="AG662" s="6">
        <f>$O$662*$AA$662</f>
        <v>67427.83929381195</v>
      </c>
    </row>
    <row r="663" spans="1:3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1.581</v>
      </c>
      <c r="M663" s="6">
        <v>1.581</v>
      </c>
      <c r="N663" s="6">
        <v>1.581</v>
      </c>
      <c r="O663" s="6">
        <v>1.581</v>
      </c>
      <c r="P663" s="6">
        <v>2</v>
      </c>
      <c r="Q663" s="4" t="s">
        <v>26</v>
      </c>
      <c r="R663" s="4">
        <v>0</v>
      </c>
      <c r="S663" s="6">
        <v>0</v>
      </c>
      <c r="T663" s="6">
        <v>25</v>
      </c>
      <c r="U663" s="6">
        <v>80</v>
      </c>
      <c r="V663" s="6">
        <f>IF(ISERROR(VLOOKUP($S$663,'TAR FIN'!$A$1:$O$108,15,0)),0,VLOOKUP($S$663,'TAR FIN'!$A$1:$O$108,15,0))</f>
        <v>0</v>
      </c>
      <c r="W663" s="6">
        <f>IF(ISERROR(VLOOKUP($T$663,'TAR FIN'!$A$1:$O$108,15,0)),0,VLOOKUP($T$663,'TAR FIN'!$A$1:$O$108,15,0))</f>
        <v>432.02</v>
      </c>
      <c r="X663" s="6">
        <f>IF(ISERROR(VLOOKUP($U$663,'TAR FIN'!$A$1:$O$108,15,0)),0,VLOOKUP($U$663,'TAR FIN'!$A$1:$O$108,15,0))</f>
        <v>107.79</v>
      </c>
      <c r="Y663" s="6"/>
      <c r="Z663" s="6">
        <f ca="1">('TUSD BE'!$AM$36+'TUSD BF'!$AM$36+'TUSD CVA'!$AM$36)*1</f>
        <v>497.19204594021971</v>
      </c>
      <c r="AA663" s="6">
        <f>('TE BE'!$AB$16+'TE BF'!$AB$16+'TE CVA'!$AB$16)*1</f>
        <v>224.47961306175614</v>
      </c>
      <c r="AB663" s="6">
        <f>$K$663*$V$663</f>
        <v>0</v>
      </c>
      <c r="AC663" s="6">
        <f>$M$663*$W$663</f>
        <v>683.02361999999994</v>
      </c>
      <c r="AD663" s="6">
        <f>$O$663*$X$663</f>
        <v>170.41598999999999</v>
      </c>
      <c r="AE663" s="6">
        <f>$K$663*$Y$663</f>
        <v>0</v>
      </c>
      <c r="AF663" s="6">
        <f ca="1">$M$663*$Z$663</f>
        <v>786.06062463148737</v>
      </c>
      <c r="AG663" s="6">
        <f>$O$663*$AA$663</f>
        <v>354.90226825063644</v>
      </c>
    </row>
    <row r="664" spans="1:3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39215.862000000001</v>
      </c>
      <c r="M664" s="6">
        <v>39215.862000000001</v>
      </c>
      <c r="N664" s="6">
        <v>39215.862000000001</v>
      </c>
      <c r="O664" s="6">
        <v>39215.862000000001</v>
      </c>
      <c r="P664" s="6">
        <v>132754</v>
      </c>
      <c r="Q664" s="4" t="s">
        <v>26</v>
      </c>
      <c r="R664" s="4">
        <v>0</v>
      </c>
      <c r="S664" s="6">
        <v>0</v>
      </c>
      <c r="T664" s="6">
        <v>25</v>
      </c>
      <c r="U664" s="6">
        <v>80</v>
      </c>
      <c r="V664" s="6">
        <f>IF(ISERROR(VLOOKUP($S$664,'TAR FIN'!$A$1:$O$108,15,0)),0,VLOOKUP($S$664,'TAR FIN'!$A$1:$O$108,15,0))</f>
        <v>0</v>
      </c>
      <c r="W664" s="6">
        <f>IF(ISERROR(VLOOKUP($T$664,'TAR FIN'!$A$1:$O$108,15,0)),0,VLOOKUP($T$664,'TAR FIN'!$A$1:$O$108,15,0))</f>
        <v>432.02</v>
      </c>
      <c r="X664" s="6">
        <f>IF(ISERROR(VLOOKUP($U$664,'TAR FIN'!$A$1:$O$108,15,0)),0,VLOOKUP($U$664,'TAR FIN'!$A$1:$O$108,15,0))</f>
        <v>107.79</v>
      </c>
      <c r="Y664" s="6"/>
      <c r="Z664" s="6">
        <f ca="1">('TUSD BE'!$AM$36+'TUSD BF'!$AM$36+'TUSD CVA'!$AM$36)*1</f>
        <v>497.19204594021971</v>
      </c>
      <c r="AA664" s="6">
        <f>('TE BE'!$AB$16+'TE BF'!$AB$16+'TE CVA'!$AB$16)*1</f>
        <v>224.47961306175614</v>
      </c>
      <c r="AB664" s="6">
        <f>$K$664*$V$664</f>
        <v>0</v>
      </c>
      <c r="AC664" s="6">
        <f>$M$664*$W$664</f>
        <v>16942036.701239999</v>
      </c>
      <c r="AD664" s="6">
        <f>$O$664*$X$664</f>
        <v>4227077.7649800004</v>
      </c>
      <c r="AE664" s="6">
        <f>$K$664*$Y$664</f>
        <v>0</v>
      </c>
      <c r="AF664" s="6">
        <f ca="1">$M$664*$Z$664</f>
        <v>19497814.661089316</v>
      </c>
      <c r="AG664" s="6">
        <f>$O$664*$AA$664</f>
        <v>8803161.5276432261</v>
      </c>
    </row>
    <row r="665" spans="1:3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-1197.4269999999999</v>
      </c>
      <c r="M665" s="6">
        <v>-1197.4269999999999</v>
      </c>
      <c r="N665" s="6">
        <v>-1197.4269999999999</v>
      </c>
      <c r="O665" s="6">
        <v>-1197.4269999999999</v>
      </c>
      <c r="P665" s="6">
        <v>-1117</v>
      </c>
      <c r="Q665" s="4" t="s">
        <v>26</v>
      </c>
      <c r="R665" s="4">
        <v>0</v>
      </c>
      <c r="S665" s="6">
        <v>0</v>
      </c>
      <c r="T665" s="6">
        <v>25</v>
      </c>
      <c r="U665" s="6">
        <v>80</v>
      </c>
      <c r="V665" s="6">
        <f>IF(ISERROR(VLOOKUP($S$665,'TAR FIN'!$A$1:$O$108,15,0)),0,VLOOKUP($S$665,'TAR FIN'!$A$1:$O$108,15,0))</f>
        <v>0</v>
      </c>
      <c r="W665" s="6">
        <f>IF(ISERROR(VLOOKUP($T$665,'TAR FIN'!$A$1:$O$108,15,0)),0,VLOOKUP($T$665,'TAR FIN'!$A$1:$O$108,15,0))</f>
        <v>432.02</v>
      </c>
      <c r="X665" s="6">
        <f>IF(ISERROR(VLOOKUP($U$665,'TAR FIN'!$A$1:$O$108,15,0)),0,VLOOKUP($U$665,'TAR FIN'!$A$1:$O$108,15,0))</f>
        <v>107.79</v>
      </c>
      <c r="Y665" s="6"/>
      <c r="Z665" s="6">
        <f ca="1">('TUSD BE'!$AM$36+'TUSD BF'!$AM$36+'TUSD CVA'!$AM$36)*1</f>
        <v>497.19204594021971</v>
      </c>
      <c r="AA665" s="6">
        <f>('TE BE'!$AB$16+'TE BF'!$AB$16+'TE CVA'!$AB$16)*1</f>
        <v>224.47961306175614</v>
      </c>
      <c r="AB665" s="6">
        <f>$K$665*$V$665</f>
        <v>0</v>
      </c>
      <c r="AC665" s="6">
        <f>$M$665*$W$665</f>
        <v>-517312.41253999993</v>
      </c>
      <c r="AD665" s="6">
        <f>$O$665*$X$665</f>
        <v>-129070.65633</v>
      </c>
      <c r="AE665" s="6">
        <f>$K$665*$Y$665</f>
        <v>0</v>
      </c>
      <c r="AF665" s="6">
        <f ca="1">$M$665*$Z$665</f>
        <v>-595351.17999405938</v>
      </c>
      <c r="AG665" s="6">
        <f>$O$665*$AA$665</f>
        <v>-268797.94962969946</v>
      </c>
    </row>
    <row r="666" spans="1:3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325.07900000000001</v>
      </c>
      <c r="M666" s="6">
        <v>325.07900000000001</v>
      </c>
      <c r="N666" s="6">
        <v>325.07900000000001</v>
      </c>
      <c r="O666" s="6">
        <v>325.07900000000001</v>
      </c>
      <c r="P666" s="6">
        <v>1124</v>
      </c>
      <c r="Q666" s="4" t="s">
        <v>26</v>
      </c>
      <c r="R666" s="4">
        <v>0</v>
      </c>
      <c r="S666" s="6">
        <v>0</v>
      </c>
      <c r="T666" s="6">
        <v>25</v>
      </c>
      <c r="U666" s="6">
        <v>80</v>
      </c>
      <c r="V666" s="6">
        <f>IF(ISERROR(VLOOKUP($S$666,'TAR FIN'!$A$1:$O$108,15,0)),0,VLOOKUP($S$666,'TAR FIN'!$A$1:$O$108,15,0))</f>
        <v>0</v>
      </c>
      <c r="W666" s="6">
        <f>IF(ISERROR(VLOOKUP($T$666,'TAR FIN'!$A$1:$O$108,15,0)),0,VLOOKUP($T$666,'TAR FIN'!$A$1:$O$108,15,0))</f>
        <v>432.02</v>
      </c>
      <c r="X666" s="6">
        <f>IF(ISERROR(VLOOKUP($U$666,'TAR FIN'!$A$1:$O$108,15,0)),0,VLOOKUP($U$666,'TAR FIN'!$A$1:$O$108,15,0))</f>
        <v>107.79</v>
      </c>
      <c r="Y666" s="6"/>
      <c r="Z666" s="6">
        <f ca="1">('TUSD BE'!$AM$36+'TUSD BF'!$AM$36+'TUSD CVA'!$AM$36)*1</f>
        <v>497.19204594021971</v>
      </c>
      <c r="AA666" s="6">
        <f>('TE BE'!$AB$16+'TE BF'!$AB$16+'TE CVA'!$AB$16)*1</f>
        <v>224.47961306175614</v>
      </c>
      <c r="AB666" s="6">
        <f>$K$666*$V$666</f>
        <v>0</v>
      </c>
      <c r="AC666" s="6">
        <f>$M$666*$W$666</f>
        <v>140440.62958000001</v>
      </c>
      <c r="AD666" s="6">
        <f>$O$666*$X$666</f>
        <v>35040.26541</v>
      </c>
      <c r="AE666" s="6">
        <f>$K$666*$Y$666</f>
        <v>0</v>
      </c>
      <c r="AF666" s="6">
        <f ca="1">$M$666*$Z$666</f>
        <v>161626.69310220069</v>
      </c>
      <c r="AG666" s="6">
        <f>$O$666*$AA$666</f>
        <v>72973.608134502632</v>
      </c>
    </row>
    <row r="667" spans="1:3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25</v>
      </c>
      <c r="I667" s="5">
        <v>44713</v>
      </c>
      <c r="J667" s="6">
        <v>0</v>
      </c>
      <c r="K667" s="6">
        <v>0</v>
      </c>
      <c r="L667" s="6">
        <v>-15.222</v>
      </c>
      <c r="M667" s="6">
        <v>-15.222</v>
      </c>
      <c r="N667" s="6">
        <v>-15.222</v>
      </c>
      <c r="O667" s="6">
        <v>-15.222</v>
      </c>
      <c r="P667" s="6">
        <v>-1</v>
      </c>
      <c r="Q667" s="4" t="s">
        <v>26</v>
      </c>
      <c r="R667" s="4">
        <v>0</v>
      </c>
      <c r="S667" s="6">
        <v>0</v>
      </c>
      <c r="T667" s="6">
        <v>25</v>
      </c>
      <c r="U667" s="6">
        <v>80</v>
      </c>
      <c r="V667" s="6">
        <f>IF(ISERROR(VLOOKUP($S$667,'TAR FIN'!$A$1:$O$108,15,0)),0,VLOOKUP($S$667,'TAR FIN'!$A$1:$O$108,15,0))</f>
        <v>0</v>
      </c>
      <c r="W667" s="6">
        <f>IF(ISERROR(VLOOKUP($T$667,'TAR FIN'!$A$1:$O$108,15,0)),0,VLOOKUP($T$667,'TAR FIN'!$A$1:$O$108,15,0))</f>
        <v>432.02</v>
      </c>
      <c r="X667" s="6">
        <f>IF(ISERROR(VLOOKUP($U$667,'TAR FIN'!$A$1:$O$108,15,0)),0,VLOOKUP($U$667,'TAR FIN'!$A$1:$O$108,15,0))</f>
        <v>107.79</v>
      </c>
      <c r="Y667" s="6"/>
      <c r="Z667" s="6">
        <f ca="1">('TUSD BE'!$AM$36+'TUSD BF'!$AM$36+'TUSD CVA'!$AM$36)*1</f>
        <v>497.19204594021971</v>
      </c>
      <c r="AA667" s="6">
        <f>('TE BE'!$AB$16+'TE BF'!$AB$16+'TE CVA'!$AB$16)*1</f>
        <v>224.47961306175614</v>
      </c>
      <c r="AB667" s="6">
        <f>$K$667*$V$667</f>
        <v>0</v>
      </c>
      <c r="AC667" s="6">
        <f>$M$667*$W$667</f>
        <v>-6576.2084399999994</v>
      </c>
      <c r="AD667" s="6">
        <f>$O$667*$X$667</f>
        <v>-1640.7793799999999</v>
      </c>
      <c r="AE667" s="6">
        <f>$K$667*$Y$667</f>
        <v>0</v>
      </c>
      <c r="AF667" s="6">
        <f ca="1">$M$667*$Z$667</f>
        <v>-7568.2573233020239</v>
      </c>
      <c r="AG667" s="6">
        <f>$O$667*$AA$667</f>
        <v>-3417.0286700260517</v>
      </c>
    </row>
    <row r="668" spans="1:3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38252.379999999997</v>
      </c>
      <c r="M668" s="6">
        <v>38252.379999999997</v>
      </c>
      <c r="N668" s="6">
        <v>38252.379999999997</v>
      </c>
      <c r="O668" s="6">
        <v>38252.379999999997</v>
      </c>
      <c r="P668" s="6">
        <v>131992</v>
      </c>
      <c r="Q668" s="4" t="s">
        <v>26</v>
      </c>
      <c r="R668" s="4">
        <v>0</v>
      </c>
      <c r="S668" s="6">
        <v>0</v>
      </c>
      <c r="T668" s="6">
        <v>25</v>
      </c>
      <c r="U668" s="6">
        <v>80</v>
      </c>
      <c r="V668" s="6">
        <f>IF(ISERROR(VLOOKUP($S$668,'TAR FIN'!$A$1:$O$108,15,0)),0,VLOOKUP($S$668,'TAR FIN'!$A$1:$O$108,15,0))</f>
        <v>0</v>
      </c>
      <c r="W668" s="6">
        <f>IF(ISERROR(VLOOKUP($T$668,'TAR FIN'!$A$1:$O$108,15,0)),0,VLOOKUP($T$668,'TAR FIN'!$A$1:$O$108,15,0))</f>
        <v>432.02</v>
      </c>
      <c r="X668" s="6">
        <f>IF(ISERROR(VLOOKUP($U$668,'TAR FIN'!$A$1:$O$108,15,0)),0,VLOOKUP($U$668,'TAR FIN'!$A$1:$O$108,15,0))</f>
        <v>107.79</v>
      </c>
      <c r="Y668" s="6"/>
      <c r="Z668" s="6">
        <f ca="1">('TUSD BE'!$AM$36+'TUSD BF'!$AM$36+'TUSD CVA'!$AM$36)*1</f>
        <v>497.19204594021971</v>
      </c>
      <c r="AA668" s="6">
        <f>('TE BE'!$AB$16+'TE BF'!$AB$16+'TE CVA'!$AB$16)*1</f>
        <v>224.47961306175614</v>
      </c>
      <c r="AB668" s="6">
        <f>$K$668*$V$668</f>
        <v>0</v>
      </c>
      <c r="AC668" s="6">
        <f>$M$668*$W$668</f>
        <v>16525793.207599998</v>
      </c>
      <c r="AD668" s="6">
        <f>$O$668*$X$668</f>
        <v>4123224.0402000002</v>
      </c>
      <c r="AE668" s="6">
        <f>$K$668*$Y$668</f>
        <v>0</v>
      </c>
      <c r="AF668" s="6">
        <f ca="1">$M$668*$Z$668</f>
        <v>19018779.074282739</v>
      </c>
      <c r="AG668" s="6">
        <f>$O$668*$AA$668</f>
        <v>8586879.4610912595</v>
      </c>
    </row>
    <row r="669" spans="1:3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-1416.673</v>
      </c>
      <c r="M669" s="6">
        <v>-1416.673</v>
      </c>
      <c r="N669" s="6">
        <v>-1416.673</v>
      </c>
      <c r="O669" s="6">
        <v>-1416.673</v>
      </c>
      <c r="P669" s="6">
        <v>-2029</v>
      </c>
      <c r="Q669" s="4" t="s">
        <v>26</v>
      </c>
      <c r="R669" s="4">
        <v>0</v>
      </c>
      <c r="S669" s="6">
        <v>0</v>
      </c>
      <c r="T669" s="6">
        <v>25</v>
      </c>
      <c r="U669" s="6">
        <v>80</v>
      </c>
      <c r="V669" s="6">
        <f>IF(ISERROR(VLOOKUP($S$669,'TAR FIN'!$A$1:$O$108,15,0)),0,VLOOKUP($S$669,'TAR FIN'!$A$1:$O$108,15,0))</f>
        <v>0</v>
      </c>
      <c r="W669" s="6">
        <f>IF(ISERROR(VLOOKUP($T$669,'TAR FIN'!$A$1:$O$108,15,0)),0,VLOOKUP($T$669,'TAR FIN'!$A$1:$O$108,15,0))</f>
        <v>432.02</v>
      </c>
      <c r="X669" s="6">
        <f>IF(ISERROR(VLOOKUP($U$669,'TAR FIN'!$A$1:$O$108,15,0)),0,VLOOKUP($U$669,'TAR FIN'!$A$1:$O$108,15,0))</f>
        <v>107.79</v>
      </c>
      <c r="Y669" s="6"/>
      <c r="Z669" s="6">
        <f ca="1">('TUSD BE'!$AM$36+'TUSD BF'!$AM$36+'TUSD CVA'!$AM$36)*1</f>
        <v>497.19204594021971</v>
      </c>
      <c r="AA669" s="6">
        <f>('TE BE'!$AB$16+'TE BF'!$AB$16+'TE CVA'!$AB$16)*1</f>
        <v>224.47961306175614</v>
      </c>
      <c r="AB669" s="6">
        <f>$K$669*$V$669</f>
        <v>0</v>
      </c>
      <c r="AC669" s="6">
        <f>$M$669*$W$669</f>
        <v>-612031.06946000003</v>
      </c>
      <c r="AD669" s="6">
        <f>$O$669*$X$669</f>
        <v>-152703.18267000001</v>
      </c>
      <c r="AE669" s="6">
        <f>$K$669*$Y$669</f>
        <v>0</v>
      </c>
      <c r="AF669" s="6">
        <f ca="1">$M$669*$Z$669</f>
        <v>-704358.54729826888</v>
      </c>
      <c r="AG669" s="6">
        <f>$O$669*$AA$669</f>
        <v>-318014.20687503729</v>
      </c>
    </row>
    <row r="670" spans="1:3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25</v>
      </c>
      <c r="I670" s="5">
        <v>44743</v>
      </c>
      <c r="J670" s="6">
        <v>0</v>
      </c>
      <c r="K670" s="6">
        <v>0</v>
      </c>
      <c r="L670" s="6">
        <v>269.61900000000003</v>
      </c>
      <c r="M670" s="6">
        <v>269.61900000000003</v>
      </c>
      <c r="N670" s="6">
        <v>269.61900000000003</v>
      </c>
      <c r="O670" s="6">
        <v>269.61900000000003</v>
      </c>
      <c r="P670" s="6">
        <v>1181</v>
      </c>
      <c r="Q670" s="4" t="s">
        <v>26</v>
      </c>
      <c r="R670" s="4">
        <v>0</v>
      </c>
      <c r="S670" s="6">
        <v>0</v>
      </c>
      <c r="T670" s="6">
        <v>25</v>
      </c>
      <c r="U670" s="6">
        <v>80</v>
      </c>
      <c r="V670" s="6">
        <f>IF(ISERROR(VLOOKUP($S$670,'TAR FIN'!$A$1:$O$108,15,0)),0,VLOOKUP($S$670,'TAR FIN'!$A$1:$O$108,15,0))</f>
        <v>0</v>
      </c>
      <c r="W670" s="6">
        <f>IF(ISERROR(VLOOKUP($T$670,'TAR FIN'!$A$1:$O$108,15,0)),0,VLOOKUP($T$670,'TAR FIN'!$A$1:$O$108,15,0))</f>
        <v>432.02</v>
      </c>
      <c r="X670" s="6">
        <f>IF(ISERROR(VLOOKUP($U$670,'TAR FIN'!$A$1:$O$108,15,0)),0,VLOOKUP($U$670,'TAR FIN'!$A$1:$O$108,15,0))</f>
        <v>107.79</v>
      </c>
      <c r="Y670" s="6"/>
      <c r="Z670" s="6">
        <f ca="1">('TUSD BE'!$AM$36+'TUSD BF'!$AM$36+'TUSD CVA'!$AM$36)*1</f>
        <v>497.19204594021971</v>
      </c>
      <c r="AA670" s="6">
        <f>('TE BE'!$AB$16+'TE BF'!$AB$16+'TE CVA'!$AB$16)*1</f>
        <v>224.47961306175614</v>
      </c>
      <c r="AB670" s="6">
        <f>$K$670*$V$670</f>
        <v>0</v>
      </c>
      <c r="AC670" s="6">
        <f>$M$670*$W$670</f>
        <v>116480.80038</v>
      </c>
      <c r="AD670" s="6">
        <f>$O$670*$X$670</f>
        <v>29062.232010000003</v>
      </c>
      <c r="AE670" s="6">
        <f>$K$670*$Y$670</f>
        <v>0</v>
      </c>
      <c r="AF670" s="6">
        <f ca="1">$M$670*$Z$670</f>
        <v>134052.42223435611</v>
      </c>
      <c r="AG670" s="6">
        <f>$O$670*$AA$670</f>
        <v>60523.968794097636</v>
      </c>
    </row>
    <row r="671" spans="1:33" ht="11.25" customHeight="1" x14ac:dyDescent="0.25">
      <c r="A671" s="4" t="s">
        <v>28</v>
      </c>
      <c r="B671" s="4" t="s">
        <v>22</v>
      </c>
      <c r="C671" s="4" t="s">
        <v>23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25</v>
      </c>
      <c r="I671" s="5">
        <v>44743</v>
      </c>
      <c r="J671" s="6">
        <v>0</v>
      </c>
      <c r="K671" s="6">
        <v>0</v>
      </c>
      <c r="L671" s="6">
        <v>-27.824999999999999</v>
      </c>
      <c r="M671" s="6">
        <v>-27.824999999999999</v>
      </c>
      <c r="N671" s="6">
        <v>-27.824999999999999</v>
      </c>
      <c r="O671" s="6">
        <v>-27.824999999999999</v>
      </c>
      <c r="P671" s="6">
        <v>0</v>
      </c>
      <c r="Q671" s="4" t="s">
        <v>26</v>
      </c>
      <c r="R671" s="4">
        <v>0</v>
      </c>
      <c r="S671" s="6">
        <v>0</v>
      </c>
      <c r="T671" s="6">
        <v>25</v>
      </c>
      <c r="U671" s="6">
        <v>80</v>
      </c>
      <c r="V671" s="6">
        <f>IF(ISERROR(VLOOKUP($S$671,'TAR FIN'!$A$1:$O$108,15,0)),0,VLOOKUP($S$671,'TAR FIN'!$A$1:$O$108,15,0))</f>
        <v>0</v>
      </c>
      <c r="W671" s="6">
        <f>IF(ISERROR(VLOOKUP($T$671,'TAR FIN'!$A$1:$O$108,15,0)),0,VLOOKUP($T$671,'TAR FIN'!$A$1:$O$108,15,0))</f>
        <v>432.02</v>
      </c>
      <c r="X671" s="6">
        <f>IF(ISERROR(VLOOKUP($U$671,'TAR FIN'!$A$1:$O$108,15,0)),0,VLOOKUP($U$671,'TAR FIN'!$A$1:$O$108,15,0))</f>
        <v>107.79</v>
      </c>
      <c r="Y671" s="6"/>
      <c r="Z671" s="6">
        <f ca="1">('TUSD BE'!$AM$36+'TUSD BF'!$AM$36+'TUSD CVA'!$AM$36)*1</f>
        <v>497.19204594021971</v>
      </c>
      <c r="AA671" s="6">
        <f>('TE BE'!$AB$16+'TE BF'!$AB$16+'TE CVA'!$AB$16)*1</f>
        <v>224.47961306175614</v>
      </c>
      <c r="AB671" s="6">
        <f>$K$671*$V$671</f>
        <v>0</v>
      </c>
      <c r="AC671" s="6">
        <f>$M$671*$W$671</f>
        <v>-12020.956499999998</v>
      </c>
      <c r="AD671" s="6">
        <f>$O$671*$X$671</f>
        <v>-2999.25675</v>
      </c>
      <c r="AE671" s="6">
        <f>$K$671*$Y$671</f>
        <v>0</v>
      </c>
      <c r="AF671" s="6">
        <f ca="1">$M$671*$Z$671</f>
        <v>-13834.368678286613</v>
      </c>
      <c r="AG671" s="6">
        <f>$O$671*$AA$671</f>
        <v>-6246.1452334433643</v>
      </c>
    </row>
    <row r="672" spans="1:33" ht="11.25" customHeight="1" x14ac:dyDescent="0.25">
      <c r="A672" s="4" t="s">
        <v>21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44774</v>
      </c>
      <c r="J672" s="6">
        <v>0</v>
      </c>
      <c r="K672" s="6">
        <v>0</v>
      </c>
      <c r="L672" s="6">
        <v>41364.845999999998</v>
      </c>
      <c r="M672" s="6">
        <v>41364.845999999998</v>
      </c>
      <c r="N672" s="6">
        <v>41364.845999999998</v>
      </c>
      <c r="O672" s="6">
        <v>41364.845999999998</v>
      </c>
      <c r="P672" s="6">
        <v>135809</v>
      </c>
      <c r="Q672" s="4" t="s">
        <v>26</v>
      </c>
      <c r="R672" s="4">
        <v>0</v>
      </c>
      <c r="S672" s="6">
        <v>0</v>
      </c>
      <c r="T672" s="6">
        <v>25</v>
      </c>
      <c r="U672" s="6">
        <v>80</v>
      </c>
      <c r="V672" s="6">
        <f>IF(ISERROR(VLOOKUP($S$672,'TAR FIN'!$A$1:$O$108,15,0)),0,VLOOKUP($S$672,'TAR FIN'!$A$1:$O$108,15,0))</f>
        <v>0</v>
      </c>
      <c r="W672" s="6">
        <f>IF(ISERROR(VLOOKUP($T$672,'TAR FIN'!$A$1:$O$108,15,0)),0,VLOOKUP($T$672,'TAR FIN'!$A$1:$O$108,15,0))</f>
        <v>432.02</v>
      </c>
      <c r="X672" s="6">
        <f>IF(ISERROR(VLOOKUP($U$672,'TAR FIN'!$A$1:$O$108,15,0)),0,VLOOKUP($U$672,'TAR FIN'!$A$1:$O$108,15,0))</f>
        <v>107.79</v>
      </c>
      <c r="Y672" s="6"/>
      <c r="Z672" s="6">
        <f ca="1">('TUSD BE'!$AM$36+'TUSD BF'!$AM$36+'TUSD CVA'!$AM$36)*1</f>
        <v>497.19204594021971</v>
      </c>
      <c r="AA672" s="6">
        <f>('TE BE'!$AB$16+'TE BF'!$AB$16+'TE CVA'!$AB$16)*1</f>
        <v>224.47961306175614</v>
      </c>
      <c r="AB672" s="6">
        <f>$K$672*$V$672</f>
        <v>0</v>
      </c>
      <c r="AC672" s="6">
        <f>$M$672*$W$672</f>
        <v>17870440.768919997</v>
      </c>
      <c r="AD672" s="6">
        <f>$O$672*$X$672</f>
        <v>4458716.7503399998</v>
      </c>
      <c r="AE672" s="6">
        <f>$K$672*$Y$672</f>
        <v>0</v>
      </c>
      <c r="AF672" s="6">
        <f ca="1">$M$672*$Z$672</f>
        <v>20566272.412742112</v>
      </c>
      <c r="AG672" s="6">
        <f>$O$672*$AA$672</f>
        <v>9285564.6244391315</v>
      </c>
    </row>
    <row r="673" spans="1:33" ht="11.25" customHeight="1" x14ac:dyDescent="0.25">
      <c r="A673" s="4" t="s">
        <v>27</v>
      </c>
      <c r="B673" s="4" t="s">
        <v>22</v>
      </c>
      <c r="C673" s="4" t="s">
        <v>23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25</v>
      </c>
      <c r="I673" s="5">
        <v>44774</v>
      </c>
      <c r="J673" s="6">
        <v>0</v>
      </c>
      <c r="K673" s="6">
        <v>0</v>
      </c>
      <c r="L673" s="6">
        <v>-1194.778</v>
      </c>
      <c r="M673" s="6">
        <v>-1194.778</v>
      </c>
      <c r="N673" s="6">
        <v>-1194.778</v>
      </c>
      <c r="O673" s="6">
        <v>-1194.778</v>
      </c>
      <c r="P673" s="6">
        <v>-848</v>
      </c>
      <c r="Q673" s="4" t="s">
        <v>26</v>
      </c>
      <c r="R673" s="4">
        <v>0</v>
      </c>
      <c r="S673" s="6">
        <v>0</v>
      </c>
      <c r="T673" s="6">
        <v>25</v>
      </c>
      <c r="U673" s="6">
        <v>80</v>
      </c>
      <c r="V673" s="6">
        <f>IF(ISERROR(VLOOKUP($S$673,'TAR FIN'!$A$1:$O$108,15,0)),0,VLOOKUP($S$673,'TAR FIN'!$A$1:$O$108,15,0))</f>
        <v>0</v>
      </c>
      <c r="W673" s="6">
        <f>IF(ISERROR(VLOOKUP($T$673,'TAR FIN'!$A$1:$O$108,15,0)),0,VLOOKUP($T$673,'TAR FIN'!$A$1:$O$108,15,0))</f>
        <v>432.02</v>
      </c>
      <c r="X673" s="6">
        <f>IF(ISERROR(VLOOKUP($U$673,'TAR FIN'!$A$1:$O$108,15,0)),0,VLOOKUP($U$673,'TAR FIN'!$A$1:$O$108,15,0))</f>
        <v>107.79</v>
      </c>
      <c r="Y673" s="6"/>
      <c r="Z673" s="6">
        <f ca="1">('TUSD BE'!$AM$36+'TUSD BF'!$AM$36+'TUSD CVA'!$AM$36)*1</f>
        <v>497.19204594021971</v>
      </c>
      <c r="AA673" s="6">
        <f>('TE BE'!$AB$16+'TE BF'!$AB$16+'TE CVA'!$AB$16)*1</f>
        <v>224.47961306175614</v>
      </c>
      <c r="AB673" s="6">
        <f>$K$673*$V$673</f>
        <v>0</v>
      </c>
      <c r="AC673" s="6">
        <f>$M$673*$W$673</f>
        <v>-516167.99155999999</v>
      </c>
      <c r="AD673" s="6">
        <f>$O$673*$X$673</f>
        <v>-128785.12062000002</v>
      </c>
      <c r="AE673" s="6">
        <f>$K$673*$Y$673</f>
        <v>0</v>
      </c>
      <c r="AF673" s="6">
        <f ca="1">$M$673*$Z$673</f>
        <v>-594034.11826436385</v>
      </c>
      <c r="AG673" s="6">
        <f>$O$673*$AA$673</f>
        <v>-268203.30313469889</v>
      </c>
    </row>
    <row r="674" spans="1:33" ht="11.25" customHeight="1" x14ac:dyDescent="0.25">
      <c r="A674" s="4" t="s">
        <v>28</v>
      </c>
      <c r="B674" s="4" t="s">
        <v>22</v>
      </c>
      <c r="C674" s="4" t="s">
        <v>23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25</v>
      </c>
      <c r="I674" s="5">
        <v>44774</v>
      </c>
      <c r="J674" s="6">
        <v>0</v>
      </c>
      <c r="K674" s="6">
        <v>0</v>
      </c>
      <c r="L674" s="6">
        <v>297.82600000000002</v>
      </c>
      <c r="M674" s="6">
        <v>297.82600000000002</v>
      </c>
      <c r="N674" s="6">
        <v>297.82600000000002</v>
      </c>
      <c r="O674" s="6">
        <v>297.82600000000002</v>
      </c>
      <c r="P674" s="6">
        <v>1260</v>
      </c>
      <c r="Q674" s="4" t="s">
        <v>26</v>
      </c>
      <c r="R674" s="4">
        <v>0</v>
      </c>
      <c r="S674" s="6">
        <v>0</v>
      </c>
      <c r="T674" s="6">
        <v>25</v>
      </c>
      <c r="U674" s="6">
        <v>80</v>
      </c>
      <c r="V674" s="6">
        <f>IF(ISERROR(VLOOKUP($S$674,'TAR FIN'!$A$1:$O$108,15,0)),0,VLOOKUP($S$674,'TAR FIN'!$A$1:$O$108,15,0))</f>
        <v>0</v>
      </c>
      <c r="W674" s="6">
        <f>IF(ISERROR(VLOOKUP($T$674,'TAR FIN'!$A$1:$O$108,15,0)),0,VLOOKUP($T$674,'TAR FIN'!$A$1:$O$108,15,0))</f>
        <v>432.02</v>
      </c>
      <c r="X674" s="6">
        <f>IF(ISERROR(VLOOKUP($U$674,'TAR FIN'!$A$1:$O$108,15,0)),0,VLOOKUP($U$674,'TAR FIN'!$A$1:$O$108,15,0))</f>
        <v>107.79</v>
      </c>
      <c r="Y674" s="6"/>
      <c r="Z674" s="6">
        <f ca="1">('TUSD BE'!$AM$36+'TUSD BF'!$AM$36+'TUSD CVA'!$AM$36)*1</f>
        <v>497.19204594021971</v>
      </c>
      <c r="AA674" s="6">
        <f>('TE BE'!$AB$16+'TE BF'!$AB$16+'TE CVA'!$AB$16)*1</f>
        <v>224.47961306175614</v>
      </c>
      <c r="AB674" s="6">
        <f>$K$674*$V$674</f>
        <v>0</v>
      </c>
      <c r="AC674" s="6">
        <f>$M$674*$W$674</f>
        <v>128666.78852</v>
      </c>
      <c r="AD674" s="6">
        <f>$O$674*$X$674</f>
        <v>32102.664540000005</v>
      </c>
      <c r="AE674" s="6">
        <f>$K$674*$Y$674</f>
        <v>0</v>
      </c>
      <c r="AF674" s="6">
        <f ca="1">$M$674*$Z$674</f>
        <v>148076.7182741919</v>
      </c>
      <c r="AG674" s="6">
        <f>$O$674*$AA$674</f>
        <v>66855.865239730585</v>
      </c>
    </row>
    <row r="675" spans="1:33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25</v>
      </c>
      <c r="I675" s="5">
        <v>44774</v>
      </c>
      <c r="J675" s="6">
        <v>0</v>
      </c>
      <c r="K675" s="6">
        <v>0</v>
      </c>
      <c r="L675" s="6">
        <v>-4.6849999999999996</v>
      </c>
      <c r="M675" s="6">
        <v>-4.6849999999999996</v>
      </c>
      <c r="N675" s="6">
        <v>-4.6849999999999996</v>
      </c>
      <c r="O675" s="6">
        <v>-4.6849999999999996</v>
      </c>
      <c r="P675" s="6">
        <v>1</v>
      </c>
      <c r="Q675" s="4" t="s">
        <v>26</v>
      </c>
      <c r="R675" s="4">
        <v>0</v>
      </c>
      <c r="S675" s="6">
        <v>0</v>
      </c>
      <c r="T675" s="6">
        <v>25</v>
      </c>
      <c r="U675" s="6">
        <v>80</v>
      </c>
      <c r="V675" s="6">
        <f>IF(ISERROR(VLOOKUP($S$675,'TAR FIN'!$A$1:$O$108,15,0)),0,VLOOKUP($S$675,'TAR FIN'!$A$1:$O$108,15,0))</f>
        <v>0</v>
      </c>
      <c r="W675" s="6">
        <f>IF(ISERROR(VLOOKUP($T$675,'TAR FIN'!$A$1:$O$108,15,0)),0,VLOOKUP($T$675,'TAR FIN'!$A$1:$O$108,15,0))</f>
        <v>432.02</v>
      </c>
      <c r="X675" s="6">
        <f>IF(ISERROR(VLOOKUP($U$675,'TAR FIN'!$A$1:$O$108,15,0)),0,VLOOKUP($U$675,'TAR FIN'!$A$1:$O$108,15,0))</f>
        <v>107.79</v>
      </c>
      <c r="Y675" s="6"/>
      <c r="Z675" s="6">
        <f ca="1">('TUSD BE'!$AM$36+'TUSD BF'!$AM$36+'TUSD CVA'!$AM$36)*1</f>
        <v>497.19204594021971</v>
      </c>
      <c r="AA675" s="6">
        <f>('TE BE'!$AB$16+'TE BF'!$AB$16+'TE CVA'!$AB$16)*1</f>
        <v>224.47961306175614</v>
      </c>
      <c r="AB675" s="6">
        <f>$K$675*$V$675</f>
        <v>0</v>
      </c>
      <c r="AC675" s="6">
        <f>$M$675*$W$675</f>
        <v>-2024.0136999999997</v>
      </c>
      <c r="AD675" s="6">
        <f>$O$675*$X$675</f>
        <v>-504.99615</v>
      </c>
      <c r="AE675" s="6">
        <f>$K$675*$Y$675</f>
        <v>0</v>
      </c>
      <c r="AF675" s="6">
        <f ca="1">$M$675*$Z$675</f>
        <v>-2329.344735229929</v>
      </c>
      <c r="AG675" s="6">
        <f>$O$675*$AA$675</f>
        <v>-1051.6869871943275</v>
      </c>
    </row>
    <row r="676" spans="1:33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25</v>
      </c>
      <c r="I676" s="5">
        <v>44805</v>
      </c>
      <c r="J676" s="6">
        <v>0</v>
      </c>
      <c r="K676" s="6">
        <v>0</v>
      </c>
      <c r="L676" s="6">
        <v>44053.01</v>
      </c>
      <c r="M676" s="6">
        <v>44053.01</v>
      </c>
      <c r="N676" s="6">
        <v>44053.01</v>
      </c>
      <c r="O676" s="6">
        <v>44053.01</v>
      </c>
      <c r="P676" s="6">
        <v>127605</v>
      </c>
      <c r="Q676" s="4" t="s">
        <v>26</v>
      </c>
      <c r="R676" s="4">
        <v>0</v>
      </c>
      <c r="S676" s="6">
        <v>0</v>
      </c>
      <c r="T676" s="6">
        <v>25</v>
      </c>
      <c r="U676" s="6">
        <v>80</v>
      </c>
      <c r="V676" s="6">
        <f>IF(ISERROR(VLOOKUP($S$676,'TAR FIN'!$A$1:$O$108,15,0)),0,VLOOKUP($S$676,'TAR FIN'!$A$1:$O$108,15,0))</f>
        <v>0</v>
      </c>
      <c r="W676" s="6">
        <f>IF(ISERROR(VLOOKUP($T$676,'TAR FIN'!$A$1:$O$108,15,0)),0,VLOOKUP($T$676,'TAR FIN'!$A$1:$O$108,15,0))</f>
        <v>432.02</v>
      </c>
      <c r="X676" s="6">
        <f>IF(ISERROR(VLOOKUP($U$676,'TAR FIN'!$A$1:$O$108,15,0)),0,VLOOKUP($U$676,'TAR FIN'!$A$1:$O$108,15,0))</f>
        <v>107.79</v>
      </c>
      <c r="Y676" s="6"/>
      <c r="Z676" s="6">
        <f ca="1">('TUSD BE'!$AM$36+'TUSD BF'!$AM$36+'TUSD CVA'!$AM$36)*1</f>
        <v>497.19204594021971</v>
      </c>
      <c r="AA676" s="6">
        <f>('TE BE'!$AB$16+'TE BF'!$AB$16+'TE CVA'!$AB$16)*1</f>
        <v>224.47961306175614</v>
      </c>
      <c r="AB676" s="6">
        <f>$K$676*$V$676</f>
        <v>0</v>
      </c>
      <c r="AC676" s="6">
        <f>$M$676*$W$676</f>
        <v>19031781.380199999</v>
      </c>
      <c r="AD676" s="6">
        <f>$O$676*$X$676</f>
        <v>4748473.947900001</v>
      </c>
      <c r="AE676" s="6">
        <f>$K$676*$Y$676</f>
        <v>0</v>
      </c>
      <c r="AF676" s="6">
        <f ca="1">$M$676*$Z$676</f>
        <v>21902806.17172496</v>
      </c>
      <c r="AG676" s="6">
        <f>$O$676*$AA$676</f>
        <v>9889002.639005674</v>
      </c>
    </row>
    <row r="677" spans="1:33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25</v>
      </c>
      <c r="I677" s="5">
        <v>44805</v>
      </c>
      <c r="J677" s="6">
        <v>0</v>
      </c>
      <c r="K677" s="6">
        <v>0</v>
      </c>
      <c r="L677" s="6">
        <v>-1479.7159999999999</v>
      </c>
      <c r="M677" s="6">
        <v>-1479.7159999999999</v>
      </c>
      <c r="N677" s="6">
        <v>-1479.7159999999999</v>
      </c>
      <c r="O677" s="6">
        <v>-1479.7159999999999</v>
      </c>
      <c r="P677" s="6">
        <v>-7113</v>
      </c>
      <c r="Q677" s="4" t="s">
        <v>26</v>
      </c>
      <c r="R677" s="4">
        <v>0</v>
      </c>
      <c r="S677" s="6">
        <v>0</v>
      </c>
      <c r="T677" s="6">
        <v>25</v>
      </c>
      <c r="U677" s="6">
        <v>80</v>
      </c>
      <c r="V677" s="6">
        <f>IF(ISERROR(VLOOKUP($S$677,'TAR FIN'!$A$1:$O$108,15,0)),0,VLOOKUP($S$677,'TAR FIN'!$A$1:$O$108,15,0))</f>
        <v>0</v>
      </c>
      <c r="W677" s="6">
        <f>IF(ISERROR(VLOOKUP($T$677,'TAR FIN'!$A$1:$O$108,15,0)),0,VLOOKUP($T$677,'TAR FIN'!$A$1:$O$108,15,0))</f>
        <v>432.02</v>
      </c>
      <c r="X677" s="6">
        <f>IF(ISERROR(VLOOKUP($U$677,'TAR FIN'!$A$1:$O$108,15,0)),0,VLOOKUP($U$677,'TAR FIN'!$A$1:$O$108,15,0))</f>
        <v>107.79</v>
      </c>
      <c r="Y677" s="6"/>
      <c r="Z677" s="6">
        <f ca="1">('TUSD BE'!$AM$36+'TUSD BF'!$AM$36+'TUSD CVA'!$AM$36)*1</f>
        <v>497.19204594021971</v>
      </c>
      <c r="AA677" s="6">
        <f>('TE BE'!$AB$16+'TE BF'!$AB$16+'TE CVA'!$AB$16)*1</f>
        <v>224.47961306175614</v>
      </c>
      <c r="AB677" s="6">
        <f>$K$677*$V$677</f>
        <v>0</v>
      </c>
      <c r="AC677" s="6">
        <f>$M$677*$W$677</f>
        <v>-639266.90631999995</v>
      </c>
      <c r="AD677" s="6">
        <f>$O$677*$X$677</f>
        <v>-159498.58763999998</v>
      </c>
      <c r="AE677" s="6">
        <f>$K$677*$Y$677</f>
        <v>0</v>
      </c>
      <c r="AF677" s="6">
        <f ca="1">$M$677*$Z$677</f>
        <v>-735703.02545047808</v>
      </c>
      <c r="AG677" s="6">
        <f>$O$677*$AA$677</f>
        <v>-332166.07512128953</v>
      </c>
    </row>
    <row r="678" spans="1:3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25</v>
      </c>
      <c r="I678" s="5">
        <v>44805</v>
      </c>
      <c r="J678" s="6">
        <v>0</v>
      </c>
      <c r="K678" s="6">
        <v>0</v>
      </c>
      <c r="L678" s="6">
        <v>321.10300000000001</v>
      </c>
      <c r="M678" s="6">
        <v>321.10300000000001</v>
      </c>
      <c r="N678" s="6">
        <v>321.10300000000001</v>
      </c>
      <c r="O678" s="6">
        <v>321.10300000000001</v>
      </c>
      <c r="P678" s="6">
        <v>1343</v>
      </c>
      <c r="Q678" s="4" t="s">
        <v>26</v>
      </c>
      <c r="R678" s="4">
        <v>0</v>
      </c>
      <c r="S678" s="6">
        <v>0</v>
      </c>
      <c r="T678" s="6">
        <v>25</v>
      </c>
      <c r="U678" s="6">
        <v>80</v>
      </c>
      <c r="V678" s="6">
        <f>IF(ISERROR(VLOOKUP($S$678,'TAR FIN'!$A$1:$O$108,15,0)),0,VLOOKUP($S$678,'TAR FIN'!$A$1:$O$108,15,0))</f>
        <v>0</v>
      </c>
      <c r="W678" s="6">
        <f>IF(ISERROR(VLOOKUP($T$678,'TAR FIN'!$A$1:$O$108,15,0)),0,VLOOKUP($T$678,'TAR FIN'!$A$1:$O$108,15,0))</f>
        <v>432.02</v>
      </c>
      <c r="X678" s="6">
        <f>IF(ISERROR(VLOOKUP($U$678,'TAR FIN'!$A$1:$O$108,15,0)),0,VLOOKUP($U$678,'TAR FIN'!$A$1:$O$108,15,0))</f>
        <v>107.79</v>
      </c>
      <c r="Y678" s="6"/>
      <c r="Z678" s="6">
        <f ca="1">('TUSD BE'!$AM$36+'TUSD BF'!$AM$36+'TUSD CVA'!$AM$36)*1</f>
        <v>497.19204594021971</v>
      </c>
      <c r="AA678" s="6">
        <f>('TE BE'!$AB$16+'TE BF'!$AB$16+'TE CVA'!$AB$16)*1</f>
        <v>224.47961306175614</v>
      </c>
      <c r="AB678" s="6">
        <f>$K$678*$V$678</f>
        <v>0</v>
      </c>
      <c r="AC678" s="6">
        <f>$M$678*$W$678</f>
        <v>138722.91806</v>
      </c>
      <c r="AD678" s="6">
        <f>$O$678*$X$678</f>
        <v>34611.692370000004</v>
      </c>
      <c r="AE678" s="6">
        <f>$K$678*$Y$678</f>
        <v>0</v>
      </c>
      <c r="AF678" s="6">
        <f ca="1">$M$678*$Z$678</f>
        <v>159649.85752754236</v>
      </c>
      <c r="AG678" s="6">
        <f>$O$678*$AA$678</f>
        <v>72081.077192969082</v>
      </c>
    </row>
    <row r="679" spans="1:33" ht="11.25" customHeight="1" x14ac:dyDescent="0.25">
      <c r="A679" s="4" t="s">
        <v>28</v>
      </c>
      <c r="B679" s="4" t="s">
        <v>22</v>
      </c>
      <c r="C679" s="4" t="s">
        <v>23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25</v>
      </c>
      <c r="I679" s="5">
        <v>44805</v>
      </c>
      <c r="J679" s="6">
        <v>0</v>
      </c>
      <c r="K679" s="6">
        <v>0</v>
      </c>
      <c r="L679" s="6">
        <v>-4.6760000000000002</v>
      </c>
      <c r="M679" s="6">
        <v>-4.6760000000000002</v>
      </c>
      <c r="N679" s="6">
        <v>-4.6760000000000002</v>
      </c>
      <c r="O679" s="6">
        <v>-4.6760000000000002</v>
      </c>
      <c r="P679" s="6">
        <v>-2</v>
      </c>
      <c r="Q679" s="4" t="s">
        <v>26</v>
      </c>
      <c r="R679" s="4">
        <v>0</v>
      </c>
      <c r="S679" s="6">
        <v>0</v>
      </c>
      <c r="T679" s="6">
        <v>25</v>
      </c>
      <c r="U679" s="6">
        <v>80</v>
      </c>
      <c r="V679" s="6">
        <f>IF(ISERROR(VLOOKUP($S$679,'TAR FIN'!$A$1:$O$108,15,0)),0,VLOOKUP($S$679,'TAR FIN'!$A$1:$O$108,15,0))</f>
        <v>0</v>
      </c>
      <c r="W679" s="6">
        <f>IF(ISERROR(VLOOKUP($T$679,'TAR FIN'!$A$1:$O$108,15,0)),0,VLOOKUP($T$679,'TAR FIN'!$A$1:$O$108,15,0))</f>
        <v>432.02</v>
      </c>
      <c r="X679" s="6">
        <f>IF(ISERROR(VLOOKUP($U$679,'TAR FIN'!$A$1:$O$108,15,0)),0,VLOOKUP($U$679,'TAR FIN'!$A$1:$O$108,15,0))</f>
        <v>107.79</v>
      </c>
      <c r="Y679" s="6"/>
      <c r="Z679" s="6">
        <f ca="1">('TUSD BE'!$AM$36+'TUSD BF'!$AM$36+'TUSD CVA'!$AM$36)*1</f>
        <v>497.19204594021971</v>
      </c>
      <c r="AA679" s="6">
        <f>('TE BE'!$AB$16+'TE BF'!$AB$16+'TE CVA'!$AB$16)*1</f>
        <v>224.47961306175614</v>
      </c>
      <c r="AB679" s="6">
        <f>$K$679*$V$679</f>
        <v>0</v>
      </c>
      <c r="AC679" s="6">
        <f>$M$679*$W$679</f>
        <v>-2020.1255200000001</v>
      </c>
      <c r="AD679" s="6">
        <f>$O$679*$X$679</f>
        <v>-504.02604000000002</v>
      </c>
      <c r="AE679" s="6">
        <f>$K$679*$Y$679</f>
        <v>0</v>
      </c>
      <c r="AF679" s="6">
        <f ca="1">$M$679*$Z$679</f>
        <v>-2324.8700068164676</v>
      </c>
      <c r="AG679" s="6">
        <f>$O$679*$AA$679</f>
        <v>-1049.6666706767717</v>
      </c>
    </row>
    <row r="680" spans="1:33" ht="11.25" customHeight="1" x14ac:dyDescent="0.25">
      <c r="A680" s="4" t="s">
        <v>21</v>
      </c>
      <c r="B680" s="4" t="s">
        <v>22</v>
      </c>
      <c r="C680" s="4" t="s">
        <v>23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25</v>
      </c>
      <c r="I680" s="5">
        <v>44835</v>
      </c>
      <c r="J680" s="6">
        <v>0</v>
      </c>
      <c r="K680" s="6">
        <v>0</v>
      </c>
      <c r="L680" s="6">
        <v>46735.762000000002</v>
      </c>
      <c r="M680" s="6">
        <v>46735.762000000002</v>
      </c>
      <c r="N680" s="6">
        <v>46735.762000000002</v>
      </c>
      <c r="O680" s="6">
        <v>46735.762000000002</v>
      </c>
      <c r="P680" s="6">
        <v>123012</v>
      </c>
      <c r="Q680" s="4" t="s">
        <v>26</v>
      </c>
      <c r="R680" s="4">
        <v>0</v>
      </c>
      <c r="S680" s="6">
        <v>0</v>
      </c>
      <c r="T680" s="6">
        <v>25</v>
      </c>
      <c r="U680" s="6">
        <v>80</v>
      </c>
      <c r="V680" s="6">
        <f>IF(ISERROR(VLOOKUP($S$680,'TAR FIN'!$A$1:$O$108,15,0)),0,VLOOKUP($S$680,'TAR FIN'!$A$1:$O$108,15,0))</f>
        <v>0</v>
      </c>
      <c r="W680" s="6">
        <f>IF(ISERROR(VLOOKUP($T$680,'TAR FIN'!$A$1:$O$108,15,0)),0,VLOOKUP($T$680,'TAR FIN'!$A$1:$O$108,15,0))</f>
        <v>432.02</v>
      </c>
      <c r="X680" s="6">
        <f>IF(ISERROR(VLOOKUP($U$680,'TAR FIN'!$A$1:$O$108,15,0)),0,VLOOKUP($U$680,'TAR FIN'!$A$1:$O$108,15,0))</f>
        <v>107.79</v>
      </c>
      <c r="Y680" s="6"/>
      <c r="Z680" s="6">
        <f ca="1">('TUSD BE'!$AM$36+'TUSD BF'!$AM$36+'TUSD CVA'!$AM$36)*1</f>
        <v>497.19204594021971</v>
      </c>
      <c r="AA680" s="6">
        <f>('TE BE'!$AB$16+'TE BF'!$AB$16+'TE CVA'!$AB$16)*1</f>
        <v>224.47961306175614</v>
      </c>
      <c r="AB680" s="6">
        <f>$K$680*$V$680</f>
        <v>0</v>
      </c>
      <c r="AC680" s="6">
        <f>$M$680*$W$680</f>
        <v>20190783.899240002</v>
      </c>
      <c r="AD680" s="6">
        <f>$O$680*$X$680</f>
        <v>5037647.7859800002</v>
      </c>
      <c r="AE680" s="6">
        <f>$K$680*$Y$680</f>
        <v>0</v>
      </c>
      <c r="AF680" s="6">
        <f ca="1">$M$680*$Z$680</f>
        <v>23236649.127355177</v>
      </c>
      <c r="AG680" s="6">
        <f>$O$680*$AA$680</f>
        <v>10491225.769906327</v>
      </c>
    </row>
    <row r="681" spans="1:33" ht="11.25" customHeight="1" x14ac:dyDescent="0.25">
      <c r="A681" s="4" t="s">
        <v>27</v>
      </c>
      <c r="B681" s="4" t="s">
        <v>22</v>
      </c>
      <c r="C681" s="4" t="s">
        <v>23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25</v>
      </c>
      <c r="I681" s="5">
        <v>44835</v>
      </c>
      <c r="J681" s="6">
        <v>0</v>
      </c>
      <c r="K681" s="6">
        <v>0</v>
      </c>
      <c r="L681" s="6">
        <v>-2946.1880000000001</v>
      </c>
      <c r="M681" s="6">
        <v>-2946.1880000000001</v>
      </c>
      <c r="N681" s="6">
        <v>-2946.1880000000001</v>
      </c>
      <c r="O681" s="6">
        <v>-2946.1880000000001</v>
      </c>
      <c r="P681" s="6">
        <v>-2442</v>
      </c>
      <c r="Q681" s="4" t="s">
        <v>26</v>
      </c>
      <c r="R681" s="4">
        <v>0</v>
      </c>
      <c r="S681" s="6">
        <v>0</v>
      </c>
      <c r="T681" s="6">
        <v>25</v>
      </c>
      <c r="U681" s="6">
        <v>80</v>
      </c>
      <c r="V681" s="6">
        <f>IF(ISERROR(VLOOKUP($S$681,'TAR FIN'!$A$1:$O$108,15,0)),0,VLOOKUP($S$681,'TAR FIN'!$A$1:$O$108,15,0))</f>
        <v>0</v>
      </c>
      <c r="W681" s="6">
        <f>IF(ISERROR(VLOOKUP($T$681,'TAR FIN'!$A$1:$O$108,15,0)),0,VLOOKUP($T$681,'TAR FIN'!$A$1:$O$108,15,0))</f>
        <v>432.02</v>
      </c>
      <c r="X681" s="6">
        <f>IF(ISERROR(VLOOKUP($U$681,'TAR FIN'!$A$1:$O$108,15,0)),0,VLOOKUP($U$681,'TAR FIN'!$A$1:$O$108,15,0))</f>
        <v>107.79</v>
      </c>
      <c r="Y681" s="6"/>
      <c r="Z681" s="6">
        <f ca="1">('TUSD BE'!$AM$36+'TUSD BF'!$AM$36+'TUSD CVA'!$AM$36)*1</f>
        <v>497.19204594021971</v>
      </c>
      <c r="AA681" s="6">
        <f>('TE BE'!$AB$16+'TE BF'!$AB$16+'TE CVA'!$AB$16)*1</f>
        <v>224.47961306175614</v>
      </c>
      <c r="AB681" s="6">
        <f>$K$681*$V$681</f>
        <v>0</v>
      </c>
      <c r="AC681" s="6">
        <f>$M$681*$W$681</f>
        <v>-1272812.1397599999</v>
      </c>
      <c r="AD681" s="6">
        <f>$O$681*$X$681</f>
        <v>-317569.60452000005</v>
      </c>
      <c r="AE681" s="6">
        <f>$K$681*$Y$681</f>
        <v>0</v>
      </c>
      <c r="AF681" s="6">
        <f ca="1">$M$681*$Z$681</f>
        <v>-1464821.239444524</v>
      </c>
      <c r="AG681" s="6">
        <f>$O$681*$AA$681</f>
        <v>-661359.14224718919</v>
      </c>
    </row>
    <row r="682" spans="1:33" ht="11.25" customHeight="1" x14ac:dyDescent="0.25">
      <c r="A682" s="4" t="s">
        <v>28</v>
      </c>
      <c r="B682" s="4" t="s">
        <v>22</v>
      </c>
      <c r="C682" s="4" t="s">
        <v>23</v>
      </c>
      <c r="D682" s="4" t="s">
        <v>24</v>
      </c>
      <c r="E682" s="4" t="s">
        <v>24</v>
      </c>
      <c r="F682" s="4" t="s">
        <v>25</v>
      </c>
      <c r="G682" s="4" t="s">
        <v>25</v>
      </c>
      <c r="H682" s="4" t="s">
        <v>25</v>
      </c>
      <c r="I682" s="5">
        <v>44835</v>
      </c>
      <c r="J682" s="6">
        <v>0</v>
      </c>
      <c r="K682" s="6">
        <v>0</v>
      </c>
      <c r="L682" s="6">
        <v>348.84100000000001</v>
      </c>
      <c r="M682" s="6">
        <v>348.84100000000001</v>
      </c>
      <c r="N682" s="6">
        <v>348.84100000000001</v>
      </c>
      <c r="O682" s="6">
        <v>348.84100000000001</v>
      </c>
      <c r="P682" s="6">
        <v>1435</v>
      </c>
      <c r="Q682" s="4" t="s">
        <v>26</v>
      </c>
      <c r="R682" s="4">
        <v>0</v>
      </c>
      <c r="S682" s="6">
        <v>0</v>
      </c>
      <c r="T682" s="6">
        <v>25</v>
      </c>
      <c r="U682" s="6">
        <v>80</v>
      </c>
      <c r="V682" s="6">
        <f>IF(ISERROR(VLOOKUP($S$682,'TAR FIN'!$A$1:$O$108,15,0)),0,VLOOKUP($S$682,'TAR FIN'!$A$1:$O$108,15,0))</f>
        <v>0</v>
      </c>
      <c r="W682" s="6">
        <f>IF(ISERROR(VLOOKUP($T$682,'TAR FIN'!$A$1:$O$108,15,0)),0,VLOOKUP($T$682,'TAR FIN'!$A$1:$O$108,15,0))</f>
        <v>432.02</v>
      </c>
      <c r="X682" s="6">
        <f>IF(ISERROR(VLOOKUP($U$682,'TAR FIN'!$A$1:$O$108,15,0)),0,VLOOKUP($U$682,'TAR FIN'!$A$1:$O$108,15,0))</f>
        <v>107.79</v>
      </c>
      <c r="Y682" s="6"/>
      <c r="Z682" s="6">
        <f ca="1">('TUSD BE'!$AM$36+'TUSD BF'!$AM$36+'TUSD CVA'!$AM$36)*1</f>
        <v>497.19204594021971</v>
      </c>
      <c r="AA682" s="6">
        <f>('TE BE'!$AB$16+'TE BF'!$AB$16+'TE CVA'!$AB$16)*1</f>
        <v>224.47961306175614</v>
      </c>
      <c r="AB682" s="6">
        <f>$K$682*$V$682</f>
        <v>0</v>
      </c>
      <c r="AC682" s="6">
        <f>$M$682*$W$682</f>
        <v>150706.28881999999</v>
      </c>
      <c r="AD682" s="6">
        <f>$O$682*$X$682</f>
        <v>37601.571390000005</v>
      </c>
      <c r="AE682" s="6">
        <f>$K$682*$Y$682</f>
        <v>0</v>
      </c>
      <c r="AF682" s="6">
        <f ca="1">$M$682*$Z$682</f>
        <v>173440.9704978322</v>
      </c>
      <c r="AG682" s="6">
        <f>$O$682*$AA$682</f>
        <v>78307.692700076077</v>
      </c>
    </row>
    <row r="683" spans="1:33" ht="11.25" customHeight="1" x14ac:dyDescent="0.25">
      <c r="A683" s="4" t="s">
        <v>28</v>
      </c>
      <c r="B683" s="4" t="s">
        <v>22</v>
      </c>
      <c r="C683" s="4" t="s">
        <v>23</v>
      </c>
      <c r="D683" s="4" t="s">
        <v>24</v>
      </c>
      <c r="E683" s="4" t="s">
        <v>24</v>
      </c>
      <c r="F683" s="4" t="s">
        <v>25</v>
      </c>
      <c r="G683" s="4" t="s">
        <v>25</v>
      </c>
      <c r="H683" s="4" t="s">
        <v>25</v>
      </c>
      <c r="I683" s="5">
        <v>44835</v>
      </c>
      <c r="J683" s="6">
        <v>0</v>
      </c>
      <c r="K683" s="6">
        <v>0</v>
      </c>
      <c r="L683" s="6">
        <v>-0.57499999999999996</v>
      </c>
      <c r="M683" s="6">
        <v>-0.57499999999999996</v>
      </c>
      <c r="N683" s="6">
        <v>-0.57499999999999996</v>
      </c>
      <c r="O683" s="6">
        <v>-0.57499999999999996</v>
      </c>
      <c r="P683" s="6">
        <v>0</v>
      </c>
      <c r="Q683" s="4" t="s">
        <v>26</v>
      </c>
      <c r="R683" s="4">
        <v>0</v>
      </c>
      <c r="S683" s="6">
        <v>0</v>
      </c>
      <c r="T683" s="6">
        <v>25</v>
      </c>
      <c r="U683" s="6">
        <v>80</v>
      </c>
      <c r="V683" s="6">
        <f>IF(ISERROR(VLOOKUP($S$683,'TAR FIN'!$A$1:$O$108,15,0)),0,VLOOKUP($S$683,'TAR FIN'!$A$1:$O$108,15,0))</f>
        <v>0</v>
      </c>
      <c r="W683" s="6">
        <f>IF(ISERROR(VLOOKUP($T$683,'TAR FIN'!$A$1:$O$108,15,0)),0,VLOOKUP($T$683,'TAR FIN'!$A$1:$O$108,15,0))</f>
        <v>432.02</v>
      </c>
      <c r="X683" s="6">
        <f>IF(ISERROR(VLOOKUP($U$683,'TAR FIN'!$A$1:$O$108,15,0)),0,VLOOKUP($U$683,'TAR FIN'!$A$1:$O$108,15,0))</f>
        <v>107.79</v>
      </c>
      <c r="Y683" s="6"/>
      <c r="Z683" s="6">
        <f ca="1">('TUSD BE'!$AM$36+'TUSD BF'!$AM$36+'TUSD CVA'!$AM$36)*1</f>
        <v>497.19204594021971</v>
      </c>
      <c r="AA683" s="6">
        <f>('TE BE'!$AB$16+'TE BF'!$AB$16+'TE CVA'!$AB$16)*1</f>
        <v>224.47961306175614</v>
      </c>
      <c r="AB683" s="6">
        <f>$K$683*$V$683</f>
        <v>0</v>
      </c>
      <c r="AC683" s="6">
        <f>$M$683*$W$683</f>
        <v>-248.41149999999996</v>
      </c>
      <c r="AD683" s="6">
        <f>$O$683*$X$683</f>
        <v>-61.97925</v>
      </c>
      <c r="AE683" s="6">
        <f>$K$683*$Y$683</f>
        <v>0</v>
      </c>
      <c r="AF683" s="6">
        <f ca="1">$M$683*$Z$683</f>
        <v>-285.88542641562634</v>
      </c>
      <c r="AG683" s="6">
        <f>$O$683*$AA$683</f>
        <v>-129.07577751050977</v>
      </c>
    </row>
    <row r="684" spans="1:33" ht="11.25" customHeight="1" x14ac:dyDescent="0.25">
      <c r="A684" s="4" t="s">
        <v>54</v>
      </c>
      <c r="B684" s="4" t="s">
        <v>22</v>
      </c>
      <c r="C684" s="4" t="s">
        <v>23</v>
      </c>
      <c r="D684" s="4" t="s">
        <v>24</v>
      </c>
      <c r="E684" s="4" t="s">
        <v>24</v>
      </c>
      <c r="F684" s="4" t="s">
        <v>25</v>
      </c>
      <c r="G684" s="4" t="s">
        <v>25</v>
      </c>
      <c r="H684" s="4" t="s">
        <v>25</v>
      </c>
      <c r="I684" s="5">
        <v>44866</v>
      </c>
      <c r="J684" s="6">
        <v>0</v>
      </c>
      <c r="K684" s="6">
        <v>0</v>
      </c>
      <c r="L684" s="6">
        <v>46735.762000000002</v>
      </c>
      <c r="M684" s="6">
        <v>46735.762000000002</v>
      </c>
      <c r="N684" s="6">
        <v>46735.762000000002</v>
      </c>
      <c r="O684" s="6">
        <v>46735.762000000002</v>
      </c>
      <c r="P684" s="6">
        <v>123012</v>
      </c>
      <c r="Q684" s="4" t="s">
        <v>26</v>
      </c>
      <c r="R684" s="4">
        <v>0</v>
      </c>
      <c r="S684" s="6">
        <v>0</v>
      </c>
      <c r="T684" s="6">
        <v>25</v>
      </c>
      <c r="U684" s="6">
        <v>80</v>
      </c>
      <c r="V684" s="6">
        <f>IF(ISERROR(VLOOKUP($S$684,'TAR FIN'!$A$1:$O$108,15,0)),0,VLOOKUP($S$684,'TAR FIN'!$A$1:$O$108,15,0))</f>
        <v>0</v>
      </c>
      <c r="W684" s="6">
        <f>IF(ISERROR(VLOOKUP($T$684,'TAR FIN'!$A$1:$O$108,15,0)),0,VLOOKUP($T$684,'TAR FIN'!$A$1:$O$108,15,0))</f>
        <v>432.02</v>
      </c>
      <c r="X684" s="6">
        <f>IF(ISERROR(VLOOKUP($U$684,'TAR FIN'!$A$1:$O$108,15,0)),0,VLOOKUP($U$684,'TAR FIN'!$A$1:$O$108,15,0))</f>
        <v>107.79</v>
      </c>
      <c r="Y684" s="6"/>
      <c r="Z684" s="6">
        <f ca="1">('TUSD BE'!$AM$36+'TUSD BF'!$AM$36+'TUSD CVA'!$AM$36)*1</f>
        <v>497.19204594021971</v>
      </c>
      <c r="AA684" s="6">
        <f>('TE BE'!$AB$16+'TE BF'!$AB$16+'TE CVA'!$AB$16)*1</f>
        <v>224.47961306175614</v>
      </c>
      <c r="AB684" s="6">
        <f>$K$684*$V$684</f>
        <v>0</v>
      </c>
      <c r="AC684" s="6">
        <f>$M$684*$W$684</f>
        <v>20190783.899240002</v>
      </c>
      <c r="AD684" s="6">
        <f>$O$684*$X$684</f>
        <v>5037647.7859800002</v>
      </c>
      <c r="AE684" s="6">
        <f>$K$684*$Y$684</f>
        <v>0</v>
      </c>
      <c r="AF684" s="6">
        <f ca="1">$M$684*$Z$684</f>
        <v>23236649.127355177</v>
      </c>
      <c r="AG684" s="6">
        <f>$O$684*$AA$684</f>
        <v>10491225.769906327</v>
      </c>
    </row>
    <row r="685" spans="1:33" ht="11.25" customHeight="1" x14ac:dyDescent="0.25">
      <c r="A685" s="4" t="s">
        <v>54</v>
      </c>
      <c r="B685" s="4" t="s">
        <v>22</v>
      </c>
      <c r="C685" s="4" t="s">
        <v>23</v>
      </c>
      <c r="D685" s="4" t="s">
        <v>24</v>
      </c>
      <c r="E685" s="4" t="s">
        <v>24</v>
      </c>
      <c r="F685" s="4" t="s">
        <v>25</v>
      </c>
      <c r="G685" s="4" t="s">
        <v>25</v>
      </c>
      <c r="H685" s="4" t="s">
        <v>25</v>
      </c>
      <c r="I685" s="5">
        <v>44866</v>
      </c>
      <c r="J685" s="6">
        <v>0</v>
      </c>
      <c r="K685" s="6">
        <v>0</v>
      </c>
      <c r="L685" s="6">
        <v>-2946.1880000000001</v>
      </c>
      <c r="M685" s="6">
        <v>-2946.1880000000001</v>
      </c>
      <c r="N685" s="6">
        <v>-2946.1880000000001</v>
      </c>
      <c r="O685" s="6">
        <v>-2946.1880000000001</v>
      </c>
      <c r="P685" s="6">
        <v>-2442</v>
      </c>
      <c r="Q685" s="4" t="s">
        <v>26</v>
      </c>
      <c r="R685" s="4">
        <v>0</v>
      </c>
      <c r="S685" s="6">
        <v>0</v>
      </c>
      <c r="T685" s="6">
        <v>25</v>
      </c>
      <c r="U685" s="6">
        <v>80</v>
      </c>
      <c r="V685" s="6">
        <f>IF(ISERROR(VLOOKUP($S$685,'TAR FIN'!$A$1:$O$108,15,0)),0,VLOOKUP($S$685,'TAR FIN'!$A$1:$O$108,15,0))</f>
        <v>0</v>
      </c>
      <c r="W685" s="6">
        <f>IF(ISERROR(VLOOKUP($T$685,'TAR FIN'!$A$1:$O$108,15,0)),0,VLOOKUP($T$685,'TAR FIN'!$A$1:$O$108,15,0))</f>
        <v>432.02</v>
      </c>
      <c r="X685" s="6">
        <f>IF(ISERROR(VLOOKUP($U$685,'TAR FIN'!$A$1:$O$108,15,0)),0,VLOOKUP($U$685,'TAR FIN'!$A$1:$O$108,15,0))</f>
        <v>107.79</v>
      </c>
      <c r="Y685" s="6"/>
      <c r="Z685" s="6">
        <f ca="1">('TUSD BE'!$AM$36+'TUSD BF'!$AM$36+'TUSD CVA'!$AM$36)*1</f>
        <v>497.19204594021971</v>
      </c>
      <c r="AA685" s="6">
        <f>('TE BE'!$AB$16+'TE BF'!$AB$16+'TE CVA'!$AB$16)*1</f>
        <v>224.47961306175614</v>
      </c>
      <c r="AB685" s="6">
        <f>$K$685*$V$685</f>
        <v>0</v>
      </c>
      <c r="AC685" s="6">
        <f>$M$685*$W$685</f>
        <v>-1272812.1397599999</v>
      </c>
      <c r="AD685" s="6">
        <f>$O$685*$X$685</f>
        <v>-317569.60452000005</v>
      </c>
      <c r="AE685" s="6">
        <f>$K$685*$Y$685</f>
        <v>0</v>
      </c>
      <c r="AF685" s="6">
        <f ca="1">$M$685*$Z$685</f>
        <v>-1464821.239444524</v>
      </c>
      <c r="AG685" s="6">
        <f>$O$685*$AA$685</f>
        <v>-661359.14224718919</v>
      </c>
    </row>
    <row r="686" spans="1:33" ht="11.25" customHeight="1" x14ac:dyDescent="0.25">
      <c r="A686" s="4" t="s">
        <v>54</v>
      </c>
      <c r="B686" s="4" t="s">
        <v>22</v>
      </c>
      <c r="C686" s="4" t="s">
        <v>23</v>
      </c>
      <c r="D686" s="4" t="s">
        <v>24</v>
      </c>
      <c r="E686" s="4" t="s">
        <v>24</v>
      </c>
      <c r="F686" s="4" t="s">
        <v>25</v>
      </c>
      <c r="G686" s="4" t="s">
        <v>25</v>
      </c>
      <c r="H686" s="4" t="s">
        <v>25</v>
      </c>
      <c r="I686" s="5">
        <v>44866</v>
      </c>
      <c r="J686" s="6">
        <v>0</v>
      </c>
      <c r="K686" s="6">
        <v>0</v>
      </c>
      <c r="L686" s="6">
        <v>348.84100000000001</v>
      </c>
      <c r="M686" s="6">
        <v>348.84100000000001</v>
      </c>
      <c r="N686" s="6">
        <v>348.84100000000001</v>
      </c>
      <c r="O686" s="6">
        <v>348.84100000000001</v>
      </c>
      <c r="P686" s="6">
        <v>1435</v>
      </c>
      <c r="Q686" s="4" t="s">
        <v>26</v>
      </c>
      <c r="R686" s="4">
        <v>0</v>
      </c>
      <c r="S686" s="6">
        <v>0</v>
      </c>
      <c r="T686" s="6">
        <v>25</v>
      </c>
      <c r="U686" s="6">
        <v>80</v>
      </c>
      <c r="V686" s="6">
        <f>IF(ISERROR(VLOOKUP($S$686,'TAR FIN'!$A$1:$O$108,15,0)),0,VLOOKUP($S$686,'TAR FIN'!$A$1:$O$108,15,0))</f>
        <v>0</v>
      </c>
      <c r="W686" s="6">
        <f>IF(ISERROR(VLOOKUP($T$686,'TAR FIN'!$A$1:$O$108,15,0)),0,VLOOKUP($T$686,'TAR FIN'!$A$1:$O$108,15,0))</f>
        <v>432.02</v>
      </c>
      <c r="X686" s="6">
        <f>IF(ISERROR(VLOOKUP($U$686,'TAR FIN'!$A$1:$O$108,15,0)),0,VLOOKUP($U$686,'TAR FIN'!$A$1:$O$108,15,0))</f>
        <v>107.79</v>
      </c>
      <c r="Y686" s="6"/>
      <c r="Z686" s="6">
        <f ca="1">('TUSD BE'!$AM$36+'TUSD BF'!$AM$36+'TUSD CVA'!$AM$36)*1</f>
        <v>497.19204594021971</v>
      </c>
      <c r="AA686" s="6">
        <f>('TE BE'!$AB$16+'TE BF'!$AB$16+'TE CVA'!$AB$16)*1</f>
        <v>224.47961306175614</v>
      </c>
      <c r="AB686" s="6">
        <f>$K$686*$V$686</f>
        <v>0</v>
      </c>
      <c r="AC686" s="6">
        <f>$M$686*$W$686</f>
        <v>150706.28881999999</v>
      </c>
      <c r="AD686" s="6">
        <f>$O$686*$X$686</f>
        <v>37601.571390000005</v>
      </c>
      <c r="AE686" s="6">
        <f>$K$686*$Y$686</f>
        <v>0</v>
      </c>
      <c r="AF686" s="6">
        <f ca="1">$M$686*$Z$686</f>
        <v>173440.9704978322</v>
      </c>
      <c r="AG686" s="6">
        <f>$O$686*$AA$686</f>
        <v>78307.692700076077</v>
      </c>
    </row>
    <row r="687" spans="1:33" ht="11.25" customHeight="1" x14ac:dyDescent="0.25">
      <c r="A687" s="4" t="s">
        <v>54</v>
      </c>
      <c r="B687" s="4" t="s">
        <v>22</v>
      </c>
      <c r="C687" s="4" t="s">
        <v>23</v>
      </c>
      <c r="D687" s="4" t="s">
        <v>24</v>
      </c>
      <c r="E687" s="4" t="s">
        <v>24</v>
      </c>
      <c r="F687" s="4" t="s">
        <v>25</v>
      </c>
      <c r="G687" s="4" t="s">
        <v>25</v>
      </c>
      <c r="H687" s="4" t="s">
        <v>25</v>
      </c>
      <c r="I687" s="5">
        <v>44866</v>
      </c>
      <c r="J687" s="6">
        <v>0</v>
      </c>
      <c r="K687" s="6">
        <v>0</v>
      </c>
      <c r="L687" s="6">
        <v>-0.57499999999999996</v>
      </c>
      <c r="M687" s="6">
        <v>-0.57499999999999996</v>
      </c>
      <c r="N687" s="6">
        <v>-0.57499999999999996</v>
      </c>
      <c r="O687" s="6">
        <v>-0.57499999999999996</v>
      </c>
      <c r="P687" s="6">
        <v>0</v>
      </c>
      <c r="Q687" s="4" t="s">
        <v>26</v>
      </c>
      <c r="R687" s="4">
        <v>0</v>
      </c>
      <c r="S687" s="6">
        <v>0</v>
      </c>
      <c r="T687" s="6">
        <v>25</v>
      </c>
      <c r="U687" s="6">
        <v>80</v>
      </c>
      <c r="V687" s="6">
        <f>IF(ISERROR(VLOOKUP($S$687,'TAR FIN'!$A$1:$O$108,15,0)),0,VLOOKUP($S$687,'TAR FIN'!$A$1:$O$108,15,0))</f>
        <v>0</v>
      </c>
      <c r="W687" s="6">
        <f>IF(ISERROR(VLOOKUP($T$687,'TAR FIN'!$A$1:$O$108,15,0)),0,VLOOKUP($T$687,'TAR FIN'!$A$1:$O$108,15,0))</f>
        <v>432.02</v>
      </c>
      <c r="X687" s="6">
        <f>IF(ISERROR(VLOOKUP($U$687,'TAR FIN'!$A$1:$O$108,15,0)),0,VLOOKUP($U$687,'TAR FIN'!$A$1:$O$108,15,0))</f>
        <v>107.79</v>
      </c>
      <c r="Y687" s="6"/>
      <c r="Z687" s="6">
        <f ca="1">('TUSD BE'!$AM$36+'TUSD BF'!$AM$36+'TUSD CVA'!$AM$36)*1</f>
        <v>497.19204594021971</v>
      </c>
      <c r="AA687" s="6">
        <f>('TE BE'!$AB$16+'TE BF'!$AB$16+'TE CVA'!$AB$16)*1</f>
        <v>224.47961306175614</v>
      </c>
      <c r="AB687" s="6">
        <f>$K$687*$V$687</f>
        <v>0</v>
      </c>
      <c r="AC687" s="6">
        <f>$M$687*$W$687</f>
        <v>-248.41149999999996</v>
      </c>
      <c r="AD687" s="6">
        <f>$O$687*$X$687</f>
        <v>-61.97925</v>
      </c>
      <c r="AE687" s="6">
        <f>$K$687*$Y$687</f>
        <v>0</v>
      </c>
      <c r="AF687" s="6">
        <f ca="1">$M$687*$Z$687</f>
        <v>-285.88542641562634</v>
      </c>
      <c r="AG687" s="6">
        <f>$O$687*$AA$687</f>
        <v>-129.07577751050977</v>
      </c>
    </row>
    <row r="688" spans="1:3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883.92</v>
      </c>
      <c r="M688" s="6">
        <v>883.92</v>
      </c>
      <c r="N688" s="6">
        <v>883.92</v>
      </c>
      <c r="O688" s="6">
        <v>883.92</v>
      </c>
      <c r="P688" s="6">
        <v>7608</v>
      </c>
      <c r="Q688" s="4" t="s">
        <v>26</v>
      </c>
      <c r="R688" s="4">
        <v>0</v>
      </c>
      <c r="S688" s="6">
        <v>0</v>
      </c>
      <c r="T688" s="6">
        <v>28</v>
      </c>
      <c r="U688" s="6">
        <v>81</v>
      </c>
      <c r="V688" s="6">
        <f>IF(ISERROR(VLOOKUP($S$688,'TAR FIN'!$A$1:$O$108,15,0)),0,VLOOKUP($S$688,'TAR FIN'!$A$1:$O$108,15,0))</f>
        <v>0</v>
      </c>
      <c r="W688" s="6">
        <f>IF(ISERROR(VLOOKUP($T$688,'TAR FIN'!$A$1:$O$108,15,0)),0,VLOOKUP($T$688,'TAR FIN'!$A$1:$O$108,15,0))</f>
        <v>132.01</v>
      </c>
      <c r="X688" s="6">
        <f>IF(ISERROR(VLOOKUP($U$688,'TAR FIN'!$A$1:$O$108,15,0)),0,VLOOKUP($U$688,'TAR FIN'!$A$1:$O$108,15,0))</f>
        <v>37.729999999999997</v>
      </c>
      <c r="Y688" s="6"/>
      <c r="Z688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88" s="6">
        <f>('TE BE'!$AB$17+'TE BF'!$AB$17+'TE CVA'!$AB$17)*(1-CUSTOS!$M$34)</f>
        <v>78.567864571614649</v>
      </c>
      <c r="AB688" s="6">
        <f>$K$688*$V$688</f>
        <v>0</v>
      </c>
      <c r="AC688" s="6">
        <f>$M$688*$W$688</f>
        <v>116686.27919999999</v>
      </c>
      <c r="AD688" s="6">
        <f>$O$688*$X$688</f>
        <v>33350.301599999999</v>
      </c>
      <c r="AE688" s="6">
        <f>$K$688*$Y$688</f>
        <v>0</v>
      </c>
      <c r="AF688" s="6">
        <f ca="1">$M$688*$Z$688</f>
        <v>122952.20651520019</v>
      </c>
      <c r="AG688" s="6">
        <f>$O$688*$AA$688</f>
        <v>69447.706852141622</v>
      </c>
    </row>
    <row r="689" spans="1:33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44531</v>
      </c>
      <c r="J689" s="6">
        <v>0</v>
      </c>
      <c r="K689" s="6">
        <v>0</v>
      </c>
      <c r="L689" s="6">
        <v>-1.26</v>
      </c>
      <c r="M689" s="6">
        <v>-1.26</v>
      </c>
      <c r="N689" s="6">
        <v>-1.26</v>
      </c>
      <c r="O689" s="6">
        <v>-1.26</v>
      </c>
      <c r="P689" s="6">
        <v>10</v>
      </c>
      <c r="Q689" s="4" t="s">
        <v>26</v>
      </c>
      <c r="R689" s="4">
        <v>0</v>
      </c>
      <c r="S689" s="6">
        <v>0</v>
      </c>
      <c r="T689" s="6">
        <v>28</v>
      </c>
      <c r="U689" s="6">
        <v>81</v>
      </c>
      <c r="V689" s="6">
        <f>IF(ISERROR(VLOOKUP($S$689,'TAR FIN'!$A$1:$O$108,15,0)),0,VLOOKUP($S$689,'TAR FIN'!$A$1:$O$108,15,0))</f>
        <v>0</v>
      </c>
      <c r="W689" s="6">
        <f>IF(ISERROR(VLOOKUP($T$689,'TAR FIN'!$A$1:$O$108,15,0)),0,VLOOKUP($T$689,'TAR FIN'!$A$1:$O$108,15,0))</f>
        <v>132.01</v>
      </c>
      <c r="X689" s="6">
        <f>IF(ISERROR(VLOOKUP($U$689,'TAR FIN'!$A$1:$O$108,15,0)),0,VLOOKUP($U$689,'TAR FIN'!$A$1:$O$108,15,0))</f>
        <v>37.729999999999997</v>
      </c>
      <c r="Y689" s="6"/>
      <c r="Z689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89" s="6">
        <f>('TE BE'!$AB$17+'TE BF'!$AB$17+'TE CVA'!$AB$17)*(1-CUSTOS!$M$34)</f>
        <v>78.567864571614649</v>
      </c>
      <c r="AB689" s="6">
        <f>$K$689*$V$689</f>
        <v>0</v>
      </c>
      <c r="AC689" s="6">
        <f>$M$689*$W$689</f>
        <v>-166.33259999999999</v>
      </c>
      <c r="AD689" s="6">
        <f>$O$689*$X$689</f>
        <v>-47.5398</v>
      </c>
      <c r="AE689" s="6">
        <f>$K$689*$Y$689</f>
        <v>0</v>
      </c>
      <c r="AF689" s="6">
        <f ca="1">$M$689*$Z$689</f>
        <v>-175.2644811851211</v>
      </c>
      <c r="AG689" s="6">
        <f>$O$689*$AA$689</f>
        <v>-98.995509360234465</v>
      </c>
    </row>
    <row r="690" spans="1:33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1005.244</v>
      </c>
      <c r="M690" s="6">
        <v>1005.244</v>
      </c>
      <c r="N690" s="6">
        <v>1005.244</v>
      </c>
      <c r="O690" s="6">
        <v>1005.244</v>
      </c>
      <c r="P690" s="6">
        <v>8298</v>
      </c>
      <c r="Q690" s="4" t="s">
        <v>26</v>
      </c>
      <c r="R690" s="4">
        <v>0</v>
      </c>
      <c r="S690" s="6">
        <v>0</v>
      </c>
      <c r="T690" s="6">
        <v>28</v>
      </c>
      <c r="U690" s="6">
        <v>81</v>
      </c>
      <c r="V690" s="6">
        <f>IF(ISERROR(VLOOKUP($S$690,'TAR FIN'!$A$1:$O$108,15,0)),0,VLOOKUP($S$690,'TAR FIN'!$A$1:$O$108,15,0))</f>
        <v>0</v>
      </c>
      <c r="W690" s="6">
        <f>IF(ISERROR(VLOOKUP($T$690,'TAR FIN'!$A$1:$O$108,15,0)),0,VLOOKUP($T$690,'TAR FIN'!$A$1:$O$108,15,0))</f>
        <v>132.01</v>
      </c>
      <c r="X690" s="6">
        <f>IF(ISERROR(VLOOKUP($U$690,'TAR FIN'!$A$1:$O$108,15,0)),0,VLOOKUP($U$690,'TAR FIN'!$A$1:$O$108,15,0))</f>
        <v>37.729999999999997</v>
      </c>
      <c r="Y690" s="6"/>
      <c r="Z690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0" s="6">
        <f>('TE BE'!$AB$17+'TE BF'!$AB$17+'TE CVA'!$AB$17)*(1-CUSTOS!$M$34)</f>
        <v>78.567864571614649</v>
      </c>
      <c r="AB690" s="6">
        <f>$K$690*$V$690</f>
        <v>0</v>
      </c>
      <c r="AC690" s="6">
        <f>$M$690*$W$690</f>
        <v>132702.26043999998</v>
      </c>
      <c r="AD690" s="6">
        <f>$O$690*$X$690</f>
        <v>37927.856119999997</v>
      </c>
      <c r="AE690" s="6">
        <f>$K$690*$Y$690</f>
        <v>0</v>
      </c>
      <c r="AF690" s="6">
        <f ca="1">$M$690*$Z$690</f>
        <v>139828.2286702031</v>
      </c>
      <c r="AG690" s="6">
        <f>$O$690*$AA$690</f>
        <v>78979.874453428201</v>
      </c>
    </row>
    <row r="691" spans="1:33" ht="11.25" customHeight="1" x14ac:dyDescent="0.25">
      <c r="A691" s="4" t="s">
        <v>27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44562</v>
      </c>
      <c r="J691" s="6">
        <v>0</v>
      </c>
      <c r="K691" s="6">
        <v>0</v>
      </c>
      <c r="L691" s="6">
        <v>-2.88</v>
      </c>
      <c r="M691" s="6">
        <v>-2.88</v>
      </c>
      <c r="N691" s="6">
        <v>-2.88</v>
      </c>
      <c r="O691" s="6">
        <v>-2.88</v>
      </c>
      <c r="P691" s="6">
        <v>41</v>
      </c>
      <c r="Q691" s="4" t="s">
        <v>26</v>
      </c>
      <c r="R691" s="4">
        <v>0</v>
      </c>
      <c r="S691" s="6">
        <v>0</v>
      </c>
      <c r="T691" s="6">
        <v>28</v>
      </c>
      <c r="U691" s="6">
        <v>81</v>
      </c>
      <c r="V691" s="6">
        <f>IF(ISERROR(VLOOKUP($S$691,'TAR FIN'!$A$1:$O$108,15,0)),0,VLOOKUP($S$691,'TAR FIN'!$A$1:$O$108,15,0))</f>
        <v>0</v>
      </c>
      <c r="W691" s="6">
        <f>IF(ISERROR(VLOOKUP($T$691,'TAR FIN'!$A$1:$O$108,15,0)),0,VLOOKUP($T$691,'TAR FIN'!$A$1:$O$108,15,0))</f>
        <v>132.01</v>
      </c>
      <c r="X691" s="6">
        <f>IF(ISERROR(VLOOKUP($U$691,'TAR FIN'!$A$1:$O$108,15,0)),0,VLOOKUP($U$691,'TAR FIN'!$A$1:$O$108,15,0))</f>
        <v>37.729999999999997</v>
      </c>
      <c r="Y691" s="6"/>
      <c r="Z69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1" s="6">
        <f>('TE BE'!$AB$17+'TE BF'!$AB$17+'TE CVA'!$AB$17)*(1-CUSTOS!$M$34)</f>
        <v>78.567864571614649</v>
      </c>
      <c r="AB691" s="6">
        <f>$K$691*$V$691</f>
        <v>0</v>
      </c>
      <c r="AC691" s="6">
        <f>$M$691*$W$691</f>
        <v>-380.18879999999996</v>
      </c>
      <c r="AD691" s="6">
        <f>$O$691*$X$691</f>
        <v>-108.66239999999999</v>
      </c>
      <c r="AE691" s="6">
        <f>$K$691*$Y$691</f>
        <v>0</v>
      </c>
      <c r="AF691" s="6">
        <f ca="1">$M$691*$Z$691</f>
        <v>-400.60452842313396</v>
      </c>
      <c r="AG691" s="6">
        <f>$O$691*$AA$691</f>
        <v>-226.27544996625019</v>
      </c>
    </row>
    <row r="692" spans="1:3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986.51300000000003</v>
      </c>
      <c r="M692" s="6">
        <v>986.51300000000003</v>
      </c>
      <c r="N692" s="6">
        <v>986.51300000000003</v>
      </c>
      <c r="O692" s="6">
        <v>986.51300000000003</v>
      </c>
      <c r="P692" s="6">
        <v>7055</v>
      </c>
      <c r="Q692" s="4" t="s">
        <v>26</v>
      </c>
      <c r="R692" s="4">
        <v>0</v>
      </c>
      <c r="S692" s="6">
        <v>0</v>
      </c>
      <c r="T692" s="6">
        <v>28</v>
      </c>
      <c r="U692" s="6">
        <v>81</v>
      </c>
      <c r="V692" s="6">
        <f>IF(ISERROR(VLOOKUP($S$692,'TAR FIN'!$A$1:$O$108,15,0)),0,VLOOKUP($S$692,'TAR FIN'!$A$1:$O$108,15,0))</f>
        <v>0</v>
      </c>
      <c r="W692" s="6">
        <f>IF(ISERROR(VLOOKUP($T$692,'TAR FIN'!$A$1:$O$108,15,0)),0,VLOOKUP($T$692,'TAR FIN'!$A$1:$O$108,15,0))</f>
        <v>132.01</v>
      </c>
      <c r="X692" s="6">
        <f>IF(ISERROR(VLOOKUP($U$692,'TAR FIN'!$A$1:$O$108,15,0)),0,VLOOKUP($U$692,'TAR FIN'!$A$1:$O$108,15,0))</f>
        <v>37.729999999999997</v>
      </c>
      <c r="Y692" s="6"/>
      <c r="Z692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2" s="6">
        <f>('TE BE'!$AB$17+'TE BF'!$AB$17+'TE CVA'!$AB$17)*(1-CUSTOS!$M$34)</f>
        <v>78.567864571614649</v>
      </c>
      <c r="AB692" s="6">
        <f>$K$692*$V$692</f>
        <v>0</v>
      </c>
      <c r="AC692" s="6">
        <f>$M$692*$W$692</f>
        <v>130229.58112999999</v>
      </c>
      <c r="AD692" s="6">
        <f>$O$692*$X$692</f>
        <v>37221.135490000001</v>
      </c>
      <c r="AE692" s="6">
        <f>$K$692*$Y$692</f>
        <v>0</v>
      </c>
      <c r="AF692" s="6">
        <f ca="1">$M$692*$Z$692</f>
        <v>137222.76914871222</v>
      </c>
      <c r="AG692" s="6">
        <f>$O$692*$AA$692</f>
        <v>77508.219782137283</v>
      </c>
    </row>
    <row r="693" spans="1:33" ht="11.25" customHeight="1" x14ac:dyDescent="0.25">
      <c r="A693" s="4" t="s">
        <v>27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-5.37</v>
      </c>
      <c r="M693" s="6">
        <v>-5.37</v>
      </c>
      <c r="N693" s="6">
        <v>-5.37</v>
      </c>
      <c r="O693" s="6">
        <v>-5.37</v>
      </c>
      <c r="P693" s="6">
        <v>-95</v>
      </c>
      <c r="Q693" s="4" t="s">
        <v>26</v>
      </c>
      <c r="R693" s="4">
        <v>0</v>
      </c>
      <c r="S693" s="6">
        <v>0</v>
      </c>
      <c r="T693" s="6">
        <v>28</v>
      </c>
      <c r="U693" s="6">
        <v>81</v>
      </c>
      <c r="V693" s="6">
        <f>IF(ISERROR(VLOOKUP($S$693,'TAR FIN'!$A$1:$O$108,15,0)),0,VLOOKUP($S$693,'TAR FIN'!$A$1:$O$108,15,0))</f>
        <v>0</v>
      </c>
      <c r="W693" s="6">
        <f>IF(ISERROR(VLOOKUP($T$693,'TAR FIN'!$A$1:$O$108,15,0)),0,VLOOKUP($T$693,'TAR FIN'!$A$1:$O$108,15,0))</f>
        <v>132.01</v>
      </c>
      <c r="X693" s="6">
        <f>IF(ISERROR(VLOOKUP($U$693,'TAR FIN'!$A$1:$O$108,15,0)),0,VLOOKUP($U$693,'TAR FIN'!$A$1:$O$108,15,0))</f>
        <v>37.729999999999997</v>
      </c>
      <c r="Y693" s="6"/>
      <c r="Z693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3" s="6">
        <f>('TE BE'!$AB$17+'TE BF'!$AB$17+'TE CVA'!$AB$17)*(1-CUSTOS!$M$34)</f>
        <v>78.567864571614649</v>
      </c>
      <c r="AB693" s="6">
        <f>$K$693*$V$693</f>
        <v>0</v>
      </c>
      <c r="AC693" s="6">
        <f>$M$693*$W$693</f>
        <v>-708.89369999999997</v>
      </c>
      <c r="AD693" s="6">
        <f>$O$693*$X$693</f>
        <v>-202.61009999999999</v>
      </c>
      <c r="AE693" s="6">
        <f>$K$693*$Y$693</f>
        <v>0</v>
      </c>
      <c r="AF693" s="6">
        <f ca="1">$M$693*$Z$693</f>
        <v>-746.96052695563526</v>
      </c>
      <c r="AG693" s="6">
        <f>$O$693*$AA$693</f>
        <v>-421.90943274957067</v>
      </c>
    </row>
    <row r="694" spans="1:33" ht="11.25" customHeight="1" x14ac:dyDescent="0.25">
      <c r="A694" s="4" t="s">
        <v>21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977.62699999999995</v>
      </c>
      <c r="M694" s="6">
        <v>977.62699999999995</v>
      </c>
      <c r="N694" s="6">
        <v>977.62699999999995</v>
      </c>
      <c r="O694" s="6">
        <v>977.62699999999995</v>
      </c>
      <c r="P694" s="6">
        <v>6688</v>
      </c>
      <c r="Q694" s="4" t="s">
        <v>26</v>
      </c>
      <c r="R694" s="4">
        <v>0</v>
      </c>
      <c r="S694" s="6">
        <v>0</v>
      </c>
      <c r="T694" s="6">
        <v>28</v>
      </c>
      <c r="U694" s="6">
        <v>81</v>
      </c>
      <c r="V694" s="6">
        <f>IF(ISERROR(VLOOKUP($S$694,'TAR FIN'!$A$1:$O$108,15,0)),0,VLOOKUP($S$694,'TAR FIN'!$A$1:$O$108,15,0))</f>
        <v>0</v>
      </c>
      <c r="W694" s="6">
        <f>IF(ISERROR(VLOOKUP($T$694,'TAR FIN'!$A$1:$O$108,15,0)),0,VLOOKUP($T$694,'TAR FIN'!$A$1:$O$108,15,0))</f>
        <v>132.01</v>
      </c>
      <c r="X694" s="6">
        <f>IF(ISERROR(VLOOKUP($U$694,'TAR FIN'!$A$1:$O$108,15,0)),0,VLOOKUP($U$694,'TAR FIN'!$A$1:$O$108,15,0))</f>
        <v>37.729999999999997</v>
      </c>
      <c r="Y694" s="6"/>
      <c r="Z694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4" s="6">
        <f>('TE BE'!$AB$17+'TE BF'!$AB$17+'TE CVA'!$AB$17)*(1-CUSTOS!$M$34)</f>
        <v>78.567864571614649</v>
      </c>
      <c r="AB694" s="6">
        <f>$K$694*$V$694</f>
        <v>0</v>
      </c>
      <c r="AC694" s="6">
        <f>$M$694*$W$694</f>
        <v>129056.54026999998</v>
      </c>
      <c r="AD694" s="6">
        <f>$O$694*$X$694</f>
        <v>36885.866709999995</v>
      </c>
      <c r="AE694" s="6">
        <f>$K$694*$Y$694</f>
        <v>0</v>
      </c>
      <c r="AF694" s="6">
        <f ca="1">$M$694*$Z$694</f>
        <v>135986.73725997334</v>
      </c>
      <c r="AG694" s="6">
        <f>$O$694*$AA$694</f>
        <v>76810.065737553916</v>
      </c>
    </row>
    <row r="695" spans="1:33" ht="11.25" customHeight="1" x14ac:dyDescent="0.25">
      <c r="A695" s="4" t="s">
        <v>27</v>
      </c>
      <c r="B695" s="4" t="s">
        <v>22</v>
      </c>
      <c r="C695" s="4" t="s">
        <v>23</v>
      </c>
      <c r="D695" s="4" t="s">
        <v>24</v>
      </c>
      <c r="E695" s="4" t="s">
        <v>29</v>
      </c>
      <c r="F695" s="4" t="s">
        <v>25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-7.5</v>
      </c>
      <c r="M695" s="6">
        <v>-7.5</v>
      </c>
      <c r="N695" s="6">
        <v>-7.5</v>
      </c>
      <c r="O695" s="6">
        <v>-7.5</v>
      </c>
      <c r="P695" s="6">
        <v>-11</v>
      </c>
      <c r="Q695" s="4" t="s">
        <v>26</v>
      </c>
      <c r="R695" s="4">
        <v>0</v>
      </c>
      <c r="S695" s="6">
        <v>0</v>
      </c>
      <c r="T695" s="6">
        <v>28</v>
      </c>
      <c r="U695" s="6">
        <v>81</v>
      </c>
      <c r="V695" s="6">
        <f>IF(ISERROR(VLOOKUP($S$695,'TAR FIN'!$A$1:$O$108,15,0)),0,VLOOKUP($S$695,'TAR FIN'!$A$1:$O$108,15,0))</f>
        <v>0</v>
      </c>
      <c r="W695" s="6">
        <f>IF(ISERROR(VLOOKUP($T$695,'TAR FIN'!$A$1:$O$108,15,0)),0,VLOOKUP($T$695,'TAR FIN'!$A$1:$O$108,15,0))</f>
        <v>132.01</v>
      </c>
      <c r="X695" s="6">
        <f>IF(ISERROR(VLOOKUP($U$695,'TAR FIN'!$A$1:$O$108,15,0)),0,VLOOKUP($U$695,'TAR FIN'!$A$1:$O$108,15,0))</f>
        <v>37.729999999999997</v>
      </c>
      <c r="Y695" s="6"/>
      <c r="Z695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5" s="6">
        <f>('TE BE'!$AB$17+'TE BF'!$AB$17+'TE CVA'!$AB$17)*(1-CUSTOS!$M$34)</f>
        <v>78.567864571614649</v>
      </c>
      <c r="AB695" s="6">
        <f>$K$695*$V$695</f>
        <v>0</v>
      </c>
      <c r="AC695" s="6">
        <f>$M$695*$W$695</f>
        <v>-990.07499999999993</v>
      </c>
      <c r="AD695" s="6">
        <f>$O$695*$X$695</f>
        <v>-282.97499999999997</v>
      </c>
      <c r="AE695" s="6">
        <f>$K$695*$Y$695</f>
        <v>0</v>
      </c>
      <c r="AF695" s="6">
        <f ca="1">$M$695*$Z$695</f>
        <v>-1043.2409594352448</v>
      </c>
      <c r="AG695" s="6">
        <f>$O$695*$AA$695</f>
        <v>-589.25898428710991</v>
      </c>
    </row>
    <row r="696" spans="1:33" ht="11.25" customHeight="1" x14ac:dyDescent="0.25">
      <c r="A696" s="4" t="s">
        <v>21</v>
      </c>
      <c r="B696" s="4" t="s">
        <v>22</v>
      </c>
      <c r="C696" s="4" t="s">
        <v>23</v>
      </c>
      <c r="D696" s="4" t="s">
        <v>24</v>
      </c>
      <c r="E696" s="4" t="s">
        <v>29</v>
      </c>
      <c r="F696" s="4" t="s">
        <v>25</v>
      </c>
      <c r="G696" s="4" t="s">
        <v>25</v>
      </c>
      <c r="H696" s="4" t="s">
        <v>25</v>
      </c>
      <c r="I696" s="5">
        <v>44652</v>
      </c>
      <c r="J696" s="6">
        <v>0</v>
      </c>
      <c r="K696" s="6">
        <v>0</v>
      </c>
      <c r="L696" s="6">
        <v>1040.925</v>
      </c>
      <c r="M696" s="6">
        <v>1040.925</v>
      </c>
      <c r="N696" s="6">
        <v>1040.925</v>
      </c>
      <c r="O696" s="6">
        <v>1040.925</v>
      </c>
      <c r="P696" s="6">
        <v>6942</v>
      </c>
      <c r="Q696" s="4" t="s">
        <v>26</v>
      </c>
      <c r="R696" s="4">
        <v>0</v>
      </c>
      <c r="S696" s="6">
        <v>0</v>
      </c>
      <c r="T696" s="6">
        <v>28</v>
      </c>
      <c r="U696" s="6">
        <v>81</v>
      </c>
      <c r="V696" s="6">
        <f>IF(ISERROR(VLOOKUP($S$696,'TAR FIN'!$A$1:$O$108,15,0)),0,VLOOKUP($S$696,'TAR FIN'!$A$1:$O$108,15,0))</f>
        <v>0</v>
      </c>
      <c r="W696" s="6">
        <f>IF(ISERROR(VLOOKUP($T$696,'TAR FIN'!$A$1:$O$108,15,0)),0,VLOOKUP($T$696,'TAR FIN'!$A$1:$O$108,15,0))</f>
        <v>132.01</v>
      </c>
      <c r="X696" s="6">
        <f>IF(ISERROR(VLOOKUP($U$696,'TAR FIN'!$A$1:$O$108,15,0)),0,VLOOKUP($U$696,'TAR FIN'!$A$1:$O$108,15,0))</f>
        <v>37.729999999999997</v>
      </c>
      <c r="Y696" s="6"/>
      <c r="Z696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6" s="6">
        <f>('TE BE'!$AB$17+'TE BF'!$AB$17+'TE CVA'!$AB$17)*(1-CUSTOS!$M$34)</f>
        <v>78.567864571614649</v>
      </c>
      <c r="AB696" s="6">
        <f>$K$696*$V$696</f>
        <v>0</v>
      </c>
      <c r="AC696" s="6">
        <f>$M$696*$W$696</f>
        <v>137412.50924999997</v>
      </c>
      <c r="AD696" s="6">
        <f>$O$696*$X$696</f>
        <v>39274.100249999996</v>
      </c>
      <c r="AE696" s="6">
        <f>$K$696*$Y$696</f>
        <v>0</v>
      </c>
      <c r="AF696" s="6">
        <f ca="1">$M$696*$Z$696</f>
        <v>144791.41276001761</v>
      </c>
      <c r="AG696" s="6">
        <f>$O$696*$AA$696</f>
        <v>81783.254429207969</v>
      </c>
    </row>
    <row r="697" spans="1:33" ht="11.25" customHeight="1" x14ac:dyDescent="0.25">
      <c r="A697" s="4" t="s">
        <v>27</v>
      </c>
      <c r="B697" s="4" t="s">
        <v>22</v>
      </c>
      <c r="C697" s="4" t="s">
        <v>23</v>
      </c>
      <c r="D697" s="4" t="s">
        <v>24</v>
      </c>
      <c r="E697" s="4" t="s">
        <v>29</v>
      </c>
      <c r="F697" s="4" t="s">
        <v>25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-12.09</v>
      </c>
      <c r="M697" s="6">
        <v>-12.09</v>
      </c>
      <c r="N697" s="6">
        <v>-12.09</v>
      </c>
      <c r="O697" s="6">
        <v>-12.09</v>
      </c>
      <c r="P697" s="6">
        <v>-197</v>
      </c>
      <c r="Q697" s="4" t="s">
        <v>26</v>
      </c>
      <c r="R697" s="4">
        <v>0</v>
      </c>
      <c r="S697" s="6">
        <v>0</v>
      </c>
      <c r="T697" s="6">
        <v>28</v>
      </c>
      <c r="U697" s="6">
        <v>81</v>
      </c>
      <c r="V697" s="6">
        <f>IF(ISERROR(VLOOKUP($S$697,'TAR FIN'!$A$1:$O$108,15,0)),0,VLOOKUP($S$697,'TAR FIN'!$A$1:$O$108,15,0))</f>
        <v>0</v>
      </c>
      <c r="W697" s="6">
        <f>IF(ISERROR(VLOOKUP($T$697,'TAR FIN'!$A$1:$O$108,15,0)),0,VLOOKUP($T$697,'TAR FIN'!$A$1:$O$108,15,0))</f>
        <v>132.01</v>
      </c>
      <c r="X697" s="6">
        <f>IF(ISERROR(VLOOKUP($U$697,'TAR FIN'!$A$1:$O$108,15,0)),0,VLOOKUP($U$697,'TAR FIN'!$A$1:$O$108,15,0))</f>
        <v>37.729999999999997</v>
      </c>
      <c r="Y697" s="6"/>
      <c r="Z697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7" s="6">
        <f>('TE BE'!$AB$17+'TE BF'!$AB$17+'TE CVA'!$AB$17)*(1-CUSTOS!$M$34)</f>
        <v>78.567864571614649</v>
      </c>
      <c r="AB697" s="6">
        <f>$K$697*$V$697</f>
        <v>0</v>
      </c>
      <c r="AC697" s="6">
        <f>$M$697*$W$697</f>
        <v>-1596.0008999999998</v>
      </c>
      <c r="AD697" s="6">
        <f>$O$697*$X$697</f>
        <v>-456.15569999999997</v>
      </c>
      <c r="AE697" s="6">
        <f>$K$697*$Y$697</f>
        <v>0</v>
      </c>
      <c r="AF697" s="6">
        <f ca="1">$M$697*$Z$697</f>
        <v>-1681.7044266096145</v>
      </c>
      <c r="AG697" s="6">
        <f>$O$697*$AA$697</f>
        <v>-949.88548267082115</v>
      </c>
    </row>
    <row r="698" spans="1:33" ht="11.25" customHeight="1" x14ac:dyDescent="0.25">
      <c r="A698" s="4" t="s">
        <v>21</v>
      </c>
      <c r="B698" s="4" t="s">
        <v>22</v>
      </c>
      <c r="C698" s="4" t="s">
        <v>23</v>
      </c>
      <c r="D698" s="4" t="s">
        <v>24</v>
      </c>
      <c r="E698" s="4" t="s">
        <v>29</v>
      </c>
      <c r="F698" s="4" t="s">
        <v>25</v>
      </c>
      <c r="G698" s="4" t="s">
        <v>25</v>
      </c>
      <c r="H698" s="4" t="s">
        <v>25</v>
      </c>
      <c r="I698" s="5">
        <v>44682</v>
      </c>
      <c r="J698" s="6">
        <v>0</v>
      </c>
      <c r="K698" s="6">
        <v>0</v>
      </c>
      <c r="L698" s="6">
        <v>1032.271</v>
      </c>
      <c r="M698" s="6">
        <v>1032.271</v>
      </c>
      <c r="N698" s="6">
        <v>1032.271</v>
      </c>
      <c r="O698" s="6">
        <v>1032.271</v>
      </c>
      <c r="P698" s="6">
        <v>6826</v>
      </c>
      <c r="Q698" s="4" t="s">
        <v>26</v>
      </c>
      <c r="R698" s="4">
        <v>0</v>
      </c>
      <c r="S698" s="6">
        <v>0</v>
      </c>
      <c r="T698" s="6">
        <v>28</v>
      </c>
      <c r="U698" s="6">
        <v>81</v>
      </c>
      <c r="V698" s="6">
        <f>IF(ISERROR(VLOOKUP($S$698,'TAR FIN'!$A$1:$O$108,15,0)),0,VLOOKUP($S$698,'TAR FIN'!$A$1:$O$108,15,0))</f>
        <v>0</v>
      </c>
      <c r="W698" s="6">
        <f>IF(ISERROR(VLOOKUP($T$698,'TAR FIN'!$A$1:$O$108,15,0)),0,VLOOKUP($T$698,'TAR FIN'!$A$1:$O$108,15,0))</f>
        <v>132.01</v>
      </c>
      <c r="X698" s="6">
        <f>IF(ISERROR(VLOOKUP($U$698,'TAR FIN'!$A$1:$O$108,15,0)),0,VLOOKUP($U$698,'TAR FIN'!$A$1:$O$108,15,0))</f>
        <v>37.729999999999997</v>
      </c>
      <c r="Y698" s="6"/>
      <c r="Z698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8" s="6">
        <f>('TE BE'!$AB$17+'TE BF'!$AB$17+'TE CVA'!$AB$17)*(1-CUSTOS!$M$34)</f>
        <v>78.567864571614649</v>
      </c>
      <c r="AB698" s="6">
        <f>$K$698*$V$698</f>
        <v>0</v>
      </c>
      <c r="AC698" s="6">
        <f>$M$698*$W$698</f>
        <v>136270.09470999998</v>
      </c>
      <c r="AD698" s="6">
        <f>$O$698*$X$698</f>
        <v>38947.584829999993</v>
      </c>
      <c r="AE698" s="6">
        <f>$K$698*$Y$698</f>
        <v>0</v>
      </c>
      <c r="AF698" s="6">
        <f ca="1">$M$698*$Z$698</f>
        <v>143587.65179162391</v>
      </c>
      <c r="AG698" s="6">
        <f>$O$698*$AA$698</f>
        <v>81103.328129205227</v>
      </c>
    </row>
    <row r="699" spans="1:33" ht="11.25" customHeight="1" x14ac:dyDescent="0.25">
      <c r="A699" s="4" t="s">
        <v>27</v>
      </c>
      <c r="B699" s="4" t="s">
        <v>22</v>
      </c>
      <c r="C699" s="4" t="s">
        <v>23</v>
      </c>
      <c r="D699" s="4" t="s">
        <v>24</v>
      </c>
      <c r="E699" s="4" t="s">
        <v>29</v>
      </c>
      <c r="F699" s="4" t="s">
        <v>25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-2.34</v>
      </c>
      <c r="M699" s="6">
        <v>-2.34</v>
      </c>
      <c r="N699" s="6">
        <v>-2.34</v>
      </c>
      <c r="O699" s="6">
        <v>-2.34</v>
      </c>
      <c r="P699" s="6">
        <v>27</v>
      </c>
      <c r="Q699" s="4" t="s">
        <v>26</v>
      </c>
      <c r="R699" s="4">
        <v>0</v>
      </c>
      <c r="S699" s="6">
        <v>0</v>
      </c>
      <c r="T699" s="6">
        <v>28</v>
      </c>
      <c r="U699" s="6">
        <v>81</v>
      </c>
      <c r="V699" s="6">
        <f>IF(ISERROR(VLOOKUP($S$699,'TAR FIN'!$A$1:$O$108,15,0)),0,VLOOKUP($S$699,'TAR FIN'!$A$1:$O$108,15,0))</f>
        <v>0</v>
      </c>
      <c r="W699" s="6">
        <f>IF(ISERROR(VLOOKUP($T$699,'TAR FIN'!$A$1:$O$108,15,0)),0,VLOOKUP($T$699,'TAR FIN'!$A$1:$O$108,15,0))</f>
        <v>132.01</v>
      </c>
      <c r="X699" s="6">
        <f>IF(ISERROR(VLOOKUP($U$699,'TAR FIN'!$A$1:$O$108,15,0)),0,VLOOKUP($U$699,'TAR FIN'!$A$1:$O$108,15,0))</f>
        <v>37.729999999999997</v>
      </c>
      <c r="Y699" s="6"/>
      <c r="Z699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699" s="6">
        <f>('TE BE'!$AB$17+'TE BF'!$AB$17+'TE CVA'!$AB$17)*(1-CUSTOS!$M$34)</f>
        <v>78.567864571614649</v>
      </c>
      <c r="AB699" s="6">
        <f>$K$699*$V$699</f>
        <v>0</v>
      </c>
      <c r="AC699" s="6">
        <f>$M$699*$W$699</f>
        <v>-308.90339999999998</v>
      </c>
      <c r="AD699" s="6">
        <f>$O$699*$X$699</f>
        <v>-88.288199999999989</v>
      </c>
      <c r="AE699" s="6">
        <f>$K$699*$Y$699</f>
        <v>0</v>
      </c>
      <c r="AF699" s="6">
        <f ca="1">$M$699*$Z$699</f>
        <v>-325.49117934379632</v>
      </c>
      <c r="AG699" s="6">
        <f>$O$699*$AA$699</f>
        <v>-183.84880309757827</v>
      </c>
    </row>
    <row r="700" spans="1:33" ht="11.25" customHeight="1" x14ac:dyDescent="0.25">
      <c r="A700" s="4" t="s">
        <v>21</v>
      </c>
      <c r="B700" s="4" t="s">
        <v>22</v>
      </c>
      <c r="C700" s="4" t="s">
        <v>23</v>
      </c>
      <c r="D700" s="4" t="s">
        <v>24</v>
      </c>
      <c r="E700" s="4" t="s">
        <v>29</v>
      </c>
      <c r="F700" s="4" t="s">
        <v>25</v>
      </c>
      <c r="G700" s="4" t="s">
        <v>25</v>
      </c>
      <c r="H700" s="4" t="s">
        <v>25</v>
      </c>
      <c r="I700" s="5">
        <v>44713</v>
      </c>
      <c r="J700" s="6">
        <v>0</v>
      </c>
      <c r="K700" s="6">
        <v>0</v>
      </c>
      <c r="L700" s="6">
        <v>1067.4469999999999</v>
      </c>
      <c r="M700" s="6">
        <v>1067.4469999999999</v>
      </c>
      <c r="N700" s="6">
        <v>1067.4469999999999</v>
      </c>
      <c r="O700" s="6">
        <v>1067.4469999999999</v>
      </c>
      <c r="P700" s="6">
        <v>6811</v>
      </c>
      <c r="Q700" s="4" t="s">
        <v>26</v>
      </c>
      <c r="R700" s="4">
        <v>0</v>
      </c>
      <c r="S700" s="6">
        <v>0</v>
      </c>
      <c r="T700" s="6">
        <v>28</v>
      </c>
      <c r="U700" s="6">
        <v>81</v>
      </c>
      <c r="V700" s="6">
        <f>IF(ISERROR(VLOOKUP($S$700,'TAR FIN'!$A$1:$O$108,15,0)),0,VLOOKUP($S$700,'TAR FIN'!$A$1:$O$108,15,0))</f>
        <v>0</v>
      </c>
      <c r="W700" s="6">
        <f>IF(ISERROR(VLOOKUP($T$700,'TAR FIN'!$A$1:$O$108,15,0)),0,VLOOKUP($T$700,'TAR FIN'!$A$1:$O$108,15,0))</f>
        <v>132.01</v>
      </c>
      <c r="X700" s="6">
        <f>IF(ISERROR(VLOOKUP($U$700,'TAR FIN'!$A$1:$O$108,15,0)),0,VLOOKUP($U$700,'TAR FIN'!$A$1:$O$108,15,0))</f>
        <v>37.729999999999997</v>
      </c>
      <c r="Y700" s="6"/>
      <c r="Z700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0" s="6">
        <f>('TE BE'!$AB$17+'TE BF'!$AB$17+'TE CVA'!$AB$17)*(1-CUSTOS!$M$34)</f>
        <v>78.567864571614649</v>
      </c>
      <c r="AB700" s="6">
        <f>$K$700*$V$700</f>
        <v>0</v>
      </c>
      <c r="AC700" s="6">
        <f>$M$700*$W$700</f>
        <v>140913.67846999998</v>
      </c>
      <c r="AD700" s="6">
        <f>$O$700*$X$700</f>
        <v>40274.77530999999</v>
      </c>
      <c r="AE700" s="6">
        <f>$K$700*$Y$700</f>
        <v>0</v>
      </c>
      <c r="AF700" s="6">
        <f ca="1">$M$700*$Z$700</f>
        <v>148480.59099016979</v>
      </c>
      <c r="AG700" s="6">
        <f>$O$700*$AA$700</f>
        <v>83867.031333376333</v>
      </c>
    </row>
    <row r="701" spans="1:33" ht="11.25" customHeight="1" x14ac:dyDescent="0.25">
      <c r="A701" s="4" t="s">
        <v>27</v>
      </c>
      <c r="B701" s="4" t="s">
        <v>22</v>
      </c>
      <c r="C701" s="4" t="s">
        <v>23</v>
      </c>
      <c r="D701" s="4" t="s">
        <v>24</v>
      </c>
      <c r="E701" s="4" t="s">
        <v>29</v>
      </c>
      <c r="F701" s="4" t="s">
        <v>25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-1.98</v>
      </c>
      <c r="M701" s="6">
        <v>-1.98</v>
      </c>
      <c r="N701" s="6">
        <v>-1.98</v>
      </c>
      <c r="O701" s="6">
        <v>-1.98</v>
      </c>
      <c r="P701" s="6">
        <v>79</v>
      </c>
      <c r="Q701" s="4" t="s">
        <v>26</v>
      </c>
      <c r="R701" s="4">
        <v>0</v>
      </c>
      <c r="S701" s="6">
        <v>0</v>
      </c>
      <c r="T701" s="6">
        <v>28</v>
      </c>
      <c r="U701" s="6">
        <v>81</v>
      </c>
      <c r="V701" s="6">
        <f>IF(ISERROR(VLOOKUP($S$701,'TAR FIN'!$A$1:$O$108,15,0)),0,VLOOKUP($S$701,'TAR FIN'!$A$1:$O$108,15,0))</f>
        <v>0</v>
      </c>
      <c r="W701" s="6">
        <f>IF(ISERROR(VLOOKUP($T$701,'TAR FIN'!$A$1:$O$108,15,0)),0,VLOOKUP($T$701,'TAR FIN'!$A$1:$O$108,15,0))</f>
        <v>132.01</v>
      </c>
      <c r="X701" s="6">
        <f>IF(ISERROR(VLOOKUP($U$701,'TAR FIN'!$A$1:$O$108,15,0)),0,VLOOKUP($U$701,'TAR FIN'!$A$1:$O$108,15,0))</f>
        <v>37.729999999999997</v>
      </c>
      <c r="Y701" s="6"/>
      <c r="Z70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1" s="6">
        <f>('TE BE'!$AB$17+'TE BF'!$AB$17+'TE CVA'!$AB$17)*(1-CUSTOS!$M$34)</f>
        <v>78.567864571614649</v>
      </c>
      <c r="AB701" s="6">
        <f>$K$701*$V$701</f>
        <v>0</v>
      </c>
      <c r="AC701" s="6">
        <f>$M$701*$W$701</f>
        <v>-261.37979999999999</v>
      </c>
      <c r="AD701" s="6">
        <f>$O$701*$X$701</f>
        <v>-74.705399999999997</v>
      </c>
      <c r="AE701" s="6">
        <f>$K$701*$Y$701</f>
        <v>0</v>
      </c>
      <c r="AF701" s="6">
        <f ca="1">$M$701*$Z$701</f>
        <v>-275.41561329090462</v>
      </c>
      <c r="AG701" s="6">
        <f>$O$701*$AA$701</f>
        <v>-155.56437185179701</v>
      </c>
    </row>
    <row r="702" spans="1:33" ht="11.25" customHeight="1" x14ac:dyDescent="0.25">
      <c r="A702" s="4" t="s">
        <v>21</v>
      </c>
      <c r="B702" s="4" t="s">
        <v>22</v>
      </c>
      <c r="C702" s="4" t="s">
        <v>23</v>
      </c>
      <c r="D702" s="4" t="s">
        <v>24</v>
      </c>
      <c r="E702" s="4" t="s">
        <v>29</v>
      </c>
      <c r="F702" s="4" t="s">
        <v>25</v>
      </c>
      <c r="G702" s="4" t="s">
        <v>25</v>
      </c>
      <c r="H702" s="4" t="s">
        <v>25</v>
      </c>
      <c r="I702" s="5">
        <v>44743</v>
      </c>
      <c r="J702" s="6">
        <v>0</v>
      </c>
      <c r="K702" s="6">
        <v>0</v>
      </c>
      <c r="L702" s="6">
        <v>1099.7139999999999</v>
      </c>
      <c r="M702" s="6">
        <v>1099.7139999999999</v>
      </c>
      <c r="N702" s="6">
        <v>1099.7139999999999</v>
      </c>
      <c r="O702" s="6">
        <v>1099.7139999999999</v>
      </c>
      <c r="P702" s="6">
        <v>6636</v>
      </c>
      <c r="Q702" s="4" t="s">
        <v>26</v>
      </c>
      <c r="R702" s="4">
        <v>0</v>
      </c>
      <c r="S702" s="6">
        <v>0</v>
      </c>
      <c r="T702" s="6">
        <v>28</v>
      </c>
      <c r="U702" s="6">
        <v>81</v>
      </c>
      <c r="V702" s="6">
        <f>IF(ISERROR(VLOOKUP($S$702,'TAR FIN'!$A$1:$O$108,15,0)),0,VLOOKUP($S$702,'TAR FIN'!$A$1:$O$108,15,0))</f>
        <v>0</v>
      </c>
      <c r="W702" s="6">
        <f>IF(ISERROR(VLOOKUP($T$702,'TAR FIN'!$A$1:$O$108,15,0)),0,VLOOKUP($T$702,'TAR FIN'!$A$1:$O$108,15,0))</f>
        <v>132.01</v>
      </c>
      <c r="X702" s="6">
        <f>IF(ISERROR(VLOOKUP($U$702,'TAR FIN'!$A$1:$O$108,15,0)),0,VLOOKUP($U$702,'TAR FIN'!$A$1:$O$108,15,0))</f>
        <v>37.729999999999997</v>
      </c>
      <c r="Y702" s="6"/>
      <c r="Z702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2" s="6">
        <f>('TE BE'!$AB$17+'TE BF'!$AB$17+'TE CVA'!$AB$17)*(1-CUSTOS!$M$34)</f>
        <v>78.567864571614649</v>
      </c>
      <c r="AB702" s="6">
        <f>$K$702*$V$702</f>
        <v>0</v>
      </c>
      <c r="AC702" s="6">
        <f>$M$702*$W$702</f>
        <v>145173.24513999998</v>
      </c>
      <c r="AD702" s="6">
        <f>$O$702*$X$702</f>
        <v>41492.209219999997</v>
      </c>
      <c r="AE702" s="6">
        <f>$K$702*$Y$702</f>
        <v>0</v>
      </c>
      <c r="AF702" s="6">
        <f ca="1">$M$702*$Z$702</f>
        <v>152968.89179524942</v>
      </c>
      <c r="AG702" s="6">
        <f>$O$702*$AA$702</f>
        <v>86402.180619508625</v>
      </c>
    </row>
    <row r="703" spans="1:33" ht="11.25" customHeight="1" x14ac:dyDescent="0.25">
      <c r="A703" s="4" t="s">
        <v>27</v>
      </c>
      <c r="B703" s="4" t="s">
        <v>22</v>
      </c>
      <c r="C703" s="4" t="s">
        <v>23</v>
      </c>
      <c r="D703" s="4" t="s">
        <v>24</v>
      </c>
      <c r="E703" s="4" t="s">
        <v>29</v>
      </c>
      <c r="F703" s="4" t="s">
        <v>25</v>
      </c>
      <c r="G703" s="4" t="s">
        <v>25</v>
      </c>
      <c r="H703" s="4" t="s">
        <v>25</v>
      </c>
      <c r="I703" s="5">
        <v>44743</v>
      </c>
      <c r="J703" s="6">
        <v>0</v>
      </c>
      <c r="K703" s="6">
        <v>0</v>
      </c>
      <c r="L703" s="6">
        <v>-4.26</v>
      </c>
      <c r="M703" s="6">
        <v>-4.26</v>
      </c>
      <c r="N703" s="6">
        <v>-4.26</v>
      </c>
      <c r="O703" s="6">
        <v>-4.26</v>
      </c>
      <c r="P703" s="6">
        <v>-64</v>
      </c>
      <c r="Q703" s="4" t="s">
        <v>26</v>
      </c>
      <c r="R703" s="4">
        <v>0</v>
      </c>
      <c r="S703" s="6">
        <v>0</v>
      </c>
      <c r="T703" s="6">
        <v>28</v>
      </c>
      <c r="U703" s="6">
        <v>81</v>
      </c>
      <c r="V703" s="6">
        <f>IF(ISERROR(VLOOKUP($S$703,'TAR FIN'!$A$1:$O$108,15,0)),0,VLOOKUP($S$703,'TAR FIN'!$A$1:$O$108,15,0))</f>
        <v>0</v>
      </c>
      <c r="W703" s="6">
        <f>IF(ISERROR(VLOOKUP($T$703,'TAR FIN'!$A$1:$O$108,15,0)),0,VLOOKUP($T$703,'TAR FIN'!$A$1:$O$108,15,0))</f>
        <v>132.01</v>
      </c>
      <c r="X703" s="6">
        <f>IF(ISERROR(VLOOKUP($U$703,'TAR FIN'!$A$1:$O$108,15,0)),0,VLOOKUP($U$703,'TAR FIN'!$A$1:$O$108,15,0))</f>
        <v>37.729999999999997</v>
      </c>
      <c r="Y703" s="6"/>
      <c r="Z703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3" s="6">
        <f>('TE BE'!$AB$17+'TE BF'!$AB$17+'TE CVA'!$AB$17)*(1-CUSTOS!$M$34)</f>
        <v>78.567864571614649</v>
      </c>
      <c r="AB703" s="6">
        <f>$K$703*$V$703</f>
        <v>0</v>
      </c>
      <c r="AC703" s="6">
        <f>$M$703*$W$703</f>
        <v>-562.36259999999993</v>
      </c>
      <c r="AD703" s="6">
        <f>$O$703*$X$703</f>
        <v>-160.72979999999998</v>
      </c>
      <c r="AE703" s="6">
        <f>$K$703*$Y$703</f>
        <v>0</v>
      </c>
      <c r="AF703" s="6">
        <f ca="1">$M$703*$Z$703</f>
        <v>-592.56086495921897</v>
      </c>
      <c r="AG703" s="6">
        <f>$O$703*$AA$703</f>
        <v>-334.69910307507837</v>
      </c>
    </row>
    <row r="704" spans="1:33" ht="11.25" customHeight="1" x14ac:dyDescent="0.25">
      <c r="A704" s="4" t="s">
        <v>21</v>
      </c>
      <c r="B704" s="4" t="s">
        <v>22</v>
      </c>
      <c r="C704" s="4" t="s">
        <v>23</v>
      </c>
      <c r="D704" s="4" t="s">
        <v>24</v>
      </c>
      <c r="E704" s="4" t="s">
        <v>29</v>
      </c>
      <c r="F704" s="4" t="s">
        <v>25</v>
      </c>
      <c r="G704" s="4" t="s">
        <v>25</v>
      </c>
      <c r="H704" s="4" t="s">
        <v>25</v>
      </c>
      <c r="I704" s="5">
        <v>44774</v>
      </c>
      <c r="J704" s="6">
        <v>0</v>
      </c>
      <c r="K704" s="6">
        <v>0</v>
      </c>
      <c r="L704" s="6">
        <v>1137.1130000000001</v>
      </c>
      <c r="M704" s="6">
        <v>1137.1130000000001</v>
      </c>
      <c r="N704" s="6">
        <v>1137.1130000000001</v>
      </c>
      <c r="O704" s="6">
        <v>1137.1130000000001</v>
      </c>
      <c r="P704" s="6">
        <v>6528</v>
      </c>
      <c r="Q704" s="4" t="s">
        <v>26</v>
      </c>
      <c r="R704" s="4">
        <v>0</v>
      </c>
      <c r="S704" s="6">
        <v>0</v>
      </c>
      <c r="T704" s="6">
        <v>28</v>
      </c>
      <c r="U704" s="6">
        <v>81</v>
      </c>
      <c r="V704" s="6">
        <f>IF(ISERROR(VLOOKUP($S$704,'TAR FIN'!$A$1:$O$108,15,0)),0,VLOOKUP($S$704,'TAR FIN'!$A$1:$O$108,15,0))</f>
        <v>0</v>
      </c>
      <c r="W704" s="6">
        <f>IF(ISERROR(VLOOKUP($T$704,'TAR FIN'!$A$1:$O$108,15,0)),0,VLOOKUP($T$704,'TAR FIN'!$A$1:$O$108,15,0))</f>
        <v>132.01</v>
      </c>
      <c r="X704" s="6">
        <f>IF(ISERROR(VLOOKUP($U$704,'TAR FIN'!$A$1:$O$108,15,0)),0,VLOOKUP($U$704,'TAR FIN'!$A$1:$O$108,15,0))</f>
        <v>37.729999999999997</v>
      </c>
      <c r="Y704" s="6"/>
      <c r="Z704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4" s="6">
        <f>('TE BE'!$AB$17+'TE BF'!$AB$17+'TE CVA'!$AB$17)*(1-CUSTOS!$M$34)</f>
        <v>78.567864571614649</v>
      </c>
      <c r="AB704" s="6">
        <f>$K$704*$V$704</f>
        <v>0</v>
      </c>
      <c r="AC704" s="6">
        <f>$M$704*$W$704</f>
        <v>150110.28713000001</v>
      </c>
      <c r="AD704" s="6">
        <f>$O$704*$X$704</f>
        <v>42903.27349</v>
      </c>
      <c r="AE704" s="6">
        <f>$K$704*$Y$704</f>
        <v>0</v>
      </c>
      <c r="AF704" s="6">
        <f ca="1">$M$704*$Z$704</f>
        <v>158171.04761417193</v>
      </c>
      <c r="AG704" s="6">
        <f>$O$704*$AA$704</f>
        <v>89340.540186622457</v>
      </c>
    </row>
    <row r="705" spans="1:33" ht="11.25" customHeight="1" x14ac:dyDescent="0.25">
      <c r="A705" s="4" t="s">
        <v>27</v>
      </c>
      <c r="B705" s="4" t="s">
        <v>22</v>
      </c>
      <c r="C705" s="4" t="s">
        <v>23</v>
      </c>
      <c r="D705" s="4" t="s">
        <v>24</v>
      </c>
      <c r="E705" s="4" t="s">
        <v>29</v>
      </c>
      <c r="F705" s="4" t="s">
        <v>25</v>
      </c>
      <c r="G705" s="4" t="s">
        <v>25</v>
      </c>
      <c r="H705" s="4" t="s">
        <v>25</v>
      </c>
      <c r="I705" s="5">
        <v>44774</v>
      </c>
      <c r="J705" s="6">
        <v>0</v>
      </c>
      <c r="K705" s="6">
        <v>0</v>
      </c>
      <c r="L705" s="6">
        <v>-6.84</v>
      </c>
      <c r="M705" s="6">
        <v>-6.84</v>
      </c>
      <c r="N705" s="6">
        <v>-6.84</v>
      </c>
      <c r="O705" s="6">
        <v>-6.84</v>
      </c>
      <c r="P705" s="6">
        <v>-59</v>
      </c>
      <c r="Q705" s="4" t="s">
        <v>26</v>
      </c>
      <c r="R705" s="4">
        <v>0</v>
      </c>
      <c r="S705" s="6">
        <v>0</v>
      </c>
      <c r="T705" s="6">
        <v>28</v>
      </c>
      <c r="U705" s="6">
        <v>81</v>
      </c>
      <c r="V705" s="6">
        <f>IF(ISERROR(VLOOKUP($S$705,'TAR FIN'!$A$1:$O$108,15,0)),0,VLOOKUP($S$705,'TAR FIN'!$A$1:$O$108,15,0))</f>
        <v>0</v>
      </c>
      <c r="W705" s="6">
        <f>IF(ISERROR(VLOOKUP($T$705,'TAR FIN'!$A$1:$O$108,15,0)),0,VLOOKUP($T$705,'TAR FIN'!$A$1:$O$108,15,0))</f>
        <v>132.01</v>
      </c>
      <c r="X705" s="6">
        <f>IF(ISERROR(VLOOKUP($U$705,'TAR FIN'!$A$1:$O$108,15,0)),0,VLOOKUP($U$705,'TAR FIN'!$A$1:$O$108,15,0))</f>
        <v>37.729999999999997</v>
      </c>
      <c r="Y705" s="6"/>
      <c r="Z705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5" s="6">
        <f>('TE BE'!$AB$17+'TE BF'!$AB$17+'TE CVA'!$AB$17)*(1-CUSTOS!$M$34)</f>
        <v>78.567864571614649</v>
      </c>
      <c r="AB705" s="6">
        <f>$K$705*$V$705</f>
        <v>0</v>
      </c>
      <c r="AC705" s="6">
        <f>$M$705*$W$705</f>
        <v>-902.94839999999988</v>
      </c>
      <c r="AD705" s="6">
        <f>$O$705*$X$705</f>
        <v>-258.07319999999999</v>
      </c>
      <c r="AE705" s="6">
        <f>$K$705*$Y$705</f>
        <v>0</v>
      </c>
      <c r="AF705" s="6">
        <f ca="1">$M$705*$Z$705</f>
        <v>-951.43575500494319</v>
      </c>
      <c r="AG705" s="6">
        <f>$O$705*$AA$705</f>
        <v>-537.40419366984418</v>
      </c>
    </row>
    <row r="706" spans="1:33" ht="11.25" customHeight="1" x14ac:dyDescent="0.25">
      <c r="A706" s="4" t="s">
        <v>21</v>
      </c>
      <c r="B706" s="4" t="s">
        <v>22</v>
      </c>
      <c r="C706" s="4" t="s">
        <v>23</v>
      </c>
      <c r="D706" s="4" t="s">
        <v>24</v>
      </c>
      <c r="E706" s="4" t="s">
        <v>29</v>
      </c>
      <c r="F706" s="4" t="s">
        <v>25</v>
      </c>
      <c r="G706" s="4" t="s">
        <v>25</v>
      </c>
      <c r="H706" s="4" t="s">
        <v>25</v>
      </c>
      <c r="I706" s="5">
        <v>44805</v>
      </c>
      <c r="J706" s="6">
        <v>0</v>
      </c>
      <c r="K706" s="6">
        <v>0</v>
      </c>
      <c r="L706" s="6">
        <v>1680.2909999999999</v>
      </c>
      <c r="M706" s="6">
        <v>1680.2909999999999</v>
      </c>
      <c r="N706" s="6">
        <v>1680.2909999999999</v>
      </c>
      <c r="O706" s="6">
        <v>1680.2909999999999</v>
      </c>
      <c r="P706" s="6">
        <v>6635</v>
      </c>
      <c r="Q706" s="4" t="s">
        <v>26</v>
      </c>
      <c r="R706" s="4">
        <v>0</v>
      </c>
      <c r="S706" s="6">
        <v>0</v>
      </c>
      <c r="T706" s="6">
        <v>28</v>
      </c>
      <c r="U706" s="6">
        <v>81</v>
      </c>
      <c r="V706" s="6">
        <f>IF(ISERROR(VLOOKUP($S$706,'TAR FIN'!$A$1:$O$108,15,0)),0,VLOOKUP($S$706,'TAR FIN'!$A$1:$O$108,15,0))</f>
        <v>0</v>
      </c>
      <c r="W706" s="6">
        <f>IF(ISERROR(VLOOKUP($T$706,'TAR FIN'!$A$1:$O$108,15,0)),0,VLOOKUP($T$706,'TAR FIN'!$A$1:$O$108,15,0))</f>
        <v>132.01</v>
      </c>
      <c r="X706" s="6">
        <f>IF(ISERROR(VLOOKUP($U$706,'TAR FIN'!$A$1:$O$108,15,0)),0,VLOOKUP($U$706,'TAR FIN'!$A$1:$O$108,15,0))</f>
        <v>37.729999999999997</v>
      </c>
      <c r="Y706" s="6"/>
      <c r="Z706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6" s="6">
        <f>('TE BE'!$AB$17+'TE BF'!$AB$17+'TE CVA'!$AB$17)*(1-CUSTOS!$M$34)</f>
        <v>78.567864571614649</v>
      </c>
      <c r="AB706" s="6">
        <f>$K$706*$V$706</f>
        <v>0</v>
      </c>
      <c r="AC706" s="6">
        <f>$M$706*$W$706</f>
        <v>221815.21490999998</v>
      </c>
      <c r="AD706" s="6">
        <f>$O$706*$X$706</f>
        <v>63397.379429999994</v>
      </c>
      <c r="AE706" s="6">
        <f>$K$706*$Y$706</f>
        <v>0</v>
      </c>
      <c r="AF706" s="6">
        <f ca="1">$M$706*$Z$706</f>
        <v>233726.4526627209</v>
      </c>
      <c r="AG706" s="6">
        <f>$O$706*$AA$706</f>
        <v>132016.87572890296</v>
      </c>
    </row>
    <row r="707" spans="1:33" ht="11.25" customHeight="1" x14ac:dyDescent="0.25">
      <c r="A707" s="4" t="s">
        <v>27</v>
      </c>
      <c r="B707" s="4" t="s">
        <v>22</v>
      </c>
      <c r="C707" s="4" t="s">
        <v>23</v>
      </c>
      <c r="D707" s="4" t="s">
        <v>24</v>
      </c>
      <c r="E707" s="4" t="s">
        <v>29</v>
      </c>
      <c r="F707" s="4" t="s">
        <v>25</v>
      </c>
      <c r="G707" s="4" t="s">
        <v>25</v>
      </c>
      <c r="H707" s="4" t="s">
        <v>25</v>
      </c>
      <c r="I707" s="5">
        <v>44805</v>
      </c>
      <c r="J707" s="6">
        <v>0</v>
      </c>
      <c r="K707" s="6">
        <v>0</v>
      </c>
      <c r="L707" s="6">
        <v>-11.98</v>
      </c>
      <c r="M707" s="6">
        <v>-11.98</v>
      </c>
      <c r="N707" s="6">
        <v>-11.98</v>
      </c>
      <c r="O707" s="6">
        <v>-11.98</v>
      </c>
      <c r="P707" s="6">
        <v>-228</v>
      </c>
      <c r="Q707" s="4" t="s">
        <v>26</v>
      </c>
      <c r="R707" s="4">
        <v>0</v>
      </c>
      <c r="S707" s="6">
        <v>0</v>
      </c>
      <c r="T707" s="6">
        <v>28</v>
      </c>
      <c r="U707" s="6">
        <v>81</v>
      </c>
      <c r="V707" s="6">
        <f>IF(ISERROR(VLOOKUP($S$707,'TAR FIN'!$A$1:$O$108,15,0)),0,VLOOKUP($S$707,'TAR FIN'!$A$1:$O$108,15,0))</f>
        <v>0</v>
      </c>
      <c r="W707" s="6">
        <f>IF(ISERROR(VLOOKUP($T$707,'TAR FIN'!$A$1:$O$108,15,0)),0,VLOOKUP($T$707,'TAR FIN'!$A$1:$O$108,15,0))</f>
        <v>132.01</v>
      </c>
      <c r="X707" s="6">
        <f>IF(ISERROR(VLOOKUP($U$707,'TAR FIN'!$A$1:$O$108,15,0)),0,VLOOKUP($U$707,'TAR FIN'!$A$1:$O$108,15,0))</f>
        <v>37.729999999999997</v>
      </c>
      <c r="Y707" s="6"/>
      <c r="Z707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7" s="6">
        <f>('TE BE'!$AB$17+'TE BF'!$AB$17+'TE CVA'!$AB$17)*(1-CUSTOS!$M$34)</f>
        <v>78.567864571614649</v>
      </c>
      <c r="AB707" s="6">
        <f>$K$707*$V$707</f>
        <v>0</v>
      </c>
      <c r="AC707" s="6">
        <f>$M$707*$W$707</f>
        <v>-1581.4797999999998</v>
      </c>
      <c r="AD707" s="6">
        <f>$O$707*$X$707</f>
        <v>-452.00539999999995</v>
      </c>
      <c r="AE707" s="6">
        <f>$K$707*$Y$707</f>
        <v>0</v>
      </c>
      <c r="AF707" s="6">
        <f ca="1">$M$707*$Z$707</f>
        <v>-1666.4035592045643</v>
      </c>
      <c r="AG707" s="6">
        <f>$O$707*$AA$707</f>
        <v>-941.24301756794353</v>
      </c>
    </row>
    <row r="708" spans="1:33" ht="11.25" customHeight="1" x14ac:dyDescent="0.25">
      <c r="A708" s="4" t="s">
        <v>21</v>
      </c>
      <c r="B708" s="4" t="s">
        <v>22</v>
      </c>
      <c r="C708" s="4" t="s">
        <v>23</v>
      </c>
      <c r="D708" s="4" t="s">
        <v>24</v>
      </c>
      <c r="E708" s="4" t="s">
        <v>29</v>
      </c>
      <c r="F708" s="4" t="s">
        <v>25</v>
      </c>
      <c r="G708" s="4" t="s">
        <v>25</v>
      </c>
      <c r="H708" s="4" t="s">
        <v>25</v>
      </c>
      <c r="I708" s="5">
        <v>44835</v>
      </c>
      <c r="J708" s="6">
        <v>0</v>
      </c>
      <c r="K708" s="6">
        <v>0</v>
      </c>
      <c r="L708" s="6">
        <v>2223.8090000000002</v>
      </c>
      <c r="M708" s="6">
        <v>2223.8090000000002</v>
      </c>
      <c r="N708" s="6">
        <v>2223.8090000000002</v>
      </c>
      <c r="O708" s="6">
        <v>2223.8090000000002</v>
      </c>
      <c r="P708" s="6">
        <v>6831</v>
      </c>
      <c r="Q708" s="4" t="s">
        <v>26</v>
      </c>
      <c r="R708" s="4">
        <v>0</v>
      </c>
      <c r="S708" s="6">
        <v>0</v>
      </c>
      <c r="T708" s="6">
        <v>28</v>
      </c>
      <c r="U708" s="6">
        <v>81</v>
      </c>
      <c r="V708" s="6">
        <f>IF(ISERROR(VLOOKUP($S$708,'TAR FIN'!$A$1:$O$108,15,0)),0,VLOOKUP($S$708,'TAR FIN'!$A$1:$O$108,15,0))</f>
        <v>0</v>
      </c>
      <c r="W708" s="6">
        <f>IF(ISERROR(VLOOKUP($T$708,'TAR FIN'!$A$1:$O$108,15,0)),0,VLOOKUP($T$708,'TAR FIN'!$A$1:$O$108,15,0))</f>
        <v>132.01</v>
      </c>
      <c r="X708" s="6">
        <f>IF(ISERROR(VLOOKUP($U$708,'TAR FIN'!$A$1:$O$108,15,0)),0,VLOOKUP($U$708,'TAR FIN'!$A$1:$O$108,15,0))</f>
        <v>37.729999999999997</v>
      </c>
      <c r="Y708" s="6"/>
      <c r="Z708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8" s="6">
        <f>('TE BE'!$AB$17+'TE BF'!$AB$17+'TE CVA'!$AB$17)*(1-CUSTOS!$M$34)</f>
        <v>78.567864571614649</v>
      </c>
      <c r="AB708" s="6">
        <f>$K$708*$V$708</f>
        <v>0</v>
      </c>
      <c r="AC708" s="6">
        <f>$M$708*$W$708</f>
        <v>293565.02609</v>
      </c>
      <c r="AD708" s="6">
        <f>$O$708*$X$708</f>
        <v>83904.313569999998</v>
      </c>
      <c r="AE708" s="6">
        <f>$K$708*$Y$708</f>
        <v>0</v>
      </c>
      <c r="AF708" s="6">
        <f ca="1">$M$708*$Z$708</f>
        <v>309329.15130143095</v>
      </c>
      <c r="AG708" s="6">
        <f>$O$708*$AA$708</f>
        <v>174719.92434513781</v>
      </c>
    </row>
    <row r="709" spans="1:33" ht="11.25" customHeight="1" x14ac:dyDescent="0.25">
      <c r="A709" s="4" t="s">
        <v>27</v>
      </c>
      <c r="B709" s="4" t="s">
        <v>22</v>
      </c>
      <c r="C709" s="4" t="s">
        <v>23</v>
      </c>
      <c r="D709" s="4" t="s">
        <v>24</v>
      </c>
      <c r="E709" s="4" t="s">
        <v>29</v>
      </c>
      <c r="F709" s="4" t="s">
        <v>25</v>
      </c>
      <c r="G709" s="4" t="s">
        <v>25</v>
      </c>
      <c r="H709" s="4" t="s">
        <v>25</v>
      </c>
      <c r="I709" s="5">
        <v>44835</v>
      </c>
      <c r="J709" s="6">
        <v>0</v>
      </c>
      <c r="K709" s="6">
        <v>0</v>
      </c>
      <c r="L709" s="6">
        <v>-11.718</v>
      </c>
      <c r="M709" s="6">
        <v>-11.718</v>
      </c>
      <c r="N709" s="6">
        <v>-11.718</v>
      </c>
      <c r="O709" s="6">
        <v>-11.718</v>
      </c>
      <c r="P709" s="6">
        <v>-21</v>
      </c>
      <c r="Q709" s="4" t="s">
        <v>26</v>
      </c>
      <c r="R709" s="4">
        <v>0</v>
      </c>
      <c r="S709" s="6">
        <v>0</v>
      </c>
      <c r="T709" s="6">
        <v>28</v>
      </c>
      <c r="U709" s="6">
        <v>81</v>
      </c>
      <c r="V709" s="6">
        <f>IF(ISERROR(VLOOKUP($S$709,'TAR FIN'!$A$1:$O$108,15,0)),0,VLOOKUP($S$709,'TAR FIN'!$A$1:$O$108,15,0))</f>
        <v>0</v>
      </c>
      <c r="W709" s="6">
        <f>IF(ISERROR(VLOOKUP($T$709,'TAR FIN'!$A$1:$O$108,15,0)),0,VLOOKUP($T$709,'TAR FIN'!$A$1:$O$108,15,0))</f>
        <v>132.01</v>
      </c>
      <c r="X709" s="6">
        <f>IF(ISERROR(VLOOKUP($U$709,'TAR FIN'!$A$1:$O$108,15,0)),0,VLOOKUP($U$709,'TAR FIN'!$A$1:$O$108,15,0))</f>
        <v>37.729999999999997</v>
      </c>
      <c r="Y709" s="6"/>
      <c r="Z709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09" s="6">
        <f>('TE BE'!$AB$17+'TE BF'!$AB$17+'TE CVA'!$AB$17)*(1-CUSTOS!$M$34)</f>
        <v>78.567864571614649</v>
      </c>
      <c r="AB709" s="6">
        <f>$K$709*$V$709</f>
        <v>0</v>
      </c>
      <c r="AC709" s="6">
        <f>$M$709*$W$709</f>
        <v>-1546.8931799999998</v>
      </c>
      <c r="AD709" s="6">
        <f>$O$709*$X$709</f>
        <v>-442.12013999999994</v>
      </c>
      <c r="AE709" s="6">
        <f>$K$709*$Y$709</f>
        <v>0</v>
      </c>
      <c r="AF709" s="6">
        <f ca="1">$M$709*$Z$709</f>
        <v>-1629.9596750216263</v>
      </c>
      <c r="AG709" s="6">
        <f>$O$709*$AA$709</f>
        <v>-920.65823705018045</v>
      </c>
    </row>
    <row r="710" spans="1:33" ht="11.25" customHeight="1" x14ac:dyDescent="0.25">
      <c r="A710" s="4" t="s">
        <v>54</v>
      </c>
      <c r="B710" s="4" t="s">
        <v>22</v>
      </c>
      <c r="C710" s="4" t="s">
        <v>23</v>
      </c>
      <c r="D710" s="4" t="s">
        <v>24</v>
      </c>
      <c r="E710" s="4" t="s">
        <v>29</v>
      </c>
      <c r="F710" s="4" t="s">
        <v>25</v>
      </c>
      <c r="G710" s="4" t="s">
        <v>25</v>
      </c>
      <c r="H710" s="4" t="s">
        <v>25</v>
      </c>
      <c r="I710" s="5">
        <v>44866</v>
      </c>
      <c r="J710" s="6">
        <v>0</v>
      </c>
      <c r="K710" s="6">
        <v>0</v>
      </c>
      <c r="L710" s="6">
        <v>2223.8090000000002</v>
      </c>
      <c r="M710" s="6">
        <v>2223.8090000000002</v>
      </c>
      <c r="N710" s="6">
        <v>2223.8090000000002</v>
      </c>
      <c r="O710" s="6">
        <v>2223.8090000000002</v>
      </c>
      <c r="P710" s="6">
        <v>6831</v>
      </c>
      <c r="Q710" s="4" t="s">
        <v>26</v>
      </c>
      <c r="R710" s="4">
        <v>0</v>
      </c>
      <c r="S710" s="6">
        <v>0</v>
      </c>
      <c r="T710" s="6">
        <v>28</v>
      </c>
      <c r="U710" s="6">
        <v>81</v>
      </c>
      <c r="V710" s="6">
        <f>IF(ISERROR(VLOOKUP($S$710,'TAR FIN'!$A$1:$O$108,15,0)),0,VLOOKUP($S$710,'TAR FIN'!$A$1:$O$108,15,0))</f>
        <v>0</v>
      </c>
      <c r="W710" s="6">
        <f>IF(ISERROR(VLOOKUP($T$710,'TAR FIN'!$A$1:$O$108,15,0)),0,VLOOKUP($T$710,'TAR FIN'!$A$1:$O$108,15,0))</f>
        <v>132.01</v>
      </c>
      <c r="X710" s="6">
        <f>IF(ISERROR(VLOOKUP($U$710,'TAR FIN'!$A$1:$O$108,15,0)),0,VLOOKUP($U$710,'TAR FIN'!$A$1:$O$108,15,0))</f>
        <v>37.729999999999997</v>
      </c>
      <c r="Y710" s="6"/>
      <c r="Z710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10" s="6">
        <f>('TE BE'!$AB$17+'TE BF'!$AB$17+'TE CVA'!$AB$17)*(1-CUSTOS!$M$34)</f>
        <v>78.567864571614649</v>
      </c>
      <c r="AB710" s="6">
        <f>$K$710*$V$710</f>
        <v>0</v>
      </c>
      <c r="AC710" s="6">
        <f>$M$710*$W$710</f>
        <v>293565.02609</v>
      </c>
      <c r="AD710" s="6">
        <f>$O$710*$X$710</f>
        <v>83904.313569999998</v>
      </c>
      <c r="AE710" s="6">
        <f>$K$710*$Y$710</f>
        <v>0</v>
      </c>
      <c r="AF710" s="6">
        <f ca="1">$M$710*$Z$710</f>
        <v>309329.15130143095</v>
      </c>
      <c r="AG710" s="6">
        <f>$O$710*$AA$710</f>
        <v>174719.92434513781</v>
      </c>
    </row>
    <row r="711" spans="1:33" ht="11.25" customHeight="1" x14ac:dyDescent="0.25">
      <c r="A711" s="4" t="s">
        <v>54</v>
      </c>
      <c r="B711" s="4" t="s">
        <v>22</v>
      </c>
      <c r="C711" s="4" t="s">
        <v>23</v>
      </c>
      <c r="D711" s="4" t="s">
        <v>24</v>
      </c>
      <c r="E711" s="4" t="s">
        <v>29</v>
      </c>
      <c r="F711" s="4" t="s">
        <v>25</v>
      </c>
      <c r="G711" s="4" t="s">
        <v>25</v>
      </c>
      <c r="H711" s="4" t="s">
        <v>25</v>
      </c>
      <c r="I711" s="5">
        <v>44866</v>
      </c>
      <c r="J711" s="6">
        <v>0</v>
      </c>
      <c r="K711" s="6">
        <v>0</v>
      </c>
      <c r="L711" s="6">
        <v>-11.718</v>
      </c>
      <c r="M711" s="6">
        <v>-11.718</v>
      </c>
      <c r="N711" s="6">
        <v>-11.718</v>
      </c>
      <c r="O711" s="6">
        <v>-11.718</v>
      </c>
      <c r="P711" s="6">
        <v>-21</v>
      </c>
      <c r="Q711" s="4" t="s">
        <v>26</v>
      </c>
      <c r="R711" s="4">
        <v>0</v>
      </c>
      <c r="S711" s="6">
        <v>0</v>
      </c>
      <c r="T711" s="6">
        <v>28</v>
      </c>
      <c r="U711" s="6">
        <v>81</v>
      </c>
      <c r="V711" s="6">
        <f>IF(ISERROR(VLOOKUP($S$711,'TAR FIN'!$A$1:$O$108,15,0)),0,VLOOKUP($S$711,'TAR FIN'!$A$1:$O$108,15,0))</f>
        <v>0</v>
      </c>
      <c r="W711" s="6">
        <f>IF(ISERROR(VLOOKUP($T$711,'TAR FIN'!$A$1:$O$108,15,0)),0,VLOOKUP($T$711,'TAR FIN'!$A$1:$O$108,15,0))</f>
        <v>132.01</v>
      </c>
      <c r="X711" s="6">
        <f>IF(ISERROR(VLOOKUP($U$711,'TAR FIN'!$A$1:$O$108,15,0)),0,VLOOKUP($U$711,'TAR FIN'!$A$1:$O$108,15,0))</f>
        <v>37.729999999999997</v>
      </c>
      <c r="Y711" s="6"/>
      <c r="Z71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711" s="6">
        <f>('TE BE'!$AB$17+'TE BF'!$AB$17+'TE CVA'!$AB$17)*(1-CUSTOS!$M$34)</f>
        <v>78.567864571614649</v>
      </c>
      <c r="AB711" s="6">
        <f>$K$711*$V$711</f>
        <v>0</v>
      </c>
      <c r="AC711" s="6">
        <f>$M$711*$W$711</f>
        <v>-1546.8931799999998</v>
      </c>
      <c r="AD711" s="6">
        <f>$O$711*$X$711</f>
        <v>-442.12013999999994</v>
      </c>
      <c r="AE711" s="6">
        <f>$K$711*$Y$711</f>
        <v>0</v>
      </c>
      <c r="AF711" s="6">
        <f ca="1">$M$711*$Z$711</f>
        <v>-1629.9596750216263</v>
      </c>
      <c r="AG711" s="6">
        <f>$O$711*$AA$711</f>
        <v>-920.65823705018045</v>
      </c>
    </row>
    <row r="712" spans="1:33" ht="11.25" customHeight="1" x14ac:dyDescent="0.25">
      <c r="A712" s="4" t="s">
        <v>21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44531</v>
      </c>
      <c r="J712" s="6">
        <v>0</v>
      </c>
      <c r="K712" s="6">
        <v>0</v>
      </c>
      <c r="L712" s="6">
        <v>1317.2180000000001</v>
      </c>
      <c r="M712" s="6">
        <v>1317.2180000000001</v>
      </c>
      <c r="N712" s="6">
        <v>1317.2180000000001</v>
      </c>
      <c r="O712" s="6">
        <v>1317.2180000000001</v>
      </c>
      <c r="P712" s="6">
        <v>5849</v>
      </c>
      <c r="Q712" s="4" t="s">
        <v>26</v>
      </c>
      <c r="R712" s="4">
        <v>0</v>
      </c>
      <c r="S712" s="6">
        <v>0</v>
      </c>
      <c r="T712" s="6">
        <v>29</v>
      </c>
      <c r="U712" s="6">
        <v>82</v>
      </c>
      <c r="V712" s="6">
        <f>IF(ISERROR(VLOOKUP($S$712,'TAR FIN'!$A$1:$O$108,15,0)),0,VLOOKUP($S$712,'TAR FIN'!$A$1:$O$108,15,0))</f>
        <v>0</v>
      </c>
      <c r="W712" s="6">
        <f>IF(ISERROR(VLOOKUP($T$712,'TAR FIN'!$A$1:$O$108,15,0)),0,VLOOKUP($T$712,'TAR FIN'!$A$1:$O$108,15,0))</f>
        <v>226.31</v>
      </c>
      <c r="X712" s="6">
        <f>IF(ISERROR(VLOOKUP($U$712,'TAR FIN'!$A$1:$O$108,15,0)),0,VLOOKUP($U$712,'TAR FIN'!$A$1:$O$108,15,0))</f>
        <v>64.67</v>
      </c>
      <c r="Y712" s="6"/>
      <c r="Z712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2" s="6">
        <f>('TE BE'!$AB$18+'TE BF'!$AB$18+'TE CVA'!$AB$18)*(1-CUSTOS!$M$35)</f>
        <v>134.68776783705368</v>
      </c>
      <c r="AB712" s="6">
        <f>$K$712*$V$712</f>
        <v>0</v>
      </c>
      <c r="AC712" s="6">
        <f>$M$712*$W$712</f>
        <v>298099.60558000003</v>
      </c>
      <c r="AD712" s="6">
        <f>$O$712*$X$712</f>
        <v>85184.488060000003</v>
      </c>
      <c r="AE712" s="6">
        <f>$K$712*$Y$712</f>
        <v>0</v>
      </c>
      <c r="AF712" s="6">
        <f ca="1">$M$712*$Z$712</f>
        <v>314097.31888122839</v>
      </c>
      <c r="AG712" s="6">
        <f>$O$712*$AA$712</f>
        <v>177413.15217478818</v>
      </c>
    </row>
    <row r="713" spans="1:33" ht="11.25" customHeight="1" x14ac:dyDescent="0.25">
      <c r="A713" s="4" t="s">
        <v>27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44531</v>
      </c>
      <c r="J713" s="6">
        <v>0</v>
      </c>
      <c r="K713" s="6">
        <v>0</v>
      </c>
      <c r="L713" s="6">
        <v>-4.6029999999999998</v>
      </c>
      <c r="M713" s="6">
        <v>-4.6029999999999998</v>
      </c>
      <c r="N713" s="6">
        <v>-4.6029999999999998</v>
      </c>
      <c r="O713" s="6">
        <v>-4.6029999999999998</v>
      </c>
      <c r="P713" s="6">
        <v>16</v>
      </c>
      <c r="Q713" s="4" t="s">
        <v>26</v>
      </c>
      <c r="R713" s="4">
        <v>0</v>
      </c>
      <c r="S713" s="6">
        <v>0</v>
      </c>
      <c r="T713" s="6">
        <v>29</v>
      </c>
      <c r="U713" s="6">
        <v>82</v>
      </c>
      <c r="V713" s="6">
        <f>IF(ISERROR(VLOOKUP($S$713,'TAR FIN'!$A$1:$O$108,15,0)),0,VLOOKUP($S$713,'TAR FIN'!$A$1:$O$108,15,0))</f>
        <v>0</v>
      </c>
      <c r="W713" s="6">
        <f>IF(ISERROR(VLOOKUP($T$713,'TAR FIN'!$A$1:$O$108,15,0)),0,VLOOKUP($T$713,'TAR FIN'!$A$1:$O$108,15,0))</f>
        <v>226.31</v>
      </c>
      <c r="X713" s="6">
        <f>IF(ISERROR(VLOOKUP($U$713,'TAR FIN'!$A$1:$O$108,15,0)),0,VLOOKUP($U$713,'TAR FIN'!$A$1:$O$108,15,0))</f>
        <v>64.67</v>
      </c>
      <c r="Y713" s="6"/>
      <c r="Z713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3" s="6">
        <f>('TE BE'!$AB$18+'TE BF'!$AB$18+'TE CVA'!$AB$18)*(1-CUSTOS!$M$35)</f>
        <v>134.68776783705368</v>
      </c>
      <c r="AB713" s="6">
        <f>$K$713*$V$713</f>
        <v>0</v>
      </c>
      <c r="AC713" s="6">
        <f>$M$713*$W$713</f>
        <v>-1041.7049299999999</v>
      </c>
      <c r="AD713" s="6">
        <f>$O$713*$X$713</f>
        <v>-297.67601000000002</v>
      </c>
      <c r="AE713" s="6">
        <f>$K$713*$Y$713</f>
        <v>0</v>
      </c>
      <c r="AF713" s="6">
        <f ca="1">$M$713*$Z$713</f>
        <v>-1097.6087168640986</v>
      </c>
      <c r="AG713" s="6">
        <f>$O$713*$AA$713</f>
        <v>-619.96779535395808</v>
      </c>
    </row>
    <row r="714" spans="1:3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1504.6690000000001</v>
      </c>
      <c r="M714" s="6">
        <v>1504.6690000000001</v>
      </c>
      <c r="N714" s="6">
        <v>1504.6690000000001</v>
      </c>
      <c r="O714" s="6">
        <v>1504.6690000000001</v>
      </c>
      <c r="P714" s="6">
        <v>7343</v>
      </c>
      <c r="Q714" s="4" t="s">
        <v>26</v>
      </c>
      <c r="R714" s="4">
        <v>0</v>
      </c>
      <c r="S714" s="6">
        <v>0</v>
      </c>
      <c r="T714" s="6">
        <v>29</v>
      </c>
      <c r="U714" s="6">
        <v>82</v>
      </c>
      <c r="V714" s="6">
        <f>IF(ISERROR(VLOOKUP($S$714,'TAR FIN'!$A$1:$O$108,15,0)),0,VLOOKUP($S$714,'TAR FIN'!$A$1:$O$108,15,0))</f>
        <v>0</v>
      </c>
      <c r="W714" s="6">
        <f>IF(ISERROR(VLOOKUP($T$714,'TAR FIN'!$A$1:$O$108,15,0)),0,VLOOKUP($T$714,'TAR FIN'!$A$1:$O$108,15,0))</f>
        <v>226.31</v>
      </c>
      <c r="X714" s="6">
        <f>IF(ISERROR(VLOOKUP($U$714,'TAR FIN'!$A$1:$O$108,15,0)),0,VLOOKUP($U$714,'TAR FIN'!$A$1:$O$108,15,0))</f>
        <v>64.67</v>
      </c>
      <c r="Y714" s="6"/>
      <c r="Z714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4" s="6">
        <f>('TE BE'!$AB$18+'TE BF'!$AB$18+'TE CVA'!$AB$18)*(1-CUSTOS!$M$35)</f>
        <v>134.68776783705368</v>
      </c>
      <c r="AB714" s="6">
        <f>$K$714*$V$714</f>
        <v>0</v>
      </c>
      <c r="AC714" s="6">
        <f>$M$714*$W$714</f>
        <v>340521.64139</v>
      </c>
      <c r="AD714" s="6">
        <f>$O$714*$X$714</f>
        <v>97306.944230000008</v>
      </c>
      <c r="AE714" s="6">
        <f>$K$714*$Y$714</f>
        <v>0</v>
      </c>
      <c r="AF714" s="6">
        <f ca="1">$M$714*$Z$714</f>
        <v>358795.96141542174</v>
      </c>
      <c r="AG714" s="6">
        <f>$O$714*$AA$714</f>
        <v>202660.50894361176</v>
      </c>
    </row>
    <row r="715" spans="1:3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44562</v>
      </c>
      <c r="J715" s="6">
        <v>0</v>
      </c>
      <c r="K715" s="6">
        <v>0</v>
      </c>
      <c r="L715" s="6">
        <v>-9.2029999999999994</v>
      </c>
      <c r="M715" s="6">
        <v>-9.2029999999999994</v>
      </c>
      <c r="N715" s="6">
        <v>-9.2029999999999994</v>
      </c>
      <c r="O715" s="6">
        <v>-9.2029999999999994</v>
      </c>
      <c r="P715" s="6">
        <v>-9</v>
      </c>
      <c r="Q715" s="4" t="s">
        <v>26</v>
      </c>
      <c r="R715" s="4">
        <v>0</v>
      </c>
      <c r="S715" s="6">
        <v>0</v>
      </c>
      <c r="T715" s="6">
        <v>29</v>
      </c>
      <c r="U715" s="6">
        <v>82</v>
      </c>
      <c r="V715" s="6">
        <f>IF(ISERROR(VLOOKUP($S$715,'TAR FIN'!$A$1:$O$108,15,0)),0,VLOOKUP($S$715,'TAR FIN'!$A$1:$O$108,15,0))</f>
        <v>0</v>
      </c>
      <c r="W715" s="6">
        <f>IF(ISERROR(VLOOKUP($T$715,'TAR FIN'!$A$1:$O$108,15,0)),0,VLOOKUP($T$715,'TAR FIN'!$A$1:$O$108,15,0))</f>
        <v>226.31</v>
      </c>
      <c r="X715" s="6">
        <f>IF(ISERROR(VLOOKUP($U$715,'TAR FIN'!$A$1:$O$108,15,0)),0,VLOOKUP($U$715,'TAR FIN'!$A$1:$O$108,15,0))</f>
        <v>64.67</v>
      </c>
      <c r="Y715" s="6"/>
      <c r="Z71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5" s="6">
        <f>('TE BE'!$AB$18+'TE BF'!$AB$18+'TE CVA'!$AB$18)*(1-CUSTOS!$M$35)</f>
        <v>134.68776783705368</v>
      </c>
      <c r="AB715" s="6">
        <f>$K$715*$V$715</f>
        <v>0</v>
      </c>
      <c r="AC715" s="6">
        <f>$M$715*$W$715</f>
        <v>-2082.7309299999997</v>
      </c>
      <c r="AD715" s="6">
        <f>$O$715*$X$715</f>
        <v>-595.15800999999999</v>
      </c>
      <c r="AE715" s="6">
        <f>$K$715*$Y$715</f>
        <v>0</v>
      </c>
      <c r="AF715" s="6">
        <f ca="1">$M$715*$Z$715</f>
        <v>-2194.5020684988699</v>
      </c>
      <c r="AG715" s="6">
        <f>$O$715*$AA$715</f>
        <v>-1239.5315274044049</v>
      </c>
    </row>
    <row r="716" spans="1:33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30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1523.7850000000001</v>
      </c>
      <c r="M716" s="6">
        <v>1523.7850000000001</v>
      </c>
      <c r="N716" s="6">
        <v>1523.7850000000001</v>
      </c>
      <c r="O716" s="6">
        <v>1523.7850000000001</v>
      </c>
      <c r="P716" s="6">
        <v>8117</v>
      </c>
      <c r="Q716" s="4" t="s">
        <v>26</v>
      </c>
      <c r="R716" s="4">
        <v>0</v>
      </c>
      <c r="S716" s="6">
        <v>0</v>
      </c>
      <c r="T716" s="6">
        <v>29</v>
      </c>
      <c r="U716" s="6">
        <v>82</v>
      </c>
      <c r="V716" s="6">
        <f>IF(ISERROR(VLOOKUP($S$716,'TAR FIN'!$A$1:$O$108,15,0)),0,VLOOKUP($S$716,'TAR FIN'!$A$1:$O$108,15,0))</f>
        <v>0</v>
      </c>
      <c r="W716" s="6">
        <f>IF(ISERROR(VLOOKUP($T$716,'TAR FIN'!$A$1:$O$108,15,0)),0,VLOOKUP($T$716,'TAR FIN'!$A$1:$O$108,15,0))</f>
        <v>226.31</v>
      </c>
      <c r="X716" s="6">
        <f>IF(ISERROR(VLOOKUP($U$716,'TAR FIN'!$A$1:$O$108,15,0)),0,VLOOKUP($U$716,'TAR FIN'!$A$1:$O$108,15,0))</f>
        <v>64.67</v>
      </c>
      <c r="Y716" s="6"/>
      <c r="Z716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6" s="6">
        <f>('TE BE'!$AB$18+'TE BF'!$AB$18+'TE CVA'!$AB$18)*(1-CUSTOS!$M$35)</f>
        <v>134.68776783705368</v>
      </c>
      <c r="AB716" s="6">
        <f>$K$716*$V$716</f>
        <v>0</v>
      </c>
      <c r="AC716" s="6">
        <f>$M$716*$W$716</f>
        <v>344847.78335000004</v>
      </c>
      <c r="AD716" s="6">
        <f>$O$716*$X$716</f>
        <v>98543.175950000004</v>
      </c>
      <c r="AE716" s="6">
        <f>$K$716*$Y$716</f>
        <v>0</v>
      </c>
      <c r="AF716" s="6">
        <f ca="1">$M$716*$Z$716</f>
        <v>363354.26865669357</v>
      </c>
      <c r="AG716" s="6">
        <f>$O$716*$AA$716</f>
        <v>205235.20031358485</v>
      </c>
    </row>
    <row r="717" spans="1:33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30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-7.7850000000000001</v>
      </c>
      <c r="M717" s="6">
        <v>-7.7850000000000001</v>
      </c>
      <c r="N717" s="6">
        <v>-7.7850000000000001</v>
      </c>
      <c r="O717" s="6">
        <v>-7.7850000000000001</v>
      </c>
      <c r="P717" s="6">
        <v>14</v>
      </c>
      <c r="Q717" s="4" t="s">
        <v>26</v>
      </c>
      <c r="R717" s="4">
        <v>0</v>
      </c>
      <c r="S717" s="6">
        <v>0</v>
      </c>
      <c r="T717" s="6">
        <v>29</v>
      </c>
      <c r="U717" s="6">
        <v>82</v>
      </c>
      <c r="V717" s="6">
        <f>IF(ISERROR(VLOOKUP($S$717,'TAR FIN'!$A$1:$O$108,15,0)),0,VLOOKUP($S$717,'TAR FIN'!$A$1:$O$108,15,0))</f>
        <v>0</v>
      </c>
      <c r="W717" s="6">
        <f>IF(ISERROR(VLOOKUP($T$717,'TAR FIN'!$A$1:$O$108,15,0)),0,VLOOKUP($T$717,'TAR FIN'!$A$1:$O$108,15,0))</f>
        <v>226.31</v>
      </c>
      <c r="X717" s="6">
        <f>IF(ISERROR(VLOOKUP($U$717,'TAR FIN'!$A$1:$O$108,15,0)),0,VLOOKUP($U$717,'TAR FIN'!$A$1:$O$108,15,0))</f>
        <v>64.67</v>
      </c>
      <c r="Y717" s="6"/>
      <c r="Z717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7" s="6">
        <f>('TE BE'!$AB$18+'TE BF'!$AB$18+'TE CVA'!$AB$18)*(1-CUSTOS!$M$35)</f>
        <v>134.68776783705368</v>
      </c>
      <c r="AB717" s="6">
        <f>$K$717*$V$717</f>
        <v>0</v>
      </c>
      <c r="AC717" s="6">
        <f>$M$717*$W$717</f>
        <v>-1761.8233500000001</v>
      </c>
      <c r="AD717" s="6">
        <f>$O$717*$X$717</f>
        <v>-503.45595000000003</v>
      </c>
      <c r="AE717" s="6">
        <f>$K$717*$Y$717</f>
        <v>0</v>
      </c>
      <c r="AF717" s="6">
        <f ca="1">$M$717*$Z$717</f>
        <v>-1856.3727701036296</v>
      </c>
      <c r="AG717" s="6">
        <f>$O$717*$AA$717</f>
        <v>-1048.5442726114629</v>
      </c>
    </row>
    <row r="718" spans="1:33" ht="11.25" customHeight="1" x14ac:dyDescent="0.25">
      <c r="A718" s="4" t="s">
        <v>21</v>
      </c>
      <c r="B718" s="4" t="s">
        <v>22</v>
      </c>
      <c r="C718" s="4" t="s">
        <v>23</v>
      </c>
      <c r="D718" s="4" t="s">
        <v>24</v>
      </c>
      <c r="E718" s="4" t="s">
        <v>30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1548.165</v>
      </c>
      <c r="M718" s="6">
        <v>1548.165</v>
      </c>
      <c r="N718" s="6">
        <v>1548.165</v>
      </c>
      <c r="O718" s="6">
        <v>1548.165</v>
      </c>
      <c r="P718" s="6">
        <v>7631</v>
      </c>
      <c r="Q718" s="4" t="s">
        <v>26</v>
      </c>
      <c r="R718" s="4">
        <v>0</v>
      </c>
      <c r="S718" s="6">
        <v>0</v>
      </c>
      <c r="T718" s="6">
        <v>29</v>
      </c>
      <c r="U718" s="6">
        <v>82</v>
      </c>
      <c r="V718" s="6">
        <f>IF(ISERROR(VLOOKUP($S$718,'TAR FIN'!$A$1:$O$108,15,0)),0,VLOOKUP($S$718,'TAR FIN'!$A$1:$O$108,15,0))</f>
        <v>0</v>
      </c>
      <c r="W718" s="6">
        <f>IF(ISERROR(VLOOKUP($T$718,'TAR FIN'!$A$1:$O$108,15,0)),0,VLOOKUP($T$718,'TAR FIN'!$A$1:$O$108,15,0))</f>
        <v>226.31</v>
      </c>
      <c r="X718" s="6">
        <f>IF(ISERROR(VLOOKUP($U$718,'TAR FIN'!$A$1:$O$108,15,0)),0,VLOOKUP($U$718,'TAR FIN'!$A$1:$O$108,15,0))</f>
        <v>64.67</v>
      </c>
      <c r="Y718" s="6"/>
      <c r="Z718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8" s="6">
        <f>('TE BE'!$AB$18+'TE BF'!$AB$18+'TE CVA'!$AB$18)*(1-CUSTOS!$M$35)</f>
        <v>134.68776783705368</v>
      </c>
      <c r="AB718" s="6">
        <f>$K$718*$V$718</f>
        <v>0</v>
      </c>
      <c r="AC718" s="6">
        <f>$M$718*$W$718</f>
        <v>350365.22115</v>
      </c>
      <c r="AD718" s="6">
        <f>$O$718*$X$718</f>
        <v>100119.83055</v>
      </c>
      <c r="AE718" s="6">
        <f>$K$718*$Y$718</f>
        <v>0</v>
      </c>
      <c r="AF718" s="6">
        <f ca="1">$M$718*$Z$718</f>
        <v>369167.80342035781</v>
      </c>
      <c r="AG718" s="6">
        <f>$O$718*$AA$718</f>
        <v>208518.8880934522</v>
      </c>
    </row>
    <row r="719" spans="1:33" ht="11.25" customHeight="1" x14ac:dyDescent="0.25">
      <c r="A719" s="4" t="s">
        <v>27</v>
      </c>
      <c r="B719" s="4" t="s">
        <v>22</v>
      </c>
      <c r="C719" s="4" t="s">
        <v>23</v>
      </c>
      <c r="D719" s="4" t="s">
        <v>24</v>
      </c>
      <c r="E719" s="4" t="s">
        <v>30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-14.787000000000001</v>
      </c>
      <c r="M719" s="6">
        <v>-14.787000000000001</v>
      </c>
      <c r="N719" s="6">
        <v>-14.787000000000001</v>
      </c>
      <c r="O719" s="6">
        <v>-14.787000000000001</v>
      </c>
      <c r="P719" s="6">
        <v>-63</v>
      </c>
      <c r="Q719" s="4" t="s">
        <v>26</v>
      </c>
      <c r="R719" s="4">
        <v>0</v>
      </c>
      <c r="S719" s="6">
        <v>0</v>
      </c>
      <c r="T719" s="6">
        <v>29</v>
      </c>
      <c r="U719" s="6">
        <v>82</v>
      </c>
      <c r="V719" s="6">
        <f>IF(ISERROR(VLOOKUP($S$719,'TAR FIN'!$A$1:$O$108,15,0)),0,VLOOKUP($S$719,'TAR FIN'!$A$1:$O$108,15,0))</f>
        <v>0</v>
      </c>
      <c r="W719" s="6">
        <f>IF(ISERROR(VLOOKUP($T$719,'TAR FIN'!$A$1:$O$108,15,0)),0,VLOOKUP($T$719,'TAR FIN'!$A$1:$O$108,15,0))</f>
        <v>226.31</v>
      </c>
      <c r="X719" s="6">
        <f>IF(ISERROR(VLOOKUP($U$719,'TAR FIN'!$A$1:$O$108,15,0)),0,VLOOKUP($U$719,'TAR FIN'!$A$1:$O$108,15,0))</f>
        <v>64.67</v>
      </c>
      <c r="Y719" s="6"/>
      <c r="Z719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19" s="6">
        <f>('TE BE'!$AB$18+'TE BF'!$AB$18+'TE CVA'!$AB$18)*(1-CUSTOS!$M$35)</f>
        <v>134.68776783705368</v>
      </c>
      <c r="AB719" s="6">
        <f>$K$719*$V$719</f>
        <v>0</v>
      </c>
      <c r="AC719" s="6">
        <f>$M$719*$W$719</f>
        <v>-3346.4459700000002</v>
      </c>
      <c r="AD719" s="6">
        <f>$O$719*$X$719</f>
        <v>-956.27529000000004</v>
      </c>
      <c r="AE719" s="6">
        <f>$K$719*$Y$719</f>
        <v>0</v>
      </c>
      <c r="AF719" s="6">
        <f ca="1">$M$719*$Z$719</f>
        <v>-3526.0352153529061</v>
      </c>
      <c r="AG719" s="6">
        <f>$O$719*$AA$719</f>
        <v>-1991.6280230065129</v>
      </c>
    </row>
    <row r="720" spans="1:3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30</v>
      </c>
      <c r="F720" s="4" t="s">
        <v>25</v>
      </c>
      <c r="G720" s="4" t="s">
        <v>25</v>
      </c>
      <c r="H720" s="4" t="s">
        <v>25</v>
      </c>
      <c r="I720" s="5">
        <v>44652</v>
      </c>
      <c r="J720" s="6">
        <v>0</v>
      </c>
      <c r="K720" s="6">
        <v>0</v>
      </c>
      <c r="L720" s="6">
        <v>1651.316</v>
      </c>
      <c r="M720" s="6">
        <v>1651.316</v>
      </c>
      <c r="N720" s="6">
        <v>1651.316</v>
      </c>
      <c r="O720" s="6">
        <v>1651.316</v>
      </c>
      <c r="P720" s="6">
        <v>8321</v>
      </c>
      <c r="Q720" s="4" t="s">
        <v>26</v>
      </c>
      <c r="R720" s="4">
        <v>0</v>
      </c>
      <c r="S720" s="6">
        <v>0</v>
      </c>
      <c r="T720" s="6">
        <v>29</v>
      </c>
      <c r="U720" s="6">
        <v>82</v>
      </c>
      <c r="V720" s="6">
        <f>IF(ISERROR(VLOOKUP($S$720,'TAR FIN'!$A$1:$O$108,15,0)),0,VLOOKUP($S$720,'TAR FIN'!$A$1:$O$108,15,0))</f>
        <v>0</v>
      </c>
      <c r="W720" s="6">
        <f>IF(ISERROR(VLOOKUP($T$720,'TAR FIN'!$A$1:$O$108,15,0)),0,VLOOKUP($T$720,'TAR FIN'!$A$1:$O$108,15,0))</f>
        <v>226.31</v>
      </c>
      <c r="X720" s="6">
        <f>IF(ISERROR(VLOOKUP($U$720,'TAR FIN'!$A$1:$O$108,15,0)),0,VLOOKUP($U$720,'TAR FIN'!$A$1:$O$108,15,0))</f>
        <v>64.67</v>
      </c>
      <c r="Y720" s="6"/>
      <c r="Z720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0" s="6">
        <f>('TE BE'!$AB$18+'TE BF'!$AB$18+'TE CVA'!$AB$18)*(1-CUSTOS!$M$35)</f>
        <v>134.68776783705368</v>
      </c>
      <c r="AB720" s="6">
        <f>$K$720*$V$720</f>
        <v>0</v>
      </c>
      <c r="AC720" s="6">
        <f>$M$720*$W$720</f>
        <v>373709.32396000001</v>
      </c>
      <c r="AD720" s="6">
        <f>$O$720*$X$720</f>
        <v>106790.60572000001</v>
      </c>
      <c r="AE720" s="6">
        <f>$K$720*$Y$720</f>
        <v>0</v>
      </c>
      <c r="AF720" s="6">
        <f ca="1">$M$720*$Z$720</f>
        <v>393764.6830104618</v>
      </c>
      <c r="AG720" s="6">
        <f>$O$720*$AA$720</f>
        <v>222412.06603361215</v>
      </c>
    </row>
    <row r="721" spans="1:3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30</v>
      </c>
      <c r="F721" s="4" t="s">
        <v>25</v>
      </c>
      <c r="G721" s="4" t="s">
        <v>25</v>
      </c>
      <c r="H721" s="4" t="s">
        <v>25</v>
      </c>
      <c r="I721" s="5">
        <v>44652</v>
      </c>
      <c r="J721" s="6">
        <v>0</v>
      </c>
      <c r="K721" s="6">
        <v>0</v>
      </c>
      <c r="L721" s="6">
        <v>-14.840999999999999</v>
      </c>
      <c r="M721" s="6">
        <v>-14.840999999999999</v>
      </c>
      <c r="N721" s="6">
        <v>-14.840999999999999</v>
      </c>
      <c r="O721" s="6">
        <v>-14.840999999999999</v>
      </c>
      <c r="P721" s="6">
        <v>-9</v>
      </c>
      <c r="Q721" s="4" t="s">
        <v>26</v>
      </c>
      <c r="R721" s="4">
        <v>0</v>
      </c>
      <c r="S721" s="6">
        <v>0</v>
      </c>
      <c r="T721" s="6">
        <v>29</v>
      </c>
      <c r="U721" s="6">
        <v>82</v>
      </c>
      <c r="V721" s="6">
        <f>IF(ISERROR(VLOOKUP($S$721,'TAR FIN'!$A$1:$O$108,15,0)),0,VLOOKUP($S$721,'TAR FIN'!$A$1:$O$108,15,0))</f>
        <v>0</v>
      </c>
      <c r="W721" s="6">
        <f>IF(ISERROR(VLOOKUP($T$721,'TAR FIN'!$A$1:$O$108,15,0)),0,VLOOKUP($T$721,'TAR FIN'!$A$1:$O$108,15,0))</f>
        <v>226.31</v>
      </c>
      <c r="X721" s="6">
        <f>IF(ISERROR(VLOOKUP($U$721,'TAR FIN'!$A$1:$O$108,15,0)),0,VLOOKUP($U$721,'TAR FIN'!$A$1:$O$108,15,0))</f>
        <v>64.67</v>
      </c>
      <c r="Y721" s="6"/>
      <c r="Z721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1" s="6">
        <f>('TE BE'!$AB$18+'TE BF'!$AB$18+'TE CVA'!$AB$18)*(1-CUSTOS!$M$35)</f>
        <v>134.68776783705368</v>
      </c>
      <c r="AB721" s="6">
        <f>$K$721*$V$721</f>
        <v>0</v>
      </c>
      <c r="AC721" s="6">
        <f>$M$721*$W$721</f>
        <v>-3358.66671</v>
      </c>
      <c r="AD721" s="6">
        <f>$O$721*$X$721</f>
        <v>-959.76747</v>
      </c>
      <c r="AE721" s="6">
        <f>$K$721*$Y$721</f>
        <v>0</v>
      </c>
      <c r="AF721" s="6">
        <f ca="1">$M$721*$Z$721</f>
        <v>-3538.9117894807919</v>
      </c>
      <c r="AG721" s="6">
        <f>$O$721*$AA$721</f>
        <v>-1998.9011624697137</v>
      </c>
    </row>
    <row r="722" spans="1:33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30</v>
      </c>
      <c r="F722" s="4" t="s">
        <v>25</v>
      </c>
      <c r="G722" s="4" t="s">
        <v>25</v>
      </c>
      <c r="H722" s="4" t="s">
        <v>25</v>
      </c>
      <c r="I722" s="5">
        <v>44682</v>
      </c>
      <c r="J722" s="6">
        <v>0</v>
      </c>
      <c r="K722" s="6">
        <v>0</v>
      </c>
      <c r="L722" s="6">
        <v>1662.25</v>
      </c>
      <c r="M722" s="6">
        <v>1662.25</v>
      </c>
      <c r="N722" s="6">
        <v>1662.25</v>
      </c>
      <c r="O722" s="6">
        <v>1662.25</v>
      </c>
      <c r="P722" s="6">
        <v>7645</v>
      </c>
      <c r="Q722" s="4" t="s">
        <v>26</v>
      </c>
      <c r="R722" s="4">
        <v>0</v>
      </c>
      <c r="S722" s="6">
        <v>0</v>
      </c>
      <c r="T722" s="6">
        <v>29</v>
      </c>
      <c r="U722" s="6">
        <v>82</v>
      </c>
      <c r="V722" s="6">
        <f>IF(ISERROR(VLOOKUP($S$722,'TAR FIN'!$A$1:$O$108,15,0)),0,VLOOKUP($S$722,'TAR FIN'!$A$1:$O$108,15,0))</f>
        <v>0</v>
      </c>
      <c r="W722" s="6">
        <f>IF(ISERROR(VLOOKUP($T$722,'TAR FIN'!$A$1:$O$108,15,0)),0,VLOOKUP($T$722,'TAR FIN'!$A$1:$O$108,15,0))</f>
        <v>226.31</v>
      </c>
      <c r="X722" s="6">
        <f>IF(ISERROR(VLOOKUP($U$722,'TAR FIN'!$A$1:$O$108,15,0)),0,VLOOKUP($U$722,'TAR FIN'!$A$1:$O$108,15,0))</f>
        <v>64.67</v>
      </c>
      <c r="Y722" s="6"/>
      <c r="Z722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2" s="6">
        <f>('TE BE'!$AB$18+'TE BF'!$AB$18+'TE CVA'!$AB$18)*(1-CUSTOS!$M$35)</f>
        <v>134.68776783705368</v>
      </c>
      <c r="AB722" s="6">
        <f>$K$722*$V$722</f>
        <v>0</v>
      </c>
      <c r="AC722" s="6">
        <f>$M$722*$W$722</f>
        <v>376183.79749999999</v>
      </c>
      <c r="AD722" s="6">
        <f>$O$722*$X$722</f>
        <v>107497.7075</v>
      </c>
      <c r="AE722" s="6">
        <f>$K$722*$Y$722</f>
        <v>0</v>
      </c>
      <c r="AF722" s="6">
        <f ca="1">$M$722*$Z$722</f>
        <v>396371.95081628236</v>
      </c>
      <c r="AG722" s="6">
        <f>$O$722*$AA$722</f>
        <v>223884.74208714248</v>
      </c>
    </row>
    <row r="723" spans="1:33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30</v>
      </c>
      <c r="F723" s="4" t="s">
        <v>25</v>
      </c>
      <c r="G723" s="4" t="s">
        <v>25</v>
      </c>
      <c r="H723" s="4" t="s">
        <v>25</v>
      </c>
      <c r="I723" s="5">
        <v>44682</v>
      </c>
      <c r="J723" s="6">
        <v>0</v>
      </c>
      <c r="K723" s="6">
        <v>0</v>
      </c>
      <c r="L723" s="6">
        <v>-8.1579999999999995</v>
      </c>
      <c r="M723" s="6">
        <v>-8.1579999999999995</v>
      </c>
      <c r="N723" s="6">
        <v>-8.1579999999999995</v>
      </c>
      <c r="O723" s="6">
        <v>-8.1579999999999995</v>
      </c>
      <c r="P723" s="6">
        <v>9</v>
      </c>
      <c r="Q723" s="4" t="s">
        <v>26</v>
      </c>
      <c r="R723" s="4">
        <v>0</v>
      </c>
      <c r="S723" s="6">
        <v>0</v>
      </c>
      <c r="T723" s="6">
        <v>29</v>
      </c>
      <c r="U723" s="6">
        <v>82</v>
      </c>
      <c r="V723" s="6">
        <f>IF(ISERROR(VLOOKUP($S$723,'TAR FIN'!$A$1:$O$108,15,0)),0,VLOOKUP($S$723,'TAR FIN'!$A$1:$O$108,15,0))</f>
        <v>0</v>
      </c>
      <c r="W723" s="6">
        <f>IF(ISERROR(VLOOKUP($T$723,'TAR FIN'!$A$1:$O$108,15,0)),0,VLOOKUP($T$723,'TAR FIN'!$A$1:$O$108,15,0))</f>
        <v>226.31</v>
      </c>
      <c r="X723" s="6">
        <f>IF(ISERROR(VLOOKUP($U$723,'TAR FIN'!$A$1:$O$108,15,0)),0,VLOOKUP($U$723,'TAR FIN'!$A$1:$O$108,15,0))</f>
        <v>64.67</v>
      </c>
      <c r="Y723" s="6"/>
      <c r="Z723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3" s="6">
        <f>('TE BE'!$AB$18+'TE BF'!$AB$18+'TE CVA'!$AB$18)*(1-CUSTOS!$M$35)</f>
        <v>134.68776783705368</v>
      </c>
      <c r="AB723" s="6">
        <f>$K$723*$V$723</f>
        <v>0</v>
      </c>
      <c r="AC723" s="6">
        <f>$M$723*$W$723</f>
        <v>-1846.2369799999999</v>
      </c>
      <c r="AD723" s="6">
        <f>$O$723*$X$723</f>
        <v>-527.57785999999999</v>
      </c>
      <c r="AE723" s="6">
        <f>$K$723*$Y$723</f>
        <v>0</v>
      </c>
      <c r="AF723" s="6">
        <f ca="1">$M$723*$Z$723</f>
        <v>-1945.3165136166228</v>
      </c>
      <c r="AG723" s="6">
        <f>$O$723*$AA$723</f>
        <v>-1098.7828100146839</v>
      </c>
    </row>
    <row r="724" spans="1:33" ht="11.25" customHeight="1" x14ac:dyDescent="0.25">
      <c r="A724" s="4" t="s">
        <v>21</v>
      </c>
      <c r="B724" s="4" t="s">
        <v>22</v>
      </c>
      <c r="C724" s="4" t="s">
        <v>23</v>
      </c>
      <c r="D724" s="4" t="s">
        <v>24</v>
      </c>
      <c r="E724" s="4" t="s">
        <v>30</v>
      </c>
      <c r="F724" s="4" t="s">
        <v>25</v>
      </c>
      <c r="G724" s="4" t="s">
        <v>25</v>
      </c>
      <c r="H724" s="4" t="s">
        <v>25</v>
      </c>
      <c r="I724" s="5">
        <v>44713</v>
      </c>
      <c r="J724" s="6">
        <v>0</v>
      </c>
      <c r="K724" s="6">
        <v>0</v>
      </c>
      <c r="L724" s="6">
        <v>1752.2</v>
      </c>
      <c r="M724" s="6">
        <v>1752.2</v>
      </c>
      <c r="N724" s="6">
        <v>1752.2</v>
      </c>
      <c r="O724" s="6">
        <v>1752.2</v>
      </c>
      <c r="P724" s="6">
        <v>7669</v>
      </c>
      <c r="Q724" s="4" t="s">
        <v>26</v>
      </c>
      <c r="R724" s="4">
        <v>0</v>
      </c>
      <c r="S724" s="6">
        <v>0</v>
      </c>
      <c r="T724" s="6">
        <v>29</v>
      </c>
      <c r="U724" s="6">
        <v>82</v>
      </c>
      <c r="V724" s="6">
        <f>IF(ISERROR(VLOOKUP($S$724,'TAR FIN'!$A$1:$O$108,15,0)),0,VLOOKUP($S$724,'TAR FIN'!$A$1:$O$108,15,0))</f>
        <v>0</v>
      </c>
      <c r="W724" s="6">
        <f>IF(ISERROR(VLOOKUP($T$724,'TAR FIN'!$A$1:$O$108,15,0)),0,VLOOKUP($T$724,'TAR FIN'!$A$1:$O$108,15,0))</f>
        <v>226.31</v>
      </c>
      <c r="X724" s="6">
        <f>IF(ISERROR(VLOOKUP($U$724,'TAR FIN'!$A$1:$O$108,15,0)),0,VLOOKUP($U$724,'TAR FIN'!$A$1:$O$108,15,0))</f>
        <v>64.67</v>
      </c>
      <c r="Y724" s="6"/>
      <c r="Z724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4" s="6">
        <f>('TE BE'!$AB$18+'TE BF'!$AB$18+'TE CVA'!$AB$18)*(1-CUSTOS!$M$35)</f>
        <v>134.68776783705368</v>
      </c>
      <c r="AB724" s="6">
        <f>$K$724*$V$724</f>
        <v>0</v>
      </c>
      <c r="AC724" s="6">
        <f>$M$724*$W$724</f>
        <v>396540.38200000004</v>
      </c>
      <c r="AD724" s="6">
        <f>$O$724*$X$724</f>
        <v>113314.774</v>
      </c>
      <c r="AE724" s="6">
        <f>$K$724*$Y$724</f>
        <v>0</v>
      </c>
      <c r="AF724" s="6">
        <f ca="1">$M$724*$Z$724</f>
        <v>417820.98494227102</v>
      </c>
      <c r="AG724" s="6">
        <f>$O$724*$AA$724</f>
        <v>235999.90680408548</v>
      </c>
    </row>
    <row r="725" spans="1:33" ht="11.25" customHeight="1" x14ac:dyDescent="0.25">
      <c r="A725" s="4" t="s">
        <v>27</v>
      </c>
      <c r="B725" s="4" t="s">
        <v>22</v>
      </c>
      <c r="C725" s="4" t="s">
        <v>23</v>
      </c>
      <c r="D725" s="4" t="s">
        <v>24</v>
      </c>
      <c r="E725" s="4" t="s">
        <v>30</v>
      </c>
      <c r="F725" s="4" t="s">
        <v>25</v>
      </c>
      <c r="G725" s="4" t="s">
        <v>25</v>
      </c>
      <c r="H725" s="4" t="s">
        <v>25</v>
      </c>
      <c r="I725" s="5">
        <v>44713</v>
      </c>
      <c r="J725" s="6">
        <v>0</v>
      </c>
      <c r="K725" s="6">
        <v>0</v>
      </c>
      <c r="L725" s="6">
        <v>-8.2530000000000001</v>
      </c>
      <c r="M725" s="6">
        <v>-8.2530000000000001</v>
      </c>
      <c r="N725" s="6">
        <v>-8.2530000000000001</v>
      </c>
      <c r="O725" s="6">
        <v>-8.2530000000000001</v>
      </c>
      <c r="P725" s="6">
        <v>-51</v>
      </c>
      <c r="Q725" s="4" t="s">
        <v>26</v>
      </c>
      <c r="R725" s="4">
        <v>0</v>
      </c>
      <c r="S725" s="6">
        <v>0</v>
      </c>
      <c r="T725" s="6">
        <v>29</v>
      </c>
      <c r="U725" s="6">
        <v>82</v>
      </c>
      <c r="V725" s="6">
        <f>IF(ISERROR(VLOOKUP($S$725,'TAR FIN'!$A$1:$O$108,15,0)),0,VLOOKUP($S$725,'TAR FIN'!$A$1:$O$108,15,0))</f>
        <v>0</v>
      </c>
      <c r="W725" s="6">
        <f>IF(ISERROR(VLOOKUP($T$725,'TAR FIN'!$A$1:$O$108,15,0)),0,VLOOKUP($T$725,'TAR FIN'!$A$1:$O$108,15,0))</f>
        <v>226.31</v>
      </c>
      <c r="X725" s="6">
        <f>IF(ISERROR(VLOOKUP($U$725,'TAR FIN'!$A$1:$O$108,15,0)),0,VLOOKUP($U$725,'TAR FIN'!$A$1:$O$108,15,0))</f>
        <v>64.67</v>
      </c>
      <c r="Y725" s="6"/>
      <c r="Z72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5" s="6">
        <f>('TE BE'!$AB$18+'TE BF'!$AB$18+'TE CVA'!$AB$18)*(1-CUSTOS!$M$35)</f>
        <v>134.68776783705368</v>
      </c>
      <c r="AB725" s="6">
        <f>$K$725*$V$725</f>
        <v>0</v>
      </c>
      <c r="AC725" s="6">
        <f>$M$725*$W$725</f>
        <v>-1867.7364300000002</v>
      </c>
      <c r="AD725" s="6">
        <f>$O$725*$X$725</f>
        <v>-533.72150999999997</v>
      </c>
      <c r="AE725" s="6">
        <f>$K$725*$Y$725</f>
        <v>0</v>
      </c>
      <c r="AF725" s="6">
        <f ca="1">$M$725*$Z$725</f>
        <v>-1967.9697458786457</v>
      </c>
      <c r="AG725" s="6">
        <f>$O$725*$AA$725</f>
        <v>-1111.578147959204</v>
      </c>
    </row>
    <row r="726" spans="1:3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30</v>
      </c>
      <c r="F726" s="4" t="s">
        <v>25</v>
      </c>
      <c r="G726" s="4" t="s">
        <v>25</v>
      </c>
      <c r="H726" s="4" t="s">
        <v>25</v>
      </c>
      <c r="I726" s="5">
        <v>44743</v>
      </c>
      <c r="J726" s="6">
        <v>0</v>
      </c>
      <c r="K726" s="6">
        <v>0</v>
      </c>
      <c r="L726" s="6">
        <v>1832.152</v>
      </c>
      <c r="M726" s="6">
        <v>1832.152</v>
      </c>
      <c r="N726" s="6">
        <v>1832.152</v>
      </c>
      <c r="O726" s="6">
        <v>1832.152</v>
      </c>
      <c r="P726" s="6">
        <v>7922</v>
      </c>
      <c r="Q726" s="4" t="s">
        <v>26</v>
      </c>
      <c r="R726" s="4">
        <v>0</v>
      </c>
      <c r="S726" s="6">
        <v>0</v>
      </c>
      <c r="T726" s="6">
        <v>29</v>
      </c>
      <c r="U726" s="6">
        <v>82</v>
      </c>
      <c r="V726" s="6">
        <f>IF(ISERROR(VLOOKUP($S$726,'TAR FIN'!$A$1:$O$108,15,0)),0,VLOOKUP($S$726,'TAR FIN'!$A$1:$O$108,15,0))</f>
        <v>0</v>
      </c>
      <c r="W726" s="6">
        <f>IF(ISERROR(VLOOKUP($T$726,'TAR FIN'!$A$1:$O$108,15,0)),0,VLOOKUP($T$726,'TAR FIN'!$A$1:$O$108,15,0))</f>
        <v>226.31</v>
      </c>
      <c r="X726" s="6">
        <f>IF(ISERROR(VLOOKUP($U$726,'TAR FIN'!$A$1:$O$108,15,0)),0,VLOOKUP($U$726,'TAR FIN'!$A$1:$O$108,15,0))</f>
        <v>64.67</v>
      </c>
      <c r="Y726" s="6"/>
      <c r="Z726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6" s="6">
        <f>('TE BE'!$AB$18+'TE BF'!$AB$18+'TE CVA'!$AB$18)*(1-CUSTOS!$M$35)</f>
        <v>134.68776783705368</v>
      </c>
      <c r="AB726" s="6">
        <f>$K$726*$V$726</f>
        <v>0</v>
      </c>
      <c r="AC726" s="6">
        <f>$M$726*$W$726</f>
        <v>414634.31912</v>
      </c>
      <c r="AD726" s="6">
        <f>$O$726*$X$726</f>
        <v>118485.26984000001</v>
      </c>
      <c r="AE726" s="6">
        <f>$K$726*$Y$726</f>
        <v>0</v>
      </c>
      <c r="AF726" s="6">
        <f ca="1">$M$726*$Z$726</f>
        <v>436885.94521398912</v>
      </c>
      <c r="AG726" s="6">
        <f>$O$726*$AA$726</f>
        <v>246768.46321819359</v>
      </c>
    </row>
    <row r="727" spans="1:33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30</v>
      </c>
      <c r="F727" s="4" t="s">
        <v>25</v>
      </c>
      <c r="G727" s="4" t="s">
        <v>25</v>
      </c>
      <c r="H727" s="4" t="s">
        <v>25</v>
      </c>
      <c r="I727" s="5">
        <v>44743</v>
      </c>
      <c r="J727" s="6">
        <v>0</v>
      </c>
      <c r="K727" s="6">
        <v>0</v>
      </c>
      <c r="L727" s="6">
        <v>-5.266</v>
      </c>
      <c r="M727" s="6">
        <v>-5.266</v>
      </c>
      <c r="N727" s="6">
        <v>-5.266</v>
      </c>
      <c r="O727" s="6">
        <v>-5.266</v>
      </c>
      <c r="P727" s="6">
        <v>-3</v>
      </c>
      <c r="Q727" s="4" t="s">
        <v>26</v>
      </c>
      <c r="R727" s="4">
        <v>0</v>
      </c>
      <c r="S727" s="6">
        <v>0</v>
      </c>
      <c r="T727" s="6">
        <v>29</v>
      </c>
      <c r="U727" s="6">
        <v>82</v>
      </c>
      <c r="V727" s="6">
        <f>IF(ISERROR(VLOOKUP($S$727,'TAR FIN'!$A$1:$O$108,15,0)),0,VLOOKUP($S$727,'TAR FIN'!$A$1:$O$108,15,0))</f>
        <v>0</v>
      </c>
      <c r="W727" s="6">
        <f>IF(ISERROR(VLOOKUP($T$727,'TAR FIN'!$A$1:$O$108,15,0)),0,VLOOKUP($T$727,'TAR FIN'!$A$1:$O$108,15,0))</f>
        <v>226.31</v>
      </c>
      <c r="X727" s="6">
        <f>IF(ISERROR(VLOOKUP($U$727,'TAR FIN'!$A$1:$O$108,15,0)),0,VLOOKUP($U$727,'TAR FIN'!$A$1:$O$108,15,0))</f>
        <v>64.67</v>
      </c>
      <c r="Y727" s="6"/>
      <c r="Z727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7" s="6">
        <f>('TE BE'!$AB$18+'TE BF'!$AB$18+'TE CVA'!$AB$18)*(1-CUSTOS!$M$35)</f>
        <v>134.68776783705368</v>
      </c>
      <c r="AB727" s="6">
        <f>$K$727*$V$727</f>
        <v>0</v>
      </c>
      <c r="AC727" s="6">
        <f>$M$727*$W$727</f>
        <v>-1191.74846</v>
      </c>
      <c r="AD727" s="6">
        <f>$O$727*$X$727</f>
        <v>-340.55222000000003</v>
      </c>
      <c r="AE727" s="6">
        <f>$K$727*$Y$727</f>
        <v>0</v>
      </c>
      <c r="AF727" s="6">
        <f ca="1">$M$727*$Z$727</f>
        <v>-1255.704432545371</v>
      </c>
      <c r="AG727" s="6">
        <f>$O$727*$AA$727</f>
        <v>-709.26578542992468</v>
      </c>
    </row>
    <row r="728" spans="1:3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30</v>
      </c>
      <c r="F728" s="4" t="s">
        <v>25</v>
      </c>
      <c r="G728" s="4" t="s">
        <v>25</v>
      </c>
      <c r="H728" s="4" t="s">
        <v>25</v>
      </c>
      <c r="I728" s="5">
        <v>44774</v>
      </c>
      <c r="J728" s="6">
        <v>0</v>
      </c>
      <c r="K728" s="6">
        <v>0</v>
      </c>
      <c r="L728" s="6">
        <v>1927.788</v>
      </c>
      <c r="M728" s="6">
        <v>1927.788</v>
      </c>
      <c r="N728" s="6">
        <v>1927.788</v>
      </c>
      <c r="O728" s="6">
        <v>1927.788</v>
      </c>
      <c r="P728" s="6">
        <v>7662</v>
      </c>
      <c r="Q728" s="4" t="s">
        <v>26</v>
      </c>
      <c r="R728" s="4">
        <v>0</v>
      </c>
      <c r="S728" s="6">
        <v>0</v>
      </c>
      <c r="T728" s="6">
        <v>29</v>
      </c>
      <c r="U728" s="6">
        <v>82</v>
      </c>
      <c r="V728" s="6">
        <f>IF(ISERROR(VLOOKUP($S$728,'TAR FIN'!$A$1:$O$108,15,0)),0,VLOOKUP($S$728,'TAR FIN'!$A$1:$O$108,15,0))</f>
        <v>0</v>
      </c>
      <c r="W728" s="6">
        <f>IF(ISERROR(VLOOKUP($T$728,'TAR FIN'!$A$1:$O$108,15,0)),0,VLOOKUP($T$728,'TAR FIN'!$A$1:$O$108,15,0))</f>
        <v>226.31</v>
      </c>
      <c r="X728" s="6">
        <f>IF(ISERROR(VLOOKUP($U$728,'TAR FIN'!$A$1:$O$108,15,0)),0,VLOOKUP($U$728,'TAR FIN'!$A$1:$O$108,15,0))</f>
        <v>64.67</v>
      </c>
      <c r="Y728" s="6"/>
      <c r="Z728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8" s="6">
        <f>('TE BE'!$AB$18+'TE BF'!$AB$18+'TE CVA'!$AB$18)*(1-CUSTOS!$M$35)</f>
        <v>134.68776783705368</v>
      </c>
      <c r="AB728" s="6">
        <f>$K$728*$V$728</f>
        <v>0</v>
      </c>
      <c r="AC728" s="6">
        <f>$M$728*$W$728</f>
        <v>436277.70228000003</v>
      </c>
      <c r="AD728" s="6">
        <f>$O$728*$X$728</f>
        <v>124670.04996</v>
      </c>
      <c r="AE728" s="6">
        <f>$K$728*$Y$728</f>
        <v>0</v>
      </c>
      <c r="AF728" s="6">
        <f ca="1">$M$728*$Z$728</f>
        <v>459690.83490462892</v>
      </c>
      <c r="AG728" s="6">
        <f>$O$728*$AA$728</f>
        <v>259649.46258305805</v>
      </c>
    </row>
    <row r="729" spans="1:3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30</v>
      </c>
      <c r="F729" s="4" t="s">
        <v>25</v>
      </c>
      <c r="G729" s="4" t="s">
        <v>25</v>
      </c>
      <c r="H729" s="4" t="s">
        <v>25</v>
      </c>
      <c r="I729" s="5">
        <v>44774</v>
      </c>
      <c r="J729" s="6">
        <v>0</v>
      </c>
      <c r="K729" s="6">
        <v>0</v>
      </c>
      <c r="L729" s="6">
        <v>-12.115</v>
      </c>
      <c r="M729" s="6">
        <v>-12.115</v>
      </c>
      <c r="N729" s="6">
        <v>-12.115</v>
      </c>
      <c r="O729" s="6">
        <v>-12.115</v>
      </c>
      <c r="P729" s="6">
        <v>17</v>
      </c>
      <c r="Q729" s="4" t="s">
        <v>26</v>
      </c>
      <c r="R729" s="4">
        <v>0</v>
      </c>
      <c r="S729" s="6">
        <v>0</v>
      </c>
      <c r="T729" s="6">
        <v>29</v>
      </c>
      <c r="U729" s="6">
        <v>82</v>
      </c>
      <c r="V729" s="6">
        <f>IF(ISERROR(VLOOKUP($S$729,'TAR FIN'!$A$1:$O$108,15,0)),0,VLOOKUP($S$729,'TAR FIN'!$A$1:$O$108,15,0))</f>
        <v>0</v>
      </c>
      <c r="W729" s="6">
        <f>IF(ISERROR(VLOOKUP($T$729,'TAR FIN'!$A$1:$O$108,15,0)),0,VLOOKUP($T$729,'TAR FIN'!$A$1:$O$108,15,0))</f>
        <v>226.31</v>
      </c>
      <c r="X729" s="6">
        <f>IF(ISERROR(VLOOKUP($U$729,'TAR FIN'!$A$1:$O$108,15,0)),0,VLOOKUP($U$729,'TAR FIN'!$A$1:$O$108,15,0))</f>
        <v>64.67</v>
      </c>
      <c r="Y729" s="6"/>
      <c r="Z729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29" s="6">
        <f>('TE BE'!$AB$18+'TE BF'!$AB$18+'TE CVA'!$AB$18)*(1-CUSTOS!$M$35)</f>
        <v>134.68776783705368</v>
      </c>
      <c r="AB729" s="6">
        <f>$K$729*$V$729</f>
        <v>0</v>
      </c>
      <c r="AC729" s="6">
        <f>$M$729*$W$729</f>
        <v>-2741.7456500000003</v>
      </c>
      <c r="AD729" s="6">
        <f>$O$729*$X$729</f>
        <v>-783.47705000000008</v>
      </c>
      <c r="AE729" s="6">
        <f>$K$729*$Y$729</f>
        <v>0</v>
      </c>
      <c r="AF729" s="6">
        <f ca="1">$M$729*$Z$729</f>
        <v>-2888.8832510989691</v>
      </c>
      <c r="AG729" s="6">
        <f>$O$729*$AA$729</f>
        <v>-1631.7423073459054</v>
      </c>
    </row>
    <row r="730" spans="1:3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30</v>
      </c>
      <c r="F730" s="4" t="s">
        <v>25</v>
      </c>
      <c r="G730" s="4" t="s">
        <v>25</v>
      </c>
      <c r="H730" s="4" t="s">
        <v>25</v>
      </c>
      <c r="I730" s="5">
        <v>44805</v>
      </c>
      <c r="J730" s="6">
        <v>0</v>
      </c>
      <c r="K730" s="6">
        <v>0</v>
      </c>
      <c r="L730" s="6">
        <v>2150.6619999999998</v>
      </c>
      <c r="M730" s="6">
        <v>2150.6619999999998</v>
      </c>
      <c r="N730" s="6">
        <v>2150.6619999999998</v>
      </c>
      <c r="O730" s="6">
        <v>2150.6619999999998</v>
      </c>
      <c r="P730" s="6">
        <v>7870</v>
      </c>
      <c r="Q730" s="4" t="s">
        <v>26</v>
      </c>
      <c r="R730" s="4">
        <v>0</v>
      </c>
      <c r="S730" s="6">
        <v>0</v>
      </c>
      <c r="T730" s="6">
        <v>29</v>
      </c>
      <c r="U730" s="6">
        <v>82</v>
      </c>
      <c r="V730" s="6">
        <f>IF(ISERROR(VLOOKUP($S$730,'TAR FIN'!$A$1:$O$108,15,0)),0,VLOOKUP($S$730,'TAR FIN'!$A$1:$O$108,15,0))</f>
        <v>0</v>
      </c>
      <c r="W730" s="6">
        <f>IF(ISERROR(VLOOKUP($T$730,'TAR FIN'!$A$1:$O$108,15,0)),0,VLOOKUP($T$730,'TAR FIN'!$A$1:$O$108,15,0))</f>
        <v>226.31</v>
      </c>
      <c r="X730" s="6">
        <f>IF(ISERROR(VLOOKUP($U$730,'TAR FIN'!$A$1:$O$108,15,0)),0,VLOOKUP($U$730,'TAR FIN'!$A$1:$O$108,15,0))</f>
        <v>64.67</v>
      </c>
      <c r="Y730" s="6"/>
      <c r="Z730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0" s="6">
        <f>('TE BE'!$AB$18+'TE BF'!$AB$18+'TE CVA'!$AB$18)*(1-CUSTOS!$M$35)</f>
        <v>134.68776783705368</v>
      </c>
      <c r="AB730" s="6">
        <f>$K$730*$V$730</f>
        <v>0</v>
      </c>
      <c r="AC730" s="6">
        <f>$M$730*$W$730</f>
        <v>486716.31721999997</v>
      </c>
      <c r="AD730" s="6">
        <f>$O$730*$X$730</f>
        <v>139083.31154</v>
      </c>
      <c r="AE730" s="6">
        <f>$K$730*$Y$730</f>
        <v>0</v>
      </c>
      <c r="AF730" s="6">
        <f ca="1">$M$730*$Z$730</f>
        <v>512836.2716116393</v>
      </c>
      <c r="AG730" s="6">
        <f>$O$730*$AA$730</f>
        <v>289667.86415197351</v>
      </c>
    </row>
    <row r="731" spans="1:33" ht="11.25" customHeight="1" x14ac:dyDescent="0.25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30</v>
      </c>
      <c r="F731" s="4" t="s">
        <v>25</v>
      </c>
      <c r="G731" s="4" t="s">
        <v>25</v>
      </c>
      <c r="H731" s="4" t="s">
        <v>25</v>
      </c>
      <c r="I731" s="5">
        <v>44805</v>
      </c>
      <c r="J731" s="6">
        <v>0</v>
      </c>
      <c r="K731" s="6">
        <v>0</v>
      </c>
      <c r="L731" s="6">
        <v>-6.8410000000000002</v>
      </c>
      <c r="M731" s="6">
        <v>-6.8410000000000002</v>
      </c>
      <c r="N731" s="6">
        <v>-6.8410000000000002</v>
      </c>
      <c r="O731" s="6">
        <v>-6.8410000000000002</v>
      </c>
      <c r="P731" s="6">
        <v>-117</v>
      </c>
      <c r="Q731" s="4" t="s">
        <v>26</v>
      </c>
      <c r="R731" s="4">
        <v>0</v>
      </c>
      <c r="S731" s="6">
        <v>0</v>
      </c>
      <c r="T731" s="6">
        <v>29</v>
      </c>
      <c r="U731" s="6">
        <v>82</v>
      </c>
      <c r="V731" s="6">
        <f>IF(ISERROR(VLOOKUP($S$731,'TAR FIN'!$A$1:$O$108,15,0)),0,VLOOKUP($S$731,'TAR FIN'!$A$1:$O$108,15,0))</f>
        <v>0</v>
      </c>
      <c r="W731" s="6">
        <f>IF(ISERROR(VLOOKUP($T$731,'TAR FIN'!$A$1:$O$108,15,0)),0,VLOOKUP($T$731,'TAR FIN'!$A$1:$O$108,15,0))</f>
        <v>226.31</v>
      </c>
      <c r="X731" s="6">
        <f>IF(ISERROR(VLOOKUP($U$731,'TAR FIN'!$A$1:$O$108,15,0)),0,VLOOKUP($U$731,'TAR FIN'!$A$1:$O$108,15,0))</f>
        <v>64.67</v>
      </c>
      <c r="Y731" s="6"/>
      <c r="Z731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1" s="6">
        <f>('TE BE'!$AB$18+'TE BF'!$AB$18+'TE CVA'!$AB$18)*(1-CUSTOS!$M$35)</f>
        <v>134.68776783705368</v>
      </c>
      <c r="AB731" s="6">
        <f>$K$731*$V$731</f>
        <v>0</v>
      </c>
      <c r="AC731" s="6">
        <f>$M$731*$W$731</f>
        <v>-1548.1867099999999</v>
      </c>
      <c r="AD731" s="6">
        <f>$O$731*$X$731</f>
        <v>-442.40747000000005</v>
      </c>
      <c r="AE731" s="6">
        <f>$K$731*$Y$731</f>
        <v>0</v>
      </c>
      <c r="AF731" s="6">
        <f ca="1">$M$731*$Z$731</f>
        <v>-1631.2711779420592</v>
      </c>
      <c r="AG731" s="6">
        <f>$O$731*$AA$731</f>
        <v>-921.39901977328429</v>
      </c>
    </row>
    <row r="732" spans="1:3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30</v>
      </c>
      <c r="F732" s="4" t="s">
        <v>25</v>
      </c>
      <c r="G732" s="4" t="s">
        <v>25</v>
      </c>
      <c r="H732" s="4" t="s">
        <v>25</v>
      </c>
      <c r="I732" s="5">
        <v>44835</v>
      </c>
      <c r="J732" s="6">
        <v>0</v>
      </c>
      <c r="K732" s="6">
        <v>0</v>
      </c>
      <c r="L732" s="6">
        <v>2597.5</v>
      </c>
      <c r="M732" s="6">
        <v>2597.5</v>
      </c>
      <c r="N732" s="6">
        <v>2597.5</v>
      </c>
      <c r="O732" s="6">
        <v>2597.5</v>
      </c>
      <c r="P732" s="6">
        <v>8914</v>
      </c>
      <c r="Q732" s="4" t="s">
        <v>26</v>
      </c>
      <c r="R732" s="4">
        <v>0</v>
      </c>
      <c r="S732" s="6">
        <v>0</v>
      </c>
      <c r="T732" s="6">
        <v>29</v>
      </c>
      <c r="U732" s="6">
        <v>82</v>
      </c>
      <c r="V732" s="6">
        <f>IF(ISERROR(VLOOKUP($S$732,'TAR FIN'!$A$1:$O$108,15,0)),0,VLOOKUP($S$732,'TAR FIN'!$A$1:$O$108,15,0))</f>
        <v>0</v>
      </c>
      <c r="W732" s="6">
        <f>IF(ISERROR(VLOOKUP($T$732,'TAR FIN'!$A$1:$O$108,15,0)),0,VLOOKUP($T$732,'TAR FIN'!$A$1:$O$108,15,0))</f>
        <v>226.31</v>
      </c>
      <c r="X732" s="6">
        <f>IF(ISERROR(VLOOKUP($U$732,'TAR FIN'!$A$1:$O$108,15,0)),0,VLOOKUP($U$732,'TAR FIN'!$A$1:$O$108,15,0))</f>
        <v>64.67</v>
      </c>
      <c r="Y732" s="6"/>
      <c r="Z732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2" s="6">
        <f>('TE BE'!$AB$18+'TE BF'!$AB$18+'TE CVA'!$AB$18)*(1-CUSTOS!$M$35)</f>
        <v>134.68776783705368</v>
      </c>
      <c r="AB732" s="6">
        <f>$K$732*$V$732</f>
        <v>0</v>
      </c>
      <c r="AC732" s="6">
        <f>$M$732*$W$732</f>
        <v>587840.22499999998</v>
      </c>
      <c r="AD732" s="6">
        <f>$O$732*$X$732</f>
        <v>167980.32500000001</v>
      </c>
      <c r="AE732" s="6">
        <f>$K$732*$Y$732</f>
        <v>0</v>
      </c>
      <c r="AF732" s="6">
        <f ca="1">$M$732*$Z$732</f>
        <v>619387.06105898239</v>
      </c>
      <c r="AG732" s="6">
        <f>$O$732*$AA$732</f>
        <v>349851.47695674695</v>
      </c>
    </row>
    <row r="733" spans="1:33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30</v>
      </c>
      <c r="F733" s="4" t="s">
        <v>25</v>
      </c>
      <c r="G733" s="4" t="s">
        <v>25</v>
      </c>
      <c r="H733" s="4" t="s">
        <v>25</v>
      </c>
      <c r="I733" s="5">
        <v>44835</v>
      </c>
      <c r="J733" s="6">
        <v>0</v>
      </c>
      <c r="K733" s="6">
        <v>0</v>
      </c>
      <c r="L733" s="6">
        <v>-3.2989999999999999</v>
      </c>
      <c r="M733" s="6">
        <v>-3.2989999999999999</v>
      </c>
      <c r="N733" s="6">
        <v>-3.2989999999999999</v>
      </c>
      <c r="O733" s="6">
        <v>-3.2989999999999999</v>
      </c>
      <c r="P733" s="6">
        <v>8</v>
      </c>
      <c r="Q733" s="4" t="s">
        <v>26</v>
      </c>
      <c r="R733" s="4">
        <v>0</v>
      </c>
      <c r="S733" s="6">
        <v>0</v>
      </c>
      <c r="T733" s="6">
        <v>29</v>
      </c>
      <c r="U733" s="6">
        <v>82</v>
      </c>
      <c r="V733" s="6">
        <f>IF(ISERROR(VLOOKUP($S$733,'TAR FIN'!$A$1:$O$108,15,0)),0,VLOOKUP($S$733,'TAR FIN'!$A$1:$O$108,15,0))</f>
        <v>0</v>
      </c>
      <c r="W733" s="6">
        <f>IF(ISERROR(VLOOKUP($T$733,'TAR FIN'!$A$1:$O$108,15,0)),0,VLOOKUP($T$733,'TAR FIN'!$A$1:$O$108,15,0))</f>
        <v>226.31</v>
      </c>
      <c r="X733" s="6">
        <f>IF(ISERROR(VLOOKUP($U$733,'TAR FIN'!$A$1:$O$108,15,0)),0,VLOOKUP($U$733,'TAR FIN'!$A$1:$O$108,15,0))</f>
        <v>64.67</v>
      </c>
      <c r="Y733" s="6"/>
      <c r="Z733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3" s="6">
        <f>('TE BE'!$AB$18+'TE BF'!$AB$18+'TE CVA'!$AB$18)*(1-CUSTOS!$M$35)</f>
        <v>134.68776783705368</v>
      </c>
      <c r="AB733" s="6">
        <f>$K$733*$V$733</f>
        <v>0</v>
      </c>
      <c r="AC733" s="6">
        <f>$M$733*$W$733</f>
        <v>-746.59668999999997</v>
      </c>
      <c r="AD733" s="6">
        <f>$O$733*$X$733</f>
        <v>-213.34632999999999</v>
      </c>
      <c r="AE733" s="6">
        <f>$K$733*$Y$733</f>
        <v>0</v>
      </c>
      <c r="AF733" s="6">
        <f ca="1">$M$733*$Z$733</f>
        <v>-786.66329718328507</v>
      </c>
      <c r="AG733" s="6">
        <f>$O$733*$AA$733</f>
        <v>-444.33494609444011</v>
      </c>
    </row>
    <row r="734" spans="1:33" ht="11.25" customHeight="1" x14ac:dyDescent="0.25">
      <c r="A734" s="4" t="s">
        <v>54</v>
      </c>
      <c r="B734" s="4" t="s">
        <v>22</v>
      </c>
      <c r="C734" s="4" t="s">
        <v>23</v>
      </c>
      <c r="D734" s="4" t="s">
        <v>24</v>
      </c>
      <c r="E734" s="4" t="s">
        <v>30</v>
      </c>
      <c r="F734" s="4" t="s">
        <v>25</v>
      </c>
      <c r="G734" s="4" t="s">
        <v>25</v>
      </c>
      <c r="H734" s="4" t="s">
        <v>25</v>
      </c>
      <c r="I734" s="5">
        <v>44866</v>
      </c>
      <c r="J734" s="6">
        <v>0</v>
      </c>
      <c r="K734" s="6">
        <v>0</v>
      </c>
      <c r="L734" s="6">
        <v>2597.5</v>
      </c>
      <c r="M734" s="6">
        <v>2597.5</v>
      </c>
      <c r="N734" s="6">
        <v>2597.5</v>
      </c>
      <c r="O734" s="6">
        <v>2597.5</v>
      </c>
      <c r="P734" s="6">
        <v>8914</v>
      </c>
      <c r="Q734" s="4" t="s">
        <v>26</v>
      </c>
      <c r="R734" s="4">
        <v>0</v>
      </c>
      <c r="S734" s="6">
        <v>0</v>
      </c>
      <c r="T734" s="6">
        <v>29</v>
      </c>
      <c r="U734" s="6">
        <v>82</v>
      </c>
      <c r="V734" s="6">
        <f>IF(ISERROR(VLOOKUP($S$734,'TAR FIN'!$A$1:$O$108,15,0)),0,VLOOKUP($S$734,'TAR FIN'!$A$1:$O$108,15,0))</f>
        <v>0</v>
      </c>
      <c r="W734" s="6">
        <f>IF(ISERROR(VLOOKUP($T$734,'TAR FIN'!$A$1:$O$108,15,0)),0,VLOOKUP($T$734,'TAR FIN'!$A$1:$O$108,15,0))</f>
        <v>226.31</v>
      </c>
      <c r="X734" s="6">
        <f>IF(ISERROR(VLOOKUP($U$734,'TAR FIN'!$A$1:$O$108,15,0)),0,VLOOKUP($U$734,'TAR FIN'!$A$1:$O$108,15,0))</f>
        <v>64.67</v>
      </c>
      <c r="Y734" s="6"/>
      <c r="Z734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4" s="6">
        <f>('TE BE'!$AB$18+'TE BF'!$AB$18+'TE CVA'!$AB$18)*(1-CUSTOS!$M$35)</f>
        <v>134.68776783705368</v>
      </c>
      <c r="AB734" s="6">
        <f>$K$734*$V$734</f>
        <v>0</v>
      </c>
      <c r="AC734" s="6">
        <f>$M$734*$W$734</f>
        <v>587840.22499999998</v>
      </c>
      <c r="AD734" s="6">
        <f>$O$734*$X$734</f>
        <v>167980.32500000001</v>
      </c>
      <c r="AE734" s="6">
        <f>$K$734*$Y$734</f>
        <v>0</v>
      </c>
      <c r="AF734" s="6">
        <f ca="1">$M$734*$Z$734</f>
        <v>619387.06105898239</v>
      </c>
      <c r="AG734" s="6">
        <f>$O$734*$AA$734</f>
        <v>349851.47695674695</v>
      </c>
    </row>
    <row r="735" spans="1:33" ht="11.25" customHeight="1" x14ac:dyDescent="0.25">
      <c r="A735" s="4" t="s">
        <v>54</v>
      </c>
      <c r="B735" s="4" t="s">
        <v>22</v>
      </c>
      <c r="C735" s="4" t="s">
        <v>23</v>
      </c>
      <c r="D735" s="4" t="s">
        <v>24</v>
      </c>
      <c r="E735" s="4" t="s">
        <v>30</v>
      </c>
      <c r="F735" s="4" t="s">
        <v>25</v>
      </c>
      <c r="G735" s="4" t="s">
        <v>25</v>
      </c>
      <c r="H735" s="4" t="s">
        <v>25</v>
      </c>
      <c r="I735" s="5">
        <v>44866</v>
      </c>
      <c r="J735" s="6">
        <v>0</v>
      </c>
      <c r="K735" s="6">
        <v>0</v>
      </c>
      <c r="L735" s="6">
        <v>-3.2989999999999999</v>
      </c>
      <c r="M735" s="6">
        <v>-3.2989999999999999</v>
      </c>
      <c r="N735" s="6">
        <v>-3.2989999999999999</v>
      </c>
      <c r="O735" s="6">
        <v>-3.2989999999999999</v>
      </c>
      <c r="P735" s="6">
        <v>8</v>
      </c>
      <c r="Q735" s="4" t="s">
        <v>26</v>
      </c>
      <c r="R735" s="4">
        <v>0</v>
      </c>
      <c r="S735" s="6">
        <v>0</v>
      </c>
      <c r="T735" s="6">
        <v>29</v>
      </c>
      <c r="U735" s="6">
        <v>82</v>
      </c>
      <c r="V735" s="6">
        <f>IF(ISERROR(VLOOKUP($S$735,'TAR FIN'!$A$1:$O$108,15,0)),0,VLOOKUP($S$735,'TAR FIN'!$A$1:$O$108,15,0))</f>
        <v>0</v>
      </c>
      <c r="W735" s="6">
        <f>IF(ISERROR(VLOOKUP($T$735,'TAR FIN'!$A$1:$O$108,15,0)),0,VLOOKUP($T$735,'TAR FIN'!$A$1:$O$108,15,0))</f>
        <v>226.31</v>
      </c>
      <c r="X735" s="6">
        <f>IF(ISERROR(VLOOKUP($U$735,'TAR FIN'!$A$1:$O$108,15,0)),0,VLOOKUP($U$735,'TAR FIN'!$A$1:$O$108,15,0))</f>
        <v>64.67</v>
      </c>
      <c r="Y735" s="6"/>
      <c r="Z73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735" s="6">
        <f>('TE BE'!$AB$18+'TE BF'!$AB$18+'TE CVA'!$AB$18)*(1-CUSTOS!$M$35)</f>
        <v>134.68776783705368</v>
      </c>
      <c r="AB735" s="6">
        <f>$K$735*$V$735</f>
        <v>0</v>
      </c>
      <c r="AC735" s="6">
        <f>$M$735*$W$735</f>
        <v>-746.59668999999997</v>
      </c>
      <c r="AD735" s="6">
        <f>$O$735*$X$735</f>
        <v>-213.34632999999999</v>
      </c>
      <c r="AE735" s="6">
        <f>$K$735*$Y$735</f>
        <v>0</v>
      </c>
      <c r="AF735" s="6">
        <f ca="1">$M$735*$Z$735</f>
        <v>-786.66329718328507</v>
      </c>
      <c r="AG735" s="6">
        <f>$O$735*$AA$735</f>
        <v>-444.33494609444011</v>
      </c>
    </row>
    <row r="736" spans="1:33" ht="11.25" customHeight="1" x14ac:dyDescent="0.25">
      <c r="A736" s="4" t="s">
        <v>21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44531</v>
      </c>
      <c r="J736" s="6">
        <v>0</v>
      </c>
      <c r="K736" s="6">
        <v>0</v>
      </c>
      <c r="L736" s="6">
        <v>1446.778</v>
      </c>
      <c r="M736" s="6">
        <v>1446.778</v>
      </c>
      <c r="N736" s="6">
        <v>1446.778</v>
      </c>
      <c r="O736" s="6">
        <v>1446.778</v>
      </c>
      <c r="P736" s="6">
        <v>7434</v>
      </c>
      <c r="Q736" s="4" t="s">
        <v>26</v>
      </c>
      <c r="R736" s="4">
        <v>0</v>
      </c>
      <c r="S736" s="6">
        <v>0</v>
      </c>
      <c r="T736" s="6">
        <v>32</v>
      </c>
      <c r="U736" s="6">
        <v>83</v>
      </c>
      <c r="V736" s="6">
        <f>IF(ISERROR(VLOOKUP($S$736,'TAR FIN'!$A$1:$O$108,15,0)),0,VLOOKUP($S$736,'TAR FIN'!$A$1:$O$108,15,0))</f>
        <v>0</v>
      </c>
      <c r="W736" s="6">
        <f>IF(ISERROR(VLOOKUP($T$736,'TAR FIN'!$A$1:$O$108,15,0)),0,VLOOKUP($T$736,'TAR FIN'!$A$1:$O$108,15,0))</f>
        <v>339.46</v>
      </c>
      <c r="X736" s="6">
        <f>IF(ISERROR(VLOOKUP($U$736,'TAR FIN'!$A$1:$O$108,15,0)),0,VLOOKUP($U$736,'TAR FIN'!$A$1:$O$108,15,0))</f>
        <v>97.01</v>
      </c>
      <c r="Y736" s="6"/>
      <c r="Z736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36" s="6">
        <f>('TE BE'!$AB$19+'TE BF'!$AB$19+'TE CVA'!$AB$19)*(1-CUSTOS!$M$36)</f>
        <v>202.03165175558053</v>
      </c>
      <c r="AB736" s="6">
        <f>$K$736*$V$736</f>
        <v>0</v>
      </c>
      <c r="AC736" s="6">
        <f>$M$736*$W$736</f>
        <v>491123.25987999997</v>
      </c>
      <c r="AD736" s="6">
        <f>$O$736*$X$736</f>
        <v>140351.93378000002</v>
      </c>
      <c r="AE736" s="6">
        <f>$K$736*$Y$736</f>
        <v>0</v>
      </c>
      <c r="AF736" s="6">
        <f ca="1">$M$736*$Z$736</f>
        <v>517487.33787764725</v>
      </c>
      <c r="AG736" s="6">
        <f>$O$736*$AA$736</f>
        <v>292294.94906363531</v>
      </c>
    </row>
    <row r="737" spans="1:33" ht="11.25" customHeight="1" x14ac:dyDescent="0.25">
      <c r="A737" s="4" t="s">
        <v>27</v>
      </c>
      <c r="B737" s="4" t="s">
        <v>22</v>
      </c>
      <c r="C737" s="4" t="s">
        <v>23</v>
      </c>
      <c r="D737" s="4" t="s">
        <v>24</v>
      </c>
      <c r="E737" s="4" t="s">
        <v>31</v>
      </c>
      <c r="F737" s="4" t="s">
        <v>25</v>
      </c>
      <c r="G737" s="4" t="s">
        <v>25</v>
      </c>
      <c r="H737" s="4" t="s">
        <v>25</v>
      </c>
      <c r="I737" s="5">
        <v>44531</v>
      </c>
      <c r="J737" s="6">
        <v>0</v>
      </c>
      <c r="K737" s="6">
        <v>0</v>
      </c>
      <c r="L737" s="6">
        <v>-7.7969999999999997</v>
      </c>
      <c r="M737" s="6">
        <v>-7.7969999999999997</v>
      </c>
      <c r="N737" s="6">
        <v>-7.7969999999999997</v>
      </c>
      <c r="O737" s="6">
        <v>-7.7969999999999997</v>
      </c>
      <c r="P737" s="6">
        <v>-9</v>
      </c>
      <c r="Q737" s="4" t="s">
        <v>26</v>
      </c>
      <c r="R737" s="4">
        <v>0</v>
      </c>
      <c r="S737" s="6">
        <v>0</v>
      </c>
      <c r="T737" s="6">
        <v>32</v>
      </c>
      <c r="U737" s="6">
        <v>83</v>
      </c>
      <c r="V737" s="6">
        <f>IF(ISERROR(VLOOKUP($S$737,'TAR FIN'!$A$1:$O$108,15,0)),0,VLOOKUP($S$737,'TAR FIN'!$A$1:$O$108,15,0))</f>
        <v>0</v>
      </c>
      <c r="W737" s="6">
        <f>IF(ISERROR(VLOOKUP($T$737,'TAR FIN'!$A$1:$O$108,15,0)),0,VLOOKUP($T$737,'TAR FIN'!$A$1:$O$108,15,0))</f>
        <v>339.46</v>
      </c>
      <c r="X737" s="6">
        <f>IF(ISERROR(VLOOKUP($U$737,'TAR FIN'!$A$1:$O$108,15,0)),0,VLOOKUP($U$737,'TAR FIN'!$A$1:$O$108,15,0))</f>
        <v>97.01</v>
      </c>
      <c r="Y737" s="6"/>
      <c r="Z737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37" s="6">
        <f>('TE BE'!$AB$19+'TE BF'!$AB$19+'TE CVA'!$AB$19)*(1-CUSTOS!$M$36)</f>
        <v>202.03165175558053</v>
      </c>
      <c r="AB737" s="6">
        <f>$K$737*$V$737</f>
        <v>0</v>
      </c>
      <c r="AC737" s="6">
        <f>$M$737*$W$737</f>
        <v>-2646.7696199999996</v>
      </c>
      <c r="AD737" s="6">
        <f>$O$737*$X$737</f>
        <v>-756.38697000000002</v>
      </c>
      <c r="AE737" s="6">
        <f>$K$737*$Y$737</f>
        <v>0</v>
      </c>
      <c r="AF737" s="6">
        <f ca="1">$M$737*$Z$737</f>
        <v>-2788.8513465314068</v>
      </c>
      <c r="AG737" s="6">
        <f>$O$737*$AA$737</f>
        <v>-1575.2407887382612</v>
      </c>
    </row>
    <row r="738" spans="1:33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31</v>
      </c>
      <c r="F738" s="4" t="s">
        <v>25</v>
      </c>
      <c r="G738" s="4" t="s">
        <v>25</v>
      </c>
      <c r="H738" s="4" t="s">
        <v>25</v>
      </c>
      <c r="I738" s="5">
        <v>44562</v>
      </c>
      <c r="J738" s="6">
        <v>0</v>
      </c>
      <c r="K738" s="6">
        <v>0</v>
      </c>
      <c r="L738" s="6">
        <v>1583.713</v>
      </c>
      <c r="M738" s="6">
        <v>1583.713</v>
      </c>
      <c r="N738" s="6">
        <v>1583.713</v>
      </c>
      <c r="O738" s="6">
        <v>1583.713</v>
      </c>
      <c r="P738" s="6">
        <v>8831</v>
      </c>
      <c r="Q738" s="4" t="s">
        <v>26</v>
      </c>
      <c r="R738" s="4">
        <v>0</v>
      </c>
      <c r="S738" s="6">
        <v>0</v>
      </c>
      <c r="T738" s="6">
        <v>32</v>
      </c>
      <c r="U738" s="6">
        <v>83</v>
      </c>
      <c r="V738" s="6">
        <f>IF(ISERROR(VLOOKUP($S$738,'TAR FIN'!$A$1:$O$108,15,0)),0,VLOOKUP($S$738,'TAR FIN'!$A$1:$O$108,15,0))</f>
        <v>0</v>
      </c>
      <c r="W738" s="6">
        <f>IF(ISERROR(VLOOKUP($T$738,'TAR FIN'!$A$1:$O$108,15,0)),0,VLOOKUP($T$738,'TAR FIN'!$A$1:$O$108,15,0))</f>
        <v>339.46</v>
      </c>
      <c r="X738" s="6">
        <f>IF(ISERROR(VLOOKUP($U$738,'TAR FIN'!$A$1:$O$108,15,0)),0,VLOOKUP($U$738,'TAR FIN'!$A$1:$O$108,15,0))</f>
        <v>97.01</v>
      </c>
      <c r="Y738" s="6"/>
      <c r="Z738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38" s="6">
        <f>('TE BE'!$AB$19+'TE BF'!$AB$19+'TE CVA'!$AB$19)*(1-CUSTOS!$M$36)</f>
        <v>202.03165175558053</v>
      </c>
      <c r="AB738" s="6">
        <f>$K$738*$V$738</f>
        <v>0</v>
      </c>
      <c r="AC738" s="6">
        <f>$M$738*$W$738</f>
        <v>537607.21497999993</v>
      </c>
      <c r="AD738" s="6">
        <f>$O$738*$X$738</f>
        <v>153635.99812999999</v>
      </c>
      <c r="AE738" s="6">
        <f>$K$738*$Y$738</f>
        <v>0</v>
      </c>
      <c r="AF738" s="6">
        <f ca="1">$M$738*$Z$738</f>
        <v>566466.60671659536</v>
      </c>
      <c r="AG738" s="6">
        <f>$O$738*$AA$738</f>
        <v>319960.15329678572</v>
      </c>
    </row>
    <row r="739" spans="1:33" ht="11.25" customHeight="1" x14ac:dyDescent="0.25">
      <c r="A739" s="4" t="s">
        <v>27</v>
      </c>
      <c r="B739" s="4" t="s">
        <v>22</v>
      </c>
      <c r="C739" s="4" t="s">
        <v>23</v>
      </c>
      <c r="D739" s="4" t="s">
        <v>24</v>
      </c>
      <c r="E739" s="4" t="s">
        <v>31</v>
      </c>
      <c r="F739" s="4" t="s">
        <v>25</v>
      </c>
      <c r="G739" s="4" t="s">
        <v>25</v>
      </c>
      <c r="H739" s="4" t="s">
        <v>25</v>
      </c>
      <c r="I739" s="5">
        <v>44562</v>
      </c>
      <c r="J739" s="6">
        <v>0</v>
      </c>
      <c r="K739" s="6">
        <v>0</v>
      </c>
      <c r="L739" s="6">
        <v>-14.875999999999999</v>
      </c>
      <c r="M739" s="6">
        <v>-14.875999999999999</v>
      </c>
      <c r="N739" s="6">
        <v>-14.875999999999999</v>
      </c>
      <c r="O739" s="6">
        <v>-14.875999999999999</v>
      </c>
      <c r="P739" s="6">
        <v>-28</v>
      </c>
      <c r="Q739" s="4" t="s">
        <v>26</v>
      </c>
      <c r="R739" s="4">
        <v>0</v>
      </c>
      <c r="S739" s="6">
        <v>0</v>
      </c>
      <c r="T739" s="6">
        <v>32</v>
      </c>
      <c r="U739" s="6">
        <v>83</v>
      </c>
      <c r="V739" s="6">
        <f>IF(ISERROR(VLOOKUP($S$739,'TAR FIN'!$A$1:$O$108,15,0)),0,VLOOKUP($S$739,'TAR FIN'!$A$1:$O$108,15,0))</f>
        <v>0</v>
      </c>
      <c r="W739" s="6">
        <f>IF(ISERROR(VLOOKUP($T$739,'TAR FIN'!$A$1:$O$108,15,0)),0,VLOOKUP($T$739,'TAR FIN'!$A$1:$O$108,15,0))</f>
        <v>339.46</v>
      </c>
      <c r="X739" s="6">
        <f>IF(ISERROR(VLOOKUP($U$739,'TAR FIN'!$A$1:$O$108,15,0)),0,VLOOKUP($U$739,'TAR FIN'!$A$1:$O$108,15,0))</f>
        <v>97.01</v>
      </c>
      <c r="Y739" s="6"/>
      <c r="Z73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39" s="6">
        <f>('TE BE'!$AB$19+'TE BF'!$AB$19+'TE CVA'!$AB$19)*(1-CUSTOS!$M$36)</f>
        <v>202.03165175558053</v>
      </c>
      <c r="AB739" s="6">
        <f>$K$739*$V$739</f>
        <v>0</v>
      </c>
      <c r="AC739" s="6">
        <f>$M$739*$W$739</f>
        <v>-5049.8069599999999</v>
      </c>
      <c r="AD739" s="6">
        <f>$O$739*$X$739</f>
        <v>-1443.12076</v>
      </c>
      <c r="AE739" s="6">
        <f>$K$739*$Y$739</f>
        <v>0</v>
      </c>
      <c r="AF739" s="6">
        <f ca="1">$M$739*$Z$739</f>
        <v>-5320.8865757344111</v>
      </c>
      <c r="AG739" s="6">
        <f>$O$739*$AA$739</f>
        <v>-3005.4228515160157</v>
      </c>
    </row>
    <row r="740" spans="1:33" ht="11.25" customHeight="1" x14ac:dyDescent="0.25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31</v>
      </c>
      <c r="F740" s="4" t="s">
        <v>25</v>
      </c>
      <c r="G740" s="4" t="s">
        <v>25</v>
      </c>
      <c r="H740" s="4" t="s">
        <v>25</v>
      </c>
      <c r="I740" s="5">
        <v>44593</v>
      </c>
      <c r="J740" s="6">
        <v>0</v>
      </c>
      <c r="K740" s="6">
        <v>0</v>
      </c>
      <c r="L740" s="6">
        <v>1502.5309999999999</v>
      </c>
      <c r="M740" s="6">
        <v>1502.5309999999999</v>
      </c>
      <c r="N740" s="6">
        <v>1502.5309999999999</v>
      </c>
      <c r="O740" s="6">
        <v>1502.5309999999999</v>
      </c>
      <c r="P740" s="6">
        <v>9634</v>
      </c>
      <c r="Q740" s="4" t="s">
        <v>26</v>
      </c>
      <c r="R740" s="4">
        <v>0</v>
      </c>
      <c r="S740" s="6">
        <v>0</v>
      </c>
      <c r="T740" s="6">
        <v>32</v>
      </c>
      <c r="U740" s="6">
        <v>83</v>
      </c>
      <c r="V740" s="6">
        <f>IF(ISERROR(VLOOKUP($S$740,'TAR FIN'!$A$1:$O$108,15,0)),0,VLOOKUP($S$740,'TAR FIN'!$A$1:$O$108,15,0))</f>
        <v>0</v>
      </c>
      <c r="W740" s="6">
        <f>IF(ISERROR(VLOOKUP($T$740,'TAR FIN'!$A$1:$O$108,15,0)),0,VLOOKUP($T$740,'TAR FIN'!$A$1:$O$108,15,0))</f>
        <v>339.46</v>
      </c>
      <c r="X740" s="6">
        <f>IF(ISERROR(VLOOKUP($U$740,'TAR FIN'!$A$1:$O$108,15,0)),0,VLOOKUP($U$740,'TAR FIN'!$A$1:$O$108,15,0))</f>
        <v>97.01</v>
      </c>
      <c r="Y740" s="6"/>
      <c r="Z740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0" s="6">
        <f>('TE BE'!$AB$19+'TE BF'!$AB$19+'TE CVA'!$AB$19)*(1-CUSTOS!$M$36)</f>
        <v>202.03165175558053</v>
      </c>
      <c r="AB740" s="6">
        <f>$K$740*$V$740</f>
        <v>0</v>
      </c>
      <c r="AC740" s="6">
        <f>$M$740*$W$740</f>
        <v>510049.17325999995</v>
      </c>
      <c r="AD740" s="6">
        <f>$O$740*$X$740</f>
        <v>145760.53231000001</v>
      </c>
      <c r="AE740" s="6">
        <f>$K$740*$Y$740</f>
        <v>0</v>
      </c>
      <c r="AF740" s="6">
        <f ca="1">$M$740*$Z$740</f>
        <v>537429.21669298201</v>
      </c>
      <c r="AG740" s="6">
        <f>$O$740*$AA$740</f>
        <v>303558.81974396418</v>
      </c>
    </row>
    <row r="741" spans="1:33" ht="11.25" customHeight="1" x14ac:dyDescent="0.25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31</v>
      </c>
      <c r="F741" s="4" t="s">
        <v>25</v>
      </c>
      <c r="G741" s="4" t="s">
        <v>25</v>
      </c>
      <c r="H741" s="4" t="s">
        <v>25</v>
      </c>
      <c r="I741" s="5">
        <v>44593</v>
      </c>
      <c r="J741" s="6">
        <v>0</v>
      </c>
      <c r="K741" s="6">
        <v>0</v>
      </c>
      <c r="L741" s="6">
        <v>-10.614000000000001</v>
      </c>
      <c r="M741" s="6">
        <v>-10.614000000000001</v>
      </c>
      <c r="N741" s="6">
        <v>-10.614000000000001</v>
      </c>
      <c r="O741" s="6">
        <v>-10.614000000000001</v>
      </c>
      <c r="P741" s="6">
        <v>-19</v>
      </c>
      <c r="Q741" s="4" t="s">
        <v>26</v>
      </c>
      <c r="R741" s="4">
        <v>0</v>
      </c>
      <c r="S741" s="6">
        <v>0</v>
      </c>
      <c r="T741" s="6">
        <v>32</v>
      </c>
      <c r="U741" s="6">
        <v>83</v>
      </c>
      <c r="V741" s="6">
        <f>IF(ISERROR(VLOOKUP($S$741,'TAR FIN'!$A$1:$O$108,15,0)),0,VLOOKUP($S$741,'TAR FIN'!$A$1:$O$108,15,0))</f>
        <v>0</v>
      </c>
      <c r="W741" s="6">
        <f>IF(ISERROR(VLOOKUP($T$741,'TAR FIN'!$A$1:$O$108,15,0)),0,VLOOKUP($T$741,'TAR FIN'!$A$1:$O$108,15,0))</f>
        <v>339.46</v>
      </c>
      <c r="X741" s="6">
        <f>IF(ISERROR(VLOOKUP($U$741,'TAR FIN'!$A$1:$O$108,15,0)),0,VLOOKUP($U$741,'TAR FIN'!$A$1:$O$108,15,0))</f>
        <v>97.01</v>
      </c>
      <c r="Y741" s="6"/>
      <c r="Z741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1" s="6">
        <f>('TE BE'!$AB$19+'TE BF'!$AB$19+'TE CVA'!$AB$19)*(1-CUSTOS!$M$36)</f>
        <v>202.03165175558053</v>
      </c>
      <c r="AB741" s="6">
        <f>$K$741*$V$741</f>
        <v>0</v>
      </c>
      <c r="AC741" s="6">
        <f>$M$741*$W$741</f>
        <v>-3603.02844</v>
      </c>
      <c r="AD741" s="6">
        <f>$O$741*$X$741</f>
        <v>-1029.6641400000001</v>
      </c>
      <c r="AE741" s="6">
        <f>$K$741*$Y$741</f>
        <v>0</v>
      </c>
      <c r="AF741" s="6">
        <f ca="1">$M$741*$Z$741</f>
        <v>-3796.4432720385216</v>
      </c>
      <c r="AG741" s="6">
        <f>$O$741*$AA$741</f>
        <v>-2144.3639517337319</v>
      </c>
    </row>
    <row r="742" spans="1:33" ht="11.25" customHeight="1" x14ac:dyDescent="0.25">
      <c r="A742" s="4" t="s">
        <v>21</v>
      </c>
      <c r="B742" s="4" t="s">
        <v>22</v>
      </c>
      <c r="C742" s="4" t="s">
        <v>23</v>
      </c>
      <c r="D742" s="4" t="s">
        <v>24</v>
      </c>
      <c r="E742" s="4" t="s">
        <v>31</v>
      </c>
      <c r="F742" s="4" t="s">
        <v>25</v>
      </c>
      <c r="G742" s="4" t="s">
        <v>25</v>
      </c>
      <c r="H742" s="4" t="s">
        <v>25</v>
      </c>
      <c r="I742" s="5">
        <v>44621</v>
      </c>
      <c r="J742" s="6">
        <v>0</v>
      </c>
      <c r="K742" s="6">
        <v>0</v>
      </c>
      <c r="L742" s="6">
        <v>1598.336</v>
      </c>
      <c r="M742" s="6">
        <v>1598.336</v>
      </c>
      <c r="N742" s="6">
        <v>1598.336</v>
      </c>
      <c r="O742" s="6">
        <v>1598.336</v>
      </c>
      <c r="P742" s="6">
        <v>9376</v>
      </c>
      <c r="Q742" s="4" t="s">
        <v>26</v>
      </c>
      <c r="R742" s="4">
        <v>0</v>
      </c>
      <c r="S742" s="6">
        <v>0</v>
      </c>
      <c r="T742" s="6">
        <v>32</v>
      </c>
      <c r="U742" s="6">
        <v>83</v>
      </c>
      <c r="V742" s="6">
        <f>IF(ISERROR(VLOOKUP($S$742,'TAR FIN'!$A$1:$O$108,15,0)),0,VLOOKUP($S$742,'TAR FIN'!$A$1:$O$108,15,0))</f>
        <v>0</v>
      </c>
      <c r="W742" s="6">
        <f>IF(ISERROR(VLOOKUP($T$742,'TAR FIN'!$A$1:$O$108,15,0)),0,VLOOKUP($T$742,'TAR FIN'!$A$1:$O$108,15,0))</f>
        <v>339.46</v>
      </c>
      <c r="X742" s="6">
        <f>IF(ISERROR(VLOOKUP($U$742,'TAR FIN'!$A$1:$O$108,15,0)),0,VLOOKUP($U$742,'TAR FIN'!$A$1:$O$108,15,0))</f>
        <v>97.01</v>
      </c>
      <c r="Y742" s="6"/>
      <c r="Z742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2" s="6">
        <f>('TE BE'!$AB$19+'TE BF'!$AB$19+'TE CVA'!$AB$19)*(1-CUSTOS!$M$36)</f>
        <v>202.03165175558053</v>
      </c>
      <c r="AB742" s="6">
        <f>$K$742*$V$742</f>
        <v>0</v>
      </c>
      <c r="AC742" s="6">
        <f>$M$742*$W$742</f>
        <v>542571.13855999999</v>
      </c>
      <c r="AD742" s="6">
        <f>$O$742*$X$742</f>
        <v>155054.57536000002</v>
      </c>
      <c r="AE742" s="6">
        <f>$K$742*$Y$742</f>
        <v>0</v>
      </c>
      <c r="AF742" s="6">
        <f ca="1">$M$742*$Z$742</f>
        <v>571696.99959081993</v>
      </c>
      <c r="AG742" s="6">
        <f>$O$742*$AA$742</f>
        <v>322914.46214040753</v>
      </c>
    </row>
    <row r="743" spans="1:33" ht="11.25" customHeight="1" x14ac:dyDescent="0.25">
      <c r="A743" s="4" t="s">
        <v>27</v>
      </c>
      <c r="B743" s="4" t="s">
        <v>22</v>
      </c>
      <c r="C743" s="4" t="s">
        <v>23</v>
      </c>
      <c r="D743" s="4" t="s">
        <v>24</v>
      </c>
      <c r="E743" s="4" t="s">
        <v>31</v>
      </c>
      <c r="F743" s="4" t="s">
        <v>25</v>
      </c>
      <c r="G743" s="4" t="s">
        <v>25</v>
      </c>
      <c r="H743" s="4" t="s">
        <v>25</v>
      </c>
      <c r="I743" s="5">
        <v>44621</v>
      </c>
      <c r="J743" s="6">
        <v>0</v>
      </c>
      <c r="K743" s="6">
        <v>0</v>
      </c>
      <c r="L743" s="6">
        <v>-18.271999999999998</v>
      </c>
      <c r="M743" s="6">
        <v>-18.271999999999998</v>
      </c>
      <c r="N743" s="6">
        <v>-18.271999999999998</v>
      </c>
      <c r="O743" s="6">
        <v>-18.271999999999998</v>
      </c>
      <c r="P743" s="6">
        <v>-46</v>
      </c>
      <c r="Q743" s="4" t="s">
        <v>26</v>
      </c>
      <c r="R743" s="4">
        <v>0</v>
      </c>
      <c r="S743" s="6">
        <v>0</v>
      </c>
      <c r="T743" s="6">
        <v>32</v>
      </c>
      <c r="U743" s="6">
        <v>83</v>
      </c>
      <c r="V743" s="6">
        <f>IF(ISERROR(VLOOKUP($S$743,'TAR FIN'!$A$1:$O$108,15,0)),0,VLOOKUP($S$743,'TAR FIN'!$A$1:$O$108,15,0))</f>
        <v>0</v>
      </c>
      <c r="W743" s="6">
        <f>IF(ISERROR(VLOOKUP($T$743,'TAR FIN'!$A$1:$O$108,15,0)),0,VLOOKUP($T$743,'TAR FIN'!$A$1:$O$108,15,0))</f>
        <v>339.46</v>
      </c>
      <c r="X743" s="6">
        <f>IF(ISERROR(VLOOKUP($U$743,'TAR FIN'!$A$1:$O$108,15,0)),0,VLOOKUP($U$743,'TAR FIN'!$A$1:$O$108,15,0))</f>
        <v>97.01</v>
      </c>
      <c r="Y743" s="6"/>
      <c r="Z743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3" s="6">
        <f>('TE BE'!$AB$19+'TE BF'!$AB$19+'TE CVA'!$AB$19)*(1-CUSTOS!$M$36)</f>
        <v>202.03165175558053</v>
      </c>
      <c r="AB743" s="6">
        <f>$K$743*$V$743</f>
        <v>0</v>
      </c>
      <c r="AC743" s="6">
        <f>$M$743*$W$743</f>
        <v>-6202.6131199999991</v>
      </c>
      <c r="AD743" s="6">
        <f>$O$743*$X$743</f>
        <v>-1772.56672</v>
      </c>
      <c r="AE743" s="6">
        <f>$K$743*$Y$743</f>
        <v>0</v>
      </c>
      <c r="AF743" s="6">
        <f ca="1">$M$743*$Z$743</f>
        <v>-6535.5767351316999</v>
      </c>
      <c r="AG743" s="6">
        <f>$O$743*$AA$743</f>
        <v>-3691.5223408779671</v>
      </c>
    </row>
    <row r="744" spans="1:33" ht="11.25" customHeight="1" x14ac:dyDescent="0.25">
      <c r="A744" s="4" t="s">
        <v>21</v>
      </c>
      <c r="B744" s="4" t="s">
        <v>22</v>
      </c>
      <c r="C744" s="4" t="s">
        <v>23</v>
      </c>
      <c r="D744" s="4" t="s">
        <v>24</v>
      </c>
      <c r="E744" s="4" t="s">
        <v>31</v>
      </c>
      <c r="F744" s="4" t="s">
        <v>25</v>
      </c>
      <c r="G744" s="4" t="s">
        <v>25</v>
      </c>
      <c r="H744" s="4" t="s">
        <v>25</v>
      </c>
      <c r="I744" s="5">
        <v>44652</v>
      </c>
      <c r="J744" s="6">
        <v>0</v>
      </c>
      <c r="K744" s="6">
        <v>0</v>
      </c>
      <c r="L744" s="6">
        <v>1669.4960000000001</v>
      </c>
      <c r="M744" s="6">
        <v>1669.4960000000001</v>
      </c>
      <c r="N744" s="6">
        <v>1669.4960000000001</v>
      </c>
      <c r="O744" s="6">
        <v>1669.4960000000001</v>
      </c>
      <c r="P744" s="6">
        <v>10349</v>
      </c>
      <c r="Q744" s="4" t="s">
        <v>26</v>
      </c>
      <c r="R744" s="4">
        <v>0</v>
      </c>
      <c r="S744" s="6">
        <v>0</v>
      </c>
      <c r="T744" s="6">
        <v>32</v>
      </c>
      <c r="U744" s="6">
        <v>83</v>
      </c>
      <c r="V744" s="6">
        <f>IF(ISERROR(VLOOKUP($S$744,'TAR FIN'!$A$1:$O$108,15,0)),0,VLOOKUP($S$744,'TAR FIN'!$A$1:$O$108,15,0))</f>
        <v>0</v>
      </c>
      <c r="W744" s="6">
        <f>IF(ISERROR(VLOOKUP($T$744,'TAR FIN'!$A$1:$O$108,15,0)),0,VLOOKUP($T$744,'TAR FIN'!$A$1:$O$108,15,0))</f>
        <v>339.46</v>
      </c>
      <c r="X744" s="6">
        <f>IF(ISERROR(VLOOKUP($U$744,'TAR FIN'!$A$1:$O$108,15,0)),0,VLOOKUP($U$744,'TAR FIN'!$A$1:$O$108,15,0))</f>
        <v>97.01</v>
      </c>
      <c r="Y744" s="6"/>
      <c r="Z744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4" s="6">
        <f>('TE BE'!$AB$19+'TE BF'!$AB$19+'TE CVA'!$AB$19)*(1-CUSTOS!$M$36)</f>
        <v>202.03165175558053</v>
      </c>
      <c r="AB744" s="6">
        <f>$K$744*$V$744</f>
        <v>0</v>
      </c>
      <c r="AC744" s="6">
        <f>$M$744*$W$744</f>
        <v>566727.11216000002</v>
      </c>
      <c r="AD744" s="6">
        <f>$O$744*$X$744</f>
        <v>161957.80696000002</v>
      </c>
      <c r="AE744" s="6">
        <f>$K$744*$Y$744</f>
        <v>0</v>
      </c>
      <c r="AF744" s="6">
        <f ca="1">$M$744*$Z$744</f>
        <v>597149.69445027551</v>
      </c>
      <c r="AG744" s="6">
        <f>$O$744*$AA$744</f>
        <v>337291.03447933466</v>
      </c>
    </row>
    <row r="745" spans="1:33" ht="11.25" customHeight="1" x14ac:dyDescent="0.25">
      <c r="A745" s="4" t="s">
        <v>27</v>
      </c>
      <c r="B745" s="4" t="s">
        <v>22</v>
      </c>
      <c r="C745" s="4" t="s">
        <v>23</v>
      </c>
      <c r="D745" s="4" t="s">
        <v>24</v>
      </c>
      <c r="E745" s="4" t="s">
        <v>31</v>
      </c>
      <c r="F745" s="4" t="s">
        <v>25</v>
      </c>
      <c r="G745" s="4" t="s">
        <v>25</v>
      </c>
      <c r="H745" s="4" t="s">
        <v>25</v>
      </c>
      <c r="I745" s="5">
        <v>44652</v>
      </c>
      <c r="J745" s="6">
        <v>0</v>
      </c>
      <c r="K745" s="6">
        <v>0</v>
      </c>
      <c r="L745" s="6">
        <v>-22.542000000000002</v>
      </c>
      <c r="M745" s="6">
        <v>-22.542000000000002</v>
      </c>
      <c r="N745" s="6">
        <v>-22.542000000000002</v>
      </c>
      <c r="O745" s="6">
        <v>-22.542000000000002</v>
      </c>
      <c r="P745" s="6">
        <v>-23</v>
      </c>
      <c r="Q745" s="4" t="s">
        <v>26</v>
      </c>
      <c r="R745" s="4">
        <v>0</v>
      </c>
      <c r="S745" s="6">
        <v>0</v>
      </c>
      <c r="T745" s="6">
        <v>32</v>
      </c>
      <c r="U745" s="6">
        <v>83</v>
      </c>
      <c r="V745" s="6">
        <f>IF(ISERROR(VLOOKUP($S$745,'TAR FIN'!$A$1:$O$108,15,0)),0,VLOOKUP($S$745,'TAR FIN'!$A$1:$O$108,15,0))</f>
        <v>0</v>
      </c>
      <c r="W745" s="6">
        <f>IF(ISERROR(VLOOKUP($T$745,'TAR FIN'!$A$1:$O$108,15,0)),0,VLOOKUP($T$745,'TAR FIN'!$A$1:$O$108,15,0))</f>
        <v>339.46</v>
      </c>
      <c r="X745" s="6">
        <f>IF(ISERROR(VLOOKUP($U$745,'TAR FIN'!$A$1:$O$108,15,0)),0,VLOOKUP($U$745,'TAR FIN'!$A$1:$O$108,15,0))</f>
        <v>97.01</v>
      </c>
      <c r="Y745" s="6"/>
      <c r="Z745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5" s="6">
        <f>('TE BE'!$AB$19+'TE BF'!$AB$19+'TE CVA'!$AB$19)*(1-CUSTOS!$M$36)</f>
        <v>202.03165175558053</v>
      </c>
      <c r="AB745" s="6">
        <f>$K$745*$V$745</f>
        <v>0</v>
      </c>
      <c r="AC745" s="6">
        <f>$M$745*$W$745</f>
        <v>-7652.1073200000001</v>
      </c>
      <c r="AD745" s="6">
        <f>$O$745*$X$745</f>
        <v>-2186.7994200000003</v>
      </c>
      <c r="AE745" s="6">
        <f>$K$745*$Y$745</f>
        <v>0</v>
      </c>
      <c r="AF745" s="6">
        <f ca="1">$M$745*$Z$745</f>
        <v>-8062.881499744899</v>
      </c>
      <c r="AG745" s="6">
        <f>$O$745*$AA$745</f>
        <v>-4554.1974938742969</v>
      </c>
    </row>
    <row r="746" spans="1:33" ht="11.25" customHeight="1" x14ac:dyDescent="0.25">
      <c r="A746" s="4" t="s">
        <v>21</v>
      </c>
      <c r="B746" s="4" t="s">
        <v>22</v>
      </c>
      <c r="C746" s="4" t="s">
        <v>23</v>
      </c>
      <c r="D746" s="4" t="s">
        <v>24</v>
      </c>
      <c r="E746" s="4" t="s">
        <v>31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1776.654</v>
      </c>
      <c r="M746" s="6">
        <v>1776.654</v>
      </c>
      <c r="N746" s="6">
        <v>1776.654</v>
      </c>
      <c r="O746" s="6">
        <v>1776.654</v>
      </c>
      <c r="P746" s="6">
        <v>9812</v>
      </c>
      <c r="Q746" s="4" t="s">
        <v>26</v>
      </c>
      <c r="R746" s="4">
        <v>0</v>
      </c>
      <c r="S746" s="6">
        <v>0</v>
      </c>
      <c r="T746" s="6">
        <v>32</v>
      </c>
      <c r="U746" s="6">
        <v>83</v>
      </c>
      <c r="V746" s="6">
        <f>IF(ISERROR(VLOOKUP($S$746,'TAR FIN'!$A$1:$O$108,15,0)),0,VLOOKUP($S$746,'TAR FIN'!$A$1:$O$108,15,0))</f>
        <v>0</v>
      </c>
      <c r="W746" s="6">
        <f>IF(ISERROR(VLOOKUP($T$746,'TAR FIN'!$A$1:$O$108,15,0)),0,VLOOKUP($T$746,'TAR FIN'!$A$1:$O$108,15,0))</f>
        <v>339.46</v>
      </c>
      <c r="X746" s="6">
        <f>IF(ISERROR(VLOOKUP($U$746,'TAR FIN'!$A$1:$O$108,15,0)),0,VLOOKUP($U$746,'TAR FIN'!$A$1:$O$108,15,0))</f>
        <v>97.01</v>
      </c>
      <c r="Y746" s="6"/>
      <c r="Z746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6" s="6">
        <f>('TE BE'!$AB$19+'TE BF'!$AB$19+'TE CVA'!$AB$19)*(1-CUSTOS!$M$36)</f>
        <v>202.03165175558053</v>
      </c>
      <c r="AB746" s="6">
        <f>$K$746*$V$746</f>
        <v>0</v>
      </c>
      <c r="AC746" s="6">
        <f>$M$746*$W$746</f>
        <v>603102.96684000001</v>
      </c>
      <c r="AD746" s="6">
        <f>$O$746*$X$746</f>
        <v>172353.20454000001</v>
      </c>
      <c r="AE746" s="6">
        <f>$K$746*$Y$746</f>
        <v>0</v>
      </c>
      <c r="AF746" s="6">
        <f ca="1">$M$746*$Z$746</f>
        <v>635478.24807238812</v>
      </c>
      <c r="AG746" s="6">
        <f>$O$746*$AA$746</f>
        <v>358940.34221815917</v>
      </c>
    </row>
    <row r="747" spans="1:33" ht="11.25" customHeight="1" x14ac:dyDescent="0.25">
      <c r="A747" s="4" t="s">
        <v>27</v>
      </c>
      <c r="B747" s="4" t="s">
        <v>22</v>
      </c>
      <c r="C747" s="4" t="s">
        <v>23</v>
      </c>
      <c r="D747" s="4" t="s">
        <v>24</v>
      </c>
      <c r="E747" s="4" t="s">
        <v>31</v>
      </c>
      <c r="F747" s="4" t="s">
        <v>25</v>
      </c>
      <c r="G747" s="4" t="s">
        <v>25</v>
      </c>
      <c r="H747" s="4" t="s">
        <v>25</v>
      </c>
      <c r="I747" s="5">
        <v>44682</v>
      </c>
      <c r="J747" s="6">
        <v>0</v>
      </c>
      <c r="K747" s="6">
        <v>0</v>
      </c>
      <c r="L747" s="6">
        <v>-13.287000000000001</v>
      </c>
      <c r="M747" s="6">
        <v>-13.287000000000001</v>
      </c>
      <c r="N747" s="6">
        <v>-13.287000000000001</v>
      </c>
      <c r="O747" s="6">
        <v>-13.287000000000001</v>
      </c>
      <c r="P747" s="6">
        <v>-16</v>
      </c>
      <c r="Q747" s="4" t="s">
        <v>26</v>
      </c>
      <c r="R747" s="4">
        <v>0</v>
      </c>
      <c r="S747" s="6">
        <v>0</v>
      </c>
      <c r="T747" s="6">
        <v>32</v>
      </c>
      <c r="U747" s="6">
        <v>83</v>
      </c>
      <c r="V747" s="6">
        <f>IF(ISERROR(VLOOKUP($S$747,'TAR FIN'!$A$1:$O$108,15,0)),0,VLOOKUP($S$747,'TAR FIN'!$A$1:$O$108,15,0))</f>
        <v>0</v>
      </c>
      <c r="W747" s="6">
        <f>IF(ISERROR(VLOOKUP($T$747,'TAR FIN'!$A$1:$O$108,15,0)),0,VLOOKUP($T$747,'TAR FIN'!$A$1:$O$108,15,0))</f>
        <v>339.46</v>
      </c>
      <c r="X747" s="6">
        <f>IF(ISERROR(VLOOKUP($U$747,'TAR FIN'!$A$1:$O$108,15,0)),0,VLOOKUP($U$747,'TAR FIN'!$A$1:$O$108,15,0))</f>
        <v>97.01</v>
      </c>
      <c r="Y747" s="6"/>
      <c r="Z747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7" s="6">
        <f>('TE BE'!$AB$19+'TE BF'!$AB$19+'TE CVA'!$AB$19)*(1-CUSTOS!$M$36)</f>
        <v>202.03165175558053</v>
      </c>
      <c r="AB747" s="6">
        <f>$K$747*$V$747</f>
        <v>0</v>
      </c>
      <c r="AC747" s="6">
        <f>$M$747*$W$747</f>
        <v>-4510.4050200000001</v>
      </c>
      <c r="AD747" s="6">
        <f>$O$747*$X$747</f>
        <v>-1288.9718700000001</v>
      </c>
      <c r="AE747" s="6">
        <f>$K$747*$Y$747</f>
        <v>0</v>
      </c>
      <c r="AF747" s="6">
        <f ca="1">$M$747*$Z$747</f>
        <v>-4752.5289010340903</v>
      </c>
      <c r="AG747" s="6">
        <f>$O$747*$AA$747</f>
        <v>-2684.3945568763988</v>
      </c>
    </row>
    <row r="748" spans="1:33" ht="11.25" customHeight="1" x14ac:dyDescent="0.25">
      <c r="A748" s="4" t="s">
        <v>21</v>
      </c>
      <c r="B748" s="4" t="s">
        <v>22</v>
      </c>
      <c r="C748" s="4" t="s">
        <v>23</v>
      </c>
      <c r="D748" s="4" t="s">
        <v>24</v>
      </c>
      <c r="E748" s="4" t="s">
        <v>31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1894.8389999999999</v>
      </c>
      <c r="M748" s="6">
        <v>1894.8389999999999</v>
      </c>
      <c r="N748" s="6">
        <v>1894.8389999999999</v>
      </c>
      <c r="O748" s="6">
        <v>1894.8389999999999</v>
      </c>
      <c r="P748" s="6">
        <v>10274</v>
      </c>
      <c r="Q748" s="4" t="s">
        <v>26</v>
      </c>
      <c r="R748" s="4">
        <v>0</v>
      </c>
      <c r="S748" s="6">
        <v>0</v>
      </c>
      <c r="T748" s="6">
        <v>32</v>
      </c>
      <c r="U748" s="6">
        <v>83</v>
      </c>
      <c r="V748" s="6">
        <f>IF(ISERROR(VLOOKUP($S$748,'TAR FIN'!$A$1:$O$108,15,0)),0,VLOOKUP($S$748,'TAR FIN'!$A$1:$O$108,15,0))</f>
        <v>0</v>
      </c>
      <c r="W748" s="6">
        <f>IF(ISERROR(VLOOKUP($T$748,'TAR FIN'!$A$1:$O$108,15,0)),0,VLOOKUP($T$748,'TAR FIN'!$A$1:$O$108,15,0))</f>
        <v>339.46</v>
      </c>
      <c r="X748" s="6">
        <f>IF(ISERROR(VLOOKUP($U$748,'TAR FIN'!$A$1:$O$108,15,0)),0,VLOOKUP($U$748,'TAR FIN'!$A$1:$O$108,15,0))</f>
        <v>97.01</v>
      </c>
      <c r="Y748" s="6"/>
      <c r="Z748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8" s="6">
        <f>('TE BE'!$AB$19+'TE BF'!$AB$19+'TE CVA'!$AB$19)*(1-CUSTOS!$M$36)</f>
        <v>202.03165175558053</v>
      </c>
      <c r="AB748" s="6">
        <f>$K$748*$V$748</f>
        <v>0</v>
      </c>
      <c r="AC748" s="6">
        <f>$M$748*$W$748</f>
        <v>643222.04693999991</v>
      </c>
      <c r="AD748" s="6">
        <f>$O$748*$X$748</f>
        <v>183818.33139000001</v>
      </c>
      <c r="AE748" s="6">
        <f>$K$748*$Y$748</f>
        <v>0</v>
      </c>
      <c r="AF748" s="6">
        <f ca="1">$M$748*$Z$748</f>
        <v>677750.96788639529</v>
      </c>
      <c r="AG748" s="6">
        <f>$O$748*$AA$748</f>
        <v>382817.45298089244</v>
      </c>
    </row>
    <row r="749" spans="1:33" ht="11.25" customHeight="1" x14ac:dyDescent="0.25">
      <c r="A749" s="4" t="s">
        <v>27</v>
      </c>
      <c r="B749" s="4" t="s">
        <v>22</v>
      </c>
      <c r="C749" s="4" t="s">
        <v>23</v>
      </c>
      <c r="D749" s="4" t="s">
        <v>24</v>
      </c>
      <c r="E749" s="4" t="s">
        <v>31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-7.3659999999999997</v>
      </c>
      <c r="M749" s="6">
        <v>-7.3659999999999997</v>
      </c>
      <c r="N749" s="6">
        <v>-7.3659999999999997</v>
      </c>
      <c r="O749" s="6">
        <v>-7.3659999999999997</v>
      </c>
      <c r="P749" s="6">
        <v>-59</v>
      </c>
      <c r="Q749" s="4" t="s">
        <v>26</v>
      </c>
      <c r="R749" s="4">
        <v>0</v>
      </c>
      <c r="S749" s="6">
        <v>0</v>
      </c>
      <c r="T749" s="6">
        <v>32</v>
      </c>
      <c r="U749" s="6">
        <v>83</v>
      </c>
      <c r="V749" s="6">
        <f>IF(ISERROR(VLOOKUP($S$749,'TAR FIN'!$A$1:$O$108,15,0)),0,VLOOKUP($S$749,'TAR FIN'!$A$1:$O$108,15,0))</f>
        <v>0</v>
      </c>
      <c r="W749" s="6">
        <f>IF(ISERROR(VLOOKUP($T$749,'TAR FIN'!$A$1:$O$108,15,0)),0,VLOOKUP($T$749,'TAR FIN'!$A$1:$O$108,15,0))</f>
        <v>339.46</v>
      </c>
      <c r="X749" s="6">
        <f>IF(ISERROR(VLOOKUP($U$749,'TAR FIN'!$A$1:$O$108,15,0)),0,VLOOKUP($U$749,'TAR FIN'!$A$1:$O$108,15,0))</f>
        <v>97.01</v>
      </c>
      <c r="Y749" s="6"/>
      <c r="Z74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49" s="6">
        <f>('TE BE'!$AB$19+'TE BF'!$AB$19+'TE CVA'!$AB$19)*(1-CUSTOS!$M$36)</f>
        <v>202.03165175558053</v>
      </c>
      <c r="AB749" s="6">
        <f>$K$749*$V$749</f>
        <v>0</v>
      </c>
      <c r="AC749" s="6">
        <f>$M$749*$W$749</f>
        <v>-2500.4623599999995</v>
      </c>
      <c r="AD749" s="6">
        <f>$O$749*$X$749</f>
        <v>-714.57565999999997</v>
      </c>
      <c r="AE749" s="6">
        <f>$K$749*$Y$749</f>
        <v>0</v>
      </c>
      <c r="AF749" s="6">
        <f ca="1">$M$749*$Z$749</f>
        <v>-2634.6901396114326</v>
      </c>
      <c r="AG749" s="6">
        <f>$O$749*$AA$749</f>
        <v>-1488.1651468316061</v>
      </c>
    </row>
    <row r="750" spans="1:3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31</v>
      </c>
      <c r="F750" s="4" t="s">
        <v>25</v>
      </c>
      <c r="G750" s="4" t="s">
        <v>25</v>
      </c>
      <c r="H750" s="4" t="s">
        <v>25</v>
      </c>
      <c r="I750" s="5">
        <v>44743</v>
      </c>
      <c r="J750" s="6">
        <v>0</v>
      </c>
      <c r="K750" s="6">
        <v>0</v>
      </c>
      <c r="L750" s="6">
        <v>1965.155</v>
      </c>
      <c r="M750" s="6">
        <v>1965.155</v>
      </c>
      <c r="N750" s="6">
        <v>1965.155</v>
      </c>
      <c r="O750" s="6">
        <v>1965.155</v>
      </c>
      <c r="P750" s="6">
        <v>10991</v>
      </c>
      <c r="Q750" s="4" t="s">
        <v>26</v>
      </c>
      <c r="R750" s="4">
        <v>0</v>
      </c>
      <c r="S750" s="6">
        <v>0</v>
      </c>
      <c r="T750" s="6">
        <v>32</v>
      </c>
      <c r="U750" s="6">
        <v>83</v>
      </c>
      <c r="V750" s="6">
        <f>IF(ISERROR(VLOOKUP($S$750,'TAR FIN'!$A$1:$O$108,15,0)),0,VLOOKUP($S$750,'TAR FIN'!$A$1:$O$108,15,0))</f>
        <v>0</v>
      </c>
      <c r="W750" s="6">
        <f>IF(ISERROR(VLOOKUP($T$750,'TAR FIN'!$A$1:$O$108,15,0)),0,VLOOKUP($T$750,'TAR FIN'!$A$1:$O$108,15,0))</f>
        <v>339.46</v>
      </c>
      <c r="X750" s="6">
        <f>IF(ISERROR(VLOOKUP($U$750,'TAR FIN'!$A$1:$O$108,15,0)),0,VLOOKUP($U$750,'TAR FIN'!$A$1:$O$108,15,0))</f>
        <v>97.01</v>
      </c>
      <c r="Y750" s="6"/>
      <c r="Z750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0" s="6">
        <f>('TE BE'!$AB$19+'TE BF'!$AB$19+'TE CVA'!$AB$19)*(1-CUSTOS!$M$36)</f>
        <v>202.03165175558053</v>
      </c>
      <c r="AB750" s="6">
        <f>$K$750*$V$750</f>
        <v>0</v>
      </c>
      <c r="AC750" s="6">
        <f>$M$750*$W$750</f>
        <v>667091.5162999999</v>
      </c>
      <c r="AD750" s="6">
        <f>$O$750*$X$750</f>
        <v>190639.68655000001</v>
      </c>
      <c r="AE750" s="6">
        <f>$K$750*$Y$750</f>
        <v>0</v>
      </c>
      <c r="AF750" s="6">
        <f ca="1">$M$750*$Z$750</f>
        <v>702901.77861907484</v>
      </c>
      <c r="AG750" s="6">
        <f>$O$750*$AA$750</f>
        <v>397023.51060573786</v>
      </c>
    </row>
    <row r="751" spans="1:3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31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-6.7290000000000001</v>
      </c>
      <c r="M751" s="6">
        <v>-6.7290000000000001</v>
      </c>
      <c r="N751" s="6">
        <v>-6.7290000000000001</v>
      </c>
      <c r="O751" s="6">
        <v>-6.7290000000000001</v>
      </c>
      <c r="P751" s="6">
        <v>-41</v>
      </c>
      <c r="Q751" s="4" t="s">
        <v>26</v>
      </c>
      <c r="R751" s="4">
        <v>0</v>
      </c>
      <c r="S751" s="6">
        <v>0</v>
      </c>
      <c r="T751" s="6">
        <v>32</v>
      </c>
      <c r="U751" s="6">
        <v>83</v>
      </c>
      <c r="V751" s="6">
        <f>IF(ISERROR(VLOOKUP($S$751,'TAR FIN'!$A$1:$O$108,15,0)),0,VLOOKUP($S$751,'TAR FIN'!$A$1:$O$108,15,0))</f>
        <v>0</v>
      </c>
      <c r="W751" s="6">
        <f>IF(ISERROR(VLOOKUP($T$751,'TAR FIN'!$A$1:$O$108,15,0)),0,VLOOKUP($T$751,'TAR FIN'!$A$1:$O$108,15,0))</f>
        <v>339.46</v>
      </c>
      <c r="X751" s="6">
        <f>IF(ISERROR(VLOOKUP($U$751,'TAR FIN'!$A$1:$O$108,15,0)),0,VLOOKUP($U$751,'TAR FIN'!$A$1:$O$108,15,0))</f>
        <v>97.01</v>
      </c>
      <c r="Y751" s="6"/>
      <c r="Z751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1" s="6">
        <f>('TE BE'!$AB$19+'TE BF'!$AB$19+'TE CVA'!$AB$19)*(1-CUSTOS!$M$36)</f>
        <v>202.03165175558053</v>
      </c>
      <c r="AB751" s="6">
        <f>$K$751*$V$751</f>
        <v>0</v>
      </c>
      <c r="AC751" s="6">
        <f>$M$751*$W$751</f>
        <v>-2284.2263399999997</v>
      </c>
      <c r="AD751" s="6">
        <f>$O$751*$X$751</f>
        <v>-652.78029000000004</v>
      </c>
      <c r="AE751" s="6">
        <f>$K$751*$Y$751</f>
        <v>0</v>
      </c>
      <c r="AF751" s="6">
        <f ca="1">$M$751*$Z$751</f>
        <v>-2406.8463140707754</v>
      </c>
      <c r="AG751" s="6">
        <f>$O$751*$AA$751</f>
        <v>-1359.4709846633014</v>
      </c>
    </row>
    <row r="752" spans="1:33" ht="11.25" customHeight="1" x14ac:dyDescent="0.25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31</v>
      </c>
      <c r="F752" s="4" t="s">
        <v>25</v>
      </c>
      <c r="G752" s="4" t="s">
        <v>25</v>
      </c>
      <c r="H752" s="4" t="s">
        <v>25</v>
      </c>
      <c r="I752" s="5">
        <v>44774</v>
      </c>
      <c r="J752" s="6">
        <v>0</v>
      </c>
      <c r="K752" s="6">
        <v>0</v>
      </c>
      <c r="L752" s="6">
        <v>2148.2510000000002</v>
      </c>
      <c r="M752" s="6">
        <v>2148.2510000000002</v>
      </c>
      <c r="N752" s="6">
        <v>2148.2510000000002</v>
      </c>
      <c r="O752" s="6">
        <v>2148.2510000000002</v>
      </c>
      <c r="P752" s="6">
        <v>10981</v>
      </c>
      <c r="Q752" s="4" t="s">
        <v>26</v>
      </c>
      <c r="R752" s="4">
        <v>0</v>
      </c>
      <c r="S752" s="6">
        <v>0</v>
      </c>
      <c r="T752" s="6">
        <v>32</v>
      </c>
      <c r="U752" s="6">
        <v>83</v>
      </c>
      <c r="V752" s="6">
        <f>IF(ISERROR(VLOOKUP($S$752,'TAR FIN'!$A$1:$O$108,15,0)),0,VLOOKUP($S$752,'TAR FIN'!$A$1:$O$108,15,0))</f>
        <v>0</v>
      </c>
      <c r="W752" s="6">
        <f>IF(ISERROR(VLOOKUP($T$752,'TAR FIN'!$A$1:$O$108,15,0)),0,VLOOKUP($T$752,'TAR FIN'!$A$1:$O$108,15,0))</f>
        <v>339.46</v>
      </c>
      <c r="X752" s="6">
        <f>IF(ISERROR(VLOOKUP($U$752,'TAR FIN'!$A$1:$O$108,15,0)),0,VLOOKUP($U$752,'TAR FIN'!$A$1:$O$108,15,0))</f>
        <v>97.01</v>
      </c>
      <c r="Y752" s="6"/>
      <c r="Z752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2" s="6">
        <f>('TE BE'!$AB$19+'TE BF'!$AB$19+'TE CVA'!$AB$19)*(1-CUSTOS!$M$36)</f>
        <v>202.03165175558053</v>
      </c>
      <c r="AB752" s="6">
        <f>$K$752*$V$752</f>
        <v>0</v>
      </c>
      <c r="AC752" s="6">
        <f>$M$752*$W$752</f>
        <v>729245.28446</v>
      </c>
      <c r="AD752" s="6">
        <f>$O$752*$X$752</f>
        <v>208401.82951000004</v>
      </c>
      <c r="AE752" s="6">
        <f>$K$752*$Y$752</f>
        <v>0</v>
      </c>
      <c r="AF752" s="6">
        <f ca="1">$M$752*$Z$752</f>
        <v>768392.03463350539</v>
      </c>
      <c r="AG752" s="6">
        <f>$O$752*$AA$752</f>
        <v>434014.69791557768</v>
      </c>
    </row>
    <row r="753" spans="1:33" ht="11.25" customHeight="1" x14ac:dyDescent="0.25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31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-17.472999999999999</v>
      </c>
      <c r="M753" s="6">
        <v>-17.472999999999999</v>
      </c>
      <c r="N753" s="6">
        <v>-17.472999999999999</v>
      </c>
      <c r="O753" s="6">
        <v>-17.472999999999999</v>
      </c>
      <c r="P753" s="6">
        <v>-79</v>
      </c>
      <c r="Q753" s="4" t="s">
        <v>26</v>
      </c>
      <c r="R753" s="4">
        <v>0</v>
      </c>
      <c r="S753" s="6">
        <v>0</v>
      </c>
      <c r="T753" s="6">
        <v>32</v>
      </c>
      <c r="U753" s="6">
        <v>83</v>
      </c>
      <c r="V753" s="6">
        <f>IF(ISERROR(VLOOKUP($S$753,'TAR FIN'!$A$1:$O$108,15,0)),0,VLOOKUP($S$753,'TAR FIN'!$A$1:$O$108,15,0))</f>
        <v>0</v>
      </c>
      <c r="W753" s="6">
        <f>IF(ISERROR(VLOOKUP($T$753,'TAR FIN'!$A$1:$O$108,15,0)),0,VLOOKUP($T$753,'TAR FIN'!$A$1:$O$108,15,0))</f>
        <v>339.46</v>
      </c>
      <c r="X753" s="6">
        <f>IF(ISERROR(VLOOKUP($U$753,'TAR FIN'!$A$1:$O$108,15,0)),0,VLOOKUP($U$753,'TAR FIN'!$A$1:$O$108,15,0))</f>
        <v>97.01</v>
      </c>
      <c r="Y753" s="6"/>
      <c r="Z753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3" s="6">
        <f>('TE BE'!$AB$19+'TE BF'!$AB$19+'TE CVA'!$AB$19)*(1-CUSTOS!$M$36)</f>
        <v>202.03165175558053</v>
      </c>
      <c r="AB753" s="6">
        <f>$K$753*$V$753</f>
        <v>0</v>
      </c>
      <c r="AC753" s="6">
        <f>$M$753*$W$753</f>
        <v>-5931.384579999999</v>
      </c>
      <c r="AD753" s="6">
        <f>$O$753*$X$753</f>
        <v>-1695.05573</v>
      </c>
      <c r="AE753" s="6">
        <f>$K$753*$Y$753</f>
        <v>0</v>
      </c>
      <c r="AF753" s="6">
        <f ca="1">$M$753*$Z$753</f>
        <v>-6249.7883260155531</v>
      </c>
      <c r="AG753" s="6">
        <f>$O$753*$AA$753</f>
        <v>-3530.0990511252585</v>
      </c>
    </row>
    <row r="754" spans="1:33" ht="11.25" customHeight="1" x14ac:dyDescent="0.25">
      <c r="A754" s="4" t="s">
        <v>21</v>
      </c>
      <c r="B754" s="4" t="s">
        <v>22</v>
      </c>
      <c r="C754" s="4" t="s">
        <v>23</v>
      </c>
      <c r="D754" s="4" t="s">
        <v>24</v>
      </c>
      <c r="E754" s="4" t="s">
        <v>31</v>
      </c>
      <c r="F754" s="4" t="s">
        <v>25</v>
      </c>
      <c r="G754" s="4" t="s">
        <v>25</v>
      </c>
      <c r="H754" s="4" t="s">
        <v>25</v>
      </c>
      <c r="I754" s="5">
        <v>44805</v>
      </c>
      <c r="J754" s="6">
        <v>0</v>
      </c>
      <c r="K754" s="6">
        <v>0</v>
      </c>
      <c r="L754" s="6">
        <v>2478.875</v>
      </c>
      <c r="M754" s="6">
        <v>2478.875</v>
      </c>
      <c r="N754" s="6">
        <v>2478.875</v>
      </c>
      <c r="O754" s="6">
        <v>2478.875</v>
      </c>
      <c r="P754" s="6">
        <v>11784</v>
      </c>
      <c r="Q754" s="4" t="s">
        <v>26</v>
      </c>
      <c r="R754" s="4">
        <v>0</v>
      </c>
      <c r="S754" s="6">
        <v>0</v>
      </c>
      <c r="T754" s="6">
        <v>32</v>
      </c>
      <c r="U754" s="6">
        <v>83</v>
      </c>
      <c r="V754" s="6">
        <f>IF(ISERROR(VLOOKUP($S$754,'TAR FIN'!$A$1:$O$108,15,0)),0,VLOOKUP($S$754,'TAR FIN'!$A$1:$O$108,15,0))</f>
        <v>0</v>
      </c>
      <c r="W754" s="6">
        <f>IF(ISERROR(VLOOKUP($T$754,'TAR FIN'!$A$1:$O$108,15,0)),0,VLOOKUP($T$754,'TAR FIN'!$A$1:$O$108,15,0))</f>
        <v>339.46</v>
      </c>
      <c r="X754" s="6">
        <f>IF(ISERROR(VLOOKUP($U$754,'TAR FIN'!$A$1:$O$108,15,0)),0,VLOOKUP($U$754,'TAR FIN'!$A$1:$O$108,15,0))</f>
        <v>97.01</v>
      </c>
      <c r="Y754" s="6"/>
      <c r="Z754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4" s="6">
        <f>('TE BE'!$AB$19+'TE BF'!$AB$19+'TE CVA'!$AB$19)*(1-CUSTOS!$M$36)</f>
        <v>202.03165175558053</v>
      </c>
      <c r="AB754" s="6">
        <f>$K$754*$V$754</f>
        <v>0</v>
      </c>
      <c r="AC754" s="6">
        <f>$M$754*$W$754</f>
        <v>841478.90749999997</v>
      </c>
      <c r="AD754" s="6">
        <f>$O$754*$X$754</f>
        <v>240475.66375000001</v>
      </c>
      <c r="AE754" s="6">
        <f>$K$754*$Y$754</f>
        <v>0</v>
      </c>
      <c r="AF754" s="6">
        <f ca="1">$M$754*$Z$754</f>
        <v>886650.49142401456</v>
      </c>
      <c r="AG754" s="6">
        <f>$O$754*$AA$754</f>
        <v>500811.21074561466</v>
      </c>
    </row>
    <row r="755" spans="1:33" ht="11.25" customHeight="1" x14ac:dyDescent="0.25">
      <c r="A755" s="4" t="s">
        <v>27</v>
      </c>
      <c r="B755" s="4" t="s">
        <v>22</v>
      </c>
      <c r="C755" s="4" t="s">
        <v>23</v>
      </c>
      <c r="D755" s="4" t="s">
        <v>24</v>
      </c>
      <c r="E755" s="4" t="s">
        <v>31</v>
      </c>
      <c r="F755" s="4" t="s">
        <v>25</v>
      </c>
      <c r="G755" s="4" t="s">
        <v>25</v>
      </c>
      <c r="H755" s="4" t="s">
        <v>25</v>
      </c>
      <c r="I755" s="5">
        <v>44805</v>
      </c>
      <c r="J755" s="6">
        <v>0</v>
      </c>
      <c r="K755" s="6">
        <v>0</v>
      </c>
      <c r="L755" s="6">
        <v>-6.4969999999999999</v>
      </c>
      <c r="M755" s="6">
        <v>-6.4969999999999999</v>
      </c>
      <c r="N755" s="6">
        <v>-6.4969999999999999</v>
      </c>
      <c r="O755" s="6">
        <v>-6.4969999999999999</v>
      </c>
      <c r="P755" s="6">
        <v>-8</v>
      </c>
      <c r="Q755" s="4" t="s">
        <v>26</v>
      </c>
      <c r="R755" s="4">
        <v>0</v>
      </c>
      <c r="S755" s="6">
        <v>0</v>
      </c>
      <c r="T755" s="6">
        <v>32</v>
      </c>
      <c r="U755" s="6">
        <v>83</v>
      </c>
      <c r="V755" s="6">
        <f>IF(ISERROR(VLOOKUP($S$755,'TAR FIN'!$A$1:$O$108,15,0)),0,VLOOKUP($S$755,'TAR FIN'!$A$1:$O$108,15,0))</f>
        <v>0</v>
      </c>
      <c r="W755" s="6">
        <f>IF(ISERROR(VLOOKUP($T$755,'TAR FIN'!$A$1:$O$108,15,0)),0,VLOOKUP($T$755,'TAR FIN'!$A$1:$O$108,15,0))</f>
        <v>339.46</v>
      </c>
      <c r="X755" s="6">
        <f>IF(ISERROR(VLOOKUP($U$755,'TAR FIN'!$A$1:$O$108,15,0)),0,VLOOKUP($U$755,'TAR FIN'!$A$1:$O$108,15,0))</f>
        <v>97.01</v>
      </c>
      <c r="Y755" s="6"/>
      <c r="Z755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5" s="6">
        <f>('TE BE'!$AB$19+'TE BF'!$AB$19+'TE CVA'!$AB$19)*(1-CUSTOS!$M$36)</f>
        <v>202.03165175558053</v>
      </c>
      <c r="AB755" s="6">
        <f>$K$755*$V$755</f>
        <v>0</v>
      </c>
      <c r="AC755" s="6">
        <f>$M$755*$W$755</f>
        <v>-2205.4716199999998</v>
      </c>
      <c r="AD755" s="6">
        <f>$O$755*$X$755</f>
        <v>-630.27397000000008</v>
      </c>
      <c r="AE755" s="6">
        <f>$K$755*$Y$755</f>
        <v>0</v>
      </c>
      <c r="AF755" s="6">
        <f ca="1">$M$755*$Z$755</f>
        <v>-2323.8639474688407</v>
      </c>
      <c r="AG755" s="6">
        <f>$O$755*$AA$755</f>
        <v>-1312.5996414560066</v>
      </c>
    </row>
    <row r="756" spans="1:3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31</v>
      </c>
      <c r="F756" s="4" t="s">
        <v>25</v>
      </c>
      <c r="G756" s="4" t="s">
        <v>25</v>
      </c>
      <c r="H756" s="4" t="s">
        <v>25</v>
      </c>
      <c r="I756" s="5">
        <v>44835</v>
      </c>
      <c r="J756" s="6">
        <v>0</v>
      </c>
      <c r="K756" s="6">
        <v>0</v>
      </c>
      <c r="L756" s="6">
        <v>3078.2750000000001</v>
      </c>
      <c r="M756" s="6">
        <v>3078.2750000000001</v>
      </c>
      <c r="N756" s="6">
        <v>3078.2750000000001</v>
      </c>
      <c r="O756" s="6">
        <v>3078.2750000000001</v>
      </c>
      <c r="P756" s="6">
        <v>13481</v>
      </c>
      <c r="Q756" s="4" t="s">
        <v>26</v>
      </c>
      <c r="R756" s="4">
        <v>0</v>
      </c>
      <c r="S756" s="6">
        <v>0</v>
      </c>
      <c r="T756" s="6">
        <v>32</v>
      </c>
      <c r="U756" s="6">
        <v>83</v>
      </c>
      <c r="V756" s="6">
        <f>IF(ISERROR(VLOOKUP($S$756,'TAR FIN'!$A$1:$O$108,15,0)),0,VLOOKUP($S$756,'TAR FIN'!$A$1:$O$108,15,0))</f>
        <v>0</v>
      </c>
      <c r="W756" s="6">
        <f>IF(ISERROR(VLOOKUP($T$756,'TAR FIN'!$A$1:$O$108,15,0)),0,VLOOKUP($T$756,'TAR FIN'!$A$1:$O$108,15,0))</f>
        <v>339.46</v>
      </c>
      <c r="X756" s="6">
        <f>IF(ISERROR(VLOOKUP($U$756,'TAR FIN'!$A$1:$O$108,15,0)),0,VLOOKUP($U$756,'TAR FIN'!$A$1:$O$108,15,0))</f>
        <v>97.01</v>
      </c>
      <c r="Y756" s="6"/>
      <c r="Z756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6" s="6">
        <f>('TE BE'!$AB$19+'TE BF'!$AB$19+'TE CVA'!$AB$19)*(1-CUSTOS!$M$36)</f>
        <v>202.03165175558053</v>
      </c>
      <c r="AB756" s="6">
        <f>$K$756*$V$756</f>
        <v>0</v>
      </c>
      <c r="AC756" s="6">
        <f>$M$756*$W$756</f>
        <v>1044951.2315</v>
      </c>
      <c r="AD756" s="6">
        <f>$O$756*$X$756</f>
        <v>298623.45775</v>
      </c>
      <c r="AE756" s="6">
        <f>$K$756*$Y$756</f>
        <v>0</v>
      </c>
      <c r="AF756" s="6">
        <f ca="1">$M$756*$Z$756</f>
        <v>1101045.4506533239</v>
      </c>
      <c r="AG756" s="6">
        <f>$O$756*$AA$756</f>
        <v>621908.98280790972</v>
      </c>
    </row>
    <row r="757" spans="1:3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31</v>
      </c>
      <c r="F757" s="4" t="s">
        <v>25</v>
      </c>
      <c r="G757" s="4" t="s">
        <v>25</v>
      </c>
      <c r="H757" s="4" t="s">
        <v>25</v>
      </c>
      <c r="I757" s="5">
        <v>44835</v>
      </c>
      <c r="J757" s="6">
        <v>0</v>
      </c>
      <c r="K757" s="6">
        <v>0</v>
      </c>
      <c r="L757" s="6">
        <v>-6.1369999999999996</v>
      </c>
      <c r="M757" s="6">
        <v>-6.1369999999999996</v>
      </c>
      <c r="N757" s="6">
        <v>-6.1369999999999996</v>
      </c>
      <c r="O757" s="6">
        <v>-6.1369999999999996</v>
      </c>
      <c r="P757" s="6">
        <v>4</v>
      </c>
      <c r="Q757" s="4" t="s">
        <v>26</v>
      </c>
      <c r="R757" s="4">
        <v>0</v>
      </c>
      <c r="S757" s="6">
        <v>0</v>
      </c>
      <c r="T757" s="6">
        <v>32</v>
      </c>
      <c r="U757" s="6">
        <v>83</v>
      </c>
      <c r="V757" s="6">
        <f>IF(ISERROR(VLOOKUP($S$757,'TAR FIN'!$A$1:$O$108,15,0)),0,VLOOKUP($S$757,'TAR FIN'!$A$1:$O$108,15,0))</f>
        <v>0</v>
      </c>
      <c r="W757" s="6">
        <f>IF(ISERROR(VLOOKUP($T$757,'TAR FIN'!$A$1:$O$108,15,0)),0,VLOOKUP($T$757,'TAR FIN'!$A$1:$O$108,15,0))</f>
        <v>339.46</v>
      </c>
      <c r="X757" s="6">
        <f>IF(ISERROR(VLOOKUP($U$757,'TAR FIN'!$A$1:$O$108,15,0)),0,VLOOKUP($U$757,'TAR FIN'!$A$1:$O$108,15,0))</f>
        <v>97.01</v>
      </c>
      <c r="Y757" s="6"/>
      <c r="Z757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7" s="6">
        <f>('TE BE'!$AB$19+'TE BF'!$AB$19+'TE CVA'!$AB$19)*(1-CUSTOS!$M$36)</f>
        <v>202.03165175558053</v>
      </c>
      <c r="AB757" s="6">
        <f>$K$757*$V$757</f>
        <v>0</v>
      </c>
      <c r="AC757" s="6">
        <f>$M$757*$W$757</f>
        <v>-2083.2660199999996</v>
      </c>
      <c r="AD757" s="6">
        <f>$O$757*$X$757</f>
        <v>-595.35037</v>
      </c>
      <c r="AE757" s="6">
        <f>$K$757*$Y$757</f>
        <v>0</v>
      </c>
      <c r="AF757" s="6">
        <f ca="1">$M$757*$Z$757</f>
        <v>-2195.0982061899758</v>
      </c>
      <c r="AG757" s="6">
        <f>$O$757*$AA$757</f>
        <v>-1239.8682468239977</v>
      </c>
    </row>
    <row r="758" spans="1:33" ht="11.25" customHeight="1" x14ac:dyDescent="0.25">
      <c r="A758" s="4" t="s">
        <v>54</v>
      </c>
      <c r="B758" s="4" t="s">
        <v>22</v>
      </c>
      <c r="C758" s="4" t="s">
        <v>23</v>
      </c>
      <c r="D758" s="4" t="s">
        <v>24</v>
      </c>
      <c r="E758" s="4" t="s">
        <v>31</v>
      </c>
      <c r="F758" s="4" t="s">
        <v>25</v>
      </c>
      <c r="G758" s="4" t="s">
        <v>25</v>
      </c>
      <c r="H758" s="4" t="s">
        <v>25</v>
      </c>
      <c r="I758" s="5">
        <v>44866</v>
      </c>
      <c r="J758" s="6">
        <v>0</v>
      </c>
      <c r="K758" s="6">
        <v>0</v>
      </c>
      <c r="L758" s="6">
        <v>3078.2750000000001</v>
      </c>
      <c r="M758" s="6">
        <v>3078.2750000000001</v>
      </c>
      <c r="N758" s="6">
        <v>3078.2750000000001</v>
      </c>
      <c r="O758" s="6">
        <v>3078.2750000000001</v>
      </c>
      <c r="P758" s="6">
        <v>13481</v>
      </c>
      <c r="Q758" s="4" t="s">
        <v>26</v>
      </c>
      <c r="R758" s="4">
        <v>0</v>
      </c>
      <c r="S758" s="6">
        <v>0</v>
      </c>
      <c r="T758" s="6">
        <v>32</v>
      </c>
      <c r="U758" s="6">
        <v>83</v>
      </c>
      <c r="V758" s="6">
        <f>IF(ISERROR(VLOOKUP($S$758,'TAR FIN'!$A$1:$O$108,15,0)),0,VLOOKUP($S$758,'TAR FIN'!$A$1:$O$108,15,0))</f>
        <v>0</v>
      </c>
      <c r="W758" s="6">
        <f>IF(ISERROR(VLOOKUP($T$758,'TAR FIN'!$A$1:$O$108,15,0)),0,VLOOKUP($T$758,'TAR FIN'!$A$1:$O$108,15,0))</f>
        <v>339.46</v>
      </c>
      <c r="X758" s="6">
        <f>IF(ISERROR(VLOOKUP($U$758,'TAR FIN'!$A$1:$O$108,15,0)),0,VLOOKUP($U$758,'TAR FIN'!$A$1:$O$108,15,0))</f>
        <v>97.01</v>
      </c>
      <c r="Y758" s="6"/>
      <c r="Z758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8" s="6">
        <f>('TE BE'!$AB$19+'TE BF'!$AB$19+'TE CVA'!$AB$19)*(1-CUSTOS!$M$36)</f>
        <v>202.03165175558053</v>
      </c>
      <c r="AB758" s="6">
        <f>$K$758*$V$758</f>
        <v>0</v>
      </c>
      <c r="AC758" s="6">
        <f>$M$758*$W$758</f>
        <v>1044951.2315</v>
      </c>
      <c r="AD758" s="6">
        <f>$O$758*$X$758</f>
        <v>298623.45775</v>
      </c>
      <c r="AE758" s="6">
        <f>$K$758*$Y$758</f>
        <v>0</v>
      </c>
      <c r="AF758" s="6">
        <f ca="1">$M$758*$Z$758</f>
        <v>1101045.4506533239</v>
      </c>
      <c r="AG758" s="6">
        <f>$O$758*$AA$758</f>
        <v>621908.98280790972</v>
      </c>
    </row>
    <row r="759" spans="1:33" ht="11.25" customHeight="1" x14ac:dyDescent="0.25">
      <c r="A759" s="4" t="s">
        <v>54</v>
      </c>
      <c r="B759" s="4" t="s">
        <v>22</v>
      </c>
      <c r="C759" s="4" t="s">
        <v>23</v>
      </c>
      <c r="D759" s="4" t="s">
        <v>24</v>
      </c>
      <c r="E759" s="4" t="s">
        <v>31</v>
      </c>
      <c r="F759" s="4" t="s">
        <v>25</v>
      </c>
      <c r="G759" s="4" t="s">
        <v>25</v>
      </c>
      <c r="H759" s="4" t="s">
        <v>25</v>
      </c>
      <c r="I759" s="5">
        <v>44866</v>
      </c>
      <c r="J759" s="6">
        <v>0</v>
      </c>
      <c r="K759" s="6">
        <v>0</v>
      </c>
      <c r="L759" s="6">
        <v>-6.1369999999999996</v>
      </c>
      <c r="M759" s="6">
        <v>-6.1369999999999996</v>
      </c>
      <c r="N759" s="6">
        <v>-6.1369999999999996</v>
      </c>
      <c r="O759" s="6">
        <v>-6.1369999999999996</v>
      </c>
      <c r="P759" s="6">
        <v>4</v>
      </c>
      <c r="Q759" s="4" t="s">
        <v>26</v>
      </c>
      <c r="R759" s="4">
        <v>0</v>
      </c>
      <c r="S759" s="6">
        <v>0</v>
      </c>
      <c r="T759" s="6">
        <v>32</v>
      </c>
      <c r="U759" s="6">
        <v>83</v>
      </c>
      <c r="V759" s="6">
        <f>IF(ISERROR(VLOOKUP($S$759,'TAR FIN'!$A$1:$O$108,15,0)),0,VLOOKUP($S$759,'TAR FIN'!$A$1:$O$108,15,0))</f>
        <v>0</v>
      </c>
      <c r="W759" s="6">
        <f>IF(ISERROR(VLOOKUP($T$759,'TAR FIN'!$A$1:$O$108,15,0)),0,VLOOKUP($T$759,'TAR FIN'!$A$1:$O$108,15,0))</f>
        <v>339.46</v>
      </c>
      <c r="X759" s="6">
        <f>IF(ISERROR(VLOOKUP($U$759,'TAR FIN'!$A$1:$O$108,15,0)),0,VLOOKUP($U$759,'TAR FIN'!$A$1:$O$108,15,0))</f>
        <v>97.01</v>
      </c>
      <c r="Y759" s="6"/>
      <c r="Z75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759" s="6">
        <f>('TE BE'!$AB$19+'TE BF'!$AB$19+'TE CVA'!$AB$19)*(1-CUSTOS!$M$36)</f>
        <v>202.03165175558053</v>
      </c>
      <c r="AB759" s="6">
        <f>$K$759*$V$759</f>
        <v>0</v>
      </c>
      <c r="AC759" s="6">
        <f>$M$759*$W$759</f>
        <v>-2083.2660199999996</v>
      </c>
      <c r="AD759" s="6">
        <f>$O$759*$X$759</f>
        <v>-595.35037</v>
      </c>
      <c r="AE759" s="6">
        <f>$K$759*$Y$759</f>
        <v>0</v>
      </c>
      <c r="AF759" s="6">
        <f ca="1">$M$759*$Z$759</f>
        <v>-2195.0982061899758</v>
      </c>
      <c r="AG759" s="6">
        <f>$O$759*$AA$759</f>
        <v>-1239.8682468239977</v>
      </c>
    </row>
    <row r="760" spans="1:3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32</v>
      </c>
      <c r="F760" s="4" t="s">
        <v>25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1796.682</v>
      </c>
      <c r="M760" s="6">
        <v>1796.682</v>
      </c>
      <c r="N760" s="6">
        <v>1796.682</v>
      </c>
      <c r="O760" s="6">
        <v>1796.682</v>
      </c>
      <c r="P760" s="6">
        <v>8573</v>
      </c>
      <c r="Q760" s="4" t="s">
        <v>26</v>
      </c>
      <c r="R760" s="4">
        <v>0</v>
      </c>
      <c r="S760" s="6">
        <v>0</v>
      </c>
      <c r="T760" s="6">
        <v>33</v>
      </c>
      <c r="U760" s="6">
        <v>84</v>
      </c>
      <c r="V760" s="6">
        <f>IF(ISERROR(VLOOKUP($S$760,'TAR FIN'!$A$1:$O$108,15,0)),0,VLOOKUP($S$760,'TAR FIN'!$A$1:$O$108,15,0))</f>
        <v>0</v>
      </c>
      <c r="W760" s="6">
        <f>IF(ISERROR(VLOOKUP($T$760,'TAR FIN'!$A$1:$O$108,15,0)),0,VLOOKUP($T$760,'TAR FIN'!$A$1:$O$108,15,0))</f>
        <v>377.18</v>
      </c>
      <c r="X760" s="6">
        <f>IF(ISERROR(VLOOKUP($U$760,'TAR FIN'!$A$1:$O$108,15,0)),0,VLOOKUP($U$760,'TAR FIN'!$A$1:$O$108,15,0))</f>
        <v>107.79</v>
      </c>
      <c r="Y760" s="6"/>
      <c r="Z760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0" s="6">
        <f>('TE BE'!$AB$20+'TE BF'!$AB$20+'TE CVA'!$AB$20)*(1-CUSTOS!$M$37)</f>
        <v>224.47961306175614</v>
      </c>
      <c r="AB760" s="6">
        <f>$K$760*$V$760</f>
        <v>0</v>
      </c>
      <c r="AC760" s="6">
        <f>$M$760*$W$760</f>
        <v>677672.51676000003</v>
      </c>
      <c r="AD760" s="6">
        <f>$O$760*$X$760</f>
        <v>193664.35278000002</v>
      </c>
      <c r="AE760" s="6">
        <f>$K$760*$Y$760</f>
        <v>0</v>
      </c>
      <c r="AF760" s="6">
        <f ca="1">$M$760*$Z$760</f>
        <v>714046.5727542988</v>
      </c>
      <c r="AG760" s="6">
        <f>$O$760*$AA$760</f>
        <v>403318.48015502217</v>
      </c>
    </row>
    <row r="761" spans="1:3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32</v>
      </c>
      <c r="F761" s="4" t="s">
        <v>25</v>
      </c>
      <c r="G761" s="4" t="s">
        <v>25</v>
      </c>
      <c r="H761" s="4" t="s">
        <v>25</v>
      </c>
      <c r="I761" s="5">
        <v>44531</v>
      </c>
      <c r="J761" s="6">
        <v>0</v>
      </c>
      <c r="K761" s="6">
        <v>0</v>
      </c>
      <c r="L761" s="6">
        <v>-12.752000000000001</v>
      </c>
      <c r="M761" s="6">
        <v>-12.752000000000001</v>
      </c>
      <c r="N761" s="6">
        <v>-12.752000000000001</v>
      </c>
      <c r="O761" s="6">
        <v>-12.752000000000001</v>
      </c>
      <c r="P761" s="6">
        <v>-62</v>
      </c>
      <c r="Q761" s="4" t="s">
        <v>26</v>
      </c>
      <c r="R761" s="4">
        <v>0</v>
      </c>
      <c r="S761" s="6">
        <v>0</v>
      </c>
      <c r="T761" s="6">
        <v>33</v>
      </c>
      <c r="U761" s="6">
        <v>84</v>
      </c>
      <c r="V761" s="6">
        <f>IF(ISERROR(VLOOKUP($S$761,'TAR FIN'!$A$1:$O$108,15,0)),0,VLOOKUP($S$761,'TAR FIN'!$A$1:$O$108,15,0))</f>
        <v>0</v>
      </c>
      <c r="W761" s="6">
        <f>IF(ISERROR(VLOOKUP($T$761,'TAR FIN'!$A$1:$O$108,15,0)),0,VLOOKUP($T$761,'TAR FIN'!$A$1:$O$108,15,0))</f>
        <v>377.18</v>
      </c>
      <c r="X761" s="6">
        <f>IF(ISERROR(VLOOKUP($U$761,'TAR FIN'!$A$1:$O$108,15,0)),0,VLOOKUP($U$761,'TAR FIN'!$A$1:$O$108,15,0))</f>
        <v>107.79</v>
      </c>
      <c r="Y761" s="6"/>
      <c r="Z761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1" s="6">
        <f>('TE BE'!$AB$20+'TE BF'!$AB$20+'TE CVA'!$AB$20)*(1-CUSTOS!$M$37)</f>
        <v>224.47961306175614</v>
      </c>
      <c r="AB761" s="6">
        <f>$K$761*$V$761</f>
        <v>0</v>
      </c>
      <c r="AC761" s="6">
        <f>$M$761*$W$761</f>
        <v>-4809.79936</v>
      </c>
      <c r="AD761" s="6">
        <f>$O$761*$X$761</f>
        <v>-1374.5380800000003</v>
      </c>
      <c r="AE761" s="6">
        <f>$K$761*$Y$761</f>
        <v>0</v>
      </c>
      <c r="AF761" s="6">
        <f ca="1">$M$761*$Z$761</f>
        <v>-5067.9652246545684</v>
      </c>
      <c r="AG761" s="6">
        <f>$O$761*$AA$761</f>
        <v>-2862.5640257635146</v>
      </c>
    </row>
    <row r="762" spans="1:33" ht="11.25" customHeight="1" x14ac:dyDescent="0.25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32</v>
      </c>
      <c r="F762" s="4" t="s">
        <v>25</v>
      </c>
      <c r="G762" s="4" t="s">
        <v>25</v>
      </c>
      <c r="H762" s="4" t="s">
        <v>25</v>
      </c>
      <c r="I762" s="5">
        <v>44562</v>
      </c>
      <c r="J762" s="6">
        <v>0</v>
      </c>
      <c r="K762" s="6">
        <v>0</v>
      </c>
      <c r="L762" s="6">
        <v>1846.6020000000001</v>
      </c>
      <c r="M762" s="6">
        <v>1846.6020000000001</v>
      </c>
      <c r="N762" s="6">
        <v>1846.6020000000001</v>
      </c>
      <c r="O762" s="6">
        <v>1846.6020000000001</v>
      </c>
      <c r="P762" s="6">
        <v>9123</v>
      </c>
      <c r="Q762" s="4" t="s">
        <v>26</v>
      </c>
      <c r="R762" s="4">
        <v>0</v>
      </c>
      <c r="S762" s="6">
        <v>0</v>
      </c>
      <c r="T762" s="6">
        <v>33</v>
      </c>
      <c r="U762" s="6">
        <v>84</v>
      </c>
      <c r="V762" s="6">
        <f>IF(ISERROR(VLOOKUP($S$762,'TAR FIN'!$A$1:$O$108,15,0)),0,VLOOKUP($S$762,'TAR FIN'!$A$1:$O$108,15,0))</f>
        <v>0</v>
      </c>
      <c r="W762" s="6">
        <f>IF(ISERROR(VLOOKUP($T$762,'TAR FIN'!$A$1:$O$108,15,0)),0,VLOOKUP($T$762,'TAR FIN'!$A$1:$O$108,15,0))</f>
        <v>377.18</v>
      </c>
      <c r="X762" s="6">
        <f>IF(ISERROR(VLOOKUP($U$762,'TAR FIN'!$A$1:$O$108,15,0)),0,VLOOKUP($U$762,'TAR FIN'!$A$1:$O$108,15,0))</f>
        <v>107.79</v>
      </c>
      <c r="Y762" s="6"/>
      <c r="Z762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2" s="6">
        <f>('TE BE'!$AB$20+'TE BF'!$AB$20+'TE CVA'!$AB$20)*(1-CUSTOS!$M$37)</f>
        <v>224.47961306175614</v>
      </c>
      <c r="AB762" s="6">
        <f>$K$762*$V$762</f>
        <v>0</v>
      </c>
      <c r="AC762" s="6">
        <f>$M$762*$W$762</f>
        <v>696501.34236000001</v>
      </c>
      <c r="AD762" s="6">
        <f>$O$762*$X$762</f>
        <v>199045.22958000001</v>
      </c>
      <c r="AE762" s="6">
        <f>$K$762*$Y$762</f>
        <v>0</v>
      </c>
      <c r="AF762" s="6">
        <f ca="1">$M$762*$Z$762</f>
        <v>733886.03511430172</v>
      </c>
      <c r="AG762" s="6">
        <f>$O$762*$AA$762</f>
        <v>414524.50243906502</v>
      </c>
    </row>
    <row r="763" spans="1:33" ht="11.25" customHeight="1" x14ac:dyDescent="0.25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32</v>
      </c>
      <c r="F763" s="4" t="s">
        <v>25</v>
      </c>
      <c r="G763" s="4" t="s">
        <v>25</v>
      </c>
      <c r="H763" s="4" t="s">
        <v>25</v>
      </c>
      <c r="I763" s="5">
        <v>44562</v>
      </c>
      <c r="J763" s="6">
        <v>0</v>
      </c>
      <c r="K763" s="6">
        <v>0</v>
      </c>
      <c r="L763" s="6">
        <v>-55.451000000000001</v>
      </c>
      <c r="M763" s="6">
        <v>-55.451000000000001</v>
      </c>
      <c r="N763" s="6">
        <v>-55.451000000000001</v>
      </c>
      <c r="O763" s="6">
        <v>-55.451000000000001</v>
      </c>
      <c r="P763" s="6">
        <v>-99</v>
      </c>
      <c r="Q763" s="4" t="s">
        <v>26</v>
      </c>
      <c r="R763" s="4">
        <v>0</v>
      </c>
      <c r="S763" s="6">
        <v>0</v>
      </c>
      <c r="T763" s="6">
        <v>33</v>
      </c>
      <c r="U763" s="6">
        <v>84</v>
      </c>
      <c r="V763" s="6">
        <f>IF(ISERROR(VLOOKUP($S$763,'TAR FIN'!$A$1:$O$108,15,0)),0,VLOOKUP($S$763,'TAR FIN'!$A$1:$O$108,15,0))</f>
        <v>0</v>
      </c>
      <c r="W763" s="6">
        <f>IF(ISERROR(VLOOKUP($T$763,'TAR FIN'!$A$1:$O$108,15,0)),0,VLOOKUP($T$763,'TAR FIN'!$A$1:$O$108,15,0))</f>
        <v>377.18</v>
      </c>
      <c r="X763" s="6">
        <f>IF(ISERROR(VLOOKUP($U$763,'TAR FIN'!$A$1:$O$108,15,0)),0,VLOOKUP($U$763,'TAR FIN'!$A$1:$O$108,15,0))</f>
        <v>107.79</v>
      </c>
      <c r="Y763" s="6"/>
      <c r="Z76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3" s="6">
        <f>('TE BE'!$AB$20+'TE BF'!$AB$20+'TE CVA'!$AB$20)*(1-CUSTOS!$M$37)</f>
        <v>224.47961306175614</v>
      </c>
      <c r="AB763" s="6">
        <f>$K$763*$V$763</f>
        <v>0</v>
      </c>
      <c r="AC763" s="6">
        <f>$M$763*$W$763</f>
        <v>-20915.008180000001</v>
      </c>
      <c r="AD763" s="6">
        <f>$O$763*$X$763</f>
        <v>-5977.0632900000001</v>
      </c>
      <c r="AE763" s="6">
        <f>$K$763*$Y$763</f>
        <v>0</v>
      </c>
      <c r="AF763" s="6">
        <f ca="1">$M$763*$Z$763</f>
        <v>-22037.620739673814</v>
      </c>
      <c r="AG763" s="6">
        <f>$O$763*$AA$763</f>
        <v>-12447.619023887441</v>
      </c>
    </row>
    <row r="764" spans="1:33" ht="11.25" customHeight="1" x14ac:dyDescent="0.25">
      <c r="A764" s="4" t="s">
        <v>21</v>
      </c>
      <c r="B764" s="4" t="s">
        <v>22</v>
      </c>
      <c r="C764" s="4" t="s">
        <v>23</v>
      </c>
      <c r="D764" s="4" t="s">
        <v>24</v>
      </c>
      <c r="E764" s="4" t="s">
        <v>32</v>
      </c>
      <c r="F764" s="4" t="s">
        <v>25</v>
      </c>
      <c r="G764" s="4" t="s">
        <v>25</v>
      </c>
      <c r="H764" s="4" t="s">
        <v>25</v>
      </c>
      <c r="I764" s="5">
        <v>44593</v>
      </c>
      <c r="J764" s="6">
        <v>0</v>
      </c>
      <c r="K764" s="6">
        <v>0</v>
      </c>
      <c r="L764" s="6">
        <v>1427.7460000000001</v>
      </c>
      <c r="M764" s="6">
        <v>1427.7460000000001</v>
      </c>
      <c r="N764" s="6">
        <v>1427.7460000000001</v>
      </c>
      <c r="O764" s="6">
        <v>1427.7460000000001</v>
      </c>
      <c r="P764" s="6">
        <v>8158</v>
      </c>
      <c r="Q764" s="4" t="s">
        <v>26</v>
      </c>
      <c r="R764" s="4">
        <v>0</v>
      </c>
      <c r="S764" s="6">
        <v>0</v>
      </c>
      <c r="T764" s="6">
        <v>33</v>
      </c>
      <c r="U764" s="6">
        <v>84</v>
      </c>
      <c r="V764" s="6">
        <f>IF(ISERROR(VLOOKUP($S$764,'TAR FIN'!$A$1:$O$108,15,0)),0,VLOOKUP($S$764,'TAR FIN'!$A$1:$O$108,15,0))</f>
        <v>0</v>
      </c>
      <c r="W764" s="6">
        <f>IF(ISERROR(VLOOKUP($T$764,'TAR FIN'!$A$1:$O$108,15,0)),0,VLOOKUP($T$764,'TAR FIN'!$A$1:$O$108,15,0))</f>
        <v>377.18</v>
      </c>
      <c r="X764" s="6">
        <f>IF(ISERROR(VLOOKUP($U$764,'TAR FIN'!$A$1:$O$108,15,0)),0,VLOOKUP($U$764,'TAR FIN'!$A$1:$O$108,15,0))</f>
        <v>107.79</v>
      </c>
      <c r="Y764" s="6"/>
      <c r="Z764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4" s="6">
        <f>('TE BE'!$AB$20+'TE BF'!$AB$20+'TE CVA'!$AB$20)*(1-CUSTOS!$M$37)</f>
        <v>224.47961306175614</v>
      </c>
      <c r="AB764" s="6">
        <f>$K$764*$V$764</f>
        <v>0</v>
      </c>
      <c r="AC764" s="6">
        <f>$M$764*$W$764</f>
        <v>538517.23628000007</v>
      </c>
      <c r="AD764" s="6">
        <f>$O$764*$X$764</f>
        <v>153896.74134000001</v>
      </c>
      <c r="AE764" s="6">
        <f>$K$764*$Y$764</f>
        <v>0</v>
      </c>
      <c r="AF764" s="6">
        <f ca="1">$M$764*$Z$764</f>
        <v>567422.1359504126</v>
      </c>
      <c r="AG764" s="6">
        <f>$O$764*$AA$764</f>
        <v>320499.86963047012</v>
      </c>
    </row>
    <row r="765" spans="1:33" ht="11.25" customHeight="1" x14ac:dyDescent="0.25">
      <c r="A765" s="4" t="s">
        <v>27</v>
      </c>
      <c r="B765" s="4" t="s">
        <v>22</v>
      </c>
      <c r="C765" s="4" t="s">
        <v>23</v>
      </c>
      <c r="D765" s="4" t="s">
        <v>24</v>
      </c>
      <c r="E765" s="4" t="s">
        <v>32</v>
      </c>
      <c r="F765" s="4" t="s">
        <v>25</v>
      </c>
      <c r="G765" s="4" t="s">
        <v>25</v>
      </c>
      <c r="H765" s="4" t="s">
        <v>25</v>
      </c>
      <c r="I765" s="5">
        <v>44593</v>
      </c>
      <c r="J765" s="6">
        <v>0</v>
      </c>
      <c r="K765" s="6">
        <v>0</v>
      </c>
      <c r="L765" s="6">
        <v>-59.71</v>
      </c>
      <c r="M765" s="6">
        <v>-59.71</v>
      </c>
      <c r="N765" s="6">
        <v>-59.71</v>
      </c>
      <c r="O765" s="6">
        <v>-59.71</v>
      </c>
      <c r="P765" s="6">
        <v>-81</v>
      </c>
      <c r="Q765" s="4" t="s">
        <v>26</v>
      </c>
      <c r="R765" s="4">
        <v>0</v>
      </c>
      <c r="S765" s="6">
        <v>0</v>
      </c>
      <c r="T765" s="6">
        <v>33</v>
      </c>
      <c r="U765" s="6">
        <v>84</v>
      </c>
      <c r="V765" s="6">
        <f>IF(ISERROR(VLOOKUP($S$765,'TAR FIN'!$A$1:$O$108,15,0)),0,VLOOKUP($S$765,'TAR FIN'!$A$1:$O$108,15,0))</f>
        <v>0</v>
      </c>
      <c r="W765" s="6">
        <f>IF(ISERROR(VLOOKUP($T$765,'TAR FIN'!$A$1:$O$108,15,0)),0,VLOOKUP($T$765,'TAR FIN'!$A$1:$O$108,15,0))</f>
        <v>377.18</v>
      </c>
      <c r="X765" s="6">
        <f>IF(ISERROR(VLOOKUP($U$765,'TAR FIN'!$A$1:$O$108,15,0)),0,VLOOKUP($U$765,'TAR FIN'!$A$1:$O$108,15,0))</f>
        <v>107.79</v>
      </c>
      <c r="Y765" s="6"/>
      <c r="Z765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5" s="6">
        <f>('TE BE'!$AB$20+'TE BF'!$AB$20+'TE CVA'!$AB$20)*(1-CUSTOS!$M$37)</f>
        <v>224.47961306175614</v>
      </c>
      <c r="AB765" s="6">
        <f>$K$765*$V$765</f>
        <v>0</v>
      </c>
      <c r="AC765" s="6">
        <f>$M$765*$W$765</f>
        <v>-22521.417799999999</v>
      </c>
      <c r="AD765" s="6">
        <f>$O$765*$X$765</f>
        <v>-6436.1409000000003</v>
      </c>
      <c r="AE765" s="6">
        <f>$K$765*$Y$765</f>
        <v>0</v>
      </c>
      <c r="AF765" s="6">
        <f ca="1">$M$765*$Z$765</f>
        <v>-23730.254357287035</v>
      </c>
      <c r="AG765" s="6">
        <f>$O$765*$AA$765</f>
        <v>-13403.677695917459</v>
      </c>
    </row>
    <row r="766" spans="1:33" ht="11.25" customHeight="1" x14ac:dyDescent="0.25">
      <c r="A766" s="4" t="s">
        <v>21</v>
      </c>
      <c r="B766" s="4" t="s">
        <v>22</v>
      </c>
      <c r="C766" s="4" t="s">
        <v>23</v>
      </c>
      <c r="D766" s="4" t="s">
        <v>24</v>
      </c>
      <c r="E766" s="4" t="s">
        <v>32</v>
      </c>
      <c r="F766" s="4" t="s">
        <v>25</v>
      </c>
      <c r="G766" s="4" t="s">
        <v>25</v>
      </c>
      <c r="H766" s="4" t="s">
        <v>25</v>
      </c>
      <c r="I766" s="5">
        <v>44621</v>
      </c>
      <c r="J766" s="6">
        <v>0</v>
      </c>
      <c r="K766" s="6">
        <v>0</v>
      </c>
      <c r="L766" s="6">
        <v>1669.0609999999999</v>
      </c>
      <c r="M766" s="6">
        <v>1669.0609999999999</v>
      </c>
      <c r="N766" s="6">
        <v>1669.0609999999999</v>
      </c>
      <c r="O766" s="6">
        <v>1669.0609999999999</v>
      </c>
      <c r="P766" s="6">
        <v>8976</v>
      </c>
      <c r="Q766" s="4" t="s">
        <v>26</v>
      </c>
      <c r="R766" s="4">
        <v>0</v>
      </c>
      <c r="S766" s="6">
        <v>0</v>
      </c>
      <c r="T766" s="6">
        <v>33</v>
      </c>
      <c r="U766" s="6">
        <v>84</v>
      </c>
      <c r="V766" s="6">
        <f>IF(ISERROR(VLOOKUP($S$766,'TAR FIN'!$A$1:$O$108,15,0)),0,VLOOKUP($S$766,'TAR FIN'!$A$1:$O$108,15,0))</f>
        <v>0</v>
      </c>
      <c r="W766" s="6">
        <f>IF(ISERROR(VLOOKUP($T$766,'TAR FIN'!$A$1:$O$108,15,0)),0,VLOOKUP($T$766,'TAR FIN'!$A$1:$O$108,15,0))</f>
        <v>377.18</v>
      </c>
      <c r="X766" s="6">
        <f>IF(ISERROR(VLOOKUP($U$766,'TAR FIN'!$A$1:$O$108,15,0)),0,VLOOKUP($U$766,'TAR FIN'!$A$1:$O$108,15,0))</f>
        <v>107.79</v>
      </c>
      <c r="Y766" s="6"/>
      <c r="Z766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6" s="6">
        <f>('TE BE'!$AB$20+'TE BF'!$AB$20+'TE CVA'!$AB$20)*(1-CUSTOS!$M$37)</f>
        <v>224.47961306175614</v>
      </c>
      <c r="AB766" s="6">
        <f>$K$766*$V$766</f>
        <v>0</v>
      </c>
      <c r="AC766" s="6">
        <f>$M$766*$W$766</f>
        <v>629536.42798000004</v>
      </c>
      <c r="AD766" s="6">
        <f>$O$766*$X$766</f>
        <v>179908.08519000001</v>
      </c>
      <c r="AE766" s="6">
        <f>$K$766*$Y$766</f>
        <v>0</v>
      </c>
      <c r="AF766" s="6">
        <f ca="1">$M$766*$Z$766</f>
        <v>663326.78056988528</v>
      </c>
      <c r="AG766" s="6">
        <f>$O$766*$AA$766</f>
        <v>374670.16745646775</v>
      </c>
    </row>
    <row r="767" spans="1:33" ht="11.25" customHeight="1" x14ac:dyDescent="0.25">
      <c r="A767" s="4" t="s">
        <v>27</v>
      </c>
      <c r="B767" s="4" t="s">
        <v>22</v>
      </c>
      <c r="C767" s="4" t="s">
        <v>23</v>
      </c>
      <c r="D767" s="4" t="s">
        <v>24</v>
      </c>
      <c r="E767" s="4" t="s">
        <v>32</v>
      </c>
      <c r="F767" s="4" t="s">
        <v>25</v>
      </c>
      <c r="G767" s="4" t="s">
        <v>25</v>
      </c>
      <c r="H767" s="4" t="s">
        <v>25</v>
      </c>
      <c r="I767" s="5">
        <v>44621</v>
      </c>
      <c r="J767" s="6">
        <v>0</v>
      </c>
      <c r="K767" s="6">
        <v>0</v>
      </c>
      <c r="L767" s="6">
        <v>-164.14400000000001</v>
      </c>
      <c r="M767" s="6">
        <v>-164.14400000000001</v>
      </c>
      <c r="N767" s="6">
        <v>-164.14400000000001</v>
      </c>
      <c r="O767" s="6">
        <v>-164.14400000000001</v>
      </c>
      <c r="P767" s="6">
        <v>-127</v>
      </c>
      <c r="Q767" s="4" t="s">
        <v>26</v>
      </c>
      <c r="R767" s="4">
        <v>0</v>
      </c>
      <c r="S767" s="6">
        <v>0</v>
      </c>
      <c r="T767" s="6">
        <v>33</v>
      </c>
      <c r="U767" s="6">
        <v>84</v>
      </c>
      <c r="V767" s="6">
        <f>IF(ISERROR(VLOOKUP($S$767,'TAR FIN'!$A$1:$O$108,15,0)),0,VLOOKUP($S$767,'TAR FIN'!$A$1:$O$108,15,0))</f>
        <v>0</v>
      </c>
      <c r="W767" s="6">
        <f>IF(ISERROR(VLOOKUP($T$767,'TAR FIN'!$A$1:$O$108,15,0)),0,VLOOKUP($T$767,'TAR FIN'!$A$1:$O$108,15,0))</f>
        <v>377.18</v>
      </c>
      <c r="X767" s="6">
        <f>IF(ISERROR(VLOOKUP($U$767,'TAR FIN'!$A$1:$O$108,15,0)),0,VLOOKUP($U$767,'TAR FIN'!$A$1:$O$108,15,0))</f>
        <v>107.79</v>
      </c>
      <c r="Y767" s="6"/>
      <c r="Z767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7" s="6">
        <f>('TE BE'!$AB$20+'TE BF'!$AB$20+'TE CVA'!$AB$20)*(1-CUSTOS!$M$37)</f>
        <v>224.47961306175614</v>
      </c>
      <c r="AB767" s="6">
        <f>$K$767*$V$767</f>
        <v>0</v>
      </c>
      <c r="AC767" s="6">
        <f>$M$767*$W$767</f>
        <v>-61911.833920000005</v>
      </c>
      <c r="AD767" s="6">
        <f>$O$767*$X$767</f>
        <v>-17693.081760000001</v>
      </c>
      <c r="AE767" s="6">
        <f>$K$767*$Y$767</f>
        <v>0</v>
      </c>
      <c r="AF767" s="6">
        <f ca="1">$M$767*$Z$767</f>
        <v>-65234.950112586215</v>
      </c>
      <c r="AG767" s="6">
        <f>$O$767*$AA$767</f>
        <v>-36846.981606408903</v>
      </c>
    </row>
    <row r="768" spans="1:3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32</v>
      </c>
      <c r="F768" s="4" t="s">
        <v>25</v>
      </c>
      <c r="G768" s="4" t="s">
        <v>25</v>
      </c>
      <c r="H768" s="4" t="s">
        <v>25</v>
      </c>
      <c r="I768" s="5">
        <v>44652</v>
      </c>
      <c r="J768" s="6">
        <v>0</v>
      </c>
      <c r="K768" s="6">
        <v>0</v>
      </c>
      <c r="L768" s="6">
        <v>1654.9190000000001</v>
      </c>
      <c r="M768" s="6">
        <v>1654.9190000000001</v>
      </c>
      <c r="N768" s="6">
        <v>1654.9190000000001</v>
      </c>
      <c r="O768" s="6">
        <v>1654.9190000000001</v>
      </c>
      <c r="P768" s="6">
        <v>9165</v>
      </c>
      <c r="Q768" s="4" t="s">
        <v>26</v>
      </c>
      <c r="R768" s="4">
        <v>0</v>
      </c>
      <c r="S768" s="6">
        <v>0</v>
      </c>
      <c r="T768" s="6">
        <v>33</v>
      </c>
      <c r="U768" s="6">
        <v>84</v>
      </c>
      <c r="V768" s="6">
        <f>IF(ISERROR(VLOOKUP($S$768,'TAR FIN'!$A$1:$O$108,15,0)),0,VLOOKUP($S$768,'TAR FIN'!$A$1:$O$108,15,0))</f>
        <v>0</v>
      </c>
      <c r="W768" s="6">
        <f>IF(ISERROR(VLOOKUP($T$768,'TAR FIN'!$A$1:$O$108,15,0)),0,VLOOKUP($T$768,'TAR FIN'!$A$1:$O$108,15,0))</f>
        <v>377.18</v>
      </c>
      <c r="X768" s="6">
        <f>IF(ISERROR(VLOOKUP($U$768,'TAR FIN'!$A$1:$O$108,15,0)),0,VLOOKUP($U$768,'TAR FIN'!$A$1:$O$108,15,0))</f>
        <v>107.79</v>
      </c>
      <c r="Y768" s="6"/>
      <c r="Z768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8" s="6">
        <f>('TE BE'!$AB$20+'TE BF'!$AB$20+'TE CVA'!$AB$20)*(1-CUSTOS!$M$37)</f>
        <v>224.47961306175614</v>
      </c>
      <c r="AB768" s="6">
        <f>$K$768*$V$768</f>
        <v>0</v>
      </c>
      <c r="AC768" s="6">
        <f>$M$768*$W$768</f>
        <v>624202.34842000005</v>
      </c>
      <c r="AD768" s="6">
        <f>$O$768*$X$768</f>
        <v>178383.71901000003</v>
      </c>
      <c r="AE768" s="6">
        <f>$K$768*$Y$768</f>
        <v>0</v>
      </c>
      <c r="AF768" s="6">
        <f ca="1">$M$768*$Z$768</f>
        <v>657706.39441813936</v>
      </c>
      <c r="AG768" s="6">
        <f>$O$768*$AA$768</f>
        <v>371495.5767685484</v>
      </c>
    </row>
    <row r="769" spans="1:33" ht="11.25" customHeight="1" x14ac:dyDescent="0.25">
      <c r="A769" s="4" t="s">
        <v>27</v>
      </c>
      <c r="B769" s="4" t="s">
        <v>22</v>
      </c>
      <c r="C769" s="4" t="s">
        <v>23</v>
      </c>
      <c r="D769" s="4" t="s">
        <v>24</v>
      </c>
      <c r="E769" s="4" t="s">
        <v>32</v>
      </c>
      <c r="F769" s="4" t="s">
        <v>25</v>
      </c>
      <c r="G769" s="4" t="s">
        <v>25</v>
      </c>
      <c r="H769" s="4" t="s">
        <v>25</v>
      </c>
      <c r="I769" s="5">
        <v>44652</v>
      </c>
      <c r="J769" s="6">
        <v>0</v>
      </c>
      <c r="K769" s="6">
        <v>0</v>
      </c>
      <c r="L769" s="6">
        <v>-69.838999999999999</v>
      </c>
      <c r="M769" s="6">
        <v>-69.838999999999999</v>
      </c>
      <c r="N769" s="6">
        <v>-69.838999999999999</v>
      </c>
      <c r="O769" s="6">
        <v>-69.838999999999999</v>
      </c>
      <c r="P769" s="6">
        <v>-174</v>
      </c>
      <c r="Q769" s="4" t="s">
        <v>26</v>
      </c>
      <c r="R769" s="4">
        <v>0</v>
      </c>
      <c r="S769" s="6">
        <v>0</v>
      </c>
      <c r="T769" s="6">
        <v>33</v>
      </c>
      <c r="U769" s="6">
        <v>84</v>
      </c>
      <c r="V769" s="6">
        <f>IF(ISERROR(VLOOKUP($S$769,'TAR FIN'!$A$1:$O$108,15,0)),0,VLOOKUP($S$769,'TAR FIN'!$A$1:$O$108,15,0))</f>
        <v>0</v>
      </c>
      <c r="W769" s="6">
        <f>IF(ISERROR(VLOOKUP($T$769,'TAR FIN'!$A$1:$O$108,15,0)),0,VLOOKUP($T$769,'TAR FIN'!$A$1:$O$108,15,0))</f>
        <v>377.18</v>
      </c>
      <c r="X769" s="6">
        <f>IF(ISERROR(VLOOKUP($U$769,'TAR FIN'!$A$1:$O$108,15,0)),0,VLOOKUP($U$769,'TAR FIN'!$A$1:$O$108,15,0))</f>
        <v>107.79</v>
      </c>
      <c r="Y769" s="6"/>
      <c r="Z769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69" s="6">
        <f>('TE BE'!$AB$20+'TE BF'!$AB$20+'TE CVA'!$AB$20)*(1-CUSTOS!$M$37)</f>
        <v>224.47961306175614</v>
      </c>
      <c r="AB769" s="6">
        <f>$K$769*$V$769</f>
        <v>0</v>
      </c>
      <c r="AC769" s="6">
        <f>$M$769*$W$769</f>
        <v>-26341.874019999999</v>
      </c>
      <c r="AD769" s="6">
        <f>$O$769*$X$769</f>
        <v>-7527.9458100000002</v>
      </c>
      <c r="AE769" s="6">
        <f>$K$769*$Y$769</f>
        <v>0</v>
      </c>
      <c r="AF769" s="6">
        <f ca="1">$M$769*$Z$769</f>
        <v>-27755.773472761164</v>
      </c>
      <c r="AG769" s="6">
        <f>$O$769*$AA$769</f>
        <v>-15677.431696619988</v>
      </c>
    </row>
    <row r="770" spans="1:3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32</v>
      </c>
      <c r="F770" s="4" t="s">
        <v>25</v>
      </c>
      <c r="G770" s="4" t="s">
        <v>25</v>
      </c>
      <c r="H770" s="4" t="s">
        <v>25</v>
      </c>
      <c r="I770" s="5">
        <v>44682</v>
      </c>
      <c r="J770" s="6">
        <v>0</v>
      </c>
      <c r="K770" s="6">
        <v>0</v>
      </c>
      <c r="L770" s="6">
        <v>2099.8310000000001</v>
      </c>
      <c r="M770" s="6">
        <v>2099.8310000000001</v>
      </c>
      <c r="N770" s="6">
        <v>2099.8310000000001</v>
      </c>
      <c r="O770" s="6">
        <v>2099.8310000000001</v>
      </c>
      <c r="P770" s="6">
        <v>10220</v>
      </c>
      <c r="Q770" s="4" t="s">
        <v>26</v>
      </c>
      <c r="R770" s="4">
        <v>0</v>
      </c>
      <c r="S770" s="6">
        <v>0</v>
      </c>
      <c r="T770" s="6">
        <v>33</v>
      </c>
      <c r="U770" s="6">
        <v>84</v>
      </c>
      <c r="V770" s="6">
        <f>IF(ISERROR(VLOOKUP($S$770,'TAR FIN'!$A$1:$O$108,15,0)),0,VLOOKUP($S$770,'TAR FIN'!$A$1:$O$108,15,0))</f>
        <v>0</v>
      </c>
      <c r="W770" s="6">
        <f>IF(ISERROR(VLOOKUP($T$770,'TAR FIN'!$A$1:$O$108,15,0)),0,VLOOKUP($T$770,'TAR FIN'!$A$1:$O$108,15,0))</f>
        <v>377.18</v>
      </c>
      <c r="X770" s="6">
        <f>IF(ISERROR(VLOOKUP($U$770,'TAR FIN'!$A$1:$O$108,15,0)),0,VLOOKUP($U$770,'TAR FIN'!$A$1:$O$108,15,0))</f>
        <v>107.79</v>
      </c>
      <c r="Y770" s="6"/>
      <c r="Z770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0" s="6">
        <f>('TE BE'!$AB$20+'TE BF'!$AB$20+'TE CVA'!$AB$20)*(1-CUSTOS!$M$37)</f>
        <v>224.47961306175614</v>
      </c>
      <c r="AB770" s="6">
        <f>$K$770*$V$770</f>
        <v>0</v>
      </c>
      <c r="AC770" s="6">
        <f>$M$770*$W$770</f>
        <v>792014.25658000004</v>
      </c>
      <c r="AD770" s="6">
        <f>$O$770*$X$770</f>
        <v>226340.78349000003</v>
      </c>
      <c r="AE770" s="6">
        <f>$K$770*$Y$770</f>
        <v>0</v>
      </c>
      <c r="AF770" s="6">
        <f ca="1">$M$770*$Z$770</f>
        <v>834525.60270166455</v>
      </c>
      <c r="AG770" s="6">
        <f>$O$770*$AA$770</f>
        <v>471369.2503750805</v>
      </c>
    </row>
    <row r="771" spans="1:33" ht="11.25" customHeight="1" x14ac:dyDescent="0.25">
      <c r="A771" s="4" t="s">
        <v>27</v>
      </c>
      <c r="B771" s="4" t="s">
        <v>22</v>
      </c>
      <c r="C771" s="4" t="s">
        <v>23</v>
      </c>
      <c r="D771" s="4" t="s">
        <v>24</v>
      </c>
      <c r="E771" s="4" t="s">
        <v>32</v>
      </c>
      <c r="F771" s="4" t="s">
        <v>25</v>
      </c>
      <c r="G771" s="4" t="s">
        <v>25</v>
      </c>
      <c r="H771" s="4" t="s">
        <v>25</v>
      </c>
      <c r="I771" s="5">
        <v>44682</v>
      </c>
      <c r="J771" s="6">
        <v>0</v>
      </c>
      <c r="K771" s="6">
        <v>0</v>
      </c>
      <c r="L771" s="6">
        <v>-39.298000000000002</v>
      </c>
      <c r="M771" s="6">
        <v>-39.298000000000002</v>
      </c>
      <c r="N771" s="6">
        <v>-39.298000000000002</v>
      </c>
      <c r="O771" s="6">
        <v>-39.298000000000002</v>
      </c>
      <c r="P771" s="6">
        <v>-100</v>
      </c>
      <c r="Q771" s="4" t="s">
        <v>26</v>
      </c>
      <c r="R771" s="4">
        <v>0</v>
      </c>
      <c r="S771" s="6">
        <v>0</v>
      </c>
      <c r="T771" s="6">
        <v>33</v>
      </c>
      <c r="U771" s="6">
        <v>84</v>
      </c>
      <c r="V771" s="6">
        <f>IF(ISERROR(VLOOKUP($S$771,'TAR FIN'!$A$1:$O$108,15,0)),0,VLOOKUP($S$771,'TAR FIN'!$A$1:$O$108,15,0))</f>
        <v>0</v>
      </c>
      <c r="W771" s="6">
        <f>IF(ISERROR(VLOOKUP($T$771,'TAR FIN'!$A$1:$O$108,15,0)),0,VLOOKUP($T$771,'TAR FIN'!$A$1:$O$108,15,0))</f>
        <v>377.18</v>
      </c>
      <c r="X771" s="6">
        <f>IF(ISERROR(VLOOKUP($U$771,'TAR FIN'!$A$1:$O$108,15,0)),0,VLOOKUP($U$771,'TAR FIN'!$A$1:$O$108,15,0))</f>
        <v>107.79</v>
      </c>
      <c r="Y771" s="6"/>
      <c r="Z771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1" s="6">
        <f>('TE BE'!$AB$20+'TE BF'!$AB$20+'TE CVA'!$AB$20)*(1-CUSTOS!$M$37)</f>
        <v>224.47961306175614</v>
      </c>
      <c r="AB771" s="6">
        <f>$K$771*$V$771</f>
        <v>0</v>
      </c>
      <c r="AC771" s="6">
        <f>$M$771*$W$771</f>
        <v>-14822.41964</v>
      </c>
      <c r="AD771" s="6">
        <f>$O$771*$X$771</f>
        <v>-4235.9314200000008</v>
      </c>
      <c r="AE771" s="6">
        <f>$K$771*$Y$771</f>
        <v>0</v>
      </c>
      <c r="AF771" s="6">
        <f ca="1">$M$771*$Z$771</f>
        <v>-15618.012656718571</v>
      </c>
      <c r="AG771" s="6">
        <f>$O$771*$AA$771</f>
        <v>-8821.5998341008926</v>
      </c>
    </row>
    <row r="772" spans="1:33" ht="11.25" customHeight="1" x14ac:dyDescent="0.25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32</v>
      </c>
      <c r="F772" s="4" t="s">
        <v>25</v>
      </c>
      <c r="G772" s="4" t="s">
        <v>25</v>
      </c>
      <c r="H772" s="4" t="s">
        <v>25</v>
      </c>
      <c r="I772" s="5">
        <v>44713</v>
      </c>
      <c r="J772" s="6">
        <v>0</v>
      </c>
      <c r="K772" s="6">
        <v>0</v>
      </c>
      <c r="L772" s="6">
        <v>2218.1909999999998</v>
      </c>
      <c r="M772" s="6">
        <v>2218.1909999999998</v>
      </c>
      <c r="N772" s="6">
        <v>2218.1909999999998</v>
      </c>
      <c r="O772" s="6">
        <v>2218.1909999999998</v>
      </c>
      <c r="P772" s="6">
        <v>10963</v>
      </c>
      <c r="Q772" s="4" t="s">
        <v>26</v>
      </c>
      <c r="R772" s="4">
        <v>0</v>
      </c>
      <c r="S772" s="6">
        <v>0</v>
      </c>
      <c r="T772" s="6">
        <v>33</v>
      </c>
      <c r="U772" s="6">
        <v>84</v>
      </c>
      <c r="V772" s="6">
        <f>IF(ISERROR(VLOOKUP($S$772,'TAR FIN'!$A$1:$O$108,15,0)),0,VLOOKUP($S$772,'TAR FIN'!$A$1:$O$108,15,0))</f>
        <v>0</v>
      </c>
      <c r="W772" s="6">
        <f>IF(ISERROR(VLOOKUP($T$772,'TAR FIN'!$A$1:$O$108,15,0)),0,VLOOKUP($T$772,'TAR FIN'!$A$1:$O$108,15,0))</f>
        <v>377.18</v>
      </c>
      <c r="X772" s="6">
        <f>IF(ISERROR(VLOOKUP($U$772,'TAR FIN'!$A$1:$O$108,15,0)),0,VLOOKUP($U$772,'TAR FIN'!$A$1:$O$108,15,0))</f>
        <v>107.79</v>
      </c>
      <c r="Y772" s="6"/>
      <c r="Z772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2" s="6">
        <f>('TE BE'!$AB$20+'TE BF'!$AB$20+'TE CVA'!$AB$20)*(1-CUSTOS!$M$37)</f>
        <v>224.47961306175614</v>
      </c>
      <c r="AB772" s="6">
        <f>$K$772*$V$772</f>
        <v>0</v>
      </c>
      <c r="AC772" s="6">
        <f>$M$772*$W$772</f>
        <v>836657.28137999994</v>
      </c>
      <c r="AD772" s="6">
        <f>$O$772*$X$772</f>
        <v>239098.80789</v>
      </c>
      <c r="AE772" s="6">
        <f>$K$772*$Y$772</f>
        <v>0</v>
      </c>
      <c r="AF772" s="6">
        <f ca="1">$M$772*$Z$772</f>
        <v>881564.84078119043</v>
      </c>
      <c r="AG772" s="6">
        <f>$O$772*$AA$772</f>
        <v>497938.65737706987</v>
      </c>
    </row>
    <row r="773" spans="1:33" ht="11.25" customHeight="1" x14ac:dyDescent="0.25">
      <c r="A773" s="4" t="s">
        <v>27</v>
      </c>
      <c r="B773" s="4" t="s">
        <v>22</v>
      </c>
      <c r="C773" s="4" t="s">
        <v>23</v>
      </c>
      <c r="D773" s="4" t="s">
        <v>24</v>
      </c>
      <c r="E773" s="4" t="s">
        <v>32</v>
      </c>
      <c r="F773" s="4" t="s">
        <v>25</v>
      </c>
      <c r="G773" s="4" t="s">
        <v>25</v>
      </c>
      <c r="H773" s="4" t="s">
        <v>25</v>
      </c>
      <c r="I773" s="5">
        <v>44713</v>
      </c>
      <c r="J773" s="6">
        <v>0</v>
      </c>
      <c r="K773" s="6">
        <v>0</v>
      </c>
      <c r="L773" s="6">
        <v>-16.390999999999998</v>
      </c>
      <c r="M773" s="6">
        <v>-16.390999999999998</v>
      </c>
      <c r="N773" s="6">
        <v>-16.390999999999998</v>
      </c>
      <c r="O773" s="6">
        <v>-16.390999999999998</v>
      </c>
      <c r="P773" s="6">
        <v>-38</v>
      </c>
      <c r="Q773" s="4" t="s">
        <v>26</v>
      </c>
      <c r="R773" s="4">
        <v>0</v>
      </c>
      <c r="S773" s="6">
        <v>0</v>
      </c>
      <c r="T773" s="6">
        <v>33</v>
      </c>
      <c r="U773" s="6">
        <v>84</v>
      </c>
      <c r="V773" s="6">
        <f>IF(ISERROR(VLOOKUP($S$773,'TAR FIN'!$A$1:$O$108,15,0)),0,VLOOKUP($S$773,'TAR FIN'!$A$1:$O$108,15,0))</f>
        <v>0</v>
      </c>
      <c r="W773" s="6">
        <f>IF(ISERROR(VLOOKUP($T$773,'TAR FIN'!$A$1:$O$108,15,0)),0,VLOOKUP($T$773,'TAR FIN'!$A$1:$O$108,15,0))</f>
        <v>377.18</v>
      </c>
      <c r="X773" s="6">
        <f>IF(ISERROR(VLOOKUP($U$773,'TAR FIN'!$A$1:$O$108,15,0)),0,VLOOKUP($U$773,'TAR FIN'!$A$1:$O$108,15,0))</f>
        <v>107.79</v>
      </c>
      <c r="Y773" s="6"/>
      <c r="Z77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3" s="6">
        <f>('TE BE'!$AB$20+'TE BF'!$AB$20+'TE CVA'!$AB$20)*(1-CUSTOS!$M$37)</f>
        <v>224.47961306175614</v>
      </c>
      <c r="AB773" s="6">
        <f>$K$773*$V$773</f>
        <v>0</v>
      </c>
      <c r="AC773" s="6">
        <f>$M$773*$W$773</f>
        <v>-6182.3573799999995</v>
      </c>
      <c r="AD773" s="6">
        <f>$O$773*$X$773</f>
        <v>-1766.7858899999999</v>
      </c>
      <c r="AE773" s="6">
        <f>$K$773*$Y$773</f>
        <v>0</v>
      </c>
      <c r="AF773" s="6">
        <f ca="1">$M$773*$Z$773</f>
        <v>-6514.1952632773691</v>
      </c>
      <c r="AG773" s="6">
        <f>$O$773*$AA$773</f>
        <v>-3679.4453376952447</v>
      </c>
    </row>
    <row r="774" spans="1:33" ht="11.25" customHeight="1" x14ac:dyDescent="0.25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32</v>
      </c>
      <c r="F774" s="4" t="s">
        <v>25</v>
      </c>
      <c r="G774" s="4" t="s">
        <v>25</v>
      </c>
      <c r="H774" s="4" t="s">
        <v>25</v>
      </c>
      <c r="I774" s="5">
        <v>44743</v>
      </c>
      <c r="J774" s="6">
        <v>0</v>
      </c>
      <c r="K774" s="6">
        <v>0</v>
      </c>
      <c r="L774" s="6">
        <v>2324.4229999999998</v>
      </c>
      <c r="M774" s="6">
        <v>2324.4229999999998</v>
      </c>
      <c r="N774" s="6">
        <v>2324.4229999999998</v>
      </c>
      <c r="O774" s="6">
        <v>2324.4229999999998</v>
      </c>
      <c r="P774" s="6">
        <v>11246</v>
      </c>
      <c r="Q774" s="4" t="s">
        <v>26</v>
      </c>
      <c r="R774" s="4">
        <v>0</v>
      </c>
      <c r="S774" s="6">
        <v>0</v>
      </c>
      <c r="T774" s="6">
        <v>33</v>
      </c>
      <c r="U774" s="6">
        <v>84</v>
      </c>
      <c r="V774" s="6">
        <f>IF(ISERROR(VLOOKUP($S$774,'TAR FIN'!$A$1:$O$108,15,0)),0,VLOOKUP($S$774,'TAR FIN'!$A$1:$O$108,15,0))</f>
        <v>0</v>
      </c>
      <c r="W774" s="6">
        <f>IF(ISERROR(VLOOKUP($T$774,'TAR FIN'!$A$1:$O$108,15,0)),0,VLOOKUP($T$774,'TAR FIN'!$A$1:$O$108,15,0))</f>
        <v>377.18</v>
      </c>
      <c r="X774" s="6">
        <f>IF(ISERROR(VLOOKUP($U$774,'TAR FIN'!$A$1:$O$108,15,0)),0,VLOOKUP($U$774,'TAR FIN'!$A$1:$O$108,15,0))</f>
        <v>107.79</v>
      </c>
      <c r="Y774" s="6"/>
      <c r="Z774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4" s="6">
        <f>('TE BE'!$AB$20+'TE BF'!$AB$20+'TE CVA'!$AB$20)*(1-CUSTOS!$M$37)</f>
        <v>224.47961306175614</v>
      </c>
      <c r="AB774" s="6">
        <f>$K$774*$V$774</f>
        <v>0</v>
      </c>
      <c r="AC774" s="6">
        <f>$M$774*$W$774</f>
        <v>876725.86713999999</v>
      </c>
      <c r="AD774" s="6">
        <f>$O$774*$X$774</f>
        <v>250549.55516999998</v>
      </c>
      <c r="AE774" s="6">
        <f>$K$774*$Y$774</f>
        <v>0</v>
      </c>
      <c r="AF774" s="6">
        <f ca="1">$M$774*$Z$774</f>
        <v>923784.10691556183</v>
      </c>
      <c r="AG774" s="6">
        <f>$O$774*$AA$774</f>
        <v>521785.57563184632</v>
      </c>
    </row>
    <row r="775" spans="1:33" ht="11.25" customHeight="1" x14ac:dyDescent="0.25">
      <c r="A775" s="4" t="s">
        <v>27</v>
      </c>
      <c r="B775" s="4" t="s">
        <v>22</v>
      </c>
      <c r="C775" s="4" t="s">
        <v>23</v>
      </c>
      <c r="D775" s="4" t="s">
        <v>24</v>
      </c>
      <c r="E775" s="4" t="s">
        <v>32</v>
      </c>
      <c r="F775" s="4" t="s">
        <v>25</v>
      </c>
      <c r="G775" s="4" t="s">
        <v>25</v>
      </c>
      <c r="H775" s="4" t="s">
        <v>25</v>
      </c>
      <c r="I775" s="5">
        <v>44743</v>
      </c>
      <c r="J775" s="6">
        <v>0</v>
      </c>
      <c r="K775" s="6">
        <v>0</v>
      </c>
      <c r="L775" s="6">
        <v>-36.485999999999997</v>
      </c>
      <c r="M775" s="6">
        <v>-36.485999999999997</v>
      </c>
      <c r="N775" s="6">
        <v>-36.485999999999997</v>
      </c>
      <c r="O775" s="6">
        <v>-36.485999999999997</v>
      </c>
      <c r="P775" s="6">
        <v>-37</v>
      </c>
      <c r="Q775" s="4" t="s">
        <v>26</v>
      </c>
      <c r="R775" s="4">
        <v>0</v>
      </c>
      <c r="S775" s="6">
        <v>0</v>
      </c>
      <c r="T775" s="6">
        <v>33</v>
      </c>
      <c r="U775" s="6">
        <v>84</v>
      </c>
      <c r="V775" s="6">
        <f>IF(ISERROR(VLOOKUP($S$775,'TAR FIN'!$A$1:$O$108,15,0)),0,VLOOKUP($S$775,'TAR FIN'!$A$1:$O$108,15,0))</f>
        <v>0</v>
      </c>
      <c r="W775" s="6">
        <f>IF(ISERROR(VLOOKUP($T$775,'TAR FIN'!$A$1:$O$108,15,0)),0,VLOOKUP($T$775,'TAR FIN'!$A$1:$O$108,15,0))</f>
        <v>377.18</v>
      </c>
      <c r="X775" s="6">
        <f>IF(ISERROR(VLOOKUP($U$775,'TAR FIN'!$A$1:$O$108,15,0)),0,VLOOKUP($U$775,'TAR FIN'!$A$1:$O$108,15,0))</f>
        <v>107.79</v>
      </c>
      <c r="Y775" s="6"/>
      <c r="Z775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5" s="6">
        <f>('TE BE'!$AB$20+'TE BF'!$AB$20+'TE CVA'!$AB$20)*(1-CUSTOS!$M$37)</f>
        <v>224.47961306175614</v>
      </c>
      <c r="AB775" s="6">
        <f>$K$775*$V$775</f>
        <v>0</v>
      </c>
      <c r="AC775" s="6">
        <f>$M$775*$W$775</f>
        <v>-13761.789479999999</v>
      </c>
      <c r="AD775" s="6">
        <f>$O$775*$X$775</f>
        <v>-3932.8259399999997</v>
      </c>
      <c r="AE775" s="6">
        <f>$K$775*$Y$775</f>
        <v>0</v>
      </c>
      <c r="AF775" s="6">
        <f ca="1">$M$775*$Z$775</f>
        <v>-14500.453198458796</v>
      </c>
      <c r="AG775" s="6">
        <f>$O$775*$AA$775</f>
        <v>-8190.3631621712339</v>
      </c>
    </row>
    <row r="776" spans="1:3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32</v>
      </c>
      <c r="F776" s="4" t="s">
        <v>25</v>
      </c>
      <c r="G776" s="4" t="s">
        <v>25</v>
      </c>
      <c r="H776" s="4" t="s">
        <v>25</v>
      </c>
      <c r="I776" s="5">
        <v>44774</v>
      </c>
      <c r="J776" s="6">
        <v>0</v>
      </c>
      <c r="K776" s="6">
        <v>0</v>
      </c>
      <c r="L776" s="6">
        <v>2751.3339999999998</v>
      </c>
      <c r="M776" s="6">
        <v>2751.3339999999998</v>
      </c>
      <c r="N776" s="6">
        <v>2751.3339999999998</v>
      </c>
      <c r="O776" s="6">
        <v>2751.3339999999998</v>
      </c>
      <c r="P776" s="6">
        <v>12752</v>
      </c>
      <c r="Q776" s="4" t="s">
        <v>26</v>
      </c>
      <c r="R776" s="4">
        <v>0</v>
      </c>
      <c r="S776" s="6">
        <v>0</v>
      </c>
      <c r="T776" s="6">
        <v>33</v>
      </c>
      <c r="U776" s="6">
        <v>84</v>
      </c>
      <c r="V776" s="6">
        <f>IF(ISERROR(VLOOKUP($S$776,'TAR FIN'!$A$1:$O$108,15,0)),0,VLOOKUP($S$776,'TAR FIN'!$A$1:$O$108,15,0))</f>
        <v>0</v>
      </c>
      <c r="W776" s="6">
        <f>IF(ISERROR(VLOOKUP($T$776,'TAR FIN'!$A$1:$O$108,15,0)),0,VLOOKUP($T$776,'TAR FIN'!$A$1:$O$108,15,0))</f>
        <v>377.18</v>
      </c>
      <c r="X776" s="6">
        <f>IF(ISERROR(VLOOKUP($U$776,'TAR FIN'!$A$1:$O$108,15,0)),0,VLOOKUP($U$776,'TAR FIN'!$A$1:$O$108,15,0))</f>
        <v>107.79</v>
      </c>
      <c r="Y776" s="6"/>
      <c r="Z776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6" s="6">
        <f>('TE BE'!$AB$20+'TE BF'!$AB$20+'TE CVA'!$AB$20)*(1-CUSTOS!$M$37)</f>
        <v>224.47961306175614</v>
      </c>
      <c r="AB776" s="6">
        <f>$K$776*$V$776</f>
        <v>0</v>
      </c>
      <c r="AC776" s="6">
        <f>$M$776*$W$776</f>
        <v>1037748.1581199999</v>
      </c>
      <c r="AD776" s="6">
        <f>$O$776*$X$776</f>
        <v>296566.29186</v>
      </c>
      <c r="AE776" s="6">
        <f>$K$776*$Y$776</f>
        <v>0</v>
      </c>
      <c r="AF776" s="6">
        <f ca="1">$M$776*$Z$776</f>
        <v>1093449.2654806892</v>
      </c>
      <c r="AG776" s="6">
        <f>$O$776*$AA$776</f>
        <v>617618.39172365377</v>
      </c>
    </row>
    <row r="777" spans="1:33" ht="11.25" customHeight="1" x14ac:dyDescent="0.25">
      <c r="A777" s="4" t="s">
        <v>27</v>
      </c>
      <c r="B777" s="4" t="s">
        <v>22</v>
      </c>
      <c r="C777" s="4" t="s">
        <v>23</v>
      </c>
      <c r="D777" s="4" t="s">
        <v>24</v>
      </c>
      <c r="E777" s="4" t="s">
        <v>32</v>
      </c>
      <c r="F777" s="4" t="s">
        <v>25</v>
      </c>
      <c r="G777" s="4" t="s">
        <v>25</v>
      </c>
      <c r="H777" s="4" t="s">
        <v>25</v>
      </c>
      <c r="I777" s="5">
        <v>44774</v>
      </c>
      <c r="J777" s="6">
        <v>0</v>
      </c>
      <c r="K777" s="6">
        <v>0</v>
      </c>
      <c r="L777" s="6">
        <v>-76.405000000000001</v>
      </c>
      <c r="M777" s="6">
        <v>-76.405000000000001</v>
      </c>
      <c r="N777" s="6">
        <v>-76.405000000000001</v>
      </c>
      <c r="O777" s="6">
        <v>-76.405000000000001</v>
      </c>
      <c r="P777" s="6">
        <v>-98</v>
      </c>
      <c r="Q777" s="4" t="s">
        <v>26</v>
      </c>
      <c r="R777" s="4">
        <v>0</v>
      </c>
      <c r="S777" s="6">
        <v>0</v>
      </c>
      <c r="T777" s="6">
        <v>33</v>
      </c>
      <c r="U777" s="6">
        <v>84</v>
      </c>
      <c r="V777" s="6">
        <f>IF(ISERROR(VLOOKUP($S$777,'TAR FIN'!$A$1:$O$108,15,0)),0,VLOOKUP($S$777,'TAR FIN'!$A$1:$O$108,15,0))</f>
        <v>0</v>
      </c>
      <c r="W777" s="6">
        <f>IF(ISERROR(VLOOKUP($T$777,'TAR FIN'!$A$1:$O$108,15,0)),0,VLOOKUP($T$777,'TAR FIN'!$A$1:$O$108,15,0))</f>
        <v>377.18</v>
      </c>
      <c r="X777" s="6">
        <f>IF(ISERROR(VLOOKUP($U$777,'TAR FIN'!$A$1:$O$108,15,0)),0,VLOOKUP($U$777,'TAR FIN'!$A$1:$O$108,15,0))</f>
        <v>107.79</v>
      </c>
      <c r="Y777" s="6"/>
      <c r="Z777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7" s="6">
        <f>('TE BE'!$AB$20+'TE BF'!$AB$20+'TE CVA'!$AB$20)*(1-CUSTOS!$M$37)</f>
        <v>224.47961306175614</v>
      </c>
      <c r="AB777" s="6">
        <f>$K$777*$V$777</f>
        <v>0</v>
      </c>
      <c r="AC777" s="6">
        <f>$M$777*$W$777</f>
        <v>-28818.437900000001</v>
      </c>
      <c r="AD777" s="6">
        <f>$O$777*$X$777</f>
        <v>-8235.694950000001</v>
      </c>
      <c r="AE777" s="6">
        <f>$K$777*$Y$777</f>
        <v>0</v>
      </c>
      <c r="AF777" s="6">
        <f ca="1">$M$777*$Z$777</f>
        <v>-30365.266859295192</v>
      </c>
      <c r="AG777" s="6">
        <f>$O$777*$AA$777</f>
        <v>-17151.364835983477</v>
      </c>
    </row>
    <row r="778" spans="1:33" ht="11.25" customHeight="1" x14ac:dyDescent="0.25">
      <c r="A778" s="4" t="s">
        <v>21</v>
      </c>
      <c r="B778" s="4" t="s">
        <v>22</v>
      </c>
      <c r="C778" s="4" t="s">
        <v>23</v>
      </c>
      <c r="D778" s="4" t="s">
        <v>24</v>
      </c>
      <c r="E778" s="4" t="s">
        <v>32</v>
      </c>
      <c r="F778" s="4" t="s">
        <v>25</v>
      </c>
      <c r="G778" s="4" t="s">
        <v>25</v>
      </c>
      <c r="H778" s="4" t="s">
        <v>25</v>
      </c>
      <c r="I778" s="5">
        <v>44805</v>
      </c>
      <c r="J778" s="6">
        <v>0</v>
      </c>
      <c r="K778" s="6">
        <v>0</v>
      </c>
      <c r="L778" s="6">
        <v>3566.9639999999999</v>
      </c>
      <c r="M778" s="6">
        <v>3566.9639999999999</v>
      </c>
      <c r="N778" s="6">
        <v>3566.9639999999999</v>
      </c>
      <c r="O778" s="6">
        <v>3566.9639999999999</v>
      </c>
      <c r="P778" s="6">
        <v>15120</v>
      </c>
      <c r="Q778" s="4" t="s">
        <v>26</v>
      </c>
      <c r="R778" s="4">
        <v>0</v>
      </c>
      <c r="S778" s="6">
        <v>0</v>
      </c>
      <c r="T778" s="6">
        <v>33</v>
      </c>
      <c r="U778" s="6">
        <v>84</v>
      </c>
      <c r="V778" s="6">
        <f>IF(ISERROR(VLOOKUP($S$778,'TAR FIN'!$A$1:$O$108,15,0)),0,VLOOKUP($S$778,'TAR FIN'!$A$1:$O$108,15,0))</f>
        <v>0</v>
      </c>
      <c r="W778" s="6">
        <f>IF(ISERROR(VLOOKUP($T$778,'TAR FIN'!$A$1:$O$108,15,0)),0,VLOOKUP($T$778,'TAR FIN'!$A$1:$O$108,15,0))</f>
        <v>377.18</v>
      </c>
      <c r="X778" s="6">
        <f>IF(ISERROR(VLOOKUP($U$778,'TAR FIN'!$A$1:$O$108,15,0)),0,VLOOKUP($U$778,'TAR FIN'!$A$1:$O$108,15,0))</f>
        <v>107.79</v>
      </c>
      <c r="Y778" s="6"/>
      <c r="Z778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8" s="6">
        <f>('TE BE'!$AB$20+'TE BF'!$AB$20+'TE CVA'!$AB$20)*(1-CUSTOS!$M$37)</f>
        <v>224.47961306175614</v>
      </c>
      <c r="AB778" s="6">
        <f>$K$778*$V$778</f>
        <v>0</v>
      </c>
      <c r="AC778" s="6">
        <f>$M$778*$W$778</f>
        <v>1345387.4815199999</v>
      </c>
      <c r="AD778" s="6">
        <f>$O$778*$X$778</f>
        <v>384483.04956000001</v>
      </c>
      <c r="AE778" s="6">
        <f>$K$778*$Y$778</f>
        <v>0</v>
      </c>
      <c r="AF778" s="6">
        <f ca="1">$M$778*$Z$778</f>
        <v>1417601.1221451345</v>
      </c>
      <c r="AG778" s="6">
        <f>$O$778*$AA$778</f>
        <v>800710.69852521387</v>
      </c>
    </row>
    <row r="779" spans="1:33" ht="11.25" customHeight="1" x14ac:dyDescent="0.25">
      <c r="A779" s="4" t="s">
        <v>27</v>
      </c>
      <c r="B779" s="4" t="s">
        <v>22</v>
      </c>
      <c r="C779" s="4" t="s">
        <v>23</v>
      </c>
      <c r="D779" s="4" t="s">
        <v>24</v>
      </c>
      <c r="E779" s="4" t="s">
        <v>32</v>
      </c>
      <c r="F779" s="4" t="s">
        <v>25</v>
      </c>
      <c r="G779" s="4" t="s">
        <v>25</v>
      </c>
      <c r="H779" s="4" t="s">
        <v>25</v>
      </c>
      <c r="I779" s="5">
        <v>44805</v>
      </c>
      <c r="J779" s="6">
        <v>0</v>
      </c>
      <c r="K779" s="6">
        <v>0</v>
      </c>
      <c r="L779" s="6">
        <v>-29.074000000000002</v>
      </c>
      <c r="M779" s="6">
        <v>-29.074000000000002</v>
      </c>
      <c r="N779" s="6">
        <v>-29.074000000000002</v>
      </c>
      <c r="O779" s="6">
        <v>-29.074000000000002</v>
      </c>
      <c r="P779" s="6">
        <v>-53</v>
      </c>
      <c r="Q779" s="4" t="s">
        <v>26</v>
      </c>
      <c r="R779" s="4">
        <v>0</v>
      </c>
      <c r="S779" s="6">
        <v>0</v>
      </c>
      <c r="T779" s="6">
        <v>33</v>
      </c>
      <c r="U779" s="6">
        <v>84</v>
      </c>
      <c r="V779" s="6">
        <f>IF(ISERROR(VLOOKUP($S$779,'TAR FIN'!$A$1:$O$108,15,0)),0,VLOOKUP($S$779,'TAR FIN'!$A$1:$O$108,15,0))</f>
        <v>0</v>
      </c>
      <c r="W779" s="6">
        <f>IF(ISERROR(VLOOKUP($T$779,'TAR FIN'!$A$1:$O$108,15,0)),0,VLOOKUP($T$779,'TAR FIN'!$A$1:$O$108,15,0))</f>
        <v>377.18</v>
      </c>
      <c r="X779" s="6">
        <f>IF(ISERROR(VLOOKUP($U$779,'TAR FIN'!$A$1:$O$108,15,0)),0,VLOOKUP($U$779,'TAR FIN'!$A$1:$O$108,15,0))</f>
        <v>107.79</v>
      </c>
      <c r="Y779" s="6"/>
      <c r="Z779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79" s="6">
        <f>('TE BE'!$AB$20+'TE BF'!$AB$20+'TE CVA'!$AB$20)*(1-CUSTOS!$M$37)</f>
        <v>224.47961306175614</v>
      </c>
      <c r="AB779" s="6">
        <f>$K$779*$V$779</f>
        <v>0</v>
      </c>
      <c r="AC779" s="6">
        <f>$M$779*$W$779</f>
        <v>-10966.13132</v>
      </c>
      <c r="AD779" s="6">
        <f>$O$779*$X$779</f>
        <v>-3133.8864600000002</v>
      </c>
      <c r="AE779" s="6">
        <f>$K$779*$Y$779</f>
        <v>0</v>
      </c>
      <c r="AF779" s="6">
        <f ca="1">$M$779*$Z$779</f>
        <v>-11554.73815414107</v>
      </c>
      <c r="AG779" s="6">
        <f>$O$779*$AA$779</f>
        <v>-6526.5202701574981</v>
      </c>
    </row>
    <row r="780" spans="1:33" ht="11.25" customHeight="1" x14ac:dyDescent="0.25">
      <c r="A780" s="4" t="s">
        <v>21</v>
      </c>
      <c r="B780" s="4" t="s">
        <v>22</v>
      </c>
      <c r="C780" s="4" t="s">
        <v>23</v>
      </c>
      <c r="D780" s="4" t="s">
        <v>24</v>
      </c>
      <c r="E780" s="4" t="s">
        <v>32</v>
      </c>
      <c r="F780" s="4" t="s">
        <v>25</v>
      </c>
      <c r="G780" s="4" t="s">
        <v>25</v>
      </c>
      <c r="H780" s="4" t="s">
        <v>25</v>
      </c>
      <c r="I780" s="5">
        <v>44835</v>
      </c>
      <c r="J780" s="6">
        <v>0</v>
      </c>
      <c r="K780" s="6">
        <v>0</v>
      </c>
      <c r="L780" s="6">
        <v>4809.5410000000002</v>
      </c>
      <c r="M780" s="6">
        <v>4809.5410000000002</v>
      </c>
      <c r="N780" s="6">
        <v>4809.5410000000002</v>
      </c>
      <c r="O780" s="6">
        <v>4809.5410000000002</v>
      </c>
      <c r="P780" s="6">
        <v>19336</v>
      </c>
      <c r="Q780" s="4" t="s">
        <v>26</v>
      </c>
      <c r="R780" s="4">
        <v>0</v>
      </c>
      <c r="S780" s="6">
        <v>0</v>
      </c>
      <c r="T780" s="6">
        <v>33</v>
      </c>
      <c r="U780" s="6">
        <v>84</v>
      </c>
      <c r="V780" s="6">
        <f>IF(ISERROR(VLOOKUP($S$780,'TAR FIN'!$A$1:$O$108,15,0)),0,VLOOKUP($S$780,'TAR FIN'!$A$1:$O$108,15,0))</f>
        <v>0</v>
      </c>
      <c r="W780" s="6">
        <f>IF(ISERROR(VLOOKUP($T$780,'TAR FIN'!$A$1:$O$108,15,0)),0,VLOOKUP($T$780,'TAR FIN'!$A$1:$O$108,15,0))</f>
        <v>377.18</v>
      </c>
      <c r="X780" s="6">
        <f>IF(ISERROR(VLOOKUP($U$780,'TAR FIN'!$A$1:$O$108,15,0)),0,VLOOKUP($U$780,'TAR FIN'!$A$1:$O$108,15,0))</f>
        <v>107.79</v>
      </c>
      <c r="Y780" s="6"/>
      <c r="Z780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80" s="6">
        <f>('TE BE'!$AB$20+'TE BF'!$AB$20+'TE CVA'!$AB$20)*(1-CUSTOS!$M$37)</f>
        <v>224.47961306175614</v>
      </c>
      <c r="AB780" s="6">
        <f>$K$780*$V$780</f>
        <v>0</v>
      </c>
      <c r="AC780" s="6">
        <f>$M$780*$W$780</f>
        <v>1814062.67438</v>
      </c>
      <c r="AD780" s="6">
        <f>$O$780*$X$780</f>
        <v>518420.42439000006</v>
      </c>
      <c r="AE780" s="6">
        <f>$K$780*$Y$780</f>
        <v>0</v>
      </c>
      <c r="AF780" s="6">
        <f ca="1">$M$780*$Z$780</f>
        <v>1911432.444679294</v>
      </c>
      <c r="AG780" s="6">
        <f>$O$780*$AA$780</f>
        <v>1079643.9026846518</v>
      </c>
    </row>
    <row r="781" spans="1:33" ht="11.25" customHeight="1" x14ac:dyDescent="0.25">
      <c r="A781" s="4" t="s">
        <v>27</v>
      </c>
      <c r="B781" s="4" t="s">
        <v>22</v>
      </c>
      <c r="C781" s="4" t="s">
        <v>23</v>
      </c>
      <c r="D781" s="4" t="s">
        <v>24</v>
      </c>
      <c r="E781" s="4" t="s">
        <v>32</v>
      </c>
      <c r="F781" s="4" t="s">
        <v>25</v>
      </c>
      <c r="G781" s="4" t="s">
        <v>25</v>
      </c>
      <c r="H781" s="4" t="s">
        <v>25</v>
      </c>
      <c r="I781" s="5">
        <v>44835</v>
      </c>
      <c r="J781" s="6">
        <v>0</v>
      </c>
      <c r="K781" s="6">
        <v>0</v>
      </c>
      <c r="L781" s="6">
        <v>-22.074000000000002</v>
      </c>
      <c r="M781" s="6">
        <v>-22.074000000000002</v>
      </c>
      <c r="N781" s="6">
        <v>-22.074000000000002</v>
      </c>
      <c r="O781" s="6">
        <v>-22.074000000000002</v>
      </c>
      <c r="P781" s="6">
        <v>-53</v>
      </c>
      <c r="Q781" s="4" t="s">
        <v>26</v>
      </c>
      <c r="R781" s="4">
        <v>0</v>
      </c>
      <c r="S781" s="6">
        <v>0</v>
      </c>
      <c r="T781" s="6">
        <v>33</v>
      </c>
      <c r="U781" s="6">
        <v>84</v>
      </c>
      <c r="V781" s="6">
        <f>IF(ISERROR(VLOOKUP($S$781,'TAR FIN'!$A$1:$O$108,15,0)),0,VLOOKUP($S$781,'TAR FIN'!$A$1:$O$108,15,0))</f>
        <v>0</v>
      </c>
      <c r="W781" s="6">
        <f>IF(ISERROR(VLOOKUP($T$781,'TAR FIN'!$A$1:$O$108,15,0)),0,VLOOKUP($T$781,'TAR FIN'!$A$1:$O$108,15,0))</f>
        <v>377.18</v>
      </c>
      <c r="X781" s="6">
        <f>IF(ISERROR(VLOOKUP($U$781,'TAR FIN'!$A$1:$O$108,15,0)),0,VLOOKUP($U$781,'TAR FIN'!$A$1:$O$108,15,0))</f>
        <v>107.79</v>
      </c>
      <c r="Y781" s="6"/>
      <c r="Z781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81" s="6">
        <f>('TE BE'!$AB$20+'TE BF'!$AB$20+'TE CVA'!$AB$20)*(1-CUSTOS!$M$37)</f>
        <v>224.47961306175614</v>
      </c>
      <c r="AB781" s="6">
        <f>$K$781*$V$781</f>
        <v>0</v>
      </c>
      <c r="AC781" s="6">
        <f>$M$781*$W$781</f>
        <v>-8325.8713200000002</v>
      </c>
      <c r="AD781" s="6">
        <f>$O$781*$X$781</f>
        <v>-2379.3564600000004</v>
      </c>
      <c r="AE781" s="6">
        <f>$K$781*$Y$781</f>
        <v>0</v>
      </c>
      <c r="AF781" s="6">
        <f ca="1">$M$781*$Z$781</f>
        <v>-8772.7622623137504</v>
      </c>
      <c r="AG781" s="6">
        <f>$O$781*$AA$781</f>
        <v>-4955.162978725205</v>
      </c>
    </row>
    <row r="782" spans="1:33" ht="11.25" customHeight="1" x14ac:dyDescent="0.25">
      <c r="A782" s="4" t="s">
        <v>54</v>
      </c>
      <c r="B782" s="4" t="s">
        <v>22</v>
      </c>
      <c r="C782" s="4" t="s">
        <v>23</v>
      </c>
      <c r="D782" s="4" t="s">
        <v>24</v>
      </c>
      <c r="E782" s="4" t="s">
        <v>32</v>
      </c>
      <c r="F782" s="4" t="s">
        <v>25</v>
      </c>
      <c r="G782" s="4" t="s">
        <v>25</v>
      </c>
      <c r="H782" s="4" t="s">
        <v>25</v>
      </c>
      <c r="I782" s="5">
        <v>44866</v>
      </c>
      <c r="J782" s="6">
        <v>0</v>
      </c>
      <c r="K782" s="6">
        <v>0</v>
      </c>
      <c r="L782" s="6">
        <v>4809.5410000000002</v>
      </c>
      <c r="M782" s="6">
        <v>4809.5410000000002</v>
      </c>
      <c r="N782" s="6">
        <v>4809.5410000000002</v>
      </c>
      <c r="O782" s="6">
        <v>4809.5410000000002</v>
      </c>
      <c r="P782" s="6">
        <v>19336</v>
      </c>
      <c r="Q782" s="4" t="s">
        <v>26</v>
      </c>
      <c r="R782" s="4">
        <v>0</v>
      </c>
      <c r="S782" s="6">
        <v>0</v>
      </c>
      <c r="T782" s="6">
        <v>33</v>
      </c>
      <c r="U782" s="6">
        <v>84</v>
      </c>
      <c r="V782" s="6">
        <f>IF(ISERROR(VLOOKUP($S$782,'TAR FIN'!$A$1:$O$108,15,0)),0,VLOOKUP($S$782,'TAR FIN'!$A$1:$O$108,15,0))</f>
        <v>0</v>
      </c>
      <c r="W782" s="6">
        <f>IF(ISERROR(VLOOKUP($T$782,'TAR FIN'!$A$1:$O$108,15,0)),0,VLOOKUP($T$782,'TAR FIN'!$A$1:$O$108,15,0))</f>
        <v>377.18</v>
      </c>
      <c r="X782" s="6">
        <f>IF(ISERROR(VLOOKUP($U$782,'TAR FIN'!$A$1:$O$108,15,0)),0,VLOOKUP($U$782,'TAR FIN'!$A$1:$O$108,15,0))</f>
        <v>107.79</v>
      </c>
      <c r="Y782" s="6"/>
      <c r="Z782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82" s="6">
        <f>('TE BE'!$AB$20+'TE BF'!$AB$20+'TE CVA'!$AB$20)*(1-CUSTOS!$M$37)</f>
        <v>224.47961306175614</v>
      </c>
      <c r="AB782" s="6">
        <f>$K$782*$V$782</f>
        <v>0</v>
      </c>
      <c r="AC782" s="6">
        <f>$M$782*$W$782</f>
        <v>1814062.67438</v>
      </c>
      <c r="AD782" s="6">
        <f>$O$782*$X$782</f>
        <v>518420.42439000006</v>
      </c>
      <c r="AE782" s="6">
        <f>$K$782*$Y$782</f>
        <v>0</v>
      </c>
      <c r="AF782" s="6">
        <f ca="1">$M$782*$Z$782</f>
        <v>1911432.444679294</v>
      </c>
      <c r="AG782" s="6">
        <f>$O$782*$AA$782</f>
        <v>1079643.9026846518</v>
      </c>
    </row>
    <row r="783" spans="1:33" ht="11.25" customHeight="1" x14ac:dyDescent="0.25">
      <c r="A783" s="4" t="s">
        <v>54</v>
      </c>
      <c r="B783" s="4" t="s">
        <v>22</v>
      </c>
      <c r="C783" s="4" t="s">
        <v>23</v>
      </c>
      <c r="D783" s="4" t="s">
        <v>24</v>
      </c>
      <c r="E783" s="4" t="s">
        <v>32</v>
      </c>
      <c r="F783" s="4" t="s">
        <v>25</v>
      </c>
      <c r="G783" s="4" t="s">
        <v>25</v>
      </c>
      <c r="H783" s="4" t="s">
        <v>25</v>
      </c>
      <c r="I783" s="5">
        <v>44866</v>
      </c>
      <c r="J783" s="6">
        <v>0</v>
      </c>
      <c r="K783" s="6">
        <v>0</v>
      </c>
      <c r="L783" s="6">
        <v>-22.074000000000002</v>
      </c>
      <c r="M783" s="6">
        <v>-22.074000000000002</v>
      </c>
      <c r="N783" s="6">
        <v>-22.074000000000002</v>
      </c>
      <c r="O783" s="6">
        <v>-22.074000000000002</v>
      </c>
      <c r="P783" s="6">
        <v>-53</v>
      </c>
      <c r="Q783" s="4" t="s">
        <v>26</v>
      </c>
      <c r="R783" s="4">
        <v>0</v>
      </c>
      <c r="S783" s="6">
        <v>0</v>
      </c>
      <c r="T783" s="6">
        <v>33</v>
      </c>
      <c r="U783" s="6">
        <v>84</v>
      </c>
      <c r="V783" s="6">
        <f>IF(ISERROR(VLOOKUP($S$783,'TAR FIN'!$A$1:$O$108,15,0)),0,VLOOKUP($S$783,'TAR FIN'!$A$1:$O$108,15,0))</f>
        <v>0</v>
      </c>
      <c r="W783" s="6">
        <f>IF(ISERROR(VLOOKUP($T$783,'TAR FIN'!$A$1:$O$108,15,0)),0,VLOOKUP($T$783,'TAR FIN'!$A$1:$O$108,15,0))</f>
        <v>377.18</v>
      </c>
      <c r="X783" s="6">
        <f>IF(ISERROR(VLOOKUP($U$783,'TAR FIN'!$A$1:$O$108,15,0)),0,VLOOKUP($U$783,'TAR FIN'!$A$1:$O$108,15,0))</f>
        <v>107.79</v>
      </c>
      <c r="Y783" s="6"/>
      <c r="Z78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783" s="6">
        <f>('TE BE'!$AB$20+'TE BF'!$AB$20+'TE CVA'!$AB$20)*(1-CUSTOS!$M$37)</f>
        <v>224.47961306175614</v>
      </c>
      <c r="AB783" s="6">
        <f>$K$783*$V$783</f>
        <v>0</v>
      </c>
      <c r="AC783" s="6">
        <f>$M$783*$W$783</f>
        <v>-8325.8713200000002</v>
      </c>
      <c r="AD783" s="6">
        <f>$O$783*$X$783</f>
        <v>-2379.3564600000004</v>
      </c>
      <c r="AE783" s="6">
        <f>$K$783*$Y$783</f>
        <v>0</v>
      </c>
      <c r="AF783" s="6">
        <f ca="1">$M$783*$Z$783</f>
        <v>-8772.7622623137504</v>
      </c>
      <c r="AG783" s="6">
        <f>$O$783*$AA$783</f>
        <v>-4955.162978725205</v>
      </c>
    </row>
    <row r="784" spans="1:33" ht="11.25" customHeight="1" x14ac:dyDescent="0.25">
      <c r="A784" s="4" t="s">
        <v>21</v>
      </c>
      <c r="B784" s="4" t="s">
        <v>45</v>
      </c>
      <c r="C784" s="4" t="s">
        <v>23</v>
      </c>
      <c r="D784" s="4" t="s">
        <v>46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44531</v>
      </c>
      <c r="J784" s="6">
        <v>0</v>
      </c>
      <c r="K784" s="6">
        <v>0</v>
      </c>
      <c r="L784" s="6">
        <v>352.37299999999999</v>
      </c>
      <c r="M784" s="6">
        <v>352.37299999999999</v>
      </c>
      <c r="N784" s="6">
        <v>352.37299999999999</v>
      </c>
      <c r="O784" s="6">
        <v>352.37299999999999</v>
      </c>
      <c r="P784" s="6">
        <v>2547</v>
      </c>
      <c r="Q784" s="4" t="s">
        <v>26</v>
      </c>
      <c r="R784" s="4">
        <v>0</v>
      </c>
      <c r="S784" s="6">
        <v>0</v>
      </c>
      <c r="T784" s="6">
        <v>51</v>
      </c>
      <c r="U784" s="6">
        <v>93</v>
      </c>
      <c r="V784" s="6">
        <f>IF(ISERROR(VLOOKUP($S$784,'TAR FIN'!$A$1:$O$108,15,0)),0,VLOOKUP($S$784,'TAR FIN'!$A$1:$O$108,15,0))</f>
        <v>0</v>
      </c>
      <c r="W784" s="6">
        <f>IF(ISERROR(VLOOKUP($T$784,'TAR FIN'!$A$1:$O$108,15,0)),0,VLOOKUP($T$784,'TAR FIN'!$A$1:$O$108,15,0))</f>
        <v>380.18</v>
      </c>
      <c r="X784" s="6">
        <f>IF(ISERROR(VLOOKUP($U$784,'TAR FIN'!$A$1:$O$108,15,0)),0,VLOOKUP($U$784,'TAR FIN'!$A$1:$O$108,15,0))</f>
        <v>94.86</v>
      </c>
      <c r="Y784" s="6"/>
      <c r="Z784" s="6">
        <f ca="1">('TUSD BE'!$AM$49+'TUSD BF'!$AM$49+'TUSD CVA'!$AM$49)*(1-CUSTOS!$M$38)</f>
        <v>467.36052318380649</v>
      </c>
      <c r="AA784" s="6">
        <f>('TE BE'!$AB$29+'TE BF'!$AB$29+'TE CVA'!$AB$29)*(1-CUSTOS!$M$38)</f>
        <v>211.01083627805076</v>
      </c>
      <c r="AB784" s="6">
        <f>$K$784*$V$784</f>
        <v>0</v>
      </c>
      <c r="AC784" s="6">
        <f>$M$784*$W$784</f>
        <v>133965.16714000001</v>
      </c>
      <c r="AD784" s="6">
        <f>$O$784*$X$784</f>
        <v>33426.102780000001</v>
      </c>
      <c r="AE784" s="6">
        <f>$K$784*$Y$784</f>
        <v>0</v>
      </c>
      <c r="AF784" s="6">
        <f ca="1">$M$784*$Z$784</f>
        <v>164685.22963584744</v>
      </c>
      <c r="AG784" s="6">
        <f>$O$784*$AA$784</f>
        <v>74354.521411805574</v>
      </c>
    </row>
    <row r="785" spans="1:33" ht="11.25" customHeight="1" x14ac:dyDescent="0.25">
      <c r="A785" s="4" t="s">
        <v>27</v>
      </c>
      <c r="B785" s="4" t="s">
        <v>45</v>
      </c>
      <c r="C785" s="4" t="s">
        <v>23</v>
      </c>
      <c r="D785" s="4" t="s">
        <v>46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44531</v>
      </c>
      <c r="J785" s="6">
        <v>0</v>
      </c>
      <c r="K785" s="6">
        <v>0</v>
      </c>
      <c r="L785" s="6">
        <v>-3.8420000000000001</v>
      </c>
      <c r="M785" s="6">
        <v>-3.8420000000000001</v>
      </c>
      <c r="N785" s="6">
        <v>-3.8420000000000001</v>
      </c>
      <c r="O785" s="6">
        <v>-3.8420000000000001</v>
      </c>
      <c r="P785" s="6">
        <v>-3</v>
      </c>
      <c r="Q785" s="4" t="s">
        <v>26</v>
      </c>
      <c r="R785" s="4">
        <v>0</v>
      </c>
      <c r="S785" s="6">
        <v>0</v>
      </c>
      <c r="T785" s="6">
        <v>51</v>
      </c>
      <c r="U785" s="6">
        <v>93</v>
      </c>
      <c r="V785" s="6">
        <f>IF(ISERROR(VLOOKUP($S$785,'TAR FIN'!$A$1:$O$108,15,0)),0,VLOOKUP($S$785,'TAR FIN'!$A$1:$O$108,15,0))</f>
        <v>0</v>
      </c>
      <c r="W785" s="6">
        <f>IF(ISERROR(VLOOKUP($T$785,'TAR FIN'!$A$1:$O$108,15,0)),0,VLOOKUP($T$785,'TAR FIN'!$A$1:$O$108,15,0))</f>
        <v>380.18</v>
      </c>
      <c r="X785" s="6">
        <f>IF(ISERROR(VLOOKUP($U$785,'TAR FIN'!$A$1:$O$108,15,0)),0,VLOOKUP($U$785,'TAR FIN'!$A$1:$O$108,15,0))</f>
        <v>94.86</v>
      </c>
      <c r="Y785" s="6"/>
      <c r="Z785" s="6">
        <f ca="1">('TUSD BE'!$AM$49+'TUSD BF'!$AM$49+'TUSD CVA'!$AM$49)*(1-CUSTOS!$M$38)</f>
        <v>467.36052318380649</v>
      </c>
      <c r="AA785" s="6">
        <f>('TE BE'!$AB$29+'TE BF'!$AB$29+'TE CVA'!$AB$29)*(1-CUSTOS!$M$38)</f>
        <v>211.01083627805076</v>
      </c>
      <c r="AB785" s="6">
        <f>$K$785*$V$785</f>
        <v>0</v>
      </c>
      <c r="AC785" s="6">
        <f>$M$785*$W$785</f>
        <v>-1460.65156</v>
      </c>
      <c r="AD785" s="6">
        <f>$O$785*$X$785</f>
        <v>-364.45211999999998</v>
      </c>
      <c r="AE785" s="6">
        <f>$K$785*$Y$785</f>
        <v>0</v>
      </c>
      <c r="AF785" s="6">
        <f ca="1">$M$785*$Z$785</f>
        <v>-1795.5991300721846</v>
      </c>
      <c r="AG785" s="6">
        <f>$O$785*$AA$785</f>
        <v>-810.7036329802711</v>
      </c>
    </row>
    <row r="786" spans="1:33" ht="11.25" customHeight="1" x14ac:dyDescent="0.25">
      <c r="A786" s="4" t="s">
        <v>28</v>
      </c>
      <c r="B786" s="4" t="s">
        <v>45</v>
      </c>
      <c r="C786" s="4" t="s">
        <v>23</v>
      </c>
      <c r="D786" s="4" t="s">
        <v>46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44531</v>
      </c>
      <c r="J786" s="6">
        <v>0</v>
      </c>
      <c r="K786" s="6">
        <v>0</v>
      </c>
      <c r="L786" s="6">
        <v>2.8730000000000002</v>
      </c>
      <c r="M786" s="6">
        <v>2.8730000000000002</v>
      </c>
      <c r="N786" s="6">
        <v>2.8730000000000002</v>
      </c>
      <c r="O786" s="6">
        <v>2.8730000000000002</v>
      </c>
      <c r="P786" s="6">
        <v>4</v>
      </c>
      <c r="Q786" s="4" t="s">
        <v>26</v>
      </c>
      <c r="R786" s="4">
        <v>0</v>
      </c>
      <c r="S786" s="6">
        <v>0</v>
      </c>
      <c r="T786" s="6">
        <v>51</v>
      </c>
      <c r="U786" s="6">
        <v>93</v>
      </c>
      <c r="V786" s="6">
        <f>IF(ISERROR(VLOOKUP($S$786,'TAR FIN'!$A$1:$O$108,15,0)),0,VLOOKUP($S$786,'TAR FIN'!$A$1:$O$108,15,0))</f>
        <v>0</v>
      </c>
      <c r="W786" s="6">
        <f>IF(ISERROR(VLOOKUP($T$786,'TAR FIN'!$A$1:$O$108,15,0)),0,VLOOKUP($T$786,'TAR FIN'!$A$1:$O$108,15,0))</f>
        <v>380.18</v>
      </c>
      <c r="X786" s="6">
        <f>IF(ISERROR(VLOOKUP($U$786,'TAR FIN'!$A$1:$O$108,15,0)),0,VLOOKUP($U$786,'TAR FIN'!$A$1:$O$108,15,0))</f>
        <v>94.86</v>
      </c>
      <c r="Y786" s="6"/>
      <c r="Z786" s="6">
        <f ca="1">('TUSD BE'!$AM$49+'TUSD BF'!$AM$49+'TUSD CVA'!$AM$49)*(1-CUSTOS!$M$38)</f>
        <v>467.36052318380649</v>
      </c>
      <c r="AA786" s="6">
        <f>('TE BE'!$AB$29+'TE BF'!$AB$29+'TE CVA'!$AB$29)*(1-CUSTOS!$M$38)</f>
        <v>211.01083627805076</v>
      </c>
      <c r="AB786" s="6">
        <f>$K$786*$V$786</f>
        <v>0</v>
      </c>
      <c r="AC786" s="6">
        <f>$M$786*$W$786</f>
        <v>1092.2571400000002</v>
      </c>
      <c r="AD786" s="6">
        <f>$O$786*$X$786</f>
        <v>272.53278</v>
      </c>
      <c r="AE786" s="6">
        <f>$K$786*$Y$786</f>
        <v>0</v>
      </c>
      <c r="AF786" s="6">
        <f ca="1">$M$786*$Z$786</f>
        <v>1342.7267831070762</v>
      </c>
      <c r="AG786" s="6">
        <f>$O$786*$AA$786</f>
        <v>606.23413262683994</v>
      </c>
    </row>
    <row r="787" spans="1:33" ht="11.25" customHeight="1" x14ac:dyDescent="0.25">
      <c r="A787" s="4" t="s">
        <v>21</v>
      </c>
      <c r="B787" s="4" t="s">
        <v>45</v>
      </c>
      <c r="C787" s="4" t="s">
        <v>23</v>
      </c>
      <c r="D787" s="4" t="s">
        <v>46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44562</v>
      </c>
      <c r="J787" s="6">
        <v>0</v>
      </c>
      <c r="K787" s="6">
        <v>0</v>
      </c>
      <c r="L787" s="6">
        <v>337.36799999999999</v>
      </c>
      <c r="M787" s="6">
        <v>337.36799999999999</v>
      </c>
      <c r="N787" s="6">
        <v>337.36799999999999</v>
      </c>
      <c r="O787" s="6">
        <v>337.36799999999999</v>
      </c>
      <c r="P787" s="6">
        <v>2401</v>
      </c>
      <c r="Q787" s="4" t="s">
        <v>26</v>
      </c>
      <c r="R787" s="4">
        <v>0</v>
      </c>
      <c r="S787" s="6">
        <v>0</v>
      </c>
      <c r="T787" s="6">
        <v>51</v>
      </c>
      <c r="U787" s="6">
        <v>93</v>
      </c>
      <c r="V787" s="6">
        <f>IF(ISERROR(VLOOKUP($S$787,'TAR FIN'!$A$1:$O$108,15,0)),0,VLOOKUP($S$787,'TAR FIN'!$A$1:$O$108,15,0))</f>
        <v>0</v>
      </c>
      <c r="W787" s="6">
        <f>IF(ISERROR(VLOOKUP($T$787,'TAR FIN'!$A$1:$O$108,15,0)),0,VLOOKUP($T$787,'TAR FIN'!$A$1:$O$108,15,0))</f>
        <v>380.18</v>
      </c>
      <c r="X787" s="6">
        <f>IF(ISERROR(VLOOKUP($U$787,'TAR FIN'!$A$1:$O$108,15,0)),0,VLOOKUP($U$787,'TAR FIN'!$A$1:$O$108,15,0))</f>
        <v>94.86</v>
      </c>
      <c r="Y787" s="6"/>
      <c r="Z787" s="6">
        <f ca="1">('TUSD BE'!$AM$49+'TUSD BF'!$AM$49+'TUSD CVA'!$AM$49)*(1-CUSTOS!$M$38)</f>
        <v>467.36052318380649</v>
      </c>
      <c r="AA787" s="6">
        <f>('TE BE'!$AB$29+'TE BF'!$AB$29+'TE CVA'!$AB$29)*(1-CUSTOS!$M$38)</f>
        <v>211.01083627805076</v>
      </c>
      <c r="AB787" s="6">
        <f>$K$787*$V$787</f>
        <v>0</v>
      </c>
      <c r="AC787" s="6">
        <f>$M$787*$W$787</f>
        <v>128260.56624</v>
      </c>
      <c r="AD787" s="6">
        <f>$O$787*$X$787</f>
        <v>32002.728479999998</v>
      </c>
      <c r="AE787" s="6">
        <f>$K$787*$Y$787</f>
        <v>0</v>
      </c>
      <c r="AF787" s="6">
        <f ca="1">$M$787*$Z$787</f>
        <v>157672.48498547444</v>
      </c>
      <c r="AG787" s="6">
        <f>$O$787*$AA$787</f>
        <v>71188.303813453429</v>
      </c>
    </row>
    <row r="788" spans="1:33" ht="11.25" customHeight="1" x14ac:dyDescent="0.25">
      <c r="A788" s="4" t="s">
        <v>27</v>
      </c>
      <c r="B788" s="4" t="s">
        <v>45</v>
      </c>
      <c r="C788" s="4" t="s">
        <v>23</v>
      </c>
      <c r="D788" s="4" t="s">
        <v>46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44562</v>
      </c>
      <c r="J788" s="6">
        <v>0</v>
      </c>
      <c r="K788" s="6">
        <v>0</v>
      </c>
      <c r="L788" s="6">
        <v>-2.2610000000000001</v>
      </c>
      <c r="M788" s="6">
        <v>-2.2610000000000001</v>
      </c>
      <c r="N788" s="6">
        <v>-2.2610000000000001</v>
      </c>
      <c r="O788" s="6">
        <v>-2.2610000000000001</v>
      </c>
      <c r="P788" s="6">
        <v>2</v>
      </c>
      <c r="Q788" s="4" t="s">
        <v>26</v>
      </c>
      <c r="R788" s="4">
        <v>0</v>
      </c>
      <c r="S788" s="6">
        <v>0</v>
      </c>
      <c r="T788" s="6">
        <v>51</v>
      </c>
      <c r="U788" s="6">
        <v>93</v>
      </c>
      <c r="V788" s="6">
        <f>IF(ISERROR(VLOOKUP($S$788,'TAR FIN'!$A$1:$O$108,15,0)),0,VLOOKUP($S$788,'TAR FIN'!$A$1:$O$108,15,0))</f>
        <v>0</v>
      </c>
      <c r="W788" s="6">
        <f>IF(ISERROR(VLOOKUP($T$788,'TAR FIN'!$A$1:$O$108,15,0)),0,VLOOKUP($T$788,'TAR FIN'!$A$1:$O$108,15,0))</f>
        <v>380.18</v>
      </c>
      <c r="X788" s="6">
        <f>IF(ISERROR(VLOOKUP($U$788,'TAR FIN'!$A$1:$O$108,15,0)),0,VLOOKUP($U$788,'TAR FIN'!$A$1:$O$108,15,0))</f>
        <v>94.86</v>
      </c>
      <c r="Y788" s="6"/>
      <c r="Z788" s="6">
        <f ca="1">('TUSD BE'!$AM$49+'TUSD BF'!$AM$49+'TUSD CVA'!$AM$49)*(1-CUSTOS!$M$38)</f>
        <v>467.36052318380649</v>
      </c>
      <c r="AA788" s="6">
        <f>('TE BE'!$AB$29+'TE BF'!$AB$29+'TE CVA'!$AB$29)*(1-CUSTOS!$M$38)</f>
        <v>211.01083627805076</v>
      </c>
      <c r="AB788" s="6">
        <f>$K$788*$V$788</f>
        <v>0</v>
      </c>
      <c r="AC788" s="6">
        <f>$M$788*$W$788</f>
        <v>-859.58698000000004</v>
      </c>
      <c r="AD788" s="6">
        <f>$O$788*$X$788</f>
        <v>-214.47846000000001</v>
      </c>
      <c r="AE788" s="6">
        <f>$K$788*$Y$788</f>
        <v>0</v>
      </c>
      <c r="AF788" s="6">
        <f ca="1">$M$788*$Z$788</f>
        <v>-1056.7021429185866</v>
      </c>
      <c r="AG788" s="6">
        <f>$O$788*$AA$788</f>
        <v>-477.0955008246728</v>
      </c>
    </row>
    <row r="789" spans="1:33" ht="11.25" customHeight="1" x14ac:dyDescent="0.25">
      <c r="A789" s="4" t="s">
        <v>28</v>
      </c>
      <c r="B789" s="4" t="s">
        <v>45</v>
      </c>
      <c r="C789" s="4" t="s">
        <v>23</v>
      </c>
      <c r="D789" s="4" t="s">
        <v>46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3.2839999999999998</v>
      </c>
      <c r="M789" s="6">
        <v>3.2839999999999998</v>
      </c>
      <c r="N789" s="6">
        <v>3.2839999999999998</v>
      </c>
      <c r="O789" s="6">
        <v>3.2839999999999998</v>
      </c>
      <c r="P789" s="6">
        <v>4</v>
      </c>
      <c r="Q789" s="4" t="s">
        <v>26</v>
      </c>
      <c r="R789" s="4">
        <v>0</v>
      </c>
      <c r="S789" s="6">
        <v>0</v>
      </c>
      <c r="T789" s="6">
        <v>51</v>
      </c>
      <c r="U789" s="6">
        <v>93</v>
      </c>
      <c r="V789" s="6">
        <f>IF(ISERROR(VLOOKUP($S$789,'TAR FIN'!$A$1:$O$108,15,0)),0,VLOOKUP($S$789,'TAR FIN'!$A$1:$O$108,15,0))</f>
        <v>0</v>
      </c>
      <c r="W789" s="6">
        <f>IF(ISERROR(VLOOKUP($T$789,'TAR FIN'!$A$1:$O$108,15,0)),0,VLOOKUP($T$789,'TAR FIN'!$A$1:$O$108,15,0))</f>
        <v>380.18</v>
      </c>
      <c r="X789" s="6">
        <f>IF(ISERROR(VLOOKUP($U$789,'TAR FIN'!$A$1:$O$108,15,0)),0,VLOOKUP($U$789,'TAR FIN'!$A$1:$O$108,15,0))</f>
        <v>94.86</v>
      </c>
      <c r="Y789" s="6"/>
      <c r="Z789" s="6">
        <f ca="1">('TUSD BE'!$AM$49+'TUSD BF'!$AM$49+'TUSD CVA'!$AM$49)*(1-CUSTOS!$M$38)</f>
        <v>467.36052318380649</v>
      </c>
      <c r="AA789" s="6">
        <f>('TE BE'!$AB$29+'TE BF'!$AB$29+'TE CVA'!$AB$29)*(1-CUSTOS!$M$38)</f>
        <v>211.01083627805076</v>
      </c>
      <c r="AB789" s="6">
        <f>$K$789*$V$789</f>
        <v>0</v>
      </c>
      <c r="AC789" s="6">
        <f>$M$789*$W$789</f>
        <v>1248.5111199999999</v>
      </c>
      <c r="AD789" s="6">
        <f>$O$789*$X$789</f>
        <v>311.52024</v>
      </c>
      <c r="AE789" s="6">
        <f>$K$789*$Y$789</f>
        <v>0</v>
      </c>
      <c r="AF789" s="6">
        <f ca="1">$M$789*$Z$789</f>
        <v>1534.8119581356204</v>
      </c>
      <c r="AG789" s="6">
        <f>$O$789*$AA$789</f>
        <v>692.95958633711871</v>
      </c>
    </row>
    <row r="790" spans="1:33" ht="11.25" customHeight="1" x14ac:dyDescent="0.25">
      <c r="A790" s="4" t="s">
        <v>21</v>
      </c>
      <c r="B790" s="4" t="s">
        <v>45</v>
      </c>
      <c r="C790" s="4" t="s">
        <v>23</v>
      </c>
      <c r="D790" s="4" t="s">
        <v>46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44593</v>
      </c>
      <c r="J790" s="6">
        <v>0</v>
      </c>
      <c r="K790" s="6">
        <v>0</v>
      </c>
      <c r="L790" s="6">
        <v>284.05799999999999</v>
      </c>
      <c r="M790" s="6">
        <v>284.05799999999999</v>
      </c>
      <c r="N790" s="6">
        <v>284.05799999999999</v>
      </c>
      <c r="O790" s="6">
        <v>284.05799999999999</v>
      </c>
      <c r="P790" s="6">
        <v>2362</v>
      </c>
      <c r="Q790" s="4" t="s">
        <v>26</v>
      </c>
      <c r="R790" s="4">
        <v>0</v>
      </c>
      <c r="S790" s="6">
        <v>0</v>
      </c>
      <c r="T790" s="6">
        <v>51</v>
      </c>
      <c r="U790" s="6">
        <v>93</v>
      </c>
      <c r="V790" s="6">
        <f>IF(ISERROR(VLOOKUP($S$790,'TAR FIN'!$A$1:$O$108,15,0)),0,VLOOKUP($S$790,'TAR FIN'!$A$1:$O$108,15,0))</f>
        <v>0</v>
      </c>
      <c r="W790" s="6">
        <f>IF(ISERROR(VLOOKUP($T$790,'TAR FIN'!$A$1:$O$108,15,0)),0,VLOOKUP($T$790,'TAR FIN'!$A$1:$O$108,15,0))</f>
        <v>380.18</v>
      </c>
      <c r="X790" s="6">
        <f>IF(ISERROR(VLOOKUP($U$790,'TAR FIN'!$A$1:$O$108,15,0)),0,VLOOKUP($U$790,'TAR FIN'!$A$1:$O$108,15,0))</f>
        <v>94.86</v>
      </c>
      <c r="Y790" s="6"/>
      <c r="Z790" s="6">
        <f ca="1">('TUSD BE'!$AM$49+'TUSD BF'!$AM$49+'TUSD CVA'!$AM$49)*(1-CUSTOS!$M$38)</f>
        <v>467.36052318380649</v>
      </c>
      <c r="AA790" s="6">
        <f>('TE BE'!$AB$29+'TE BF'!$AB$29+'TE CVA'!$AB$29)*(1-CUSTOS!$M$38)</f>
        <v>211.01083627805076</v>
      </c>
      <c r="AB790" s="6">
        <f>$K$790*$V$790</f>
        <v>0</v>
      </c>
      <c r="AC790" s="6">
        <f>$M$790*$W$790</f>
        <v>107993.17044</v>
      </c>
      <c r="AD790" s="6">
        <f>$O$790*$X$790</f>
        <v>26945.741879999998</v>
      </c>
      <c r="AE790" s="6">
        <f>$K$790*$Y$790</f>
        <v>0</v>
      </c>
      <c r="AF790" s="6">
        <f ca="1">$M$790*$Z$790</f>
        <v>132757.4954945457</v>
      </c>
      <c r="AG790" s="6">
        <f>$O$790*$AA$790</f>
        <v>59939.316131470543</v>
      </c>
    </row>
    <row r="791" spans="1:33" ht="11.25" customHeight="1" x14ac:dyDescent="0.25">
      <c r="A791" s="4" t="s">
        <v>27</v>
      </c>
      <c r="B791" s="4" t="s">
        <v>45</v>
      </c>
      <c r="C791" s="4" t="s">
        <v>23</v>
      </c>
      <c r="D791" s="4" t="s">
        <v>46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-29.545000000000002</v>
      </c>
      <c r="M791" s="6">
        <v>-29.545000000000002</v>
      </c>
      <c r="N791" s="6">
        <v>-29.545000000000002</v>
      </c>
      <c r="O791" s="6">
        <v>-29.545000000000002</v>
      </c>
      <c r="P791" s="6">
        <v>4</v>
      </c>
      <c r="Q791" s="4" t="s">
        <v>26</v>
      </c>
      <c r="R791" s="4">
        <v>0</v>
      </c>
      <c r="S791" s="6">
        <v>0</v>
      </c>
      <c r="T791" s="6">
        <v>51</v>
      </c>
      <c r="U791" s="6">
        <v>93</v>
      </c>
      <c r="V791" s="6">
        <f>IF(ISERROR(VLOOKUP($S$791,'TAR FIN'!$A$1:$O$108,15,0)),0,VLOOKUP($S$791,'TAR FIN'!$A$1:$O$108,15,0))</f>
        <v>0</v>
      </c>
      <c r="W791" s="6">
        <f>IF(ISERROR(VLOOKUP($T$791,'TAR FIN'!$A$1:$O$108,15,0)),0,VLOOKUP($T$791,'TAR FIN'!$A$1:$O$108,15,0))</f>
        <v>380.18</v>
      </c>
      <c r="X791" s="6">
        <f>IF(ISERROR(VLOOKUP($U$791,'TAR FIN'!$A$1:$O$108,15,0)),0,VLOOKUP($U$791,'TAR FIN'!$A$1:$O$108,15,0))</f>
        <v>94.86</v>
      </c>
      <c r="Y791" s="6"/>
      <c r="Z791" s="6">
        <f ca="1">('TUSD BE'!$AM$49+'TUSD BF'!$AM$49+'TUSD CVA'!$AM$49)*(1-CUSTOS!$M$38)</f>
        <v>467.36052318380649</v>
      </c>
      <c r="AA791" s="6">
        <f>('TE BE'!$AB$29+'TE BF'!$AB$29+'TE CVA'!$AB$29)*(1-CUSTOS!$M$38)</f>
        <v>211.01083627805076</v>
      </c>
      <c r="AB791" s="6">
        <f>$K$791*$V$791</f>
        <v>0</v>
      </c>
      <c r="AC791" s="6">
        <f>$M$791*$W$791</f>
        <v>-11232.418100000001</v>
      </c>
      <c r="AD791" s="6">
        <f>$O$791*$X$791</f>
        <v>-2802.6387</v>
      </c>
      <c r="AE791" s="6">
        <f>$K$791*$Y$791</f>
        <v>0</v>
      </c>
      <c r="AF791" s="6">
        <f ca="1">$M$791*$Z$791</f>
        <v>-13808.166657465563</v>
      </c>
      <c r="AG791" s="6">
        <f>$O$791*$AA$791</f>
        <v>-6234.3151578350098</v>
      </c>
    </row>
    <row r="792" spans="1:33" ht="11.25" customHeight="1" x14ac:dyDescent="0.25">
      <c r="A792" s="4" t="s">
        <v>28</v>
      </c>
      <c r="B792" s="4" t="s">
        <v>45</v>
      </c>
      <c r="C792" s="4" t="s">
        <v>23</v>
      </c>
      <c r="D792" s="4" t="s">
        <v>46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44593</v>
      </c>
      <c r="J792" s="6">
        <v>0</v>
      </c>
      <c r="K792" s="6">
        <v>0</v>
      </c>
      <c r="L792" s="6">
        <v>4.9169999999999998</v>
      </c>
      <c r="M792" s="6">
        <v>4.9169999999999998</v>
      </c>
      <c r="N792" s="6">
        <v>4.9169999999999998</v>
      </c>
      <c r="O792" s="6">
        <v>4.9169999999999998</v>
      </c>
      <c r="P792" s="6">
        <v>4</v>
      </c>
      <c r="Q792" s="4" t="s">
        <v>26</v>
      </c>
      <c r="R792" s="4">
        <v>0</v>
      </c>
      <c r="S792" s="6">
        <v>0</v>
      </c>
      <c r="T792" s="6">
        <v>51</v>
      </c>
      <c r="U792" s="6">
        <v>93</v>
      </c>
      <c r="V792" s="6">
        <f>IF(ISERROR(VLOOKUP($S$792,'TAR FIN'!$A$1:$O$108,15,0)),0,VLOOKUP($S$792,'TAR FIN'!$A$1:$O$108,15,0))</f>
        <v>0</v>
      </c>
      <c r="W792" s="6">
        <f>IF(ISERROR(VLOOKUP($T$792,'TAR FIN'!$A$1:$O$108,15,0)),0,VLOOKUP($T$792,'TAR FIN'!$A$1:$O$108,15,0))</f>
        <v>380.18</v>
      </c>
      <c r="X792" s="6">
        <f>IF(ISERROR(VLOOKUP($U$792,'TAR FIN'!$A$1:$O$108,15,0)),0,VLOOKUP($U$792,'TAR FIN'!$A$1:$O$108,15,0))</f>
        <v>94.86</v>
      </c>
      <c r="Y792" s="6"/>
      <c r="Z792" s="6">
        <f ca="1">('TUSD BE'!$AM$49+'TUSD BF'!$AM$49+'TUSD CVA'!$AM$49)*(1-CUSTOS!$M$38)</f>
        <v>467.36052318380649</v>
      </c>
      <c r="AA792" s="6">
        <f>('TE BE'!$AB$29+'TE BF'!$AB$29+'TE CVA'!$AB$29)*(1-CUSTOS!$M$38)</f>
        <v>211.01083627805076</v>
      </c>
      <c r="AB792" s="6">
        <f>$K$792*$V$792</f>
        <v>0</v>
      </c>
      <c r="AC792" s="6">
        <f>$M$792*$W$792</f>
        <v>1869.3450599999999</v>
      </c>
      <c r="AD792" s="6">
        <f>$O$792*$X$792</f>
        <v>466.42661999999996</v>
      </c>
      <c r="AE792" s="6">
        <f>$K$792*$Y$792</f>
        <v>0</v>
      </c>
      <c r="AF792" s="6">
        <f ca="1">$M$792*$Z$792</f>
        <v>2298.0116924947765</v>
      </c>
      <c r="AG792" s="6">
        <f>$O$792*$AA$792</f>
        <v>1037.5402819791755</v>
      </c>
    </row>
    <row r="793" spans="1:33" ht="11.25" customHeight="1" x14ac:dyDescent="0.25">
      <c r="A793" s="4" t="s">
        <v>21</v>
      </c>
      <c r="B793" s="4" t="s">
        <v>45</v>
      </c>
      <c r="C793" s="4" t="s">
        <v>23</v>
      </c>
      <c r="D793" s="4" t="s">
        <v>46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315.51100000000002</v>
      </c>
      <c r="M793" s="6">
        <v>315.51100000000002</v>
      </c>
      <c r="N793" s="6">
        <v>315.51100000000002</v>
      </c>
      <c r="O793" s="6">
        <v>315.51100000000002</v>
      </c>
      <c r="P793" s="6">
        <v>2441</v>
      </c>
      <c r="Q793" s="4" t="s">
        <v>26</v>
      </c>
      <c r="R793" s="4">
        <v>0</v>
      </c>
      <c r="S793" s="6">
        <v>0</v>
      </c>
      <c r="T793" s="6">
        <v>51</v>
      </c>
      <c r="U793" s="6">
        <v>93</v>
      </c>
      <c r="V793" s="6">
        <f>IF(ISERROR(VLOOKUP($S$793,'TAR FIN'!$A$1:$O$108,15,0)),0,VLOOKUP($S$793,'TAR FIN'!$A$1:$O$108,15,0))</f>
        <v>0</v>
      </c>
      <c r="W793" s="6">
        <f>IF(ISERROR(VLOOKUP($T$793,'TAR FIN'!$A$1:$O$108,15,0)),0,VLOOKUP($T$793,'TAR FIN'!$A$1:$O$108,15,0))</f>
        <v>380.18</v>
      </c>
      <c r="X793" s="6">
        <f>IF(ISERROR(VLOOKUP($U$793,'TAR FIN'!$A$1:$O$108,15,0)),0,VLOOKUP($U$793,'TAR FIN'!$A$1:$O$108,15,0))</f>
        <v>94.86</v>
      </c>
      <c r="Y793" s="6"/>
      <c r="Z793" s="6">
        <f ca="1">('TUSD BE'!$AM$49+'TUSD BF'!$AM$49+'TUSD CVA'!$AM$49)*(1-CUSTOS!$M$38)</f>
        <v>467.36052318380649</v>
      </c>
      <c r="AA793" s="6">
        <f>('TE BE'!$AB$29+'TE BF'!$AB$29+'TE CVA'!$AB$29)*(1-CUSTOS!$M$38)</f>
        <v>211.01083627805076</v>
      </c>
      <c r="AB793" s="6">
        <f>$K$793*$V$793</f>
        <v>0</v>
      </c>
      <c r="AC793" s="6">
        <f>$M$793*$W$793</f>
        <v>119950.97198000002</v>
      </c>
      <c r="AD793" s="6">
        <f>$O$793*$X$793</f>
        <v>29929.373460000003</v>
      </c>
      <c r="AE793" s="6">
        <f>$K$793*$Y$793</f>
        <v>0</v>
      </c>
      <c r="AF793" s="6">
        <f ca="1">$M$793*$Z$793</f>
        <v>147457.38603024598</v>
      </c>
      <c r="AG793" s="6">
        <f>$O$793*$AA$793</f>
        <v>66576.239964924083</v>
      </c>
    </row>
    <row r="794" spans="1:33" ht="11.25" customHeight="1" x14ac:dyDescent="0.25">
      <c r="A794" s="4" t="s">
        <v>27</v>
      </c>
      <c r="B794" s="4" t="s">
        <v>45</v>
      </c>
      <c r="C794" s="4" t="s">
        <v>23</v>
      </c>
      <c r="D794" s="4" t="s">
        <v>46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-10.433999999999999</v>
      </c>
      <c r="M794" s="6">
        <v>-10.433999999999999</v>
      </c>
      <c r="N794" s="6">
        <v>-10.433999999999999</v>
      </c>
      <c r="O794" s="6">
        <v>-10.433999999999999</v>
      </c>
      <c r="P794" s="6">
        <v>0</v>
      </c>
      <c r="Q794" s="4" t="s">
        <v>26</v>
      </c>
      <c r="R794" s="4">
        <v>0</v>
      </c>
      <c r="S794" s="6">
        <v>0</v>
      </c>
      <c r="T794" s="6">
        <v>51</v>
      </c>
      <c r="U794" s="6">
        <v>93</v>
      </c>
      <c r="V794" s="6">
        <f>IF(ISERROR(VLOOKUP($S$794,'TAR FIN'!$A$1:$O$108,15,0)),0,VLOOKUP($S$794,'TAR FIN'!$A$1:$O$108,15,0))</f>
        <v>0</v>
      </c>
      <c r="W794" s="6">
        <f>IF(ISERROR(VLOOKUP($T$794,'TAR FIN'!$A$1:$O$108,15,0)),0,VLOOKUP($T$794,'TAR FIN'!$A$1:$O$108,15,0))</f>
        <v>380.18</v>
      </c>
      <c r="X794" s="6">
        <f>IF(ISERROR(VLOOKUP($U$794,'TAR FIN'!$A$1:$O$108,15,0)),0,VLOOKUP($U$794,'TAR FIN'!$A$1:$O$108,15,0))</f>
        <v>94.86</v>
      </c>
      <c r="Y794" s="6"/>
      <c r="Z794" s="6">
        <f ca="1">('TUSD BE'!$AM$49+'TUSD BF'!$AM$49+'TUSD CVA'!$AM$49)*(1-CUSTOS!$M$38)</f>
        <v>467.36052318380649</v>
      </c>
      <c r="AA794" s="6">
        <f>('TE BE'!$AB$29+'TE BF'!$AB$29+'TE CVA'!$AB$29)*(1-CUSTOS!$M$38)</f>
        <v>211.01083627805076</v>
      </c>
      <c r="AB794" s="6">
        <f>$K$794*$V$794</f>
        <v>0</v>
      </c>
      <c r="AC794" s="6">
        <f>$M$794*$W$794</f>
        <v>-3966.7981199999999</v>
      </c>
      <c r="AD794" s="6">
        <f>$O$794*$X$794</f>
        <v>-989.76923999999997</v>
      </c>
      <c r="AE794" s="6">
        <f>$K$794*$Y$794</f>
        <v>0</v>
      </c>
      <c r="AF794" s="6">
        <f ca="1">$M$794*$Z$794</f>
        <v>-4876.4396988998369</v>
      </c>
      <c r="AG794" s="6">
        <f>$O$794*$AA$794</f>
        <v>-2201.6870657251816</v>
      </c>
    </row>
    <row r="795" spans="1:33" ht="11.25" customHeight="1" x14ac:dyDescent="0.25">
      <c r="A795" s="4" t="s">
        <v>28</v>
      </c>
      <c r="B795" s="4" t="s">
        <v>45</v>
      </c>
      <c r="C795" s="4" t="s">
        <v>23</v>
      </c>
      <c r="D795" s="4" t="s">
        <v>46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44621</v>
      </c>
      <c r="J795" s="6">
        <v>0</v>
      </c>
      <c r="K795" s="6">
        <v>0</v>
      </c>
      <c r="L795" s="6">
        <v>2.7290000000000001</v>
      </c>
      <c r="M795" s="6">
        <v>2.7290000000000001</v>
      </c>
      <c r="N795" s="6">
        <v>2.7290000000000001</v>
      </c>
      <c r="O795" s="6">
        <v>2.7290000000000001</v>
      </c>
      <c r="P795" s="6">
        <v>4</v>
      </c>
      <c r="Q795" s="4" t="s">
        <v>26</v>
      </c>
      <c r="R795" s="4">
        <v>0</v>
      </c>
      <c r="S795" s="6">
        <v>0</v>
      </c>
      <c r="T795" s="6">
        <v>51</v>
      </c>
      <c r="U795" s="6">
        <v>93</v>
      </c>
      <c r="V795" s="6">
        <f>IF(ISERROR(VLOOKUP($S$795,'TAR FIN'!$A$1:$O$108,15,0)),0,VLOOKUP($S$795,'TAR FIN'!$A$1:$O$108,15,0))</f>
        <v>0</v>
      </c>
      <c r="W795" s="6">
        <f>IF(ISERROR(VLOOKUP($T$795,'TAR FIN'!$A$1:$O$108,15,0)),0,VLOOKUP($T$795,'TAR FIN'!$A$1:$O$108,15,0))</f>
        <v>380.18</v>
      </c>
      <c r="X795" s="6">
        <f>IF(ISERROR(VLOOKUP($U$795,'TAR FIN'!$A$1:$O$108,15,0)),0,VLOOKUP($U$795,'TAR FIN'!$A$1:$O$108,15,0))</f>
        <v>94.86</v>
      </c>
      <c r="Y795" s="6"/>
      <c r="Z795" s="6">
        <f ca="1">('TUSD BE'!$AM$49+'TUSD BF'!$AM$49+'TUSD CVA'!$AM$49)*(1-CUSTOS!$M$38)</f>
        <v>467.36052318380649</v>
      </c>
      <c r="AA795" s="6">
        <f>('TE BE'!$AB$29+'TE BF'!$AB$29+'TE CVA'!$AB$29)*(1-CUSTOS!$M$38)</f>
        <v>211.01083627805076</v>
      </c>
      <c r="AB795" s="6">
        <f>$K$795*$V$795</f>
        <v>0</v>
      </c>
      <c r="AC795" s="6">
        <f>$M$795*$W$795</f>
        <v>1037.5112200000001</v>
      </c>
      <c r="AD795" s="6">
        <f>$O$795*$X$795</f>
        <v>258.87294000000003</v>
      </c>
      <c r="AE795" s="6">
        <f>$K$795*$Y$795</f>
        <v>0</v>
      </c>
      <c r="AF795" s="6">
        <f ca="1">$M$795*$Z$795</f>
        <v>1275.426867768608</v>
      </c>
      <c r="AG795" s="6">
        <f>$O$795*$AA$795</f>
        <v>575.8485722028006</v>
      </c>
    </row>
    <row r="796" spans="1:33" ht="11.25" customHeight="1" x14ac:dyDescent="0.25">
      <c r="A796" s="4" t="s">
        <v>21</v>
      </c>
      <c r="B796" s="4" t="s">
        <v>45</v>
      </c>
      <c r="C796" s="4" t="s">
        <v>23</v>
      </c>
      <c r="D796" s="4" t="s">
        <v>46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305.85700000000003</v>
      </c>
      <c r="M796" s="6">
        <v>305.85700000000003</v>
      </c>
      <c r="N796" s="6">
        <v>305.85700000000003</v>
      </c>
      <c r="O796" s="6">
        <v>305.85700000000003</v>
      </c>
      <c r="P796" s="6">
        <v>2361</v>
      </c>
      <c r="Q796" s="4" t="s">
        <v>26</v>
      </c>
      <c r="R796" s="4">
        <v>0</v>
      </c>
      <c r="S796" s="6">
        <v>0</v>
      </c>
      <c r="T796" s="6">
        <v>51</v>
      </c>
      <c r="U796" s="6">
        <v>93</v>
      </c>
      <c r="V796" s="6">
        <f>IF(ISERROR(VLOOKUP($S$796,'TAR FIN'!$A$1:$O$108,15,0)),0,VLOOKUP($S$796,'TAR FIN'!$A$1:$O$108,15,0))</f>
        <v>0</v>
      </c>
      <c r="W796" s="6">
        <f>IF(ISERROR(VLOOKUP($T$796,'TAR FIN'!$A$1:$O$108,15,0)),0,VLOOKUP($T$796,'TAR FIN'!$A$1:$O$108,15,0))</f>
        <v>380.18</v>
      </c>
      <c r="X796" s="6">
        <f>IF(ISERROR(VLOOKUP($U$796,'TAR FIN'!$A$1:$O$108,15,0)),0,VLOOKUP($U$796,'TAR FIN'!$A$1:$O$108,15,0))</f>
        <v>94.86</v>
      </c>
      <c r="Y796" s="6"/>
      <c r="Z796" s="6">
        <f ca="1">('TUSD BE'!$AM$49+'TUSD BF'!$AM$49+'TUSD CVA'!$AM$49)*(1-CUSTOS!$M$38)</f>
        <v>467.36052318380649</v>
      </c>
      <c r="AA796" s="6">
        <f>('TE BE'!$AB$29+'TE BF'!$AB$29+'TE CVA'!$AB$29)*(1-CUSTOS!$M$38)</f>
        <v>211.01083627805076</v>
      </c>
      <c r="AB796" s="6">
        <f>$K$796*$V$796</f>
        <v>0</v>
      </c>
      <c r="AC796" s="6">
        <f>$M$796*$W$796</f>
        <v>116280.71426000001</v>
      </c>
      <c r="AD796" s="6">
        <f>$O$796*$X$796</f>
        <v>29013.595020000001</v>
      </c>
      <c r="AE796" s="6">
        <f>$K$796*$Y$796</f>
        <v>0</v>
      </c>
      <c r="AF796" s="6">
        <f ca="1">$M$796*$Z$796</f>
        <v>142945.48753942951</v>
      </c>
      <c r="AG796" s="6">
        <f>$O$796*$AA$796</f>
        <v>64539.141351495775</v>
      </c>
    </row>
    <row r="797" spans="1:33" ht="11.25" customHeight="1" x14ac:dyDescent="0.25">
      <c r="A797" s="4" t="s">
        <v>27</v>
      </c>
      <c r="B797" s="4" t="s">
        <v>45</v>
      </c>
      <c r="C797" s="4" t="s">
        <v>23</v>
      </c>
      <c r="D797" s="4" t="s">
        <v>46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44652</v>
      </c>
      <c r="J797" s="6">
        <v>0</v>
      </c>
      <c r="K797" s="6">
        <v>0</v>
      </c>
      <c r="L797" s="6">
        <v>-20.111999999999998</v>
      </c>
      <c r="M797" s="6">
        <v>-20.111999999999998</v>
      </c>
      <c r="N797" s="6">
        <v>-20.111999999999998</v>
      </c>
      <c r="O797" s="6">
        <v>-20.111999999999998</v>
      </c>
      <c r="P797" s="6">
        <v>-1</v>
      </c>
      <c r="Q797" s="4" t="s">
        <v>26</v>
      </c>
      <c r="R797" s="4">
        <v>0</v>
      </c>
      <c r="S797" s="6">
        <v>0</v>
      </c>
      <c r="T797" s="6">
        <v>51</v>
      </c>
      <c r="U797" s="6">
        <v>93</v>
      </c>
      <c r="V797" s="6">
        <f>IF(ISERROR(VLOOKUP($S$797,'TAR FIN'!$A$1:$O$108,15,0)),0,VLOOKUP($S$797,'TAR FIN'!$A$1:$O$108,15,0))</f>
        <v>0</v>
      </c>
      <c r="W797" s="6">
        <f>IF(ISERROR(VLOOKUP($T$797,'TAR FIN'!$A$1:$O$108,15,0)),0,VLOOKUP($T$797,'TAR FIN'!$A$1:$O$108,15,0))</f>
        <v>380.18</v>
      </c>
      <c r="X797" s="6">
        <f>IF(ISERROR(VLOOKUP($U$797,'TAR FIN'!$A$1:$O$108,15,0)),0,VLOOKUP($U$797,'TAR FIN'!$A$1:$O$108,15,0))</f>
        <v>94.86</v>
      </c>
      <c r="Y797" s="6"/>
      <c r="Z797" s="6">
        <f ca="1">('TUSD BE'!$AM$49+'TUSD BF'!$AM$49+'TUSD CVA'!$AM$49)*(1-CUSTOS!$M$38)</f>
        <v>467.36052318380649</v>
      </c>
      <c r="AA797" s="6">
        <f>('TE BE'!$AB$29+'TE BF'!$AB$29+'TE CVA'!$AB$29)*(1-CUSTOS!$M$38)</f>
        <v>211.01083627805076</v>
      </c>
      <c r="AB797" s="6">
        <f>$K$797*$V$797</f>
        <v>0</v>
      </c>
      <c r="AC797" s="6">
        <f>$M$797*$W$797</f>
        <v>-7646.1801599999999</v>
      </c>
      <c r="AD797" s="6">
        <f>$O$797*$X$797</f>
        <v>-1907.8243199999997</v>
      </c>
      <c r="AE797" s="6">
        <f>$K$797*$Y$797</f>
        <v>0</v>
      </c>
      <c r="AF797" s="6">
        <f ca="1">$M$797*$Z$797</f>
        <v>-9399.5548422727152</v>
      </c>
      <c r="AG797" s="6">
        <f>$O$797*$AA$797</f>
        <v>-4243.8499392241565</v>
      </c>
    </row>
    <row r="798" spans="1:33" ht="11.25" customHeight="1" x14ac:dyDescent="0.25">
      <c r="A798" s="4" t="s">
        <v>28</v>
      </c>
      <c r="B798" s="4" t="s">
        <v>45</v>
      </c>
      <c r="C798" s="4" t="s">
        <v>23</v>
      </c>
      <c r="D798" s="4" t="s">
        <v>46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44652</v>
      </c>
      <c r="J798" s="6">
        <v>0</v>
      </c>
      <c r="K798" s="6">
        <v>0</v>
      </c>
      <c r="L798" s="6">
        <v>2.37</v>
      </c>
      <c r="M798" s="6">
        <v>2.37</v>
      </c>
      <c r="N798" s="6">
        <v>2.37</v>
      </c>
      <c r="O798" s="6">
        <v>2.37</v>
      </c>
      <c r="P798" s="6">
        <v>4</v>
      </c>
      <c r="Q798" s="4" t="s">
        <v>26</v>
      </c>
      <c r="R798" s="4">
        <v>0</v>
      </c>
      <c r="S798" s="6">
        <v>0</v>
      </c>
      <c r="T798" s="6">
        <v>51</v>
      </c>
      <c r="U798" s="6">
        <v>93</v>
      </c>
      <c r="V798" s="6">
        <f>IF(ISERROR(VLOOKUP($S$798,'TAR FIN'!$A$1:$O$108,15,0)),0,VLOOKUP($S$798,'TAR FIN'!$A$1:$O$108,15,0))</f>
        <v>0</v>
      </c>
      <c r="W798" s="6">
        <f>IF(ISERROR(VLOOKUP($T$798,'TAR FIN'!$A$1:$O$108,15,0)),0,VLOOKUP($T$798,'TAR FIN'!$A$1:$O$108,15,0))</f>
        <v>380.18</v>
      </c>
      <c r="X798" s="6">
        <f>IF(ISERROR(VLOOKUP($U$798,'TAR FIN'!$A$1:$O$108,15,0)),0,VLOOKUP($U$798,'TAR FIN'!$A$1:$O$108,15,0))</f>
        <v>94.86</v>
      </c>
      <c r="Y798" s="6"/>
      <c r="Z798" s="6">
        <f ca="1">('TUSD BE'!$AM$49+'TUSD BF'!$AM$49+'TUSD CVA'!$AM$49)*(1-CUSTOS!$M$38)</f>
        <v>467.36052318380649</v>
      </c>
      <c r="AA798" s="6">
        <f>('TE BE'!$AB$29+'TE BF'!$AB$29+'TE CVA'!$AB$29)*(1-CUSTOS!$M$38)</f>
        <v>211.01083627805076</v>
      </c>
      <c r="AB798" s="6">
        <f>$K$798*$V$798</f>
        <v>0</v>
      </c>
      <c r="AC798" s="6">
        <f>$M$798*$W$798</f>
        <v>901.02660000000003</v>
      </c>
      <c r="AD798" s="6">
        <f>$O$798*$X$798</f>
        <v>224.81820000000002</v>
      </c>
      <c r="AE798" s="6">
        <f>$K$798*$Y$798</f>
        <v>0</v>
      </c>
      <c r="AF798" s="6">
        <f ca="1">$M$798*$Z$798</f>
        <v>1107.6444399456213</v>
      </c>
      <c r="AG798" s="6">
        <f>$O$798*$AA$798</f>
        <v>500.09568197898034</v>
      </c>
    </row>
    <row r="799" spans="1:33" ht="11.25" customHeight="1" x14ac:dyDescent="0.25">
      <c r="A799" s="4" t="s">
        <v>21</v>
      </c>
      <c r="B799" s="4" t="s">
        <v>45</v>
      </c>
      <c r="C799" s="4" t="s">
        <v>23</v>
      </c>
      <c r="D799" s="4" t="s">
        <v>46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44682</v>
      </c>
      <c r="J799" s="6">
        <v>0</v>
      </c>
      <c r="K799" s="6">
        <v>0</v>
      </c>
      <c r="L799" s="6">
        <v>329.78399999999999</v>
      </c>
      <c r="M799" s="6">
        <v>329.78399999999999</v>
      </c>
      <c r="N799" s="6">
        <v>329.78399999999999</v>
      </c>
      <c r="O799" s="6">
        <v>329.78399999999999</v>
      </c>
      <c r="P799" s="6">
        <v>2390</v>
      </c>
      <c r="Q799" s="4" t="s">
        <v>26</v>
      </c>
      <c r="R799" s="4">
        <v>0</v>
      </c>
      <c r="S799" s="6">
        <v>0</v>
      </c>
      <c r="T799" s="6">
        <v>51</v>
      </c>
      <c r="U799" s="6">
        <v>93</v>
      </c>
      <c r="V799" s="6">
        <f>IF(ISERROR(VLOOKUP($S$799,'TAR FIN'!$A$1:$O$108,15,0)),0,VLOOKUP($S$799,'TAR FIN'!$A$1:$O$108,15,0))</f>
        <v>0</v>
      </c>
      <c r="W799" s="6">
        <f>IF(ISERROR(VLOOKUP($T$799,'TAR FIN'!$A$1:$O$108,15,0)),0,VLOOKUP($T$799,'TAR FIN'!$A$1:$O$108,15,0))</f>
        <v>380.18</v>
      </c>
      <c r="X799" s="6">
        <f>IF(ISERROR(VLOOKUP($U$799,'TAR FIN'!$A$1:$O$108,15,0)),0,VLOOKUP($U$799,'TAR FIN'!$A$1:$O$108,15,0))</f>
        <v>94.86</v>
      </c>
      <c r="Y799" s="6"/>
      <c r="Z799" s="6">
        <f ca="1">('TUSD BE'!$AM$49+'TUSD BF'!$AM$49+'TUSD CVA'!$AM$49)*(1-CUSTOS!$M$38)</f>
        <v>467.36052318380649</v>
      </c>
      <c r="AA799" s="6">
        <f>('TE BE'!$AB$29+'TE BF'!$AB$29+'TE CVA'!$AB$29)*(1-CUSTOS!$M$38)</f>
        <v>211.01083627805076</v>
      </c>
      <c r="AB799" s="6">
        <f>$K$799*$V$799</f>
        <v>0</v>
      </c>
      <c r="AC799" s="6">
        <f>$M$799*$W$799</f>
        <v>125377.28112</v>
      </c>
      <c r="AD799" s="6">
        <f>$O$799*$X$799</f>
        <v>31283.310239999999</v>
      </c>
      <c r="AE799" s="6">
        <f>$K$799*$Y$799</f>
        <v>0</v>
      </c>
      <c r="AF799" s="6">
        <f ca="1">$M$799*$Z$799</f>
        <v>154128.02277764844</v>
      </c>
      <c r="AG799" s="6">
        <f>$O$799*$AA$799</f>
        <v>69587.997631120685</v>
      </c>
    </row>
    <row r="800" spans="1:33" ht="11.25" customHeight="1" x14ac:dyDescent="0.25">
      <c r="A800" s="4" t="s">
        <v>27</v>
      </c>
      <c r="B800" s="4" t="s">
        <v>45</v>
      </c>
      <c r="C800" s="4" t="s">
        <v>23</v>
      </c>
      <c r="D800" s="4" t="s">
        <v>46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44682</v>
      </c>
      <c r="J800" s="6">
        <v>0</v>
      </c>
      <c r="K800" s="6">
        <v>0</v>
      </c>
      <c r="L800" s="6">
        <v>-3.359</v>
      </c>
      <c r="M800" s="6">
        <v>-3.359</v>
      </c>
      <c r="N800" s="6">
        <v>-3.359</v>
      </c>
      <c r="O800" s="6">
        <v>-3.359</v>
      </c>
      <c r="P800" s="6">
        <v>-1</v>
      </c>
      <c r="Q800" s="4" t="s">
        <v>26</v>
      </c>
      <c r="R800" s="4">
        <v>0</v>
      </c>
      <c r="S800" s="6">
        <v>0</v>
      </c>
      <c r="T800" s="6">
        <v>51</v>
      </c>
      <c r="U800" s="6">
        <v>93</v>
      </c>
      <c r="V800" s="6">
        <f>IF(ISERROR(VLOOKUP($S$800,'TAR FIN'!$A$1:$O$108,15,0)),0,VLOOKUP($S$800,'TAR FIN'!$A$1:$O$108,15,0))</f>
        <v>0</v>
      </c>
      <c r="W800" s="6">
        <f>IF(ISERROR(VLOOKUP($T$800,'TAR FIN'!$A$1:$O$108,15,0)),0,VLOOKUP($T$800,'TAR FIN'!$A$1:$O$108,15,0))</f>
        <v>380.18</v>
      </c>
      <c r="X800" s="6">
        <f>IF(ISERROR(VLOOKUP($U$800,'TAR FIN'!$A$1:$O$108,15,0)),0,VLOOKUP($U$800,'TAR FIN'!$A$1:$O$108,15,0))</f>
        <v>94.86</v>
      </c>
      <c r="Y800" s="6"/>
      <c r="Z800" s="6">
        <f ca="1">('TUSD BE'!$AM$49+'TUSD BF'!$AM$49+'TUSD CVA'!$AM$49)*(1-CUSTOS!$M$38)</f>
        <v>467.36052318380649</v>
      </c>
      <c r="AA800" s="6">
        <f>('TE BE'!$AB$29+'TE BF'!$AB$29+'TE CVA'!$AB$29)*(1-CUSTOS!$M$38)</f>
        <v>211.01083627805076</v>
      </c>
      <c r="AB800" s="6">
        <f>$K$800*$V$800</f>
        <v>0</v>
      </c>
      <c r="AC800" s="6">
        <f>$M$800*$W$800</f>
        <v>-1277.0246199999999</v>
      </c>
      <c r="AD800" s="6">
        <f>$O$800*$X$800</f>
        <v>-318.63474000000002</v>
      </c>
      <c r="AE800" s="6">
        <f>$K$800*$Y$800</f>
        <v>0</v>
      </c>
      <c r="AF800" s="6">
        <f ca="1">$M$800*$Z$800</f>
        <v>-1569.8639973744059</v>
      </c>
      <c r="AG800" s="6">
        <f>$O$800*$AA$800</f>
        <v>-708.78539905797254</v>
      </c>
    </row>
    <row r="801" spans="1:33" ht="11.25" customHeight="1" x14ac:dyDescent="0.25">
      <c r="A801" s="4" t="s">
        <v>28</v>
      </c>
      <c r="B801" s="4" t="s">
        <v>45</v>
      </c>
      <c r="C801" s="4" t="s">
        <v>23</v>
      </c>
      <c r="D801" s="4" t="s">
        <v>46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44682</v>
      </c>
      <c r="J801" s="6">
        <v>0</v>
      </c>
      <c r="K801" s="6">
        <v>0</v>
      </c>
      <c r="L801" s="6">
        <v>1.5449999999999999</v>
      </c>
      <c r="M801" s="6">
        <v>1.5449999999999999</v>
      </c>
      <c r="N801" s="6">
        <v>1.5449999999999999</v>
      </c>
      <c r="O801" s="6">
        <v>1.5449999999999999</v>
      </c>
      <c r="P801" s="6">
        <v>5</v>
      </c>
      <c r="Q801" s="4" t="s">
        <v>26</v>
      </c>
      <c r="R801" s="4">
        <v>0</v>
      </c>
      <c r="S801" s="6">
        <v>0</v>
      </c>
      <c r="T801" s="6">
        <v>51</v>
      </c>
      <c r="U801" s="6">
        <v>93</v>
      </c>
      <c r="V801" s="6">
        <f>IF(ISERROR(VLOOKUP($S$801,'TAR FIN'!$A$1:$O$108,15,0)),0,VLOOKUP($S$801,'TAR FIN'!$A$1:$O$108,15,0))</f>
        <v>0</v>
      </c>
      <c r="W801" s="6">
        <f>IF(ISERROR(VLOOKUP($T$801,'TAR FIN'!$A$1:$O$108,15,0)),0,VLOOKUP($T$801,'TAR FIN'!$A$1:$O$108,15,0))</f>
        <v>380.18</v>
      </c>
      <c r="X801" s="6">
        <f>IF(ISERROR(VLOOKUP($U$801,'TAR FIN'!$A$1:$O$108,15,0)),0,VLOOKUP($U$801,'TAR FIN'!$A$1:$O$108,15,0))</f>
        <v>94.86</v>
      </c>
      <c r="Y801" s="6"/>
      <c r="Z801" s="6">
        <f ca="1">('TUSD BE'!$AM$49+'TUSD BF'!$AM$49+'TUSD CVA'!$AM$49)*(1-CUSTOS!$M$38)</f>
        <v>467.36052318380649</v>
      </c>
      <c r="AA801" s="6">
        <f>('TE BE'!$AB$29+'TE BF'!$AB$29+'TE CVA'!$AB$29)*(1-CUSTOS!$M$38)</f>
        <v>211.01083627805076</v>
      </c>
      <c r="AB801" s="6">
        <f>$K$801*$V$801</f>
        <v>0</v>
      </c>
      <c r="AC801" s="6">
        <f>$M$801*$W$801</f>
        <v>587.37810000000002</v>
      </c>
      <c r="AD801" s="6">
        <f>$O$801*$X$801</f>
        <v>146.55869999999999</v>
      </c>
      <c r="AE801" s="6">
        <f>$K$801*$Y$801</f>
        <v>0</v>
      </c>
      <c r="AF801" s="6">
        <f ca="1">$M$801*$Z$801</f>
        <v>722.07200831898103</v>
      </c>
      <c r="AG801" s="6">
        <f>$O$801*$AA$801</f>
        <v>326.01174204958841</v>
      </c>
    </row>
    <row r="802" spans="1:33" ht="11.25" customHeight="1" x14ac:dyDescent="0.25">
      <c r="A802" s="4" t="s">
        <v>21</v>
      </c>
      <c r="B802" s="4" t="s">
        <v>45</v>
      </c>
      <c r="C802" s="4" t="s">
        <v>23</v>
      </c>
      <c r="D802" s="4" t="s">
        <v>46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44713</v>
      </c>
      <c r="J802" s="6">
        <v>0</v>
      </c>
      <c r="K802" s="6">
        <v>0</v>
      </c>
      <c r="L802" s="6">
        <v>378.04899999999998</v>
      </c>
      <c r="M802" s="6">
        <v>378.04899999999998</v>
      </c>
      <c r="N802" s="6">
        <v>378.04899999999998</v>
      </c>
      <c r="O802" s="6">
        <v>378.04899999999998</v>
      </c>
      <c r="P802" s="6">
        <v>2428</v>
      </c>
      <c r="Q802" s="4" t="s">
        <v>26</v>
      </c>
      <c r="R802" s="4">
        <v>0</v>
      </c>
      <c r="S802" s="6">
        <v>0</v>
      </c>
      <c r="T802" s="6">
        <v>51</v>
      </c>
      <c r="U802" s="6">
        <v>93</v>
      </c>
      <c r="V802" s="6">
        <f>IF(ISERROR(VLOOKUP($S$802,'TAR FIN'!$A$1:$O$108,15,0)),0,VLOOKUP($S$802,'TAR FIN'!$A$1:$O$108,15,0))</f>
        <v>0</v>
      </c>
      <c r="W802" s="6">
        <f>IF(ISERROR(VLOOKUP($T$802,'TAR FIN'!$A$1:$O$108,15,0)),0,VLOOKUP($T$802,'TAR FIN'!$A$1:$O$108,15,0))</f>
        <v>380.18</v>
      </c>
      <c r="X802" s="6">
        <f>IF(ISERROR(VLOOKUP($U$802,'TAR FIN'!$A$1:$O$108,15,0)),0,VLOOKUP($U$802,'TAR FIN'!$A$1:$O$108,15,0))</f>
        <v>94.86</v>
      </c>
      <c r="Y802" s="6"/>
      <c r="Z802" s="6">
        <f ca="1">('TUSD BE'!$AM$49+'TUSD BF'!$AM$49+'TUSD CVA'!$AM$49)*(1-CUSTOS!$M$38)</f>
        <v>467.36052318380649</v>
      </c>
      <c r="AA802" s="6">
        <f>('TE BE'!$AB$29+'TE BF'!$AB$29+'TE CVA'!$AB$29)*(1-CUSTOS!$M$38)</f>
        <v>211.01083627805076</v>
      </c>
      <c r="AB802" s="6">
        <f>$K$802*$V$802</f>
        <v>0</v>
      </c>
      <c r="AC802" s="6">
        <f>$M$802*$W$802</f>
        <v>143726.66881999999</v>
      </c>
      <c r="AD802" s="6">
        <f>$O$802*$X$802</f>
        <v>35861.728139999999</v>
      </c>
      <c r="AE802" s="6">
        <f>$K$802*$Y$802</f>
        <v>0</v>
      </c>
      <c r="AF802" s="6">
        <f ca="1">$M$802*$Z$802</f>
        <v>176685.17842911484</v>
      </c>
      <c r="AG802" s="6">
        <f>$O$802*$AA$802</f>
        <v>79772.435644080804</v>
      </c>
    </row>
    <row r="803" spans="1:33" ht="11.25" customHeight="1" x14ac:dyDescent="0.25">
      <c r="A803" s="4" t="s">
        <v>27</v>
      </c>
      <c r="B803" s="4" t="s">
        <v>45</v>
      </c>
      <c r="C803" s="4" t="s">
        <v>23</v>
      </c>
      <c r="D803" s="4" t="s">
        <v>46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44713</v>
      </c>
      <c r="J803" s="6">
        <v>0</v>
      </c>
      <c r="K803" s="6">
        <v>0</v>
      </c>
      <c r="L803" s="6">
        <v>-1.4390000000000001</v>
      </c>
      <c r="M803" s="6">
        <v>-1.4390000000000001</v>
      </c>
      <c r="N803" s="6">
        <v>-1.4390000000000001</v>
      </c>
      <c r="O803" s="6">
        <v>-1.4390000000000001</v>
      </c>
      <c r="P803" s="6">
        <v>-70</v>
      </c>
      <c r="Q803" s="4" t="s">
        <v>26</v>
      </c>
      <c r="R803" s="4">
        <v>0</v>
      </c>
      <c r="S803" s="6">
        <v>0</v>
      </c>
      <c r="T803" s="6">
        <v>51</v>
      </c>
      <c r="U803" s="6">
        <v>93</v>
      </c>
      <c r="V803" s="6">
        <f>IF(ISERROR(VLOOKUP($S$803,'TAR FIN'!$A$1:$O$108,15,0)),0,VLOOKUP($S$803,'TAR FIN'!$A$1:$O$108,15,0))</f>
        <v>0</v>
      </c>
      <c r="W803" s="6">
        <f>IF(ISERROR(VLOOKUP($T$803,'TAR FIN'!$A$1:$O$108,15,0)),0,VLOOKUP($T$803,'TAR FIN'!$A$1:$O$108,15,0))</f>
        <v>380.18</v>
      </c>
      <c r="X803" s="6">
        <f>IF(ISERROR(VLOOKUP($U$803,'TAR FIN'!$A$1:$O$108,15,0)),0,VLOOKUP($U$803,'TAR FIN'!$A$1:$O$108,15,0))</f>
        <v>94.86</v>
      </c>
      <c r="Y803" s="6"/>
      <c r="Z803" s="6">
        <f ca="1">('TUSD BE'!$AM$49+'TUSD BF'!$AM$49+'TUSD CVA'!$AM$49)*(1-CUSTOS!$M$38)</f>
        <v>467.36052318380649</v>
      </c>
      <c r="AA803" s="6">
        <f>('TE BE'!$AB$29+'TE BF'!$AB$29+'TE CVA'!$AB$29)*(1-CUSTOS!$M$38)</f>
        <v>211.01083627805076</v>
      </c>
      <c r="AB803" s="6">
        <f>$K$803*$V$803</f>
        <v>0</v>
      </c>
      <c r="AC803" s="6">
        <f>$M$803*$W$803</f>
        <v>-547.07902000000001</v>
      </c>
      <c r="AD803" s="6">
        <f>$O$803*$X$803</f>
        <v>-136.50354000000002</v>
      </c>
      <c r="AE803" s="6">
        <f>$K$803*$Y$803</f>
        <v>0</v>
      </c>
      <c r="AF803" s="6">
        <f ca="1">$M$803*$Z$803</f>
        <v>-672.53179286149759</v>
      </c>
      <c r="AG803" s="6">
        <f>$O$803*$AA$803</f>
        <v>-303.64459340411503</v>
      </c>
    </row>
    <row r="804" spans="1:33" ht="11.25" customHeight="1" x14ac:dyDescent="0.25">
      <c r="A804" s="4" t="s">
        <v>28</v>
      </c>
      <c r="B804" s="4" t="s">
        <v>45</v>
      </c>
      <c r="C804" s="4" t="s">
        <v>23</v>
      </c>
      <c r="D804" s="4" t="s">
        <v>46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44713</v>
      </c>
      <c r="J804" s="6">
        <v>0</v>
      </c>
      <c r="K804" s="6">
        <v>0</v>
      </c>
      <c r="L804" s="6">
        <v>1.83</v>
      </c>
      <c r="M804" s="6">
        <v>1.83</v>
      </c>
      <c r="N804" s="6">
        <v>1.83</v>
      </c>
      <c r="O804" s="6">
        <v>1.83</v>
      </c>
      <c r="P804" s="6">
        <v>5</v>
      </c>
      <c r="Q804" s="4" t="s">
        <v>26</v>
      </c>
      <c r="R804" s="4">
        <v>0</v>
      </c>
      <c r="S804" s="6">
        <v>0</v>
      </c>
      <c r="T804" s="6">
        <v>51</v>
      </c>
      <c r="U804" s="6">
        <v>93</v>
      </c>
      <c r="V804" s="6">
        <f>IF(ISERROR(VLOOKUP($S$804,'TAR FIN'!$A$1:$O$108,15,0)),0,VLOOKUP($S$804,'TAR FIN'!$A$1:$O$108,15,0))</f>
        <v>0</v>
      </c>
      <c r="W804" s="6">
        <f>IF(ISERROR(VLOOKUP($T$804,'TAR FIN'!$A$1:$O$108,15,0)),0,VLOOKUP($T$804,'TAR FIN'!$A$1:$O$108,15,0))</f>
        <v>380.18</v>
      </c>
      <c r="X804" s="6">
        <f>IF(ISERROR(VLOOKUP($U$804,'TAR FIN'!$A$1:$O$108,15,0)),0,VLOOKUP($U$804,'TAR FIN'!$A$1:$O$108,15,0))</f>
        <v>94.86</v>
      </c>
      <c r="Y804" s="6"/>
      <c r="Z804" s="6">
        <f ca="1">('TUSD BE'!$AM$49+'TUSD BF'!$AM$49+'TUSD CVA'!$AM$49)*(1-CUSTOS!$M$38)</f>
        <v>467.36052318380649</v>
      </c>
      <c r="AA804" s="6">
        <f>('TE BE'!$AB$29+'TE BF'!$AB$29+'TE CVA'!$AB$29)*(1-CUSTOS!$M$38)</f>
        <v>211.01083627805076</v>
      </c>
      <c r="AB804" s="6">
        <f>$K$804*$V$804</f>
        <v>0</v>
      </c>
      <c r="AC804" s="6">
        <f>$M$804*$W$804</f>
        <v>695.72940000000006</v>
      </c>
      <c r="AD804" s="6">
        <f>$O$804*$X$804</f>
        <v>173.59380000000002</v>
      </c>
      <c r="AE804" s="6">
        <f>$K$804*$Y$804</f>
        <v>0</v>
      </c>
      <c r="AF804" s="6">
        <f ca="1">$M$804*$Z$804</f>
        <v>855.26975742636591</v>
      </c>
      <c r="AG804" s="6">
        <f>$O$804*$AA$804</f>
        <v>386.14983038883292</v>
      </c>
    </row>
    <row r="805" spans="1:33" ht="11.25" customHeight="1" x14ac:dyDescent="0.25">
      <c r="A805" s="4" t="s">
        <v>21</v>
      </c>
      <c r="B805" s="4" t="s">
        <v>45</v>
      </c>
      <c r="C805" s="4" t="s">
        <v>23</v>
      </c>
      <c r="D805" s="4" t="s">
        <v>46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44743</v>
      </c>
      <c r="J805" s="6">
        <v>0</v>
      </c>
      <c r="K805" s="6">
        <v>0</v>
      </c>
      <c r="L805" s="6">
        <v>368.03899999999999</v>
      </c>
      <c r="M805" s="6">
        <v>368.03899999999999</v>
      </c>
      <c r="N805" s="6">
        <v>368.03899999999999</v>
      </c>
      <c r="O805" s="6">
        <v>368.03899999999999</v>
      </c>
      <c r="P805" s="6">
        <v>2429</v>
      </c>
      <c r="Q805" s="4" t="s">
        <v>26</v>
      </c>
      <c r="R805" s="4">
        <v>0</v>
      </c>
      <c r="S805" s="6">
        <v>0</v>
      </c>
      <c r="T805" s="6">
        <v>51</v>
      </c>
      <c r="U805" s="6">
        <v>93</v>
      </c>
      <c r="V805" s="6">
        <f>IF(ISERROR(VLOOKUP($S$805,'TAR FIN'!$A$1:$O$108,15,0)),0,VLOOKUP($S$805,'TAR FIN'!$A$1:$O$108,15,0))</f>
        <v>0</v>
      </c>
      <c r="W805" s="6">
        <f>IF(ISERROR(VLOOKUP($T$805,'TAR FIN'!$A$1:$O$108,15,0)),0,VLOOKUP($T$805,'TAR FIN'!$A$1:$O$108,15,0))</f>
        <v>380.18</v>
      </c>
      <c r="X805" s="6">
        <f>IF(ISERROR(VLOOKUP($U$805,'TAR FIN'!$A$1:$O$108,15,0)),0,VLOOKUP($U$805,'TAR FIN'!$A$1:$O$108,15,0))</f>
        <v>94.86</v>
      </c>
      <c r="Y805" s="6"/>
      <c r="Z805" s="6">
        <f ca="1">('TUSD BE'!$AM$49+'TUSD BF'!$AM$49+'TUSD CVA'!$AM$49)*(1-CUSTOS!$M$38)</f>
        <v>467.36052318380649</v>
      </c>
      <c r="AA805" s="6">
        <f>('TE BE'!$AB$29+'TE BF'!$AB$29+'TE CVA'!$AB$29)*(1-CUSTOS!$M$38)</f>
        <v>211.01083627805076</v>
      </c>
      <c r="AB805" s="6">
        <f>$K$805*$V$805</f>
        <v>0</v>
      </c>
      <c r="AC805" s="6">
        <f>$M$805*$W$805</f>
        <v>139921.06701999999</v>
      </c>
      <c r="AD805" s="6">
        <f>$O$805*$X$805</f>
        <v>34912.179539999997</v>
      </c>
      <c r="AE805" s="6">
        <f>$K$805*$Y$805</f>
        <v>0</v>
      </c>
      <c r="AF805" s="6">
        <f ca="1">$M$805*$Z$805</f>
        <v>172006.89959204494</v>
      </c>
      <c r="AG805" s="6">
        <f>$O$805*$AA$805</f>
        <v>77660.217172937526</v>
      </c>
    </row>
    <row r="806" spans="1:33" ht="11.25" customHeight="1" x14ac:dyDescent="0.25">
      <c r="A806" s="4" t="s">
        <v>27</v>
      </c>
      <c r="B806" s="4" t="s">
        <v>45</v>
      </c>
      <c r="C806" s="4" t="s">
        <v>23</v>
      </c>
      <c r="D806" s="4" t="s">
        <v>46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44743</v>
      </c>
      <c r="J806" s="6">
        <v>0</v>
      </c>
      <c r="K806" s="6">
        <v>0</v>
      </c>
      <c r="L806" s="6">
        <v>-2.6469999999999998</v>
      </c>
      <c r="M806" s="6">
        <v>-2.6469999999999998</v>
      </c>
      <c r="N806" s="6">
        <v>-2.6469999999999998</v>
      </c>
      <c r="O806" s="6">
        <v>-2.6469999999999998</v>
      </c>
      <c r="P806" s="6">
        <v>3</v>
      </c>
      <c r="Q806" s="4" t="s">
        <v>26</v>
      </c>
      <c r="R806" s="4">
        <v>0</v>
      </c>
      <c r="S806" s="6">
        <v>0</v>
      </c>
      <c r="T806" s="6">
        <v>51</v>
      </c>
      <c r="U806" s="6">
        <v>93</v>
      </c>
      <c r="V806" s="6">
        <f>IF(ISERROR(VLOOKUP($S$806,'TAR FIN'!$A$1:$O$108,15,0)),0,VLOOKUP($S$806,'TAR FIN'!$A$1:$O$108,15,0))</f>
        <v>0</v>
      </c>
      <c r="W806" s="6">
        <f>IF(ISERROR(VLOOKUP($T$806,'TAR FIN'!$A$1:$O$108,15,0)),0,VLOOKUP($T$806,'TAR FIN'!$A$1:$O$108,15,0))</f>
        <v>380.18</v>
      </c>
      <c r="X806" s="6">
        <f>IF(ISERROR(VLOOKUP($U$806,'TAR FIN'!$A$1:$O$108,15,0)),0,VLOOKUP($U$806,'TAR FIN'!$A$1:$O$108,15,0))</f>
        <v>94.86</v>
      </c>
      <c r="Y806" s="6"/>
      <c r="Z806" s="6">
        <f ca="1">('TUSD BE'!$AM$49+'TUSD BF'!$AM$49+'TUSD CVA'!$AM$49)*(1-CUSTOS!$M$38)</f>
        <v>467.36052318380649</v>
      </c>
      <c r="AA806" s="6">
        <f>('TE BE'!$AB$29+'TE BF'!$AB$29+'TE CVA'!$AB$29)*(1-CUSTOS!$M$38)</f>
        <v>211.01083627805076</v>
      </c>
      <c r="AB806" s="6">
        <f>$K$806*$V$806</f>
        <v>0</v>
      </c>
      <c r="AC806" s="6">
        <f>$M$806*$W$806</f>
        <v>-1006.33646</v>
      </c>
      <c r="AD806" s="6">
        <f>$O$806*$X$806</f>
        <v>-251.09441999999999</v>
      </c>
      <c r="AE806" s="6">
        <f>$K$806*$Y$806</f>
        <v>0</v>
      </c>
      <c r="AF806" s="6">
        <f ca="1">$M$806*$Z$806</f>
        <v>-1237.1033048675356</v>
      </c>
      <c r="AG806" s="6">
        <f>$O$806*$AA$806</f>
        <v>-558.54568362800035</v>
      </c>
    </row>
    <row r="807" spans="1:33" ht="11.25" customHeight="1" x14ac:dyDescent="0.25">
      <c r="A807" s="4" t="s">
        <v>28</v>
      </c>
      <c r="B807" s="4" t="s">
        <v>45</v>
      </c>
      <c r="C807" s="4" t="s">
        <v>23</v>
      </c>
      <c r="D807" s="4" t="s">
        <v>46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44743</v>
      </c>
      <c r="J807" s="6">
        <v>0</v>
      </c>
      <c r="K807" s="6">
        <v>0</v>
      </c>
      <c r="L807" s="6">
        <v>1.6519999999999999</v>
      </c>
      <c r="M807" s="6">
        <v>1.6519999999999999</v>
      </c>
      <c r="N807" s="6">
        <v>1.6519999999999999</v>
      </c>
      <c r="O807" s="6">
        <v>1.6519999999999999</v>
      </c>
      <c r="P807" s="6">
        <v>5</v>
      </c>
      <c r="Q807" s="4" t="s">
        <v>26</v>
      </c>
      <c r="R807" s="4">
        <v>0</v>
      </c>
      <c r="S807" s="6">
        <v>0</v>
      </c>
      <c r="T807" s="6">
        <v>51</v>
      </c>
      <c r="U807" s="6">
        <v>93</v>
      </c>
      <c r="V807" s="6">
        <f>IF(ISERROR(VLOOKUP($S$807,'TAR FIN'!$A$1:$O$108,15,0)),0,VLOOKUP($S$807,'TAR FIN'!$A$1:$O$108,15,0))</f>
        <v>0</v>
      </c>
      <c r="W807" s="6">
        <f>IF(ISERROR(VLOOKUP($T$807,'TAR FIN'!$A$1:$O$108,15,0)),0,VLOOKUP($T$807,'TAR FIN'!$A$1:$O$108,15,0))</f>
        <v>380.18</v>
      </c>
      <c r="X807" s="6">
        <f>IF(ISERROR(VLOOKUP($U$807,'TAR FIN'!$A$1:$O$108,15,0)),0,VLOOKUP($U$807,'TAR FIN'!$A$1:$O$108,15,0))</f>
        <v>94.86</v>
      </c>
      <c r="Y807" s="6"/>
      <c r="Z807" s="6">
        <f ca="1">('TUSD BE'!$AM$49+'TUSD BF'!$AM$49+'TUSD CVA'!$AM$49)*(1-CUSTOS!$M$38)</f>
        <v>467.36052318380649</v>
      </c>
      <c r="AA807" s="6">
        <f>('TE BE'!$AB$29+'TE BF'!$AB$29+'TE CVA'!$AB$29)*(1-CUSTOS!$M$38)</f>
        <v>211.01083627805076</v>
      </c>
      <c r="AB807" s="6">
        <f>$K$807*$V$807</f>
        <v>0</v>
      </c>
      <c r="AC807" s="6">
        <f>$M$807*$W$807</f>
        <v>628.05736000000002</v>
      </c>
      <c r="AD807" s="6">
        <f>$O$807*$X$807</f>
        <v>156.70872</v>
      </c>
      <c r="AE807" s="6">
        <f>$K$807*$Y$807</f>
        <v>0</v>
      </c>
      <c r="AF807" s="6">
        <f ca="1">$M$807*$Z$807</f>
        <v>772.07958429964833</v>
      </c>
      <c r="AG807" s="6">
        <f>$O$807*$AA$807</f>
        <v>348.58990153133982</v>
      </c>
    </row>
    <row r="808" spans="1:33" ht="11.25" customHeight="1" x14ac:dyDescent="0.25">
      <c r="A808" s="4" t="s">
        <v>21</v>
      </c>
      <c r="B808" s="4" t="s">
        <v>45</v>
      </c>
      <c r="C808" s="4" t="s">
        <v>23</v>
      </c>
      <c r="D808" s="4" t="s">
        <v>46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44774</v>
      </c>
      <c r="J808" s="6">
        <v>0</v>
      </c>
      <c r="K808" s="6">
        <v>0</v>
      </c>
      <c r="L808" s="6">
        <v>357.86599999999999</v>
      </c>
      <c r="M808" s="6">
        <v>357.86599999999999</v>
      </c>
      <c r="N808" s="6">
        <v>357.86599999999999</v>
      </c>
      <c r="O808" s="6">
        <v>357.86599999999999</v>
      </c>
      <c r="P808" s="6">
        <v>2432</v>
      </c>
      <c r="Q808" s="4" t="s">
        <v>26</v>
      </c>
      <c r="R808" s="4">
        <v>0</v>
      </c>
      <c r="S808" s="6">
        <v>0</v>
      </c>
      <c r="T808" s="6">
        <v>51</v>
      </c>
      <c r="U808" s="6">
        <v>93</v>
      </c>
      <c r="V808" s="6">
        <f>IF(ISERROR(VLOOKUP($S$808,'TAR FIN'!$A$1:$O$108,15,0)),0,VLOOKUP($S$808,'TAR FIN'!$A$1:$O$108,15,0))</f>
        <v>0</v>
      </c>
      <c r="W808" s="6">
        <f>IF(ISERROR(VLOOKUP($T$808,'TAR FIN'!$A$1:$O$108,15,0)),0,VLOOKUP($T$808,'TAR FIN'!$A$1:$O$108,15,0))</f>
        <v>380.18</v>
      </c>
      <c r="X808" s="6">
        <f>IF(ISERROR(VLOOKUP($U$808,'TAR FIN'!$A$1:$O$108,15,0)),0,VLOOKUP($U$808,'TAR FIN'!$A$1:$O$108,15,0))</f>
        <v>94.86</v>
      </c>
      <c r="Y808" s="6"/>
      <c r="Z808" s="6">
        <f ca="1">('TUSD BE'!$AM$49+'TUSD BF'!$AM$49+'TUSD CVA'!$AM$49)*(1-CUSTOS!$M$38)</f>
        <v>467.36052318380649</v>
      </c>
      <c r="AA808" s="6">
        <f>('TE BE'!$AB$29+'TE BF'!$AB$29+'TE CVA'!$AB$29)*(1-CUSTOS!$M$38)</f>
        <v>211.01083627805076</v>
      </c>
      <c r="AB808" s="6">
        <f>$K$808*$V$808</f>
        <v>0</v>
      </c>
      <c r="AC808" s="6">
        <f>$M$808*$W$808</f>
        <v>136053.49588</v>
      </c>
      <c r="AD808" s="6">
        <f>$O$808*$X$808</f>
        <v>33947.16876</v>
      </c>
      <c r="AE808" s="6">
        <f>$K$808*$Y$808</f>
        <v>0</v>
      </c>
      <c r="AF808" s="6">
        <f ca="1">$M$808*$Z$808</f>
        <v>167252.4409896961</v>
      </c>
      <c r="AG808" s="6">
        <f>$O$808*$AA$808</f>
        <v>75513.603935480904</v>
      </c>
    </row>
    <row r="809" spans="1:33" ht="11.25" customHeight="1" x14ac:dyDescent="0.25">
      <c r="A809" s="4" t="s">
        <v>27</v>
      </c>
      <c r="B809" s="4" t="s">
        <v>45</v>
      </c>
      <c r="C809" s="4" t="s">
        <v>23</v>
      </c>
      <c r="D809" s="4" t="s">
        <v>46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44774</v>
      </c>
      <c r="J809" s="6">
        <v>0</v>
      </c>
      <c r="K809" s="6">
        <v>0</v>
      </c>
      <c r="L809" s="6">
        <v>0.192</v>
      </c>
      <c r="M809" s="6">
        <v>0.192</v>
      </c>
      <c r="N809" s="6">
        <v>0.192</v>
      </c>
      <c r="O809" s="6">
        <v>0.192</v>
      </c>
      <c r="P809" s="6">
        <v>1</v>
      </c>
      <c r="Q809" s="4" t="s">
        <v>26</v>
      </c>
      <c r="R809" s="4">
        <v>0</v>
      </c>
      <c r="S809" s="6">
        <v>0</v>
      </c>
      <c r="T809" s="6">
        <v>51</v>
      </c>
      <c r="U809" s="6">
        <v>93</v>
      </c>
      <c r="V809" s="6">
        <f>IF(ISERROR(VLOOKUP($S$809,'TAR FIN'!$A$1:$O$108,15,0)),0,VLOOKUP($S$809,'TAR FIN'!$A$1:$O$108,15,0))</f>
        <v>0</v>
      </c>
      <c r="W809" s="6">
        <f>IF(ISERROR(VLOOKUP($T$809,'TAR FIN'!$A$1:$O$108,15,0)),0,VLOOKUP($T$809,'TAR FIN'!$A$1:$O$108,15,0))</f>
        <v>380.18</v>
      </c>
      <c r="X809" s="6">
        <f>IF(ISERROR(VLOOKUP($U$809,'TAR FIN'!$A$1:$O$108,15,0)),0,VLOOKUP($U$809,'TAR FIN'!$A$1:$O$108,15,0))</f>
        <v>94.86</v>
      </c>
      <c r="Y809" s="6"/>
      <c r="Z809" s="6">
        <f ca="1">('TUSD BE'!$AM$49+'TUSD BF'!$AM$49+'TUSD CVA'!$AM$49)*(1-CUSTOS!$M$38)</f>
        <v>467.36052318380649</v>
      </c>
      <c r="AA809" s="6">
        <f>('TE BE'!$AB$29+'TE BF'!$AB$29+'TE CVA'!$AB$29)*(1-CUSTOS!$M$38)</f>
        <v>211.01083627805076</v>
      </c>
      <c r="AB809" s="6">
        <f>$K$809*$V$809</f>
        <v>0</v>
      </c>
      <c r="AC809" s="6">
        <f>$M$809*$W$809</f>
        <v>72.994560000000007</v>
      </c>
      <c r="AD809" s="6">
        <f>$O$809*$X$809</f>
        <v>18.21312</v>
      </c>
      <c r="AE809" s="6">
        <f>$K$809*$Y$809</f>
        <v>0</v>
      </c>
      <c r="AF809" s="6">
        <f ca="1">$M$809*$Z$809</f>
        <v>89.733220451290848</v>
      </c>
      <c r="AG809" s="6">
        <f>$O$809*$AA$809</f>
        <v>40.514080565385747</v>
      </c>
    </row>
    <row r="810" spans="1:33" ht="11.25" customHeight="1" x14ac:dyDescent="0.25">
      <c r="A810" s="4" t="s">
        <v>28</v>
      </c>
      <c r="B810" s="4" t="s">
        <v>45</v>
      </c>
      <c r="C810" s="4" t="s">
        <v>23</v>
      </c>
      <c r="D810" s="4" t="s">
        <v>46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44774</v>
      </c>
      <c r="J810" s="6">
        <v>0</v>
      </c>
      <c r="K810" s="6">
        <v>0</v>
      </c>
      <c r="L810" s="6">
        <v>2.2200000000000002</v>
      </c>
      <c r="M810" s="6">
        <v>2.2200000000000002</v>
      </c>
      <c r="N810" s="6">
        <v>2.2200000000000002</v>
      </c>
      <c r="O810" s="6">
        <v>2.2200000000000002</v>
      </c>
      <c r="P810" s="6">
        <v>6</v>
      </c>
      <c r="Q810" s="4" t="s">
        <v>26</v>
      </c>
      <c r="R810" s="4">
        <v>0</v>
      </c>
      <c r="S810" s="6">
        <v>0</v>
      </c>
      <c r="T810" s="6">
        <v>51</v>
      </c>
      <c r="U810" s="6">
        <v>93</v>
      </c>
      <c r="V810" s="6">
        <f>IF(ISERROR(VLOOKUP($S$810,'TAR FIN'!$A$1:$O$108,15,0)),0,VLOOKUP($S$810,'TAR FIN'!$A$1:$O$108,15,0))</f>
        <v>0</v>
      </c>
      <c r="W810" s="6">
        <f>IF(ISERROR(VLOOKUP($T$810,'TAR FIN'!$A$1:$O$108,15,0)),0,VLOOKUP($T$810,'TAR FIN'!$A$1:$O$108,15,0))</f>
        <v>380.18</v>
      </c>
      <c r="X810" s="6">
        <f>IF(ISERROR(VLOOKUP($U$810,'TAR FIN'!$A$1:$O$108,15,0)),0,VLOOKUP($U$810,'TAR FIN'!$A$1:$O$108,15,0))</f>
        <v>94.86</v>
      </c>
      <c r="Y810" s="6"/>
      <c r="Z810" s="6">
        <f ca="1">('TUSD BE'!$AM$49+'TUSD BF'!$AM$49+'TUSD CVA'!$AM$49)*(1-CUSTOS!$M$38)</f>
        <v>467.36052318380649</v>
      </c>
      <c r="AA810" s="6">
        <f>('TE BE'!$AB$29+'TE BF'!$AB$29+'TE CVA'!$AB$29)*(1-CUSTOS!$M$38)</f>
        <v>211.01083627805076</v>
      </c>
      <c r="AB810" s="6">
        <f>$K$810*$V$810</f>
        <v>0</v>
      </c>
      <c r="AC810" s="6">
        <f>$M$810*$W$810</f>
        <v>843.9996000000001</v>
      </c>
      <c r="AD810" s="6">
        <f>$O$810*$X$810</f>
        <v>210.58920000000001</v>
      </c>
      <c r="AE810" s="6">
        <f>$K$810*$Y$810</f>
        <v>0</v>
      </c>
      <c r="AF810" s="6">
        <f ca="1">$M$810*$Z$810</f>
        <v>1037.5403614680506</v>
      </c>
      <c r="AG810" s="6">
        <f>$O$810*$AA$810</f>
        <v>468.44405653727273</v>
      </c>
    </row>
    <row r="811" spans="1:33" ht="11.25" customHeight="1" x14ac:dyDescent="0.25">
      <c r="A811" s="4" t="s">
        <v>21</v>
      </c>
      <c r="B811" s="4" t="s">
        <v>45</v>
      </c>
      <c r="C811" s="4" t="s">
        <v>23</v>
      </c>
      <c r="D811" s="4" t="s">
        <v>46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44805</v>
      </c>
      <c r="J811" s="6">
        <v>0</v>
      </c>
      <c r="K811" s="6">
        <v>0</v>
      </c>
      <c r="L811" s="6">
        <v>383.43799999999999</v>
      </c>
      <c r="M811" s="6">
        <v>383.43799999999999</v>
      </c>
      <c r="N811" s="6">
        <v>383.43799999999999</v>
      </c>
      <c r="O811" s="6">
        <v>383.43799999999999</v>
      </c>
      <c r="P811" s="6">
        <v>2393</v>
      </c>
      <c r="Q811" s="4" t="s">
        <v>26</v>
      </c>
      <c r="R811" s="4">
        <v>0</v>
      </c>
      <c r="S811" s="6">
        <v>0</v>
      </c>
      <c r="T811" s="6">
        <v>51</v>
      </c>
      <c r="U811" s="6">
        <v>93</v>
      </c>
      <c r="V811" s="6">
        <f>IF(ISERROR(VLOOKUP($S$811,'TAR FIN'!$A$1:$O$108,15,0)),0,VLOOKUP($S$811,'TAR FIN'!$A$1:$O$108,15,0))</f>
        <v>0</v>
      </c>
      <c r="W811" s="6">
        <f>IF(ISERROR(VLOOKUP($T$811,'TAR FIN'!$A$1:$O$108,15,0)),0,VLOOKUP($T$811,'TAR FIN'!$A$1:$O$108,15,0))</f>
        <v>380.18</v>
      </c>
      <c r="X811" s="6">
        <f>IF(ISERROR(VLOOKUP($U$811,'TAR FIN'!$A$1:$O$108,15,0)),0,VLOOKUP($U$811,'TAR FIN'!$A$1:$O$108,15,0))</f>
        <v>94.86</v>
      </c>
      <c r="Y811" s="6"/>
      <c r="Z811" s="6">
        <f ca="1">('TUSD BE'!$AM$49+'TUSD BF'!$AM$49+'TUSD CVA'!$AM$49)*(1-CUSTOS!$M$38)</f>
        <v>467.36052318380649</v>
      </c>
      <c r="AA811" s="6">
        <f>('TE BE'!$AB$29+'TE BF'!$AB$29+'TE CVA'!$AB$29)*(1-CUSTOS!$M$38)</f>
        <v>211.01083627805076</v>
      </c>
      <c r="AB811" s="6">
        <f>$K$811*$V$811</f>
        <v>0</v>
      </c>
      <c r="AC811" s="6">
        <f>$M$811*$W$811</f>
        <v>145775.45884000001</v>
      </c>
      <c r="AD811" s="6">
        <f>$O$811*$X$811</f>
        <v>36372.928679999997</v>
      </c>
      <c r="AE811" s="6">
        <f>$K$811*$Y$811</f>
        <v>0</v>
      </c>
      <c r="AF811" s="6">
        <f ca="1">$M$811*$Z$811</f>
        <v>179203.78428855239</v>
      </c>
      <c r="AG811" s="6">
        <f>$O$811*$AA$811</f>
        <v>80909.573040783231</v>
      </c>
    </row>
    <row r="812" spans="1:33" ht="11.25" customHeight="1" x14ac:dyDescent="0.25">
      <c r="A812" s="4" t="s">
        <v>27</v>
      </c>
      <c r="B812" s="4" t="s">
        <v>45</v>
      </c>
      <c r="C812" s="4" t="s">
        <v>23</v>
      </c>
      <c r="D812" s="4" t="s">
        <v>46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44805</v>
      </c>
      <c r="J812" s="6">
        <v>0</v>
      </c>
      <c r="K812" s="6">
        <v>0</v>
      </c>
      <c r="L812" s="6">
        <v>-20.170999999999999</v>
      </c>
      <c r="M812" s="6">
        <v>-20.170999999999999</v>
      </c>
      <c r="N812" s="6">
        <v>-20.170999999999999</v>
      </c>
      <c r="O812" s="6">
        <v>-20.170999999999999</v>
      </c>
      <c r="P812" s="6">
        <v>-76</v>
      </c>
      <c r="Q812" s="4" t="s">
        <v>26</v>
      </c>
      <c r="R812" s="4">
        <v>0</v>
      </c>
      <c r="S812" s="6">
        <v>0</v>
      </c>
      <c r="T812" s="6">
        <v>51</v>
      </c>
      <c r="U812" s="6">
        <v>93</v>
      </c>
      <c r="V812" s="6">
        <f>IF(ISERROR(VLOOKUP($S$812,'TAR FIN'!$A$1:$O$108,15,0)),0,VLOOKUP($S$812,'TAR FIN'!$A$1:$O$108,15,0))</f>
        <v>0</v>
      </c>
      <c r="W812" s="6">
        <f>IF(ISERROR(VLOOKUP($T$812,'TAR FIN'!$A$1:$O$108,15,0)),0,VLOOKUP($T$812,'TAR FIN'!$A$1:$O$108,15,0))</f>
        <v>380.18</v>
      </c>
      <c r="X812" s="6">
        <f>IF(ISERROR(VLOOKUP($U$812,'TAR FIN'!$A$1:$O$108,15,0)),0,VLOOKUP($U$812,'TAR FIN'!$A$1:$O$108,15,0))</f>
        <v>94.86</v>
      </c>
      <c r="Y812" s="6"/>
      <c r="Z812" s="6">
        <f ca="1">('TUSD BE'!$AM$49+'TUSD BF'!$AM$49+'TUSD CVA'!$AM$49)*(1-CUSTOS!$M$38)</f>
        <v>467.36052318380649</v>
      </c>
      <c r="AA812" s="6">
        <f>('TE BE'!$AB$29+'TE BF'!$AB$29+'TE CVA'!$AB$29)*(1-CUSTOS!$M$38)</f>
        <v>211.01083627805076</v>
      </c>
      <c r="AB812" s="6">
        <f>$K$812*$V$812</f>
        <v>0</v>
      </c>
      <c r="AC812" s="6">
        <f>$M$812*$W$812</f>
        <v>-7668.61078</v>
      </c>
      <c r="AD812" s="6">
        <f>$O$812*$X$812</f>
        <v>-1913.4210599999999</v>
      </c>
      <c r="AE812" s="6">
        <f>$K$812*$Y$812</f>
        <v>0</v>
      </c>
      <c r="AF812" s="6">
        <f ca="1">$M$812*$Z$812</f>
        <v>-9427.1291131405596</v>
      </c>
      <c r="AG812" s="6">
        <f>$O$812*$AA$812</f>
        <v>-4256.2995785645617</v>
      </c>
    </row>
    <row r="813" spans="1:33" ht="11.25" customHeight="1" x14ac:dyDescent="0.25">
      <c r="A813" s="4" t="s">
        <v>28</v>
      </c>
      <c r="B813" s="4" t="s">
        <v>45</v>
      </c>
      <c r="C813" s="4" t="s">
        <v>23</v>
      </c>
      <c r="D813" s="4" t="s">
        <v>46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44805</v>
      </c>
      <c r="J813" s="6">
        <v>0</v>
      </c>
      <c r="K813" s="6">
        <v>0</v>
      </c>
      <c r="L813" s="6">
        <v>1.9279999999999999</v>
      </c>
      <c r="M813" s="6">
        <v>1.9279999999999999</v>
      </c>
      <c r="N813" s="6">
        <v>1.9279999999999999</v>
      </c>
      <c r="O813" s="6">
        <v>1.9279999999999999</v>
      </c>
      <c r="P813" s="6">
        <v>5</v>
      </c>
      <c r="Q813" s="4" t="s">
        <v>26</v>
      </c>
      <c r="R813" s="4">
        <v>0</v>
      </c>
      <c r="S813" s="6">
        <v>0</v>
      </c>
      <c r="T813" s="6">
        <v>51</v>
      </c>
      <c r="U813" s="6">
        <v>93</v>
      </c>
      <c r="V813" s="6">
        <f>IF(ISERROR(VLOOKUP($S$813,'TAR FIN'!$A$1:$O$108,15,0)),0,VLOOKUP($S$813,'TAR FIN'!$A$1:$O$108,15,0))</f>
        <v>0</v>
      </c>
      <c r="W813" s="6">
        <f>IF(ISERROR(VLOOKUP($T$813,'TAR FIN'!$A$1:$O$108,15,0)),0,VLOOKUP($T$813,'TAR FIN'!$A$1:$O$108,15,0))</f>
        <v>380.18</v>
      </c>
      <c r="X813" s="6">
        <f>IF(ISERROR(VLOOKUP($U$813,'TAR FIN'!$A$1:$O$108,15,0)),0,VLOOKUP($U$813,'TAR FIN'!$A$1:$O$108,15,0))</f>
        <v>94.86</v>
      </c>
      <c r="Y813" s="6"/>
      <c r="Z813" s="6">
        <f ca="1">('TUSD BE'!$AM$49+'TUSD BF'!$AM$49+'TUSD CVA'!$AM$49)*(1-CUSTOS!$M$38)</f>
        <v>467.36052318380649</v>
      </c>
      <c r="AA813" s="6">
        <f>('TE BE'!$AB$29+'TE BF'!$AB$29+'TE CVA'!$AB$29)*(1-CUSTOS!$M$38)</f>
        <v>211.01083627805076</v>
      </c>
      <c r="AB813" s="6">
        <f>$K$813*$V$813</f>
        <v>0</v>
      </c>
      <c r="AC813" s="6">
        <f>$M$813*$W$813</f>
        <v>732.98703999999998</v>
      </c>
      <c r="AD813" s="6">
        <f>$O$813*$X$813</f>
        <v>182.89007999999998</v>
      </c>
      <c r="AE813" s="6">
        <f>$K$813*$Y$813</f>
        <v>0</v>
      </c>
      <c r="AF813" s="6">
        <f ca="1">$M$813*$Z$813</f>
        <v>901.07108869837884</v>
      </c>
      <c r="AG813" s="6">
        <f>$O$813*$AA$813</f>
        <v>406.82889234408185</v>
      </c>
    </row>
    <row r="814" spans="1:33" ht="11.25" customHeight="1" x14ac:dyDescent="0.25">
      <c r="A814" s="4" t="s">
        <v>21</v>
      </c>
      <c r="B814" s="4" t="s">
        <v>45</v>
      </c>
      <c r="C814" s="4" t="s">
        <v>23</v>
      </c>
      <c r="D814" s="4" t="s">
        <v>46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44835</v>
      </c>
      <c r="J814" s="6">
        <v>0</v>
      </c>
      <c r="K814" s="6">
        <v>0</v>
      </c>
      <c r="L814" s="6">
        <v>412.11599999999999</v>
      </c>
      <c r="M814" s="6">
        <v>412.11599999999999</v>
      </c>
      <c r="N814" s="6">
        <v>412.11599999999999</v>
      </c>
      <c r="O814" s="6">
        <v>412.11599999999999</v>
      </c>
      <c r="P814" s="6">
        <v>2393</v>
      </c>
      <c r="Q814" s="4" t="s">
        <v>26</v>
      </c>
      <c r="R814" s="4">
        <v>0</v>
      </c>
      <c r="S814" s="6">
        <v>0</v>
      </c>
      <c r="T814" s="6">
        <v>51</v>
      </c>
      <c r="U814" s="6">
        <v>93</v>
      </c>
      <c r="V814" s="6">
        <f>IF(ISERROR(VLOOKUP($S$814,'TAR FIN'!$A$1:$O$108,15,0)),0,VLOOKUP($S$814,'TAR FIN'!$A$1:$O$108,15,0))</f>
        <v>0</v>
      </c>
      <c r="W814" s="6">
        <f>IF(ISERROR(VLOOKUP($T$814,'TAR FIN'!$A$1:$O$108,15,0)),0,VLOOKUP($T$814,'TAR FIN'!$A$1:$O$108,15,0))</f>
        <v>380.18</v>
      </c>
      <c r="X814" s="6">
        <f>IF(ISERROR(VLOOKUP($U$814,'TAR FIN'!$A$1:$O$108,15,0)),0,VLOOKUP($U$814,'TAR FIN'!$A$1:$O$108,15,0))</f>
        <v>94.86</v>
      </c>
      <c r="Y814" s="6"/>
      <c r="Z814" s="6">
        <f ca="1">('TUSD BE'!$AM$49+'TUSD BF'!$AM$49+'TUSD CVA'!$AM$49)*(1-CUSTOS!$M$38)</f>
        <v>467.36052318380649</v>
      </c>
      <c r="AA814" s="6">
        <f>('TE BE'!$AB$29+'TE BF'!$AB$29+'TE CVA'!$AB$29)*(1-CUSTOS!$M$38)</f>
        <v>211.01083627805076</v>
      </c>
      <c r="AB814" s="6">
        <f>$K$814*$V$814</f>
        <v>0</v>
      </c>
      <c r="AC814" s="6">
        <f>$M$814*$W$814</f>
        <v>156678.26087999999</v>
      </c>
      <c r="AD814" s="6">
        <f>$O$814*$X$814</f>
        <v>39093.323759999999</v>
      </c>
      <c r="AE814" s="6">
        <f>$K$814*$Y$814</f>
        <v>0</v>
      </c>
      <c r="AF814" s="6">
        <f ca="1">$M$814*$Z$814</f>
        <v>192606.7493724176</v>
      </c>
      <c r="AG814" s="6">
        <f>$O$814*$AA$814</f>
        <v>86960.941803565162</v>
      </c>
    </row>
    <row r="815" spans="1:33" ht="11.25" customHeight="1" x14ac:dyDescent="0.25">
      <c r="A815" s="4" t="s">
        <v>27</v>
      </c>
      <c r="B815" s="4" t="s">
        <v>45</v>
      </c>
      <c r="C815" s="4" t="s">
        <v>23</v>
      </c>
      <c r="D815" s="4" t="s">
        <v>46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44835</v>
      </c>
      <c r="J815" s="6">
        <v>0</v>
      </c>
      <c r="K815" s="6">
        <v>0</v>
      </c>
      <c r="L815" s="6">
        <v>-13.420999999999999</v>
      </c>
      <c r="M815" s="6">
        <v>-13.420999999999999</v>
      </c>
      <c r="N815" s="6">
        <v>-13.420999999999999</v>
      </c>
      <c r="O815" s="6">
        <v>-13.420999999999999</v>
      </c>
      <c r="P815" s="6">
        <v>-3</v>
      </c>
      <c r="Q815" s="4" t="s">
        <v>26</v>
      </c>
      <c r="R815" s="4">
        <v>0</v>
      </c>
      <c r="S815" s="6">
        <v>0</v>
      </c>
      <c r="T815" s="6">
        <v>51</v>
      </c>
      <c r="U815" s="6">
        <v>93</v>
      </c>
      <c r="V815" s="6">
        <f>IF(ISERROR(VLOOKUP($S$815,'TAR FIN'!$A$1:$O$108,15,0)),0,VLOOKUP($S$815,'TAR FIN'!$A$1:$O$108,15,0))</f>
        <v>0</v>
      </c>
      <c r="W815" s="6">
        <f>IF(ISERROR(VLOOKUP($T$815,'TAR FIN'!$A$1:$O$108,15,0)),0,VLOOKUP($T$815,'TAR FIN'!$A$1:$O$108,15,0))</f>
        <v>380.18</v>
      </c>
      <c r="X815" s="6">
        <f>IF(ISERROR(VLOOKUP($U$815,'TAR FIN'!$A$1:$O$108,15,0)),0,VLOOKUP($U$815,'TAR FIN'!$A$1:$O$108,15,0))</f>
        <v>94.86</v>
      </c>
      <c r="Y815" s="6"/>
      <c r="Z815" s="6">
        <f ca="1">('TUSD BE'!$AM$49+'TUSD BF'!$AM$49+'TUSD CVA'!$AM$49)*(1-CUSTOS!$M$38)</f>
        <v>467.36052318380649</v>
      </c>
      <c r="AA815" s="6">
        <f>('TE BE'!$AB$29+'TE BF'!$AB$29+'TE CVA'!$AB$29)*(1-CUSTOS!$M$38)</f>
        <v>211.01083627805076</v>
      </c>
      <c r="AB815" s="6">
        <f>$K$815*$V$815</f>
        <v>0</v>
      </c>
      <c r="AC815" s="6">
        <f>$M$815*$W$815</f>
        <v>-5102.3957799999998</v>
      </c>
      <c r="AD815" s="6">
        <f>$O$815*$X$815</f>
        <v>-1273.1160599999998</v>
      </c>
      <c r="AE815" s="6">
        <f>$K$815*$Y$815</f>
        <v>0</v>
      </c>
      <c r="AF815" s="6">
        <f ca="1">$M$815*$Z$815</f>
        <v>-6272.4455816498667</v>
      </c>
      <c r="AG815" s="6">
        <f>$O$815*$AA$815</f>
        <v>-2831.9764336877192</v>
      </c>
    </row>
    <row r="816" spans="1:33" ht="11.25" customHeight="1" x14ac:dyDescent="0.25">
      <c r="A816" s="4" t="s">
        <v>28</v>
      </c>
      <c r="B816" s="4" t="s">
        <v>45</v>
      </c>
      <c r="C816" s="4" t="s">
        <v>23</v>
      </c>
      <c r="D816" s="4" t="s">
        <v>46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44835</v>
      </c>
      <c r="J816" s="6">
        <v>0</v>
      </c>
      <c r="K816" s="6">
        <v>0</v>
      </c>
      <c r="L816" s="6">
        <v>2.3210000000000002</v>
      </c>
      <c r="M816" s="6">
        <v>2.3210000000000002</v>
      </c>
      <c r="N816" s="6">
        <v>2.3210000000000002</v>
      </c>
      <c r="O816" s="6">
        <v>2.3210000000000002</v>
      </c>
      <c r="P816" s="6">
        <v>6</v>
      </c>
      <c r="Q816" s="4" t="s">
        <v>26</v>
      </c>
      <c r="R816" s="4">
        <v>0</v>
      </c>
      <c r="S816" s="6">
        <v>0</v>
      </c>
      <c r="T816" s="6">
        <v>51</v>
      </c>
      <c r="U816" s="6">
        <v>93</v>
      </c>
      <c r="V816" s="6">
        <f>IF(ISERROR(VLOOKUP($S$816,'TAR FIN'!$A$1:$O$108,15,0)),0,VLOOKUP($S$816,'TAR FIN'!$A$1:$O$108,15,0))</f>
        <v>0</v>
      </c>
      <c r="W816" s="6">
        <f>IF(ISERROR(VLOOKUP($T$816,'TAR FIN'!$A$1:$O$108,15,0)),0,VLOOKUP($T$816,'TAR FIN'!$A$1:$O$108,15,0))</f>
        <v>380.18</v>
      </c>
      <c r="X816" s="6">
        <f>IF(ISERROR(VLOOKUP($U$816,'TAR FIN'!$A$1:$O$108,15,0)),0,VLOOKUP($U$816,'TAR FIN'!$A$1:$O$108,15,0))</f>
        <v>94.86</v>
      </c>
      <c r="Y816" s="6"/>
      <c r="Z816" s="6">
        <f ca="1">('TUSD BE'!$AM$49+'TUSD BF'!$AM$49+'TUSD CVA'!$AM$49)*(1-CUSTOS!$M$38)</f>
        <v>467.36052318380649</v>
      </c>
      <c r="AA816" s="6">
        <f>('TE BE'!$AB$29+'TE BF'!$AB$29+'TE CVA'!$AB$29)*(1-CUSTOS!$M$38)</f>
        <v>211.01083627805076</v>
      </c>
      <c r="AB816" s="6">
        <f>$K$816*$V$816</f>
        <v>0</v>
      </c>
      <c r="AC816" s="6">
        <f>$M$816*$W$816</f>
        <v>882.39778000000013</v>
      </c>
      <c r="AD816" s="6">
        <f>$O$816*$X$816</f>
        <v>220.17006000000001</v>
      </c>
      <c r="AE816" s="6">
        <f>$K$816*$Y$816</f>
        <v>0</v>
      </c>
      <c r="AF816" s="6">
        <f ca="1">$M$816*$Z$816</f>
        <v>1084.743774309615</v>
      </c>
      <c r="AG816" s="6">
        <f>$O$816*$AA$816</f>
        <v>489.75615100135587</v>
      </c>
    </row>
    <row r="817" spans="1:33" ht="11.25" customHeight="1" x14ac:dyDescent="0.25">
      <c r="A817" s="4" t="s">
        <v>54</v>
      </c>
      <c r="B817" s="4" t="s">
        <v>45</v>
      </c>
      <c r="C817" s="4" t="s">
        <v>23</v>
      </c>
      <c r="D817" s="4" t="s">
        <v>46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44866</v>
      </c>
      <c r="J817" s="6">
        <v>0</v>
      </c>
      <c r="K817" s="6">
        <v>0</v>
      </c>
      <c r="L817" s="6">
        <v>412.11599999999999</v>
      </c>
      <c r="M817" s="6">
        <v>412.11599999999999</v>
      </c>
      <c r="N817" s="6">
        <v>412.11599999999999</v>
      </c>
      <c r="O817" s="6">
        <v>412.11599999999999</v>
      </c>
      <c r="P817" s="6">
        <v>2393</v>
      </c>
      <c r="Q817" s="4" t="s">
        <v>26</v>
      </c>
      <c r="R817" s="4">
        <v>0</v>
      </c>
      <c r="S817" s="6">
        <v>0</v>
      </c>
      <c r="T817" s="6">
        <v>51</v>
      </c>
      <c r="U817" s="6">
        <v>93</v>
      </c>
      <c r="V817" s="6">
        <f>IF(ISERROR(VLOOKUP($S$817,'TAR FIN'!$A$1:$O$108,15,0)),0,VLOOKUP($S$817,'TAR FIN'!$A$1:$O$108,15,0))</f>
        <v>0</v>
      </c>
      <c r="W817" s="6">
        <f>IF(ISERROR(VLOOKUP($T$817,'TAR FIN'!$A$1:$O$108,15,0)),0,VLOOKUP($T$817,'TAR FIN'!$A$1:$O$108,15,0))</f>
        <v>380.18</v>
      </c>
      <c r="X817" s="6">
        <f>IF(ISERROR(VLOOKUP($U$817,'TAR FIN'!$A$1:$O$108,15,0)),0,VLOOKUP($U$817,'TAR FIN'!$A$1:$O$108,15,0))</f>
        <v>94.86</v>
      </c>
      <c r="Y817" s="6"/>
      <c r="Z817" s="6">
        <f ca="1">('TUSD BE'!$AM$49+'TUSD BF'!$AM$49+'TUSD CVA'!$AM$49)*(1-CUSTOS!$M$38)</f>
        <v>467.36052318380649</v>
      </c>
      <c r="AA817" s="6">
        <f>('TE BE'!$AB$29+'TE BF'!$AB$29+'TE CVA'!$AB$29)*(1-CUSTOS!$M$38)</f>
        <v>211.01083627805076</v>
      </c>
      <c r="AB817" s="6">
        <f>$K$817*$V$817</f>
        <v>0</v>
      </c>
      <c r="AC817" s="6">
        <f>$M$817*$W$817</f>
        <v>156678.26087999999</v>
      </c>
      <c r="AD817" s="6">
        <f>$O$817*$X$817</f>
        <v>39093.323759999999</v>
      </c>
      <c r="AE817" s="6">
        <f>$K$817*$Y$817</f>
        <v>0</v>
      </c>
      <c r="AF817" s="6">
        <f ca="1">$M$817*$Z$817</f>
        <v>192606.7493724176</v>
      </c>
      <c r="AG817" s="6">
        <f>$O$817*$AA$817</f>
        <v>86960.941803565162</v>
      </c>
    </row>
    <row r="818" spans="1:33" ht="11.25" customHeight="1" x14ac:dyDescent="0.25">
      <c r="A818" s="4" t="s">
        <v>54</v>
      </c>
      <c r="B818" s="4" t="s">
        <v>45</v>
      </c>
      <c r="C818" s="4" t="s">
        <v>23</v>
      </c>
      <c r="D818" s="4" t="s">
        <v>46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44866</v>
      </c>
      <c r="J818" s="6">
        <v>0</v>
      </c>
      <c r="K818" s="6">
        <v>0</v>
      </c>
      <c r="L818" s="6">
        <v>-13.420999999999999</v>
      </c>
      <c r="M818" s="6">
        <v>-13.420999999999999</v>
      </c>
      <c r="N818" s="6">
        <v>-13.420999999999999</v>
      </c>
      <c r="O818" s="6">
        <v>-13.420999999999999</v>
      </c>
      <c r="P818" s="6">
        <v>-3</v>
      </c>
      <c r="Q818" s="4" t="s">
        <v>26</v>
      </c>
      <c r="R818" s="4">
        <v>0</v>
      </c>
      <c r="S818" s="6">
        <v>0</v>
      </c>
      <c r="T818" s="6">
        <v>51</v>
      </c>
      <c r="U818" s="6">
        <v>93</v>
      </c>
      <c r="V818" s="6">
        <f>IF(ISERROR(VLOOKUP($S$818,'TAR FIN'!$A$1:$O$108,15,0)),0,VLOOKUP($S$818,'TAR FIN'!$A$1:$O$108,15,0))</f>
        <v>0</v>
      </c>
      <c r="W818" s="6">
        <f>IF(ISERROR(VLOOKUP($T$818,'TAR FIN'!$A$1:$O$108,15,0)),0,VLOOKUP($T$818,'TAR FIN'!$A$1:$O$108,15,0))</f>
        <v>380.18</v>
      </c>
      <c r="X818" s="6">
        <f>IF(ISERROR(VLOOKUP($U$818,'TAR FIN'!$A$1:$O$108,15,0)),0,VLOOKUP($U$818,'TAR FIN'!$A$1:$O$108,15,0))</f>
        <v>94.86</v>
      </c>
      <c r="Y818" s="6"/>
      <c r="Z818" s="6">
        <f ca="1">('TUSD BE'!$AM$49+'TUSD BF'!$AM$49+'TUSD CVA'!$AM$49)*(1-CUSTOS!$M$38)</f>
        <v>467.36052318380649</v>
      </c>
      <c r="AA818" s="6">
        <f>('TE BE'!$AB$29+'TE BF'!$AB$29+'TE CVA'!$AB$29)*(1-CUSTOS!$M$38)</f>
        <v>211.01083627805076</v>
      </c>
      <c r="AB818" s="6">
        <f>$K$818*$V$818</f>
        <v>0</v>
      </c>
      <c r="AC818" s="6">
        <f>$M$818*$W$818</f>
        <v>-5102.3957799999998</v>
      </c>
      <c r="AD818" s="6">
        <f>$O$818*$X$818</f>
        <v>-1273.1160599999998</v>
      </c>
      <c r="AE818" s="6">
        <f>$K$818*$Y$818</f>
        <v>0</v>
      </c>
      <c r="AF818" s="6">
        <f ca="1">$M$818*$Z$818</f>
        <v>-6272.4455816498667</v>
      </c>
      <c r="AG818" s="6">
        <f>$O$818*$AA$818</f>
        <v>-2831.9764336877192</v>
      </c>
    </row>
    <row r="819" spans="1:33" ht="11.25" customHeight="1" x14ac:dyDescent="0.25">
      <c r="A819" s="4" t="s">
        <v>54</v>
      </c>
      <c r="B819" s="4" t="s">
        <v>45</v>
      </c>
      <c r="C819" s="4" t="s">
        <v>23</v>
      </c>
      <c r="D819" s="4" t="s">
        <v>46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44866</v>
      </c>
      <c r="J819" s="6">
        <v>0</v>
      </c>
      <c r="K819" s="6">
        <v>0</v>
      </c>
      <c r="L819" s="6">
        <v>2.3210000000000002</v>
      </c>
      <c r="M819" s="6">
        <v>2.3210000000000002</v>
      </c>
      <c r="N819" s="6">
        <v>2.3210000000000002</v>
      </c>
      <c r="O819" s="6">
        <v>2.3210000000000002</v>
      </c>
      <c r="P819" s="6">
        <v>6</v>
      </c>
      <c r="Q819" s="4" t="s">
        <v>26</v>
      </c>
      <c r="R819" s="4">
        <v>0</v>
      </c>
      <c r="S819" s="6">
        <v>0</v>
      </c>
      <c r="T819" s="6">
        <v>51</v>
      </c>
      <c r="U819" s="6">
        <v>93</v>
      </c>
      <c r="V819" s="6">
        <f>IF(ISERROR(VLOOKUP($S$819,'TAR FIN'!$A$1:$O$108,15,0)),0,VLOOKUP($S$819,'TAR FIN'!$A$1:$O$108,15,0))</f>
        <v>0</v>
      </c>
      <c r="W819" s="6">
        <f>IF(ISERROR(VLOOKUP($T$819,'TAR FIN'!$A$1:$O$108,15,0)),0,VLOOKUP($T$819,'TAR FIN'!$A$1:$O$108,15,0))</f>
        <v>380.18</v>
      </c>
      <c r="X819" s="6">
        <f>IF(ISERROR(VLOOKUP($U$819,'TAR FIN'!$A$1:$O$108,15,0)),0,VLOOKUP($U$819,'TAR FIN'!$A$1:$O$108,15,0))</f>
        <v>94.86</v>
      </c>
      <c r="Y819" s="6"/>
      <c r="Z819" s="6">
        <f ca="1">('TUSD BE'!$AM$49+'TUSD BF'!$AM$49+'TUSD CVA'!$AM$49)*(1-CUSTOS!$M$38)</f>
        <v>467.36052318380649</v>
      </c>
      <c r="AA819" s="6">
        <f>('TE BE'!$AB$29+'TE BF'!$AB$29+'TE CVA'!$AB$29)*(1-CUSTOS!$M$38)</f>
        <v>211.01083627805076</v>
      </c>
      <c r="AB819" s="6">
        <f>$K$819*$V$819</f>
        <v>0</v>
      </c>
      <c r="AC819" s="6">
        <f>$M$819*$W$819</f>
        <v>882.39778000000013</v>
      </c>
      <c r="AD819" s="6">
        <f>$O$819*$X$819</f>
        <v>220.17006000000001</v>
      </c>
      <c r="AE819" s="6">
        <f>$K$819*$Y$819</f>
        <v>0</v>
      </c>
      <c r="AF819" s="6">
        <f ca="1">$M$819*$Z$819</f>
        <v>1084.743774309615</v>
      </c>
      <c r="AG819" s="6">
        <f>$O$819*$AA$819</f>
        <v>489.75615100135587</v>
      </c>
    </row>
    <row r="820" spans="1:33" ht="11.25" customHeight="1" x14ac:dyDescent="0.25">
      <c r="A820" s="4" t="s">
        <v>21</v>
      </c>
      <c r="B820" s="4" t="s">
        <v>37</v>
      </c>
      <c r="C820" s="4" t="s">
        <v>33</v>
      </c>
      <c r="D820" s="4" t="s">
        <v>44</v>
      </c>
      <c r="E820" s="4" t="s">
        <v>25</v>
      </c>
      <c r="F820" s="4" t="s">
        <v>25</v>
      </c>
      <c r="G820" s="4" t="s">
        <v>25</v>
      </c>
      <c r="H820" s="4" t="s">
        <v>35</v>
      </c>
      <c r="I820" s="5">
        <v>44531</v>
      </c>
      <c r="J820" s="6">
        <v>0</v>
      </c>
      <c r="K820" s="6">
        <v>0</v>
      </c>
      <c r="L820" s="6">
        <v>44.750999999999998</v>
      </c>
      <c r="M820" s="6">
        <v>44.750999999999998</v>
      </c>
      <c r="N820" s="6">
        <v>44.750999999999998</v>
      </c>
      <c r="O820" s="6">
        <v>44.750999999999998</v>
      </c>
      <c r="P820" s="6">
        <v>0</v>
      </c>
      <c r="Q820" s="4" t="s">
        <v>26</v>
      </c>
      <c r="R820" s="4">
        <v>0</v>
      </c>
      <c r="S820" s="6">
        <v>0</v>
      </c>
      <c r="T820" s="6">
        <v>65</v>
      </c>
      <c r="U820" s="6">
        <v>107</v>
      </c>
      <c r="V820" s="6">
        <f>IF(ISERROR(VLOOKUP($S$820,'TAR FIN'!$A$1:$O$108,15,0)),0,VLOOKUP($S$820,'TAR FIN'!$A$1:$O$108,15,0))</f>
        <v>0</v>
      </c>
      <c r="W820" s="6">
        <f>IF(ISERROR(VLOOKUP($T$820,'TAR FIN'!$A$1:$O$108,15,0)),0,VLOOKUP($T$820,'TAR FIN'!$A$1:$O$108,15,0))</f>
        <v>322.94</v>
      </c>
      <c r="X820" s="6">
        <f>IF(ISERROR(VLOOKUP($U$820,'TAR FIN'!$A$1:$O$108,15,0)),0,VLOOKUP($U$820,'TAR FIN'!$A$1:$O$108,15,0))</f>
        <v>103.1</v>
      </c>
      <c r="Y820" s="6"/>
      <c r="Z820" s="6">
        <f ca="1">('TUSD BE'!$AM$63+'TUSD BF'!$AM$63+'TUSD CVA'!$AM$63)*1</f>
        <v>392.60303123039864</v>
      </c>
      <c r="AA820" s="6">
        <f>('TE BE'!$AB$43+'TE BF'!$AB$43+'TE CVA'!$AB$43)*1</f>
        <v>215.60278025898469</v>
      </c>
      <c r="AB820" s="6">
        <f>$K$820*$V$820</f>
        <v>0</v>
      </c>
      <c r="AC820" s="6">
        <f>$M$820*$W$820</f>
        <v>14451.887939999999</v>
      </c>
      <c r="AD820" s="6">
        <f>$O$820*$X$820</f>
        <v>4613.8280999999997</v>
      </c>
      <c r="AE820" s="6">
        <f>$K$820*$Y$820</f>
        <v>0</v>
      </c>
      <c r="AF820" s="6">
        <f ca="1">$M$820*$Z$820</f>
        <v>17569.37825059157</v>
      </c>
      <c r="AG820" s="6">
        <f>$O$820*$AA$820</f>
        <v>9648.4400193698239</v>
      </c>
    </row>
    <row r="821" spans="1:33" ht="11.25" customHeight="1" x14ac:dyDescent="0.25">
      <c r="A821" s="4" t="s">
        <v>21</v>
      </c>
      <c r="B821" s="4" t="s">
        <v>37</v>
      </c>
      <c r="C821" s="4" t="s">
        <v>33</v>
      </c>
      <c r="D821" s="4" t="s">
        <v>44</v>
      </c>
      <c r="E821" s="4" t="s">
        <v>25</v>
      </c>
      <c r="F821" s="4" t="s">
        <v>25</v>
      </c>
      <c r="G821" s="4" t="s">
        <v>25</v>
      </c>
      <c r="H821" s="4" t="s">
        <v>35</v>
      </c>
      <c r="I821" s="5">
        <v>44562</v>
      </c>
      <c r="J821" s="6">
        <v>0</v>
      </c>
      <c r="K821" s="6">
        <v>0</v>
      </c>
      <c r="L821" s="6">
        <v>41.4</v>
      </c>
      <c r="M821" s="6">
        <v>41.4</v>
      </c>
      <c r="N821" s="6">
        <v>41.4</v>
      </c>
      <c r="O821" s="6">
        <v>41.4</v>
      </c>
      <c r="P821" s="6">
        <v>0</v>
      </c>
      <c r="Q821" s="4" t="s">
        <v>26</v>
      </c>
      <c r="R821" s="4">
        <v>0</v>
      </c>
      <c r="S821" s="6">
        <v>0</v>
      </c>
      <c r="T821" s="6">
        <v>65</v>
      </c>
      <c r="U821" s="6">
        <v>107</v>
      </c>
      <c r="V821" s="6">
        <f>IF(ISERROR(VLOOKUP($S$821,'TAR FIN'!$A$1:$O$108,15,0)),0,VLOOKUP($S$821,'TAR FIN'!$A$1:$O$108,15,0))</f>
        <v>0</v>
      </c>
      <c r="W821" s="6">
        <f>IF(ISERROR(VLOOKUP($T$821,'TAR FIN'!$A$1:$O$108,15,0)),0,VLOOKUP($T$821,'TAR FIN'!$A$1:$O$108,15,0))</f>
        <v>322.94</v>
      </c>
      <c r="X821" s="6">
        <f>IF(ISERROR(VLOOKUP($U$821,'TAR FIN'!$A$1:$O$108,15,0)),0,VLOOKUP($U$821,'TAR FIN'!$A$1:$O$108,15,0))</f>
        <v>103.1</v>
      </c>
      <c r="Y821" s="6"/>
      <c r="Z821" s="6">
        <f ca="1">('TUSD BE'!$AM$63+'TUSD BF'!$AM$63+'TUSD CVA'!$AM$63)*1</f>
        <v>392.60303123039864</v>
      </c>
      <c r="AA821" s="6">
        <f>('TE BE'!$AB$43+'TE BF'!$AB$43+'TE CVA'!$AB$43)*1</f>
        <v>215.60278025898469</v>
      </c>
      <c r="AB821" s="6">
        <f>$K$821*$V$821</f>
        <v>0</v>
      </c>
      <c r="AC821" s="6">
        <f>$M$821*$W$821</f>
        <v>13369.716</v>
      </c>
      <c r="AD821" s="6">
        <f>$O$821*$X$821</f>
        <v>4268.3399999999992</v>
      </c>
      <c r="AE821" s="6">
        <f>$K$821*$Y$821</f>
        <v>0</v>
      </c>
      <c r="AF821" s="6">
        <f ca="1">$M$821*$Z$821</f>
        <v>16253.765492938503</v>
      </c>
      <c r="AG821" s="6">
        <f>$O$821*$AA$821</f>
        <v>8925.9551027219659</v>
      </c>
    </row>
    <row r="822" spans="1:33" ht="11.25" customHeight="1" x14ac:dyDescent="0.25">
      <c r="A822" s="4" t="s">
        <v>21</v>
      </c>
      <c r="B822" s="4" t="s">
        <v>37</v>
      </c>
      <c r="C822" s="4" t="s">
        <v>33</v>
      </c>
      <c r="D822" s="4" t="s">
        <v>44</v>
      </c>
      <c r="E822" s="4" t="s">
        <v>25</v>
      </c>
      <c r="F822" s="4" t="s">
        <v>25</v>
      </c>
      <c r="G822" s="4" t="s">
        <v>25</v>
      </c>
      <c r="H822" s="4" t="s">
        <v>35</v>
      </c>
      <c r="I822" s="5">
        <v>44593</v>
      </c>
      <c r="J822" s="6">
        <v>0</v>
      </c>
      <c r="K822" s="6">
        <v>0</v>
      </c>
      <c r="L822" s="6">
        <v>31.459</v>
      </c>
      <c r="M822" s="6">
        <v>31.459</v>
      </c>
      <c r="N822" s="6">
        <v>31.459</v>
      </c>
      <c r="O822" s="6">
        <v>31.459</v>
      </c>
      <c r="P822" s="6">
        <v>0</v>
      </c>
      <c r="Q822" s="4" t="s">
        <v>26</v>
      </c>
      <c r="R822" s="4">
        <v>0</v>
      </c>
      <c r="S822" s="6">
        <v>0</v>
      </c>
      <c r="T822" s="6">
        <v>65</v>
      </c>
      <c r="U822" s="6">
        <v>107</v>
      </c>
      <c r="V822" s="6">
        <f>IF(ISERROR(VLOOKUP($S$822,'TAR FIN'!$A$1:$O$108,15,0)),0,VLOOKUP($S$822,'TAR FIN'!$A$1:$O$108,15,0))</f>
        <v>0</v>
      </c>
      <c r="W822" s="6">
        <f>IF(ISERROR(VLOOKUP($T$822,'TAR FIN'!$A$1:$O$108,15,0)),0,VLOOKUP($T$822,'TAR FIN'!$A$1:$O$108,15,0))</f>
        <v>322.94</v>
      </c>
      <c r="X822" s="6">
        <f>IF(ISERROR(VLOOKUP($U$822,'TAR FIN'!$A$1:$O$108,15,0)),0,VLOOKUP($U$822,'TAR FIN'!$A$1:$O$108,15,0))</f>
        <v>103.1</v>
      </c>
      <c r="Y822" s="6"/>
      <c r="Z822" s="6">
        <f ca="1">('TUSD BE'!$AM$63+'TUSD BF'!$AM$63+'TUSD CVA'!$AM$63)*1</f>
        <v>392.60303123039864</v>
      </c>
      <c r="AA822" s="6">
        <f>('TE BE'!$AB$43+'TE BF'!$AB$43+'TE CVA'!$AB$43)*1</f>
        <v>215.60278025898469</v>
      </c>
      <c r="AB822" s="6">
        <f>$K$822*$V$822</f>
        <v>0</v>
      </c>
      <c r="AC822" s="6">
        <f>$M$822*$W$822</f>
        <v>10159.36946</v>
      </c>
      <c r="AD822" s="6">
        <f>$O$822*$X$822</f>
        <v>3243.4228999999996</v>
      </c>
      <c r="AE822" s="6">
        <f>$K$822*$Y$822</f>
        <v>0</v>
      </c>
      <c r="AF822" s="6">
        <f ca="1">$M$822*$Z$822</f>
        <v>12350.898759477112</v>
      </c>
      <c r="AG822" s="6">
        <f>$O$822*$AA$822</f>
        <v>6782.6478641673993</v>
      </c>
    </row>
    <row r="823" spans="1:33" ht="11.25" customHeight="1" x14ac:dyDescent="0.25">
      <c r="A823" s="4" t="s">
        <v>21</v>
      </c>
      <c r="B823" s="4" t="s">
        <v>37</v>
      </c>
      <c r="C823" s="4" t="s">
        <v>33</v>
      </c>
      <c r="D823" s="4" t="s">
        <v>44</v>
      </c>
      <c r="E823" s="4" t="s">
        <v>25</v>
      </c>
      <c r="F823" s="4" t="s">
        <v>25</v>
      </c>
      <c r="G823" s="4" t="s">
        <v>25</v>
      </c>
      <c r="H823" s="4" t="s">
        <v>35</v>
      </c>
      <c r="I823" s="5">
        <v>44621</v>
      </c>
      <c r="J823" s="6">
        <v>0</v>
      </c>
      <c r="K823" s="6">
        <v>0</v>
      </c>
      <c r="L823" s="6">
        <v>31.753</v>
      </c>
      <c r="M823" s="6">
        <v>31.753</v>
      </c>
      <c r="N823" s="6">
        <v>31.753</v>
      </c>
      <c r="O823" s="6">
        <v>31.753</v>
      </c>
      <c r="P823" s="6">
        <v>0</v>
      </c>
      <c r="Q823" s="4" t="s">
        <v>26</v>
      </c>
      <c r="R823" s="4">
        <v>0</v>
      </c>
      <c r="S823" s="6">
        <v>0</v>
      </c>
      <c r="T823" s="6">
        <v>65</v>
      </c>
      <c r="U823" s="6">
        <v>107</v>
      </c>
      <c r="V823" s="6">
        <f>IF(ISERROR(VLOOKUP($S$823,'TAR FIN'!$A$1:$O$108,15,0)),0,VLOOKUP($S$823,'TAR FIN'!$A$1:$O$108,15,0))</f>
        <v>0</v>
      </c>
      <c r="W823" s="6">
        <f>IF(ISERROR(VLOOKUP($T$823,'TAR FIN'!$A$1:$O$108,15,0)),0,VLOOKUP($T$823,'TAR FIN'!$A$1:$O$108,15,0))</f>
        <v>322.94</v>
      </c>
      <c r="X823" s="6">
        <f>IF(ISERROR(VLOOKUP($U$823,'TAR FIN'!$A$1:$O$108,15,0)),0,VLOOKUP($U$823,'TAR FIN'!$A$1:$O$108,15,0))</f>
        <v>103.1</v>
      </c>
      <c r="Y823" s="6"/>
      <c r="Z823" s="6">
        <f ca="1">('TUSD BE'!$AM$63+'TUSD BF'!$AM$63+'TUSD CVA'!$AM$63)*1</f>
        <v>392.60303123039864</v>
      </c>
      <c r="AA823" s="6">
        <f>('TE BE'!$AB$43+'TE BF'!$AB$43+'TE CVA'!$AB$43)*1</f>
        <v>215.60278025898469</v>
      </c>
      <c r="AB823" s="6">
        <f>$K$823*$V$823</f>
        <v>0</v>
      </c>
      <c r="AC823" s="6">
        <f>$M$823*$W$823</f>
        <v>10254.313819999999</v>
      </c>
      <c r="AD823" s="6">
        <f>$O$823*$X$823</f>
        <v>3273.7342999999996</v>
      </c>
      <c r="AE823" s="6">
        <f>$K$823*$Y$823</f>
        <v>0</v>
      </c>
      <c r="AF823" s="6">
        <f ca="1">$M$823*$Z$823</f>
        <v>12466.324050658848</v>
      </c>
      <c r="AG823" s="6">
        <f>$O$823*$AA$823</f>
        <v>6846.0350815635411</v>
      </c>
    </row>
    <row r="824" spans="1:33" ht="11.25" customHeight="1" x14ac:dyDescent="0.25">
      <c r="A824" s="4" t="s">
        <v>21</v>
      </c>
      <c r="B824" s="4" t="s">
        <v>37</v>
      </c>
      <c r="C824" s="4" t="s">
        <v>33</v>
      </c>
      <c r="D824" s="4" t="s">
        <v>44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44652</v>
      </c>
      <c r="J824" s="6">
        <v>0</v>
      </c>
      <c r="K824" s="6">
        <v>0</v>
      </c>
      <c r="L824" s="6">
        <v>32.344000000000001</v>
      </c>
      <c r="M824" s="6">
        <v>32.344000000000001</v>
      </c>
      <c r="N824" s="6">
        <v>32.344000000000001</v>
      </c>
      <c r="O824" s="6">
        <v>32.344000000000001</v>
      </c>
      <c r="P824" s="6">
        <v>0</v>
      </c>
      <c r="Q824" s="4" t="s">
        <v>26</v>
      </c>
      <c r="R824" s="4">
        <v>0</v>
      </c>
      <c r="S824" s="6">
        <v>0</v>
      </c>
      <c r="T824" s="6">
        <v>65</v>
      </c>
      <c r="U824" s="6">
        <v>107</v>
      </c>
      <c r="V824" s="6">
        <f>IF(ISERROR(VLOOKUP($S$824,'TAR FIN'!$A$1:$O$108,15,0)),0,VLOOKUP($S$824,'TAR FIN'!$A$1:$O$108,15,0))</f>
        <v>0</v>
      </c>
      <c r="W824" s="6">
        <f>IF(ISERROR(VLOOKUP($T$824,'TAR FIN'!$A$1:$O$108,15,0)),0,VLOOKUP($T$824,'TAR FIN'!$A$1:$O$108,15,0))</f>
        <v>322.94</v>
      </c>
      <c r="X824" s="6">
        <f>IF(ISERROR(VLOOKUP($U$824,'TAR FIN'!$A$1:$O$108,15,0)),0,VLOOKUP($U$824,'TAR FIN'!$A$1:$O$108,15,0))</f>
        <v>103.1</v>
      </c>
      <c r="Y824" s="6"/>
      <c r="Z824" s="6">
        <f ca="1">('TUSD BE'!$AM$63+'TUSD BF'!$AM$63+'TUSD CVA'!$AM$63)*1</f>
        <v>392.60303123039864</v>
      </c>
      <c r="AA824" s="6">
        <f>('TE BE'!$AB$43+'TE BF'!$AB$43+'TE CVA'!$AB$43)*1</f>
        <v>215.60278025898469</v>
      </c>
      <c r="AB824" s="6">
        <f>$K$824*$V$824</f>
        <v>0</v>
      </c>
      <c r="AC824" s="6">
        <f>$M$824*$W$824</f>
        <v>10445.17136</v>
      </c>
      <c r="AD824" s="6">
        <f>$O$824*$X$824</f>
        <v>3334.6664000000001</v>
      </c>
      <c r="AE824" s="6">
        <f>$K$824*$Y$824</f>
        <v>0</v>
      </c>
      <c r="AF824" s="6">
        <f ca="1">$M$824*$Z$824</f>
        <v>12698.352442116015</v>
      </c>
      <c r="AG824" s="6">
        <f>$O$824*$AA$824</f>
        <v>6973.4563246966009</v>
      </c>
    </row>
    <row r="825" spans="1:33" ht="11.25" customHeight="1" x14ac:dyDescent="0.25">
      <c r="A825" s="4" t="s">
        <v>21</v>
      </c>
      <c r="B825" s="4" t="s">
        <v>37</v>
      </c>
      <c r="C825" s="4" t="s">
        <v>33</v>
      </c>
      <c r="D825" s="4" t="s">
        <v>44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44682</v>
      </c>
      <c r="J825" s="6">
        <v>0</v>
      </c>
      <c r="K825" s="6">
        <v>0</v>
      </c>
      <c r="L825" s="6">
        <v>39.494</v>
      </c>
      <c r="M825" s="6">
        <v>39.494</v>
      </c>
      <c r="N825" s="6">
        <v>39.494</v>
      </c>
      <c r="O825" s="6">
        <v>39.494</v>
      </c>
      <c r="P825" s="6">
        <v>0</v>
      </c>
      <c r="Q825" s="4" t="s">
        <v>26</v>
      </c>
      <c r="R825" s="4">
        <v>0</v>
      </c>
      <c r="S825" s="6">
        <v>0</v>
      </c>
      <c r="T825" s="6">
        <v>65</v>
      </c>
      <c r="U825" s="6">
        <v>107</v>
      </c>
      <c r="V825" s="6">
        <f>IF(ISERROR(VLOOKUP($S$825,'TAR FIN'!$A$1:$O$108,15,0)),0,VLOOKUP($S$825,'TAR FIN'!$A$1:$O$108,15,0))</f>
        <v>0</v>
      </c>
      <c r="W825" s="6">
        <f>IF(ISERROR(VLOOKUP($T$825,'TAR FIN'!$A$1:$O$108,15,0)),0,VLOOKUP($T$825,'TAR FIN'!$A$1:$O$108,15,0))</f>
        <v>322.94</v>
      </c>
      <c r="X825" s="6">
        <f>IF(ISERROR(VLOOKUP($U$825,'TAR FIN'!$A$1:$O$108,15,0)),0,VLOOKUP($U$825,'TAR FIN'!$A$1:$O$108,15,0))</f>
        <v>103.1</v>
      </c>
      <c r="Y825" s="6"/>
      <c r="Z825" s="6">
        <f ca="1">('TUSD BE'!$AM$63+'TUSD BF'!$AM$63+'TUSD CVA'!$AM$63)*1</f>
        <v>392.60303123039864</v>
      </c>
      <c r="AA825" s="6">
        <f>('TE BE'!$AB$43+'TE BF'!$AB$43+'TE CVA'!$AB$43)*1</f>
        <v>215.60278025898469</v>
      </c>
      <c r="AB825" s="6">
        <f>$K$825*$V$825</f>
        <v>0</v>
      </c>
      <c r="AC825" s="6">
        <f>$M$825*$W$825</f>
        <v>12754.192359999999</v>
      </c>
      <c r="AD825" s="6">
        <f>$O$825*$X$825</f>
        <v>4071.8313999999996</v>
      </c>
      <c r="AE825" s="6">
        <f>$K$825*$Y$825</f>
        <v>0</v>
      </c>
      <c r="AF825" s="6">
        <f ca="1">$M$825*$Z$825</f>
        <v>15505.464115413364</v>
      </c>
      <c r="AG825" s="6">
        <f>$O$825*$AA$825</f>
        <v>8515.0162035483409</v>
      </c>
    </row>
    <row r="826" spans="1:33" ht="11.25" customHeight="1" x14ac:dyDescent="0.25">
      <c r="A826" s="4" t="s">
        <v>21</v>
      </c>
      <c r="B826" s="4" t="s">
        <v>37</v>
      </c>
      <c r="C826" s="4" t="s">
        <v>33</v>
      </c>
      <c r="D826" s="4" t="s">
        <v>44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44713</v>
      </c>
      <c r="J826" s="6">
        <v>0</v>
      </c>
      <c r="K826" s="6">
        <v>0</v>
      </c>
      <c r="L826" s="6">
        <v>38.345999999999997</v>
      </c>
      <c r="M826" s="6">
        <v>38.345999999999997</v>
      </c>
      <c r="N826" s="6">
        <v>38.345999999999997</v>
      </c>
      <c r="O826" s="6">
        <v>38.345999999999997</v>
      </c>
      <c r="P826" s="6">
        <v>0</v>
      </c>
      <c r="Q826" s="4" t="s">
        <v>26</v>
      </c>
      <c r="R826" s="4">
        <v>0</v>
      </c>
      <c r="S826" s="6">
        <v>0</v>
      </c>
      <c r="T826" s="6">
        <v>65</v>
      </c>
      <c r="U826" s="6">
        <v>107</v>
      </c>
      <c r="V826" s="6">
        <f>IF(ISERROR(VLOOKUP($S$826,'TAR FIN'!$A$1:$O$108,15,0)),0,VLOOKUP($S$826,'TAR FIN'!$A$1:$O$108,15,0))</f>
        <v>0</v>
      </c>
      <c r="W826" s="6">
        <f>IF(ISERROR(VLOOKUP($T$826,'TAR FIN'!$A$1:$O$108,15,0)),0,VLOOKUP($T$826,'TAR FIN'!$A$1:$O$108,15,0))</f>
        <v>322.94</v>
      </c>
      <c r="X826" s="6">
        <f>IF(ISERROR(VLOOKUP($U$826,'TAR FIN'!$A$1:$O$108,15,0)),0,VLOOKUP($U$826,'TAR FIN'!$A$1:$O$108,15,0))</f>
        <v>103.1</v>
      </c>
      <c r="Y826" s="6"/>
      <c r="Z826" s="6">
        <f ca="1">('TUSD BE'!$AM$63+'TUSD BF'!$AM$63+'TUSD CVA'!$AM$63)*1</f>
        <v>392.60303123039864</v>
      </c>
      <c r="AA826" s="6">
        <f>('TE BE'!$AB$43+'TE BF'!$AB$43+'TE CVA'!$AB$43)*1</f>
        <v>215.60278025898469</v>
      </c>
      <c r="AB826" s="6">
        <f>$K$826*$V$826</f>
        <v>0</v>
      </c>
      <c r="AC826" s="6">
        <f>$M$826*$W$826</f>
        <v>12383.457239999998</v>
      </c>
      <c r="AD826" s="6">
        <f>$O$826*$X$826</f>
        <v>3953.4725999999996</v>
      </c>
      <c r="AE826" s="6">
        <f>$K$826*$Y$826</f>
        <v>0</v>
      </c>
      <c r="AF826" s="6">
        <f ca="1">$M$826*$Z$826</f>
        <v>15054.755835560865</v>
      </c>
      <c r="AG826" s="6">
        <f>$O$826*$AA$826</f>
        <v>8267.5042118110268</v>
      </c>
    </row>
    <row r="827" spans="1:33" ht="11.25" customHeight="1" x14ac:dyDescent="0.25">
      <c r="A827" s="4" t="s">
        <v>21</v>
      </c>
      <c r="B827" s="4" t="s">
        <v>37</v>
      </c>
      <c r="C827" s="4" t="s">
        <v>33</v>
      </c>
      <c r="D827" s="4" t="s">
        <v>44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44743</v>
      </c>
      <c r="J827" s="6">
        <v>0</v>
      </c>
      <c r="K827" s="6">
        <v>0</v>
      </c>
      <c r="L827" s="6">
        <v>29.544</v>
      </c>
      <c r="M827" s="6">
        <v>29.544</v>
      </c>
      <c r="N827" s="6">
        <v>29.544</v>
      </c>
      <c r="O827" s="6">
        <v>29.544</v>
      </c>
      <c r="P827" s="6">
        <v>0</v>
      </c>
      <c r="Q827" s="4" t="s">
        <v>26</v>
      </c>
      <c r="R827" s="4">
        <v>0</v>
      </c>
      <c r="S827" s="6">
        <v>0</v>
      </c>
      <c r="T827" s="6">
        <v>65</v>
      </c>
      <c r="U827" s="6">
        <v>107</v>
      </c>
      <c r="V827" s="6">
        <f>IF(ISERROR(VLOOKUP($S$827,'TAR FIN'!$A$1:$O$108,15,0)),0,VLOOKUP($S$827,'TAR FIN'!$A$1:$O$108,15,0))</f>
        <v>0</v>
      </c>
      <c r="W827" s="6">
        <f>IF(ISERROR(VLOOKUP($T$827,'TAR FIN'!$A$1:$O$108,15,0)),0,VLOOKUP($T$827,'TAR FIN'!$A$1:$O$108,15,0))</f>
        <v>322.94</v>
      </c>
      <c r="X827" s="6">
        <f>IF(ISERROR(VLOOKUP($U$827,'TAR FIN'!$A$1:$O$108,15,0)),0,VLOOKUP($U$827,'TAR FIN'!$A$1:$O$108,15,0))</f>
        <v>103.1</v>
      </c>
      <c r="Y827" s="6"/>
      <c r="Z827" s="6">
        <f ca="1">('TUSD BE'!$AM$63+'TUSD BF'!$AM$63+'TUSD CVA'!$AM$63)*1</f>
        <v>392.60303123039864</v>
      </c>
      <c r="AA827" s="6">
        <f>('TE BE'!$AB$43+'TE BF'!$AB$43+'TE CVA'!$AB$43)*1</f>
        <v>215.60278025898469</v>
      </c>
      <c r="AB827" s="6">
        <f>$K$827*$V$827</f>
        <v>0</v>
      </c>
      <c r="AC827" s="6">
        <f>$M$827*$W$827</f>
        <v>9540.9393600000003</v>
      </c>
      <c r="AD827" s="6">
        <f>$O$827*$X$827</f>
        <v>3045.9863999999998</v>
      </c>
      <c r="AE827" s="6">
        <f>$K$827*$Y$827</f>
        <v>0</v>
      </c>
      <c r="AF827" s="6">
        <f ca="1">$M$827*$Z$827</f>
        <v>11599.063954670897</v>
      </c>
      <c r="AG827" s="6">
        <f>$O$827*$AA$827</f>
        <v>6369.7685399714437</v>
      </c>
    </row>
    <row r="828" spans="1:33" ht="11.25" customHeight="1" x14ac:dyDescent="0.25">
      <c r="A828" s="4" t="s">
        <v>21</v>
      </c>
      <c r="B828" s="4" t="s">
        <v>37</v>
      </c>
      <c r="C828" s="4" t="s">
        <v>33</v>
      </c>
      <c r="D828" s="4" t="s">
        <v>44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44774</v>
      </c>
      <c r="J828" s="6">
        <v>0</v>
      </c>
      <c r="K828" s="6">
        <v>0</v>
      </c>
      <c r="L828" s="6">
        <v>31.44</v>
      </c>
      <c r="M828" s="6">
        <v>31.44</v>
      </c>
      <c r="N828" s="6">
        <v>31.44</v>
      </c>
      <c r="O828" s="6">
        <v>31.44</v>
      </c>
      <c r="P828" s="6">
        <v>0</v>
      </c>
      <c r="Q828" s="4" t="s">
        <v>26</v>
      </c>
      <c r="R828" s="4">
        <v>0</v>
      </c>
      <c r="S828" s="6">
        <v>0</v>
      </c>
      <c r="T828" s="6">
        <v>65</v>
      </c>
      <c r="U828" s="6">
        <v>107</v>
      </c>
      <c r="V828" s="6">
        <f>IF(ISERROR(VLOOKUP($S$828,'TAR FIN'!$A$1:$O$108,15,0)),0,VLOOKUP($S$828,'TAR FIN'!$A$1:$O$108,15,0))</f>
        <v>0</v>
      </c>
      <c r="W828" s="6">
        <f>IF(ISERROR(VLOOKUP($T$828,'TAR FIN'!$A$1:$O$108,15,0)),0,VLOOKUP($T$828,'TAR FIN'!$A$1:$O$108,15,0))</f>
        <v>322.94</v>
      </c>
      <c r="X828" s="6">
        <f>IF(ISERROR(VLOOKUP($U$828,'TAR FIN'!$A$1:$O$108,15,0)),0,VLOOKUP($U$828,'TAR FIN'!$A$1:$O$108,15,0))</f>
        <v>103.1</v>
      </c>
      <c r="Y828" s="6"/>
      <c r="Z828" s="6">
        <f ca="1">('TUSD BE'!$AM$63+'TUSD BF'!$AM$63+'TUSD CVA'!$AM$63)*1</f>
        <v>392.60303123039864</v>
      </c>
      <c r="AA828" s="6">
        <f>('TE BE'!$AB$43+'TE BF'!$AB$43+'TE CVA'!$AB$43)*1</f>
        <v>215.60278025898469</v>
      </c>
      <c r="AB828" s="6">
        <f>$K$828*$V$828</f>
        <v>0</v>
      </c>
      <c r="AC828" s="6">
        <f>$M$828*$W$828</f>
        <v>10153.2336</v>
      </c>
      <c r="AD828" s="6">
        <f>$O$828*$X$828</f>
        <v>3241.4639999999999</v>
      </c>
      <c r="AE828" s="6">
        <f>$K$828*$Y$828</f>
        <v>0</v>
      </c>
      <c r="AF828" s="6">
        <f ca="1">$M$828*$Z$828</f>
        <v>12343.439301883735</v>
      </c>
      <c r="AG828" s="6">
        <f>$O$828*$AA$828</f>
        <v>6778.5514113424788</v>
      </c>
    </row>
    <row r="829" spans="1:33" ht="11.25" customHeight="1" x14ac:dyDescent="0.25">
      <c r="A829" s="4" t="s">
        <v>21</v>
      </c>
      <c r="B829" s="4" t="s">
        <v>37</v>
      </c>
      <c r="C829" s="4" t="s">
        <v>33</v>
      </c>
      <c r="D829" s="4" t="s">
        <v>44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44805</v>
      </c>
      <c r="J829" s="6">
        <v>0</v>
      </c>
      <c r="K829" s="6">
        <v>0</v>
      </c>
      <c r="L829" s="6">
        <v>41.100999999999999</v>
      </c>
      <c r="M829" s="6">
        <v>41.100999999999999</v>
      </c>
      <c r="N829" s="6">
        <v>41.100999999999999</v>
      </c>
      <c r="O829" s="6">
        <v>41.100999999999999</v>
      </c>
      <c r="P829" s="6">
        <v>0</v>
      </c>
      <c r="Q829" s="4" t="s">
        <v>26</v>
      </c>
      <c r="R829" s="4">
        <v>0</v>
      </c>
      <c r="S829" s="6">
        <v>0</v>
      </c>
      <c r="T829" s="6">
        <v>65</v>
      </c>
      <c r="U829" s="6">
        <v>107</v>
      </c>
      <c r="V829" s="6">
        <f>IF(ISERROR(VLOOKUP($S$829,'TAR FIN'!$A$1:$O$108,15,0)),0,VLOOKUP($S$829,'TAR FIN'!$A$1:$O$108,15,0))</f>
        <v>0</v>
      </c>
      <c r="W829" s="6">
        <f>IF(ISERROR(VLOOKUP($T$829,'TAR FIN'!$A$1:$O$108,15,0)),0,VLOOKUP($T$829,'TAR FIN'!$A$1:$O$108,15,0))</f>
        <v>322.94</v>
      </c>
      <c r="X829" s="6">
        <f>IF(ISERROR(VLOOKUP($U$829,'TAR FIN'!$A$1:$O$108,15,0)),0,VLOOKUP($U$829,'TAR FIN'!$A$1:$O$108,15,0))</f>
        <v>103.1</v>
      </c>
      <c r="Y829" s="6"/>
      <c r="Z829" s="6">
        <f ca="1">('TUSD BE'!$AM$63+'TUSD BF'!$AM$63+'TUSD CVA'!$AM$63)*1</f>
        <v>392.60303123039864</v>
      </c>
      <c r="AA829" s="6">
        <f>('TE BE'!$AB$43+'TE BF'!$AB$43+'TE CVA'!$AB$43)*1</f>
        <v>215.60278025898469</v>
      </c>
      <c r="AB829" s="6">
        <f>$K$829*$V$829</f>
        <v>0</v>
      </c>
      <c r="AC829" s="6">
        <f>$M$829*$W$829</f>
        <v>13273.156939999999</v>
      </c>
      <c r="AD829" s="6">
        <f>$O$829*$X$829</f>
        <v>4237.5131000000001</v>
      </c>
      <c r="AE829" s="6">
        <f>$K$829*$Y$829</f>
        <v>0</v>
      </c>
      <c r="AF829" s="6">
        <f ca="1">$M$829*$Z$829</f>
        <v>16136.377186600614</v>
      </c>
      <c r="AG829" s="6">
        <f>$O$829*$AA$829</f>
        <v>8861.4898714245301</v>
      </c>
    </row>
    <row r="830" spans="1:33" ht="11.25" customHeight="1" x14ac:dyDescent="0.25">
      <c r="A830" s="4" t="s">
        <v>21</v>
      </c>
      <c r="B830" s="4" t="s">
        <v>37</v>
      </c>
      <c r="C830" s="4" t="s">
        <v>33</v>
      </c>
      <c r="D830" s="4" t="s">
        <v>44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44835</v>
      </c>
      <c r="J830" s="6">
        <v>0</v>
      </c>
      <c r="K830" s="6">
        <v>0</v>
      </c>
      <c r="L830" s="6">
        <v>76.043000000000006</v>
      </c>
      <c r="M830" s="6">
        <v>76.043000000000006</v>
      </c>
      <c r="N830" s="6">
        <v>76.043000000000006</v>
      </c>
      <c r="O830" s="6">
        <v>76.043000000000006</v>
      </c>
      <c r="P830" s="6">
        <v>0</v>
      </c>
      <c r="Q830" s="4" t="s">
        <v>26</v>
      </c>
      <c r="R830" s="4">
        <v>0</v>
      </c>
      <c r="S830" s="6">
        <v>0</v>
      </c>
      <c r="T830" s="6">
        <v>65</v>
      </c>
      <c r="U830" s="6">
        <v>107</v>
      </c>
      <c r="V830" s="6">
        <f>IF(ISERROR(VLOOKUP($S$830,'TAR FIN'!$A$1:$O$108,15,0)),0,VLOOKUP($S$830,'TAR FIN'!$A$1:$O$108,15,0))</f>
        <v>0</v>
      </c>
      <c r="W830" s="6">
        <f>IF(ISERROR(VLOOKUP($T$830,'TAR FIN'!$A$1:$O$108,15,0)),0,VLOOKUP($T$830,'TAR FIN'!$A$1:$O$108,15,0))</f>
        <v>322.94</v>
      </c>
      <c r="X830" s="6">
        <f>IF(ISERROR(VLOOKUP($U$830,'TAR FIN'!$A$1:$O$108,15,0)),0,VLOOKUP($U$830,'TAR FIN'!$A$1:$O$108,15,0))</f>
        <v>103.1</v>
      </c>
      <c r="Y830" s="6"/>
      <c r="Z830" s="6">
        <f ca="1">('TUSD BE'!$AM$63+'TUSD BF'!$AM$63+'TUSD CVA'!$AM$63)*1</f>
        <v>392.60303123039864</v>
      </c>
      <c r="AA830" s="6">
        <f>('TE BE'!$AB$43+'TE BF'!$AB$43+'TE CVA'!$AB$43)*1</f>
        <v>215.60278025898469</v>
      </c>
      <c r="AB830" s="6">
        <f>$K$830*$V$830</f>
        <v>0</v>
      </c>
      <c r="AC830" s="6">
        <f>$M$830*$W$830</f>
        <v>24557.326420000001</v>
      </c>
      <c r="AD830" s="6">
        <f>$O$830*$X$830</f>
        <v>7840.0333000000001</v>
      </c>
      <c r="AE830" s="6">
        <f>$K$830*$Y$830</f>
        <v>0</v>
      </c>
      <c r="AF830" s="6">
        <f ca="1">$M$830*$Z$830</f>
        <v>29854.712303853208</v>
      </c>
      <c r="AG830" s="6">
        <f>$O$830*$AA$830</f>
        <v>16395.082219233973</v>
      </c>
    </row>
    <row r="831" spans="1:33" ht="11.25" customHeight="1" x14ac:dyDescent="0.25">
      <c r="A831" s="4" t="s">
        <v>54</v>
      </c>
      <c r="B831" s="4" t="s">
        <v>37</v>
      </c>
      <c r="C831" s="4" t="s">
        <v>33</v>
      </c>
      <c r="D831" s="4" t="s">
        <v>44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44866</v>
      </c>
      <c r="J831" s="6">
        <v>0</v>
      </c>
      <c r="K831" s="6">
        <v>0</v>
      </c>
      <c r="L831" s="6">
        <v>76.043000000000006</v>
      </c>
      <c r="M831" s="6">
        <v>76.043000000000006</v>
      </c>
      <c r="N831" s="6">
        <v>76.043000000000006</v>
      </c>
      <c r="O831" s="6">
        <v>76.043000000000006</v>
      </c>
      <c r="P831" s="6">
        <v>0</v>
      </c>
      <c r="Q831" s="4" t="s">
        <v>26</v>
      </c>
      <c r="R831" s="4">
        <v>0</v>
      </c>
      <c r="S831" s="6">
        <v>0</v>
      </c>
      <c r="T831" s="6">
        <v>65</v>
      </c>
      <c r="U831" s="6">
        <v>107</v>
      </c>
      <c r="V831" s="6">
        <f>IF(ISERROR(VLOOKUP($S$831,'TAR FIN'!$A$1:$O$108,15,0)),0,VLOOKUP($S$831,'TAR FIN'!$A$1:$O$108,15,0))</f>
        <v>0</v>
      </c>
      <c r="W831" s="6">
        <f>IF(ISERROR(VLOOKUP($T$831,'TAR FIN'!$A$1:$O$108,15,0)),0,VLOOKUP($T$831,'TAR FIN'!$A$1:$O$108,15,0))</f>
        <v>322.94</v>
      </c>
      <c r="X831" s="6">
        <f>IF(ISERROR(VLOOKUP($U$831,'TAR FIN'!$A$1:$O$108,15,0)),0,VLOOKUP($U$831,'TAR FIN'!$A$1:$O$108,15,0))</f>
        <v>103.1</v>
      </c>
      <c r="Y831" s="6"/>
      <c r="Z831" s="6">
        <f ca="1">('TUSD BE'!$AM$63+'TUSD BF'!$AM$63+'TUSD CVA'!$AM$63)*1</f>
        <v>392.60303123039864</v>
      </c>
      <c r="AA831" s="6">
        <f>('TE BE'!$AB$43+'TE BF'!$AB$43+'TE CVA'!$AB$43)*1</f>
        <v>215.60278025898469</v>
      </c>
      <c r="AB831" s="6">
        <f>$K$831*$V$831</f>
        <v>0</v>
      </c>
      <c r="AC831" s="6">
        <f>$M$831*$W$831</f>
        <v>24557.326420000001</v>
      </c>
      <c r="AD831" s="6">
        <f>$O$831*$X$831</f>
        <v>7840.0333000000001</v>
      </c>
      <c r="AE831" s="6">
        <f>$K$831*$Y$831</f>
        <v>0</v>
      </c>
      <c r="AF831" s="6">
        <f ca="1">$M$831*$Z$831</f>
        <v>29854.712303853208</v>
      </c>
      <c r="AG831" s="6">
        <f>$O$831*$AA$831</f>
        <v>16395.082219233973</v>
      </c>
    </row>
    <row r="832" spans="1:33" ht="11.25" customHeight="1" x14ac:dyDescent="0.25">
      <c r="A832" s="4" t="s">
        <v>21</v>
      </c>
      <c r="B832" s="4" t="s">
        <v>37</v>
      </c>
      <c r="C832" s="4" t="s">
        <v>33</v>
      </c>
      <c r="D832" s="4" t="s">
        <v>44</v>
      </c>
      <c r="E832" s="4" t="s">
        <v>25</v>
      </c>
      <c r="F832" s="4" t="s">
        <v>25</v>
      </c>
      <c r="G832" s="4" t="s">
        <v>25</v>
      </c>
      <c r="H832" s="4" t="s">
        <v>36</v>
      </c>
      <c r="I832" s="5">
        <v>44531</v>
      </c>
      <c r="J832" s="6">
        <v>0</v>
      </c>
      <c r="K832" s="6">
        <v>0</v>
      </c>
      <c r="L832" s="6">
        <v>2.21</v>
      </c>
      <c r="M832" s="6">
        <v>2.21</v>
      </c>
      <c r="N832" s="6">
        <v>2.21</v>
      </c>
      <c r="O832" s="6">
        <v>2.21</v>
      </c>
      <c r="P832" s="6">
        <v>0</v>
      </c>
      <c r="Q832" s="4" t="s">
        <v>26</v>
      </c>
      <c r="R832" s="4">
        <v>0</v>
      </c>
      <c r="S832" s="6">
        <v>0</v>
      </c>
      <c r="T832" s="6">
        <v>64</v>
      </c>
      <c r="U832" s="6">
        <v>106</v>
      </c>
      <c r="V832" s="6">
        <f>IF(ISERROR(VLOOKUP($S$832,'TAR FIN'!$A$1:$O$108,15,0)),0,VLOOKUP($S$832,'TAR FIN'!$A$1:$O$108,15,0))</f>
        <v>0</v>
      </c>
      <c r="W832" s="6">
        <f>IF(ISERROR(VLOOKUP($T$832,'TAR FIN'!$A$1:$O$108,15,0)),0,VLOOKUP($T$832,'TAR FIN'!$A$1:$O$108,15,0))</f>
        <v>728.11</v>
      </c>
      <c r="X832" s="6">
        <f>IF(ISERROR(VLOOKUP($U$832,'TAR FIN'!$A$1:$O$108,15,0)),0,VLOOKUP($U$832,'TAR FIN'!$A$1:$O$108,15,0))</f>
        <v>103.1</v>
      </c>
      <c r="Y832" s="6"/>
      <c r="Z832" s="6">
        <f ca="1">('TUSD BE'!$AM$62+'TUSD BF'!$AM$62+'TUSD CVA'!$AM$62)*1</f>
        <v>781.0767281755011</v>
      </c>
      <c r="AA832" s="6">
        <f>('TE BE'!$AB$42+'TE BF'!$AB$42+'TE CVA'!$AB$42)*1</f>
        <v>215.60278025898469</v>
      </c>
      <c r="AB832" s="6">
        <f>$K$832*$V$832</f>
        <v>0</v>
      </c>
      <c r="AC832" s="6">
        <f>$M$832*$W$832</f>
        <v>1609.1231</v>
      </c>
      <c r="AD832" s="6">
        <f>$O$832*$X$832</f>
        <v>227.85099999999997</v>
      </c>
      <c r="AE832" s="6">
        <f>$K$832*$Y$832</f>
        <v>0</v>
      </c>
      <c r="AF832" s="6">
        <f ca="1">$M$832*$Z$832</f>
        <v>1726.1795692678575</v>
      </c>
      <c r="AG832" s="6">
        <f>$O$832*$AA$832</f>
        <v>476.48214437235617</v>
      </c>
    </row>
    <row r="833" spans="1:33" ht="11.25" customHeight="1" x14ac:dyDescent="0.25">
      <c r="A833" s="4" t="s">
        <v>21</v>
      </c>
      <c r="B833" s="4" t="s">
        <v>37</v>
      </c>
      <c r="C833" s="4" t="s">
        <v>33</v>
      </c>
      <c r="D833" s="4" t="s">
        <v>44</v>
      </c>
      <c r="E833" s="4" t="s">
        <v>25</v>
      </c>
      <c r="F833" s="4" t="s">
        <v>25</v>
      </c>
      <c r="G833" s="4" t="s">
        <v>25</v>
      </c>
      <c r="H833" s="4" t="s">
        <v>36</v>
      </c>
      <c r="I833" s="5">
        <v>44562</v>
      </c>
      <c r="J833" s="6">
        <v>0</v>
      </c>
      <c r="K833" s="6">
        <v>0</v>
      </c>
      <c r="L833" s="6">
        <v>2.032</v>
      </c>
      <c r="M833" s="6">
        <v>2.032</v>
      </c>
      <c r="N833" s="6">
        <v>2.032</v>
      </c>
      <c r="O833" s="6">
        <v>2.032</v>
      </c>
      <c r="P833" s="6">
        <v>0</v>
      </c>
      <c r="Q833" s="4" t="s">
        <v>26</v>
      </c>
      <c r="R833" s="4">
        <v>0</v>
      </c>
      <c r="S833" s="6">
        <v>0</v>
      </c>
      <c r="T833" s="6">
        <v>64</v>
      </c>
      <c r="U833" s="6">
        <v>106</v>
      </c>
      <c r="V833" s="6">
        <f>IF(ISERROR(VLOOKUP($S$833,'TAR FIN'!$A$1:$O$108,15,0)),0,VLOOKUP($S$833,'TAR FIN'!$A$1:$O$108,15,0))</f>
        <v>0</v>
      </c>
      <c r="W833" s="6">
        <f>IF(ISERROR(VLOOKUP($T$833,'TAR FIN'!$A$1:$O$108,15,0)),0,VLOOKUP($T$833,'TAR FIN'!$A$1:$O$108,15,0))</f>
        <v>728.11</v>
      </c>
      <c r="X833" s="6">
        <f>IF(ISERROR(VLOOKUP($U$833,'TAR FIN'!$A$1:$O$108,15,0)),0,VLOOKUP($U$833,'TAR FIN'!$A$1:$O$108,15,0))</f>
        <v>103.1</v>
      </c>
      <c r="Y833" s="6"/>
      <c r="Z833" s="6">
        <f ca="1">('TUSD BE'!$AM$62+'TUSD BF'!$AM$62+'TUSD CVA'!$AM$62)*1</f>
        <v>781.0767281755011</v>
      </c>
      <c r="AA833" s="6">
        <f>('TE BE'!$AB$42+'TE BF'!$AB$42+'TE CVA'!$AB$42)*1</f>
        <v>215.60278025898469</v>
      </c>
      <c r="AB833" s="6">
        <f>$K$833*$V$833</f>
        <v>0</v>
      </c>
      <c r="AC833" s="6">
        <f>$M$833*$W$833</f>
        <v>1479.5195200000001</v>
      </c>
      <c r="AD833" s="6">
        <f>$O$833*$X$833</f>
        <v>209.4992</v>
      </c>
      <c r="AE833" s="6">
        <f>$K$833*$Y$833</f>
        <v>0</v>
      </c>
      <c r="AF833" s="6">
        <f ca="1">$M$833*$Z$833</f>
        <v>1587.1479116526182</v>
      </c>
      <c r="AG833" s="6">
        <f>$O$833*$AA$833</f>
        <v>438.10484948625691</v>
      </c>
    </row>
    <row r="834" spans="1:33" ht="11.25" customHeight="1" x14ac:dyDescent="0.25">
      <c r="A834" s="4" t="s">
        <v>21</v>
      </c>
      <c r="B834" s="4" t="s">
        <v>37</v>
      </c>
      <c r="C834" s="4" t="s">
        <v>33</v>
      </c>
      <c r="D834" s="4" t="s">
        <v>44</v>
      </c>
      <c r="E834" s="4" t="s">
        <v>25</v>
      </c>
      <c r="F834" s="4" t="s">
        <v>25</v>
      </c>
      <c r="G834" s="4" t="s">
        <v>25</v>
      </c>
      <c r="H834" s="4" t="s">
        <v>36</v>
      </c>
      <c r="I834" s="5">
        <v>44593</v>
      </c>
      <c r="J834" s="6">
        <v>0</v>
      </c>
      <c r="K834" s="6">
        <v>0</v>
      </c>
      <c r="L834" s="6">
        <v>1.68</v>
      </c>
      <c r="M834" s="6">
        <v>1.68</v>
      </c>
      <c r="N834" s="6">
        <v>1.68</v>
      </c>
      <c r="O834" s="6">
        <v>1.68</v>
      </c>
      <c r="P834" s="6">
        <v>0</v>
      </c>
      <c r="Q834" s="4" t="s">
        <v>26</v>
      </c>
      <c r="R834" s="4">
        <v>0</v>
      </c>
      <c r="S834" s="6">
        <v>0</v>
      </c>
      <c r="T834" s="6">
        <v>64</v>
      </c>
      <c r="U834" s="6">
        <v>106</v>
      </c>
      <c r="V834" s="6">
        <f>IF(ISERROR(VLOOKUP($S$834,'TAR FIN'!$A$1:$O$108,15,0)),0,VLOOKUP($S$834,'TAR FIN'!$A$1:$O$108,15,0))</f>
        <v>0</v>
      </c>
      <c r="W834" s="6">
        <f>IF(ISERROR(VLOOKUP($T$834,'TAR FIN'!$A$1:$O$108,15,0)),0,VLOOKUP($T$834,'TAR FIN'!$A$1:$O$108,15,0))</f>
        <v>728.11</v>
      </c>
      <c r="X834" s="6">
        <f>IF(ISERROR(VLOOKUP($U$834,'TAR FIN'!$A$1:$O$108,15,0)),0,VLOOKUP($U$834,'TAR FIN'!$A$1:$O$108,15,0))</f>
        <v>103.1</v>
      </c>
      <c r="Y834" s="6"/>
      <c r="Z834" s="6">
        <f ca="1">('TUSD BE'!$AM$62+'TUSD BF'!$AM$62+'TUSD CVA'!$AM$62)*1</f>
        <v>781.0767281755011</v>
      </c>
      <c r="AA834" s="6">
        <f>('TE BE'!$AB$42+'TE BF'!$AB$42+'TE CVA'!$AB$42)*1</f>
        <v>215.60278025898469</v>
      </c>
      <c r="AB834" s="6">
        <f>$K$834*$V$834</f>
        <v>0</v>
      </c>
      <c r="AC834" s="6">
        <f>$M$834*$W$834</f>
        <v>1223.2248</v>
      </c>
      <c r="AD834" s="6">
        <f>$O$834*$X$834</f>
        <v>173.20799999999997</v>
      </c>
      <c r="AE834" s="6">
        <f>$K$834*$Y$834</f>
        <v>0</v>
      </c>
      <c r="AF834" s="6">
        <f ca="1">$M$834*$Z$834</f>
        <v>1312.2089033348418</v>
      </c>
      <c r="AG834" s="6">
        <f>$O$834*$AA$834</f>
        <v>362.21267083509429</v>
      </c>
    </row>
    <row r="835" spans="1:33" ht="11.25" customHeight="1" x14ac:dyDescent="0.25">
      <c r="A835" s="4" t="s">
        <v>21</v>
      </c>
      <c r="B835" s="4" t="s">
        <v>37</v>
      </c>
      <c r="C835" s="4" t="s">
        <v>33</v>
      </c>
      <c r="D835" s="4" t="s">
        <v>44</v>
      </c>
      <c r="E835" s="4" t="s">
        <v>25</v>
      </c>
      <c r="F835" s="4" t="s">
        <v>25</v>
      </c>
      <c r="G835" s="4" t="s">
        <v>25</v>
      </c>
      <c r="H835" s="4" t="s">
        <v>36</v>
      </c>
      <c r="I835" s="5">
        <v>44621</v>
      </c>
      <c r="J835" s="6">
        <v>0</v>
      </c>
      <c r="K835" s="6">
        <v>0</v>
      </c>
      <c r="L835" s="6">
        <v>1.569</v>
      </c>
      <c r="M835" s="6">
        <v>1.569</v>
      </c>
      <c r="N835" s="6">
        <v>1.569</v>
      </c>
      <c r="O835" s="6">
        <v>1.569</v>
      </c>
      <c r="P835" s="6">
        <v>0</v>
      </c>
      <c r="Q835" s="4" t="s">
        <v>26</v>
      </c>
      <c r="R835" s="4">
        <v>0</v>
      </c>
      <c r="S835" s="6">
        <v>0</v>
      </c>
      <c r="T835" s="6">
        <v>64</v>
      </c>
      <c r="U835" s="6">
        <v>106</v>
      </c>
      <c r="V835" s="6">
        <f>IF(ISERROR(VLOOKUP($S$835,'TAR FIN'!$A$1:$O$108,15,0)),0,VLOOKUP($S$835,'TAR FIN'!$A$1:$O$108,15,0))</f>
        <v>0</v>
      </c>
      <c r="W835" s="6">
        <f>IF(ISERROR(VLOOKUP($T$835,'TAR FIN'!$A$1:$O$108,15,0)),0,VLOOKUP($T$835,'TAR FIN'!$A$1:$O$108,15,0))</f>
        <v>728.11</v>
      </c>
      <c r="X835" s="6">
        <f>IF(ISERROR(VLOOKUP($U$835,'TAR FIN'!$A$1:$O$108,15,0)),0,VLOOKUP($U$835,'TAR FIN'!$A$1:$O$108,15,0))</f>
        <v>103.1</v>
      </c>
      <c r="Y835" s="6"/>
      <c r="Z835" s="6">
        <f ca="1">('TUSD BE'!$AM$62+'TUSD BF'!$AM$62+'TUSD CVA'!$AM$62)*1</f>
        <v>781.0767281755011</v>
      </c>
      <c r="AA835" s="6">
        <f>('TE BE'!$AB$42+'TE BF'!$AB$42+'TE CVA'!$AB$42)*1</f>
        <v>215.60278025898469</v>
      </c>
      <c r="AB835" s="6">
        <f>$K$835*$V$835</f>
        <v>0</v>
      </c>
      <c r="AC835" s="6">
        <f>$M$835*$W$835</f>
        <v>1142.4045900000001</v>
      </c>
      <c r="AD835" s="6">
        <f>$O$835*$X$835</f>
        <v>161.76389999999998</v>
      </c>
      <c r="AE835" s="6">
        <f>$K$835*$Y$835</f>
        <v>0</v>
      </c>
      <c r="AF835" s="6">
        <f ca="1">$M$835*$Z$835</f>
        <v>1225.5093865073611</v>
      </c>
      <c r="AG835" s="6">
        <f>$O$835*$AA$835</f>
        <v>338.28076222634695</v>
      </c>
    </row>
    <row r="836" spans="1:33" ht="11.25" customHeight="1" x14ac:dyDescent="0.25">
      <c r="A836" s="4" t="s">
        <v>21</v>
      </c>
      <c r="B836" s="4" t="s">
        <v>37</v>
      </c>
      <c r="C836" s="4" t="s">
        <v>33</v>
      </c>
      <c r="D836" s="4" t="s">
        <v>44</v>
      </c>
      <c r="E836" s="4" t="s">
        <v>25</v>
      </c>
      <c r="F836" s="4" t="s">
        <v>25</v>
      </c>
      <c r="G836" s="4" t="s">
        <v>25</v>
      </c>
      <c r="H836" s="4" t="s">
        <v>36</v>
      </c>
      <c r="I836" s="5">
        <v>44652</v>
      </c>
      <c r="J836" s="6">
        <v>0</v>
      </c>
      <c r="K836" s="6">
        <v>0</v>
      </c>
      <c r="L836" s="6">
        <v>1.7370000000000001</v>
      </c>
      <c r="M836" s="6">
        <v>1.7370000000000001</v>
      </c>
      <c r="N836" s="6">
        <v>1.7370000000000001</v>
      </c>
      <c r="O836" s="6">
        <v>1.7370000000000001</v>
      </c>
      <c r="P836" s="6">
        <v>0</v>
      </c>
      <c r="Q836" s="4" t="s">
        <v>26</v>
      </c>
      <c r="R836" s="4">
        <v>0</v>
      </c>
      <c r="S836" s="6">
        <v>0</v>
      </c>
      <c r="T836" s="6">
        <v>64</v>
      </c>
      <c r="U836" s="6">
        <v>106</v>
      </c>
      <c r="V836" s="6">
        <f>IF(ISERROR(VLOOKUP($S$836,'TAR FIN'!$A$1:$O$108,15,0)),0,VLOOKUP($S$836,'TAR FIN'!$A$1:$O$108,15,0))</f>
        <v>0</v>
      </c>
      <c r="W836" s="6">
        <f>IF(ISERROR(VLOOKUP($T$836,'TAR FIN'!$A$1:$O$108,15,0)),0,VLOOKUP($T$836,'TAR FIN'!$A$1:$O$108,15,0))</f>
        <v>728.11</v>
      </c>
      <c r="X836" s="6">
        <f>IF(ISERROR(VLOOKUP($U$836,'TAR FIN'!$A$1:$O$108,15,0)),0,VLOOKUP($U$836,'TAR FIN'!$A$1:$O$108,15,0))</f>
        <v>103.1</v>
      </c>
      <c r="Y836" s="6"/>
      <c r="Z836" s="6">
        <f ca="1">('TUSD BE'!$AM$62+'TUSD BF'!$AM$62+'TUSD CVA'!$AM$62)*1</f>
        <v>781.0767281755011</v>
      </c>
      <c r="AA836" s="6">
        <f>('TE BE'!$AB$42+'TE BF'!$AB$42+'TE CVA'!$AB$42)*1</f>
        <v>215.60278025898469</v>
      </c>
      <c r="AB836" s="6">
        <f>$K$836*$V$836</f>
        <v>0</v>
      </c>
      <c r="AC836" s="6">
        <f>$M$836*$W$836</f>
        <v>1264.7270700000001</v>
      </c>
      <c r="AD836" s="6">
        <f>$O$836*$X$836</f>
        <v>179.0847</v>
      </c>
      <c r="AE836" s="6">
        <f>$K$836*$Y$836</f>
        <v>0</v>
      </c>
      <c r="AF836" s="6">
        <f ca="1">$M$836*$Z$836</f>
        <v>1356.7302768408456</v>
      </c>
      <c r="AG836" s="6">
        <f>$O$836*$AA$836</f>
        <v>374.50202930985643</v>
      </c>
    </row>
    <row r="837" spans="1:33" ht="11.25" customHeight="1" x14ac:dyDescent="0.25">
      <c r="A837" s="4" t="s">
        <v>21</v>
      </c>
      <c r="B837" s="4" t="s">
        <v>37</v>
      </c>
      <c r="C837" s="4" t="s">
        <v>33</v>
      </c>
      <c r="D837" s="4" t="s">
        <v>44</v>
      </c>
      <c r="E837" s="4" t="s">
        <v>25</v>
      </c>
      <c r="F837" s="4" t="s">
        <v>25</v>
      </c>
      <c r="G837" s="4" t="s">
        <v>25</v>
      </c>
      <c r="H837" s="4" t="s">
        <v>36</v>
      </c>
      <c r="I837" s="5">
        <v>44682</v>
      </c>
      <c r="J837" s="6">
        <v>0</v>
      </c>
      <c r="K837" s="6">
        <v>0</v>
      </c>
      <c r="L837" s="6">
        <v>1.5620000000000001</v>
      </c>
      <c r="M837" s="6">
        <v>1.5620000000000001</v>
      </c>
      <c r="N837" s="6">
        <v>1.5620000000000001</v>
      </c>
      <c r="O837" s="6">
        <v>1.5620000000000001</v>
      </c>
      <c r="P837" s="6">
        <v>0</v>
      </c>
      <c r="Q837" s="4" t="s">
        <v>26</v>
      </c>
      <c r="R837" s="4">
        <v>0</v>
      </c>
      <c r="S837" s="6">
        <v>0</v>
      </c>
      <c r="T837" s="6">
        <v>64</v>
      </c>
      <c r="U837" s="6">
        <v>106</v>
      </c>
      <c r="V837" s="6">
        <f>IF(ISERROR(VLOOKUP($S$837,'TAR FIN'!$A$1:$O$108,15,0)),0,VLOOKUP($S$837,'TAR FIN'!$A$1:$O$108,15,0))</f>
        <v>0</v>
      </c>
      <c r="W837" s="6">
        <f>IF(ISERROR(VLOOKUP($T$837,'TAR FIN'!$A$1:$O$108,15,0)),0,VLOOKUP($T$837,'TAR FIN'!$A$1:$O$108,15,0))</f>
        <v>728.11</v>
      </c>
      <c r="X837" s="6">
        <f>IF(ISERROR(VLOOKUP($U$837,'TAR FIN'!$A$1:$O$108,15,0)),0,VLOOKUP($U$837,'TAR FIN'!$A$1:$O$108,15,0))</f>
        <v>103.1</v>
      </c>
      <c r="Y837" s="6"/>
      <c r="Z837" s="6">
        <f ca="1">('TUSD BE'!$AM$62+'TUSD BF'!$AM$62+'TUSD CVA'!$AM$62)*1</f>
        <v>781.0767281755011</v>
      </c>
      <c r="AA837" s="6">
        <f>('TE BE'!$AB$42+'TE BF'!$AB$42+'TE CVA'!$AB$42)*1</f>
        <v>215.60278025898469</v>
      </c>
      <c r="AB837" s="6">
        <f>$K$837*$V$837</f>
        <v>0</v>
      </c>
      <c r="AC837" s="6">
        <f>$M$837*$W$837</f>
        <v>1137.30782</v>
      </c>
      <c r="AD837" s="6">
        <f>$O$837*$X$837</f>
        <v>161.04220000000001</v>
      </c>
      <c r="AE837" s="6">
        <f>$K$837*$Y$837</f>
        <v>0</v>
      </c>
      <c r="AF837" s="6">
        <f ca="1">$M$837*$Z$837</f>
        <v>1220.0418494101327</v>
      </c>
      <c r="AG837" s="6">
        <f>$O$837*$AA$837</f>
        <v>336.7715427645341</v>
      </c>
    </row>
    <row r="838" spans="1:33" ht="11.25" customHeight="1" x14ac:dyDescent="0.25">
      <c r="A838" s="4" t="s">
        <v>21</v>
      </c>
      <c r="B838" s="4" t="s">
        <v>37</v>
      </c>
      <c r="C838" s="4" t="s">
        <v>33</v>
      </c>
      <c r="D838" s="4" t="s">
        <v>44</v>
      </c>
      <c r="E838" s="4" t="s">
        <v>25</v>
      </c>
      <c r="F838" s="4" t="s">
        <v>25</v>
      </c>
      <c r="G838" s="4" t="s">
        <v>25</v>
      </c>
      <c r="H838" s="4" t="s">
        <v>36</v>
      </c>
      <c r="I838" s="5">
        <v>44713</v>
      </c>
      <c r="J838" s="6">
        <v>0</v>
      </c>
      <c r="K838" s="6">
        <v>0</v>
      </c>
      <c r="L838" s="6">
        <v>2.0369999999999999</v>
      </c>
      <c r="M838" s="6">
        <v>2.0369999999999999</v>
      </c>
      <c r="N838" s="6">
        <v>2.0369999999999999</v>
      </c>
      <c r="O838" s="6">
        <v>2.0369999999999999</v>
      </c>
      <c r="P838" s="6">
        <v>0</v>
      </c>
      <c r="Q838" s="4" t="s">
        <v>26</v>
      </c>
      <c r="R838" s="4">
        <v>0</v>
      </c>
      <c r="S838" s="6">
        <v>0</v>
      </c>
      <c r="T838" s="6">
        <v>64</v>
      </c>
      <c r="U838" s="6">
        <v>106</v>
      </c>
      <c r="V838" s="6">
        <f>IF(ISERROR(VLOOKUP($S$838,'TAR FIN'!$A$1:$O$108,15,0)),0,VLOOKUP($S$838,'TAR FIN'!$A$1:$O$108,15,0))</f>
        <v>0</v>
      </c>
      <c r="W838" s="6">
        <f>IF(ISERROR(VLOOKUP($T$838,'TAR FIN'!$A$1:$O$108,15,0)),0,VLOOKUP($T$838,'TAR FIN'!$A$1:$O$108,15,0))</f>
        <v>728.11</v>
      </c>
      <c r="X838" s="6">
        <f>IF(ISERROR(VLOOKUP($U$838,'TAR FIN'!$A$1:$O$108,15,0)),0,VLOOKUP($U$838,'TAR FIN'!$A$1:$O$108,15,0))</f>
        <v>103.1</v>
      </c>
      <c r="Y838" s="6"/>
      <c r="Z838" s="6">
        <f ca="1">('TUSD BE'!$AM$62+'TUSD BF'!$AM$62+'TUSD CVA'!$AM$62)*1</f>
        <v>781.0767281755011</v>
      </c>
      <c r="AA838" s="6">
        <f>('TE BE'!$AB$42+'TE BF'!$AB$42+'TE CVA'!$AB$42)*1</f>
        <v>215.60278025898469</v>
      </c>
      <c r="AB838" s="6">
        <f>$K$838*$V$838</f>
        <v>0</v>
      </c>
      <c r="AC838" s="6">
        <f>$M$838*$W$838</f>
        <v>1483.1600699999999</v>
      </c>
      <c r="AD838" s="6">
        <f>$O$838*$X$838</f>
        <v>210.01469999999998</v>
      </c>
      <c r="AE838" s="6">
        <f>$K$838*$Y$838</f>
        <v>0</v>
      </c>
      <c r="AF838" s="6">
        <f ca="1">$M$838*$Z$838</f>
        <v>1591.0532952934957</v>
      </c>
      <c r="AG838" s="6">
        <f>$O$838*$AA$838</f>
        <v>439.18286338755183</v>
      </c>
    </row>
    <row r="839" spans="1:33" ht="11.25" customHeight="1" x14ac:dyDescent="0.25">
      <c r="A839" s="4" t="s">
        <v>21</v>
      </c>
      <c r="B839" s="4" t="s">
        <v>37</v>
      </c>
      <c r="C839" s="4" t="s">
        <v>33</v>
      </c>
      <c r="D839" s="4" t="s">
        <v>44</v>
      </c>
      <c r="E839" s="4" t="s">
        <v>25</v>
      </c>
      <c r="F839" s="4" t="s">
        <v>25</v>
      </c>
      <c r="G839" s="4" t="s">
        <v>25</v>
      </c>
      <c r="H839" s="4" t="s">
        <v>36</v>
      </c>
      <c r="I839" s="5">
        <v>44743</v>
      </c>
      <c r="J839" s="6">
        <v>0</v>
      </c>
      <c r="K839" s="6">
        <v>0</v>
      </c>
      <c r="L839" s="6">
        <v>1.264</v>
      </c>
      <c r="M839" s="6">
        <v>1.264</v>
      </c>
      <c r="N839" s="6">
        <v>1.264</v>
      </c>
      <c r="O839" s="6">
        <v>1.264</v>
      </c>
      <c r="P839" s="6">
        <v>0</v>
      </c>
      <c r="Q839" s="4" t="s">
        <v>26</v>
      </c>
      <c r="R839" s="4">
        <v>0</v>
      </c>
      <c r="S839" s="6">
        <v>0</v>
      </c>
      <c r="T839" s="6">
        <v>64</v>
      </c>
      <c r="U839" s="6">
        <v>106</v>
      </c>
      <c r="V839" s="6">
        <f>IF(ISERROR(VLOOKUP($S$839,'TAR FIN'!$A$1:$O$108,15,0)),0,VLOOKUP($S$839,'TAR FIN'!$A$1:$O$108,15,0))</f>
        <v>0</v>
      </c>
      <c r="W839" s="6">
        <f>IF(ISERROR(VLOOKUP($T$839,'TAR FIN'!$A$1:$O$108,15,0)),0,VLOOKUP($T$839,'TAR FIN'!$A$1:$O$108,15,0))</f>
        <v>728.11</v>
      </c>
      <c r="X839" s="6">
        <f>IF(ISERROR(VLOOKUP($U$839,'TAR FIN'!$A$1:$O$108,15,0)),0,VLOOKUP($U$839,'TAR FIN'!$A$1:$O$108,15,0))</f>
        <v>103.1</v>
      </c>
      <c r="Y839" s="6"/>
      <c r="Z839" s="6">
        <f ca="1">('TUSD BE'!$AM$62+'TUSD BF'!$AM$62+'TUSD CVA'!$AM$62)*1</f>
        <v>781.0767281755011</v>
      </c>
      <c r="AA839" s="6">
        <f>('TE BE'!$AB$42+'TE BF'!$AB$42+'TE CVA'!$AB$42)*1</f>
        <v>215.60278025898469</v>
      </c>
      <c r="AB839" s="6">
        <f>$K$839*$V$839</f>
        <v>0</v>
      </c>
      <c r="AC839" s="6">
        <f>$M$839*$W$839</f>
        <v>920.33104000000003</v>
      </c>
      <c r="AD839" s="6">
        <f>$O$839*$X$839</f>
        <v>130.3184</v>
      </c>
      <c r="AE839" s="6">
        <f>$K$839*$Y$839</f>
        <v>0</v>
      </c>
      <c r="AF839" s="6">
        <f ca="1">$M$839*$Z$839</f>
        <v>987.28098441383338</v>
      </c>
      <c r="AG839" s="6">
        <f>$O$839*$AA$839</f>
        <v>272.52191424735668</v>
      </c>
    </row>
    <row r="840" spans="1:33" ht="11.25" customHeight="1" x14ac:dyDescent="0.25">
      <c r="A840" s="4" t="s">
        <v>21</v>
      </c>
      <c r="B840" s="4" t="s">
        <v>37</v>
      </c>
      <c r="C840" s="4" t="s">
        <v>33</v>
      </c>
      <c r="D840" s="4" t="s">
        <v>44</v>
      </c>
      <c r="E840" s="4" t="s">
        <v>25</v>
      </c>
      <c r="F840" s="4" t="s">
        <v>25</v>
      </c>
      <c r="G840" s="4" t="s">
        <v>25</v>
      </c>
      <c r="H840" s="4" t="s">
        <v>36</v>
      </c>
      <c r="I840" s="5">
        <v>44774</v>
      </c>
      <c r="J840" s="6">
        <v>0</v>
      </c>
      <c r="K840" s="6">
        <v>0</v>
      </c>
      <c r="L840" s="6">
        <v>1.605</v>
      </c>
      <c r="M840" s="6">
        <v>1.605</v>
      </c>
      <c r="N840" s="6">
        <v>1.605</v>
      </c>
      <c r="O840" s="6">
        <v>1.605</v>
      </c>
      <c r="P840" s="6">
        <v>0</v>
      </c>
      <c r="Q840" s="4" t="s">
        <v>26</v>
      </c>
      <c r="R840" s="4">
        <v>0</v>
      </c>
      <c r="S840" s="6">
        <v>0</v>
      </c>
      <c r="T840" s="6">
        <v>64</v>
      </c>
      <c r="U840" s="6">
        <v>106</v>
      </c>
      <c r="V840" s="6">
        <f>IF(ISERROR(VLOOKUP($S$840,'TAR FIN'!$A$1:$O$108,15,0)),0,VLOOKUP($S$840,'TAR FIN'!$A$1:$O$108,15,0))</f>
        <v>0</v>
      </c>
      <c r="W840" s="6">
        <f>IF(ISERROR(VLOOKUP($T$840,'TAR FIN'!$A$1:$O$108,15,0)),0,VLOOKUP($T$840,'TAR FIN'!$A$1:$O$108,15,0))</f>
        <v>728.11</v>
      </c>
      <c r="X840" s="6">
        <f>IF(ISERROR(VLOOKUP($U$840,'TAR FIN'!$A$1:$O$108,15,0)),0,VLOOKUP($U$840,'TAR FIN'!$A$1:$O$108,15,0))</f>
        <v>103.1</v>
      </c>
      <c r="Y840" s="6"/>
      <c r="Z840" s="6">
        <f ca="1">('TUSD BE'!$AM$62+'TUSD BF'!$AM$62+'TUSD CVA'!$AM$62)*1</f>
        <v>781.0767281755011</v>
      </c>
      <c r="AA840" s="6">
        <f>('TE BE'!$AB$42+'TE BF'!$AB$42+'TE CVA'!$AB$42)*1</f>
        <v>215.60278025898469</v>
      </c>
      <c r="AB840" s="6">
        <f>$K$840*$V$840</f>
        <v>0</v>
      </c>
      <c r="AC840" s="6">
        <f>$M$840*$W$840</f>
        <v>1168.61655</v>
      </c>
      <c r="AD840" s="6">
        <f>$O$840*$X$840</f>
        <v>165.47549999999998</v>
      </c>
      <c r="AE840" s="6">
        <f>$K$840*$Y$840</f>
        <v>0</v>
      </c>
      <c r="AF840" s="6">
        <f ca="1">$M$840*$Z$840</f>
        <v>1253.6281487216793</v>
      </c>
      <c r="AG840" s="6">
        <f>$O$840*$AA$840</f>
        <v>346.04246231567043</v>
      </c>
    </row>
    <row r="841" spans="1:33" ht="11.25" customHeight="1" x14ac:dyDescent="0.25">
      <c r="A841" s="4" t="s">
        <v>21</v>
      </c>
      <c r="B841" s="4" t="s">
        <v>37</v>
      </c>
      <c r="C841" s="4" t="s">
        <v>33</v>
      </c>
      <c r="D841" s="4" t="s">
        <v>44</v>
      </c>
      <c r="E841" s="4" t="s">
        <v>25</v>
      </c>
      <c r="F841" s="4" t="s">
        <v>25</v>
      </c>
      <c r="G841" s="4" t="s">
        <v>25</v>
      </c>
      <c r="H841" s="4" t="s">
        <v>36</v>
      </c>
      <c r="I841" s="5">
        <v>44805</v>
      </c>
      <c r="J841" s="6">
        <v>0</v>
      </c>
      <c r="K841" s="6">
        <v>0</v>
      </c>
      <c r="L841" s="6">
        <v>2.0590000000000002</v>
      </c>
      <c r="M841" s="6">
        <v>2.0590000000000002</v>
      </c>
      <c r="N841" s="6">
        <v>2.0590000000000002</v>
      </c>
      <c r="O841" s="6">
        <v>2.0590000000000002</v>
      </c>
      <c r="P841" s="6">
        <v>0</v>
      </c>
      <c r="Q841" s="4" t="s">
        <v>26</v>
      </c>
      <c r="R841" s="4">
        <v>0</v>
      </c>
      <c r="S841" s="6">
        <v>0</v>
      </c>
      <c r="T841" s="6">
        <v>64</v>
      </c>
      <c r="U841" s="6">
        <v>106</v>
      </c>
      <c r="V841" s="6">
        <f>IF(ISERROR(VLOOKUP($S$841,'TAR FIN'!$A$1:$O$108,15,0)),0,VLOOKUP($S$841,'TAR FIN'!$A$1:$O$108,15,0))</f>
        <v>0</v>
      </c>
      <c r="W841" s="6">
        <f>IF(ISERROR(VLOOKUP($T$841,'TAR FIN'!$A$1:$O$108,15,0)),0,VLOOKUP($T$841,'TAR FIN'!$A$1:$O$108,15,0))</f>
        <v>728.11</v>
      </c>
      <c r="X841" s="6">
        <f>IF(ISERROR(VLOOKUP($U$841,'TAR FIN'!$A$1:$O$108,15,0)),0,VLOOKUP($U$841,'TAR FIN'!$A$1:$O$108,15,0))</f>
        <v>103.1</v>
      </c>
      <c r="Y841" s="6"/>
      <c r="Z841" s="6">
        <f ca="1">('TUSD BE'!$AM$62+'TUSD BF'!$AM$62+'TUSD CVA'!$AM$62)*1</f>
        <v>781.0767281755011</v>
      </c>
      <c r="AA841" s="6">
        <f>('TE BE'!$AB$42+'TE BF'!$AB$42+'TE CVA'!$AB$42)*1</f>
        <v>215.60278025898469</v>
      </c>
      <c r="AB841" s="6">
        <f>$K$841*$V$841</f>
        <v>0</v>
      </c>
      <c r="AC841" s="6">
        <f>$M$841*$W$841</f>
        <v>1499.1784900000002</v>
      </c>
      <c r="AD841" s="6">
        <f>$O$841*$X$841</f>
        <v>212.28290000000001</v>
      </c>
      <c r="AE841" s="6">
        <f>$K$841*$Y$841</f>
        <v>0</v>
      </c>
      <c r="AF841" s="6">
        <f ca="1">$M$841*$Z$841</f>
        <v>1608.2369833133569</v>
      </c>
      <c r="AG841" s="6">
        <f>$O$841*$AA$841</f>
        <v>443.92612455324951</v>
      </c>
    </row>
    <row r="842" spans="1:33" ht="11.25" customHeight="1" x14ac:dyDescent="0.25">
      <c r="A842" s="4" t="s">
        <v>21</v>
      </c>
      <c r="B842" s="4" t="s">
        <v>37</v>
      </c>
      <c r="C842" s="4" t="s">
        <v>33</v>
      </c>
      <c r="D842" s="4" t="s">
        <v>44</v>
      </c>
      <c r="E842" s="4" t="s">
        <v>25</v>
      </c>
      <c r="F842" s="4" t="s">
        <v>25</v>
      </c>
      <c r="G842" s="4" t="s">
        <v>25</v>
      </c>
      <c r="H842" s="4" t="s">
        <v>36</v>
      </c>
      <c r="I842" s="5">
        <v>44835</v>
      </c>
      <c r="J842" s="6">
        <v>0</v>
      </c>
      <c r="K842" s="6">
        <v>0</v>
      </c>
      <c r="L842" s="6">
        <v>3.12</v>
      </c>
      <c r="M842" s="6">
        <v>3.12</v>
      </c>
      <c r="N842" s="6">
        <v>3.12</v>
      </c>
      <c r="O842" s="6">
        <v>3.12</v>
      </c>
      <c r="P842" s="6">
        <v>0</v>
      </c>
      <c r="Q842" s="4" t="s">
        <v>26</v>
      </c>
      <c r="R842" s="4">
        <v>0</v>
      </c>
      <c r="S842" s="6">
        <v>0</v>
      </c>
      <c r="T842" s="6">
        <v>64</v>
      </c>
      <c r="U842" s="6">
        <v>106</v>
      </c>
      <c r="V842" s="6">
        <f>IF(ISERROR(VLOOKUP($S$842,'TAR FIN'!$A$1:$O$108,15,0)),0,VLOOKUP($S$842,'TAR FIN'!$A$1:$O$108,15,0))</f>
        <v>0</v>
      </c>
      <c r="W842" s="6">
        <f>IF(ISERROR(VLOOKUP($T$842,'TAR FIN'!$A$1:$O$108,15,0)),0,VLOOKUP($T$842,'TAR FIN'!$A$1:$O$108,15,0))</f>
        <v>728.11</v>
      </c>
      <c r="X842" s="6">
        <f>IF(ISERROR(VLOOKUP($U$842,'TAR FIN'!$A$1:$O$108,15,0)),0,VLOOKUP($U$842,'TAR FIN'!$A$1:$O$108,15,0))</f>
        <v>103.1</v>
      </c>
      <c r="Y842" s="6"/>
      <c r="Z842" s="6">
        <f ca="1">('TUSD BE'!$AM$62+'TUSD BF'!$AM$62+'TUSD CVA'!$AM$62)*1</f>
        <v>781.0767281755011</v>
      </c>
      <c r="AA842" s="6">
        <f>('TE BE'!$AB$42+'TE BF'!$AB$42+'TE CVA'!$AB$42)*1</f>
        <v>215.60278025898469</v>
      </c>
      <c r="AB842" s="6">
        <f>$K$842*$V$842</f>
        <v>0</v>
      </c>
      <c r="AC842" s="6">
        <f>$M$842*$W$842</f>
        <v>2271.7031999999999</v>
      </c>
      <c r="AD842" s="6">
        <f>$O$842*$X$842</f>
        <v>321.67199999999997</v>
      </c>
      <c r="AE842" s="6">
        <f>$K$842*$Y$842</f>
        <v>0</v>
      </c>
      <c r="AF842" s="6">
        <f ca="1">$M$842*$Z$842</f>
        <v>2436.9593919075637</v>
      </c>
      <c r="AG842" s="6">
        <f>$O$842*$AA$842</f>
        <v>672.68067440803225</v>
      </c>
    </row>
    <row r="843" spans="1:33" ht="11.25" customHeight="1" x14ac:dyDescent="0.25">
      <c r="A843" s="4" t="s">
        <v>54</v>
      </c>
      <c r="B843" s="4" t="s">
        <v>37</v>
      </c>
      <c r="C843" s="4" t="s">
        <v>33</v>
      </c>
      <c r="D843" s="4" t="s">
        <v>44</v>
      </c>
      <c r="E843" s="4" t="s">
        <v>25</v>
      </c>
      <c r="F843" s="4" t="s">
        <v>25</v>
      </c>
      <c r="G843" s="4" t="s">
        <v>25</v>
      </c>
      <c r="H843" s="4" t="s">
        <v>36</v>
      </c>
      <c r="I843" s="5">
        <v>44866</v>
      </c>
      <c r="J843" s="6">
        <v>0</v>
      </c>
      <c r="K843" s="6">
        <v>0</v>
      </c>
      <c r="L843" s="6">
        <v>3.12</v>
      </c>
      <c r="M843" s="6">
        <v>3.12</v>
      </c>
      <c r="N843" s="6">
        <v>3.12</v>
      </c>
      <c r="O843" s="6">
        <v>3.12</v>
      </c>
      <c r="P843" s="6">
        <v>0</v>
      </c>
      <c r="Q843" s="4" t="s">
        <v>26</v>
      </c>
      <c r="R843" s="4">
        <v>0</v>
      </c>
      <c r="S843" s="6">
        <v>0</v>
      </c>
      <c r="T843" s="6">
        <v>64</v>
      </c>
      <c r="U843" s="6">
        <v>106</v>
      </c>
      <c r="V843" s="6">
        <f>IF(ISERROR(VLOOKUP($S$843,'TAR FIN'!$A$1:$O$108,15,0)),0,VLOOKUP($S$843,'TAR FIN'!$A$1:$O$108,15,0))</f>
        <v>0</v>
      </c>
      <c r="W843" s="6">
        <f>IF(ISERROR(VLOOKUP($T$843,'TAR FIN'!$A$1:$O$108,15,0)),0,VLOOKUP($T$843,'TAR FIN'!$A$1:$O$108,15,0))</f>
        <v>728.11</v>
      </c>
      <c r="X843" s="6">
        <f>IF(ISERROR(VLOOKUP($U$843,'TAR FIN'!$A$1:$O$108,15,0)),0,VLOOKUP($U$843,'TAR FIN'!$A$1:$O$108,15,0))</f>
        <v>103.1</v>
      </c>
      <c r="Y843" s="6"/>
      <c r="Z843" s="6">
        <f ca="1">('TUSD BE'!$AM$62+'TUSD BF'!$AM$62+'TUSD CVA'!$AM$62)*1</f>
        <v>781.0767281755011</v>
      </c>
      <c r="AA843" s="6">
        <f>('TE BE'!$AB$42+'TE BF'!$AB$42+'TE CVA'!$AB$42)*1</f>
        <v>215.60278025898469</v>
      </c>
      <c r="AB843" s="6">
        <f>$K$843*$V$843</f>
        <v>0</v>
      </c>
      <c r="AC843" s="6">
        <f>$M$843*$W$843</f>
        <v>2271.7031999999999</v>
      </c>
      <c r="AD843" s="6">
        <f>$O$843*$X$843</f>
        <v>321.67199999999997</v>
      </c>
      <c r="AE843" s="6">
        <f>$K$843*$Y$843</f>
        <v>0</v>
      </c>
      <c r="AF843" s="6">
        <f ca="1">$M$843*$Z$843</f>
        <v>2436.9593919075637</v>
      </c>
      <c r="AG843" s="6">
        <f>$O$843*$AA$843</f>
        <v>672.68067440803225</v>
      </c>
    </row>
    <row r="844" spans="1:33" ht="11.25" customHeight="1" x14ac:dyDescent="0.25">
      <c r="A844" s="4" t="s">
        <v>21</v>
      </c>
      <c r="B844" s="4" t="s">
        <v>37</v>
      </c>
      <c r="C844" s="4" t="s">
        <v>33</v>
      </c>
      <c r="D844" s="4" t="s">
        <v>44</v>
      </c>
      <c r="E844" s="4" t="s">
        <v>25</v>
      </c>
      <c r="F844" s="4" t="s">
        <v>25</v>
      </c>
      <c r="G844" s="4" t="s">
        <v>25</v>
      </c>
      <c r="H844" s="4" t="s">
        <v>34</v>
      </c>
      <c r="I844" s="5">
        <v>44531</v>
      </c>
      <c r="J844" s="6">
        <v>0</v>
      </c>
      <c r="K844" s="6">
        <v>0</v>
      </c>
      <c r="L844" s="6">
        <v>2.137</v>
      </c>
      <c r="M844" s="6">
        <v>2.137</v>
      </c>
      <c r="N844" s="6">
        <v>2.137</v>
      </c>
      <c r="O844" s="6">
        <v>2.137</v>
      </c>
      <c r="P844" s="6">
        <v>0</v>
      </c>
      <c r="Q844" s="4" t="s">
        <v>26</v>
      </c>
      <c r="R844" s="4">
        <v>0</v>
      </c>
      <c r="S844" s="6">
        <v>0</v>
      </c>
      <c r="T844" s="6">
        <v>63</v>
      </c>
      <c r="U844" s="6">
        <v>105</v>
      </c>
      <c r="V844" s="6">
        <f>IF(ISERROR(VLOOKUP($S$844,'TAR FIN'!$A$1:$O$108,15,0)),0,VLOOKUP($S$844,'TAR FIN'!$A$1:$O$108,15,0))</f>
        <v>0</v>
      </c>
      <c r="W844" s="6">
        <f>IF(ISERROR(VLOOKUP($T$844,'TAR FIN'!$A$1:$O$108,15,0)),0,VLOOKUP($T$844,'TAR FIN'!$A$1:$O$108,15,0))</f>
        <v>1133.28</v>
      </c>
      <c r="X844" s="6">
        <f>IF(ISERROR(VLOOKUP($U$844,'TAR FIN'!$A$1:$O$108,15,0)),0,VLOOKUP($U$844,'TAR FIN'!$A$1:$O$108,15,0))</f>
        <v>159.43</v>
      </c>
      <c r="Y844" s="6"/>
      <c r="Z844" s="6">
        <f ca="1">('TUSD BE'!$AM$61+'TUSD BF'!$AM$61+'TUSD CVA'!$AM$61)*1</f>
        <v>1169.5504192635606</v>
      </c>
      <c r="AA844" s="6">
        <f>('TE BE'!$AB$41+'TE BF'!$AB$41+'TE CVA'!$AB$41)*1</f>
        <v>322.12477389224171</v>
      </c>
      <c r="AB844" s="6">
        <f>$K$844*$V$844</f>
        <v>0</v>
      </c>
      <c r="AC844" s="6">
        <f>$M$844*$W$844</f>
        <v>2421.81936</v>
      </c>
      <c r="AD844" s="6">
        <f>$O$844*$X$844</f>
        <v>340.70191</v>
      </c>
      <c r="AE844" s="6">
        <f>$K$844*$Y$844</f>
        <v>0</v>
      </c>
      <c r="AF844" s="6">
        <f ca="1">$M$844*$Z$844</f>
        <v>2499.3292459662289</v>
      </c>
      <c r="AG844" s="6">
        <f>$O$844*$AA$844</f>
        <v>688.38064180772051</v>
      </c>
    </row>
    <row r="845" spans="1:33" ht="11.25" customHeight="1" x14ac:dyDescent="0.25">
      <c r="A845" s="4" t="s">
        <v>21</v>
      </c>
      <c r="B845" s="4" t="s">
        <v>37</v>
      </c>
      <c r="C845" s="4" t="s">
        <v>33</v>
      </c>
      <c r="D845" s="4" t="s">
        <v>44</v>
      </c>
      <c r="E845" s="4" t="s">
        <v>25</v>
      </c>
      <c r="F845" s="4" t="s">
        <v>25</v>
      </c>
      <c r="G845" s="4" t="s">
        <v>25</v>
      </c>
      <c r="H845" s="4" t="s">
        <v>34</v>
      </c>
      <c r="I845" s="5">
        <v>44562</v>
      </c>
      <c r="J845" s="6">
        <v>0</v>
      </c>
      <c r="K845" s="6">
        <v>0</v>
      </c>
      <c r="L845" s="6">
        <v>1.9179999999999999</v>
      </c>
      <c r="M845" s="6">
        <v>1.9179999999999999</v>
      </c>
      <c r="N845" s="6">
        <v>1.9179999999999999</v>
      </c>
      <c r="O845" s="6">
        <v>1.9179999999999999</v>
      </c>
      <c r="P845" s="6">
        <v>0</v>
      </c>
      <c r="Q845" s="4" t="s">
        <v>26</v>
      </c>
      <c r="R845" s="4">
        <v>0</v>
      </c>
      <c r="S845" s="6">
        <v>0</v>
      </c>
      <c r="T845" s="6">
        <v>63</v>
      </c>
      <c r="U845" s="6">
        <v>105</v>
      </c>
      <c r="V845" s="6">
        <f>IF(ISERROR(VLOOKUP($S$845,'TAR FIN'!$A$1:$O$108,15,0)),0,VLOOKUP($S$845,'TAR FIN'!$A$1:$O$108,15,0))</f>
        <v>0</v>
      </c>
      <c r="W845" s="6">
        <f>IF(ISERROR(VLOOKUP($T$845,'TAR FIN'!$A$1:$O$108,15,0)),0,VLOOKUP($T$845,'TAR FIN'!$A$1:$O$108,15,0))</f>
        <v>1133.28</v>
      </c>
      <c r="X845" s="6">
        <f>IF(ISERROR(VLOOKUP($U$845,'TAR FIN'!$A$1:$O$108,15,0)),0,VLOOKUP($U$845,'TAR FIN'!$A$1:$O$108,15,0))</f>
        <v>159.43</v>
      </c>
      <c r="Y845" s="6"/>
      <c r="Z845" s="6">
        <f ca="1">('TUSD BE'!$AM$61+'TUSD BF'!$AM$61+'TUSD CVA'!$AM$61)*1</f>
        <v>1169.5504192635606</v>
      </c>
      <c r="AA845" s="6">
        <f>('TE BE'!$AB$41+'TE BF'!$AB$41+'TE CVA'!$AB$41)*1</f>
        <v>322.12477389224171</v>
      </c>
      <c r="AB845" s="6">
        <f>$K$845*$V$845</f>
        <v>0</v>
      </c>
      <c r="AC845" s="6">
        <f>$M$845*$W$845</f>
        <v>2173.6310399999998</v>
      </c>
      <c r="AD845" s="6">
        <f>$O$845*$X$845</f>
        <v>305.78674000000001</v>
      </c>
      <c r="AE845" s="6">
        <f>$K$845*$Y$845</f>
        <v>0</v>
      </c>
      <c r="AF845" s="6">
        <f ca="1">$M$845*$Z$845</f>
        <v>2243.1977041475093</v>
      </c>
      <c r="AG845" s="6">
        <f>$O$845*$AA$845</f>
        <v>617.83531632531958</v>
      </c>
    </row>
    <row r="846" spans="1:33" ht="11.25" customHeight="1" x14ac:dyDescent="0.25">
      <c r="A846" s="4" t="s">
        <v>21</v>
      </c>
      <c r="B846" s="4" t="s">
        <v>37</v>
      </c>
      <c r="C846" s="4" t="s">
        <v>33</v>
      </c>
      <c r="D846" s="4" t="s">
        <v>44</v>
      </c>
      <c r="E846" s="4" t="s">
        <v>25</v>
      </c>
      <c r="F846" s="4" t="s">
        <v>25</v>
      </c>
      <c r="G846" s="4" t="s">
        <v>25</v>
      </c>
      <c r="H846" s="4" t="s">
        <v>34</v>
      </c>
      <c r="I846" s="5">
        <v>44593</v>
      </c>
      <c r="J846" s="6">
        <v>0</v>
      </c>
      <c r="K846" s="6">
        <v>0</v>
      </c>
      <c r="L846" s="6">
        <v>1.895</v>
      </c>
      <c r="M846" s="6">
        <v>1.895</v>
      </c>
      <c r="N846" s="6">
        <v>1.895</v>
      </c>
      <c r="O846" s="6">
        <v>1.895</v>
      </c>
      <c r="P846" s="6">
        <v>0</v>
      </c>
      <c r="Q846" s="4" t="s">
        <v>26</v>
      </c>
      <c r="R846" s="4">
        <v>0</v>
      </c>
      <c r="S846" s="6">
        <v>0</v>
      </c>
      <c r="T846" s="6">
        <v>63</v>
      </c>
      <c r="U846" s="6">
        <v>105</v>
      </c>
      <c r="V846" s="6">
        <f>IF(ISERROR(VLOOKUP($S$846,'TAR FIN'!$A$1:$O$108,15,0)),0,VLOOKUP($S$846,'TAR FIN'!$A$1:$O$108,15,0))</f>
        <v>0</v>
      </c>
      <c r="W846" s="6">
        <f>IF(ISERROR(VLOOKUP($T$846,'TAR FIN'!$A$1:$O$108,15,0)),0,VLOOKUP($T$846,'TAR FIN'!$A$1:$O$108,15,0))</f>
        <v>1133.28</v>
      </c>
      <c r="X846" s="6">
        <f>IF(ISERROR(VLOOKUP($U$846,'TAR FIN'!$A$1:$O$108,15,0)),0,VLOOKUP($U$846,'TAR FIN'!$A$1:$O$108,15,0))</f>
        <v>159.43</v>
      </c>
      <c r="Y846" s="6"/>
      <c r="Z846" s="6">
        <f ca="1">('TUSD BE'!$AM$61+'TUSD BF'!$AM$61+'TUSD CVA'!$AM$61)*1</f>
        <v>1169.5504192635606</v>
      </c>
      <c r="AA846" s="6">
        <f>('TE BE'!$AB$41+'TE BF'!$AB$41+'TE CVA'!$AB$41)*1</f>
        <v>322.12477389224171</v>
      </c>
      <c r="AB846" s="6">
        <f>$K$846*$V$846</f>
        <v>0</v>
      </c>
      <c r="AC846" s="6">
        <f>$M$846*$W$846</f>
        <v>2147.5655999999999</v>
      </c>
      <c r="AD846" s="6">
        <f>$O$846*$X$846</f>
        <v>302.11985000000004</v>
      </c>
      <c r="AE846" s="6">
        <f>$K$846*$Y$846</f>
        <v>0</v>
      </c>
      <c r="AF846" s="6">
        <f ca="1">$M$846*$Z$846</f>
        <v>2216.2980445044473</v>
      </c>
      <c r="AG846" s="6">
        <f>$O$846*$AA$846</f>
        <v>610.42644652579804</v>
      </c>
    </row>
    <row r="847" spans="1:33" ht="11.25" customHeight="1" x14ac:dyDescent="0.25">
      <c r="A847" s="4" t="s">
        <v>21</v>
      </c>
      <c r="B847" s="4" t="s">
        <v>37</v>
      </c>
      <c r="C847" s="4" t="s">
        <v>33</v>
      </c>
      <c r="D847" s="4" t="s">
        <v>44</v>
      </c>
      <c r="E847" s="4" t="s">
        <v>25</v>
      </c>
      <c r="F847" s="4" t="s">
        <v>25</v>
      </c>
      <c r="G847" s="4" t="s">
        <v>25</v>
      </c>
      <c r="H847" s="4" t="s">
        <v>34</v>
      </c>
      <c r="I847" s="5">
        <v>44621</v>
      </c>
      <c r="J847" s="6">
        <v>0</v>
      </c>
      <c r="K847" s="6">
        <v>0</v>
      </c>
      <c r="L847" s="6">
        <v>1.583</v>
      </c>
      <c r="M847" s="6">
        <v>1.583</v>
      </c>
      <c r="N847" s="6">
        <v>1.583</v>
      </c>
      <c r="O847" s="6">
        <v>1.583</v>
      </c>
      <c r="P847" s="6">
        <v>0</v>
      </c>
      <c r="Q847" s="4" t="s">
        <v>26</v>
      </c>
      <c r="R847" s="4">
        <v>0</v>
      </c>
      <c r="S847" s="6">
        <v>0</v>
      </c>
      <c r="T847" s="6">
        <v>63</v>
      </c>
      <c r="U847" s="6">
        <v>105</v>
      </c>
      <c r="V847" s="6">
        <f>IF(ISERROR(VLOOKUP($S$847,'TAR FIN'!$A$1:$O$108,15,0)),0,VLOOKUP($S$847,'TAR FIN'!$A$1:$O$108,15,0))</f>
        <v>0</v>
      </c>
      <c r="W847" s="6">
        <f>IF(ISERROR(VLOOKUP($T$847,'TAR FIN'!$A$1:$O$108,15,0)),0,VLOOKUP($T$847,'TAR FIN'!$A$1:$O$108,15,0))</f>
        <v>1133.28</v>
      </c>
      <c r="X847" s="6">
        <f>IF(ISERROR(VLOOKUP($U$847,'TAR FIN'!$A$1:$O$108,15,0)),0,VLOOKUP($U$847,'TAR FIN'!$A$1:$O$108,15,0))</f>
        <v>159.43</v>
      </c>
      <c r="Y847" s="6"/>
      <c r="Z847" s="6">
        <f ca="1">('TUSD BE'!$AM$61+'TUSD BF'!$AM$61+'TUSD CVA'!$AM$61)*1</f>
        <v>1169.5504192635606</v>
      </c>
      <c r="AA847" s="6">
        <f>('TE BE'!$AB$41+'TE BF'!$AB$41+'TE CVA'!$AB$41)*1</f>
        <v>322.12477389224171</v>
      </c>
      <c r="AB847" s="6">
        <f>$K$847*$V$847</f>
        <v>0</v>
      </c>
      <c r="AC847" s="6">
        <f>$M$847*$W$847</f>
        <v>1793.9822399999998</v>
      </c>
      <c r="AD847" s="6">
        <f>$O$847*$X$847</f>
        <v>252.37769</v>
      </c>
      <c r="AE847" s="6">
        <f>$K$847*$Y$847</f>
        <v>0</v>
      </c>
      <c r="AF847" s="6">
        <f ca="1">$M$847*$Z$847</f>
        <v>1851.3983136942163</v>
      </c>
      <c r="AG847" s="6">
        <f>$O$847*$AA$847</f>
        <v>509.92351707141859</v>
      </c>
    </row>
    <row r="848" spans="1:33" ht="11.25" customHeight="1" x14ac:dyDescent="0.25">
      <c r="A848" s="4" t="s">
        <v>21</v>
      </c>
      <c r="B848" s="4" t="s">
        <v>37</v>
      </c>
      <c r="C848" s="4" t="s">
        <v>33</v>
      </c>
      <c r="D848" s="4" t="s">
        <v>44</v>
      </c>
      <c r="E848" s="4" t="s">
        <v>25</v>
      </c>
      <c r="F848" s="4" t="s">
        <v>25</v>
      </c>
      <c r="G848" s="4" t="s">
        <v>25</v>
      </c>
      <c r="H848" s="4" t="s">
        <v>34</v>
      </c>
      <c r="I848" s="5">
        <v>44652</v>
      </c>
      <c r="J848" s="6">
        <v>0</v>
      </c>
      <c r="K848" s="6">
        <v>0</v>
      </c>
      <c r="L848" s="6">
        <v>1.583</v>
      </c>
      <c r="M848" s="6">
        <v>1.583</v>
      </c>
      <c r="N848" s="6">
        <v>1.583</v>
      </c>
      <c r="O848" s="6">
        <v>1.583</v>
      </c>
      <c r="P848" s="6">
        <v>0</v>
      </c>
      <c r="Q848" s="4" t="s">
        <v>26</v>
      </c>
      <c r="R848" s="4">
        <v>0</v>
      </c>
      <c r="S848" s="6">
        <v>0</v>
      </c>
      <c r="T848" s="6">
        <v>63</v>
      </c>
      <c r="U848" s="6">
        <v>105</v>
      </c>
      <c r="V848" s="6">
        <f>IF(ISERROR(VLOOKUP($S$848,'TAR FIN'!$A$1:$O$108,15,0)),0,VLOOKUP($S$848,'TAR FIN'!$A$1:$O$108,15,0))</f>
        <v>0</v>
      </c>
      <c r="W848" s="6">
        <f>IF(ISERROR(VLOOKUP($T$848,'TAR FIN'!$A$1:$O$108,15,0)),0,VLOOKUP($T$848,'TAR FIN'!$A$1:$O$108,15,0))</f>
        <v>1133.28</v>
      </c>
      <c r="X848" s="6">
        <f>IF(ISERROR(VLOOKUP($U$848,'TAR FIN'!$A$1:$O$108,15,0)),0,VLOOKUP($U$848,'TAR FIN'!$A$1:$O$108,15,0))</f>
        <v>159.43</v>
      </c>
      <c r="Y848" s="6"/>
      <c r="Z848" s="6">
        <f ca="1">('TUSD BE'!$AM$61+'TUSD BF'!$AM$61+'TUSD CVA'!$AM$61)*1</f>
        <v>1169.5504192635606</v>
      </c>
      <c r="AA848" s="6">
        <f>('TE BE'!$AB$41+'TE BF'!$AB$41+'TE CVA'!$AB$41)*1</f>
        <v>322.12477389224171</v>
      </c>
      <c r="AB848" s="6">
        <f>$K$848*$V$848</f>
        <v>0</v>
      </c>
      <c r="AC848" s="6">
        <f>$M$848*$W$848</f>
        <v>1793.9822399999998</v>
      </c>
      <c r="AD848" s="6">
        <f>$O$848*$X$848</f>
        <v>252.37769</v>
      </c>
      <c r="AE848" s="6">
        <f>$K$848*$Y$848</f>
        <v>0</v>
      </c>
      <c r="AF848" s="6">
        <f ca="1">$M$848*$Z$848</f>
        <v>1851.3983136942163</v>
      </c>
      <c r="AG848" s="6">
        <f>$O$848*$AA$848</f>
        <v>509.92351707141859</v>
      </c>
    </row>
    <row r="849" spans="1:33" ht="11.25" customHeight="1" x14ac:dyDescent="0.25">
      <c r="A849" s="4" t="s">
        <v>21</v>
      </c>
      <c r="B849" s="4" t="s">
        <v>37</v>
      </c>
      <c r="C849" s="4" t="s">
        <v>33</v>
      </c>
      <c r="D849" s="4" t="s">
        <v>44</v>
      </c>
      <c r="E849" s="4" t="s">
        <v>25</v>
      </c>
      <c r="F849" s="4" t="s">
        <v>25</v>
      </c>
      <c r="G849" s="4" t="s">
        <v>25</v>
      </c>
      <c r="H849" s="4" t="s">
        <v>34</v>
      </c>
      <c r="I849" s="5">
        <v>44682</v>
      </c>
      <c r="J849" s="6">
        <v>0</v>
      </c>
      <c r="K849" s="6">
        <v>0</v>
      </c>
      <c r="L849" s="6">
        <v>1.8160000000000001</v>
      </c>
      <c r="M849" s="6">
        <v>1.8160000000000001</v>
      </c>
      <c r="N849" s="6">
        <v>1.8160000000000001</v>
      </c>
      <c r="O849" s="6">
        <v>1.8160000000000001</v>
      </c>
      <c r="P849" s="6">
        <v>0</v>
      </c>
      <c r="Q849" s="4" t="s">
        <v>26</v>
      </c>
      <c r="R849" s="4">
        <v>0</v>
      </c>
      <c r="S849" s="6">
        <v>0</v>
      </c>
      <c r="T849" s="6">
        <v>63</v>
      </c>
      <c r="U849" s="6">
        <v>105</v>
      </c>
      <c r="V849" s="6">
        <f>IF(ISERROR(VLOOKUP($S$849,'TAR FIN'!$A$1:$O$108,15,0)),0,VLOOKUP($S$849,'TAR FIN'!$A$1:$O$108,15,0))</f>
        <v>0</v>
      </c>
      <c r="W849" s="6">
        <f>IF(ISERROR(VLOOKUP($T$849,'TAR FIN'!$A$1:$O$108,15,0)),0,VLOOKUP($T$849,'TAR FIN'!$A$1:$O$108,15,0))</f>
        <v>1133.28</v>
      </c>
      <c r="X849" s="6">
        <f>IF(ISERROR(VLOOKUP($U$849,'TAR FIN'!$A$1:$O$108,15,0)),0,VLOOKUP($U$849,'TAR FIN'!$A$1:$O$108,15,0))</f>
        <v>159.43</v>
      </c>
      <c r="Y849" s="6"/>
      <c r="Z849" s="6">
        <f ca="1">('TUSD BE'!$AM$61+'TUSD BF'!$AM$61+'TUSD CVA'!$AM$61)*1</f>
        <v>1169.5504192635606</v>
      </c>
      <c r="AA849" s="6">
        <f>('TE BE'!$AB$41+'TE BF'!$AB$41+'TE CVA'!$AB$41)*1</f>
        <v>322.12477389224171</v>
      </c>
      <c r="AB849" s="6">
        <f>$K$849*$V$849</f>
        <v>0</v>
      </c>
      <c r="AC849" s="6">
        <f>$M$849*$W$849</f>
        <v>2058.0364800000002</v>
      </c>
      <c r="AD849" s="6">
        <f>$O$849*$X$849</f>
        <v>289.52488</v>
      </c>
      <c r="AE849" s="6">
        <f>$K$849*$Y$849</f>
        <v>0</v>
      </c>
      <c r="AF849" s="6">
        <f ca="1">$M$849*$Z$849</f>
        <v>2123.9035613826259</v>
      </c>
      <c r="AG849" s="6">
        <f>$O$849*$AA$849</f>
        <v>584.97858938831098</v>
      </c>
    </row>
    <row r="850" spans="1:33" ht="11.25" customHeight="1" x14ac:dyDescent="0.25">
      <c r="A850" s="4" t="s">
        <v>21</v>
      </c>
      <c r="B850" s="4" t="s">
        <v>37</v>
      </c>
      <c r="C850" s="4" t="s">
        <v>33</v>
      </c>
      <c r="D850" s="4" t="s">
        <v>44</v>
      </c>
      <c r="E850" s="4" t="s">
        <v>25</v>
      </c>
      <c r="F850" s="4" t="s">
        <v>25</v>
      </c>
      <c r="G850" s="4" t="s">
        <v>25</v>
      </c>
      <c r="H850" s="4" t="s">
        <v>34</v>
      </c>
      <c r="I850" s="5">
        <v>44713</v>
      </c>
      <c r="J850" s="6">
        <v>0</v>
      </c>
      <c r="K850" s="6">
        <v>0</v>
      </c>
      <c r="L850" s="6">
        <v>1.8340000000000001</v>
      </c>
      <c r="M850" s="6">
        <v>1.8340000000000001</v>
      </c>
      <c r="N850" s="6">
        <v>1.8340000000000001</v>
      </c>
      <c r="O850" s="6">
        <v>1.8340000000000001</v>
      </c>
      <c r="P850" s="6">
        <v>0</v>
      </c>
      <c r="Q850" s="4" t="s">
        <v>26</v>
      </c>
      <c r="R850" s="4">
        <v>0</v>
      </c>
      <c r="S850" s="6">
        <v>0</v>
      </c>
      <c r="T850" s="6">
        <v>63</v>
      </c>
      <c r="U850" s="6">
        <v>105</v>
      </c>
      <c r="V850" s="6">
        <f>IF(ISERROR(VLOOKUP($S$850,'TAR FIN'!$A$1:$O$108,15,0)),0,VLOOKUP($S$850,'TAR FIN'!$A$1:$O$108,15,0))</f>
        <v>0</v>
      </c>
      <c r="W850" s="6">
        <f>IF(ISERROR(VLOOKUP($T$850,'TAR FIN'!$A$1:$O$108,15,0)),0,VLOOKUP($T$850,'TAR FIN'!$A$1:$O$108,15,0))</f>
        <v>1133.28</v>
      </c>
      <c r="X850" s="6">
        <f>IF(ISERROR(VLOOKUP($U$850,'TAR FIN'!$A$1:$O$108,15,0)),0,VLOOKUP($U$850,'TAR FIN'!$A$1:$O$108,15,0))</f>
        <v>159.43</v>
      </c>
      <c r="Y850" s="6"/>
      <c r="Z850" s="6">
        <f ca="1">('TUSD BE'!$AM$61+'TUSD BF'!$AM$61+'TUSD CVA'!$AM$61)*1</f>
        <v>1169.5504192635606</v>
      </c>
      <c r="AA850" s="6">
        <f>('TE BE'!$AB$41+'TE BF'!$AB$41+'TE CVA'!$AB$41)*1</f>
        <v>322.12477389224171</v>
      </c>
      <c r="AB850" s="6">
        <f>$K$850*$V$850</f>
        <v>0</v>
      </c>
      <c r="AC850" s="6">
        <f>$M$850*$W$850</f>
        <v>2078.43552</v>
      </c>
      <c r="AD850" s="6">
        <f>$O$850*$X$850</f>
        <v>292.39462000000003</v>
      </c>
      <c r="AE850" s="6">
        <f>$K$850*$Y$850</f>
        <v>0</v>
      </c>
      <c r="AF850" s="6">
        <f ca="1">$M$850*$Z$850</f>
        <v>2144.95546892937</v>
      </c>
      <c r="AG850" s="6">
        <f>$O$850*$AA$850</f>
        <v>590.77683531837135</v>
      </c>
    </row>
    <row r="851" spans="1:33" ht="11.25" customHeight="1" x14ac:dyDescent="0.25">
      <c r="A851" s="4" t="s">
        <v>21</v>
      </c>
      <c r="B851" s="4" t="s">
        <v>37</v>
      </c>
      <c r="C851" s="4" t="s">
        <v>33</v>
      </c>
      <c r="D851" s="4" t="s">
        <v>44</v>
      </c>
      <c r="E851" s="4" t="s">
        <v>25</v>
      </c>
      <c r="F851" s="4" t="s">
        <v>25</v>
      </c>
      <c r="G851" s="4" t="s">
        <v>25</v>
      </c>
      <c r="H851" s="4" t="s">
        <v>34</v>
      </c>
      <c r="I851" s="5">
        <v>44743</v>
      </c>
      <c r="J851" s="6">
        <v>0</v>
      </c>
      <c r="K851" s="6">
        <v>0</v>
      </c>
      <c r="L851" s="6">
        <v>1.1679999999999999</v>
      </c>
      <c r="M851" s="6">
        <v>1.1679999999999999</v>
      </c>
      <c r="N851" s="6">
        <v>1.1679999999999999</v>
      </c>
      <c r="O851" s="6">
        <v>1.1679999999999999</v>
      </c>
      <c r="P851" s="6">
        <v>0</v>
      </c>
      <c r="Q851" s="4" t="s">
        <v>26</v>
      </c>
      <c r="R851" s="4">
        <v>0</v>
      </c>
      <c r="S851" s="6">
        <v>0</v>
      </c>
      <c r="T851" s="6">
        <v>63</v>
      </c>
      <c r="U851" s="6">
        <v>105</v>
      </c>
      <c r="V851" s="6">
        <f>IF(ISERROR(VLOOKUP($S$851,'TAR FIN'!$A$1:$O$108,15,0)),0,VLOOKUP($S$851,'TAR FIN'!$A$1:$O$108,15,0))</f>
        <v>0</v>
      </c>
      <c r="W851" s="6">
        <f>IF(ISERROR(VLOOKUP($T$851,'TAR FIN'!$A$1:$O$108,15,0)),0,VLOOKUP($T$851,'TAR FIN'!$A$1:$O$108,15,0))</f>
        <v>1133.28</v>
      </c>
      <c r="X851" s="6">
        <f>IF(ISERROR(VLOOKUP($U$851,'TAR FIN'!$A$1:$O$108,15,0)),0,VLOOKUP($U$851,'TAR FIN'!$A$1:$O$108,15,0))</f>
        <v>159.43</v>
      </c>
      <c r="Y851" s="6"/>
      <c r="Z851" s="6">
        <f ca="1">('TUSD BE'!$AM$61+'TUSD BF'!$AM$61+'TUSD CVA'!$AM$61)*1</f>
        <v>1169.5504192635606</v>
      </c>
      <c r="AA851" s="6">
        <f>('TE BE'!$AB$41+'TE BF'!$AB$41+'TE CVA'!$AB$41)*1</f>
        <v>322.12477389224171</v>
      </c>
      <c r="AB851" s="6">
        <f>$K$851*$V$851</f>
        <v>0</v>
      </c>
      <c r="AC851" s="6">
        <f>$M$851*$W$851</f>
        <v>1323.6710399999999</v>
      </c>
      <c r="AD851" s="6">
        <f>$O$851*$X$851</f>
        <v>186.21423999999999</v>
      </c>
      <c r="AE851" s="6">
        <f>$K$851*$Y$851</f>
        <v>0</v>
      </c>
      <c r="AF851" s="6">
        <f ca="1">$M$851*$Z$851</f>
        <v>1366.0348896998387</v>
      </c>
      <c r="AG851" s="6">
        <f>$O$851*$AA$851</f>
        <v>376.24173590613827</v>
      </c>
    </row>
    <row r="852" spans="1:33" ht="11.25" customHeight="1" x14ac:dyDescent="0.25">
      <c r="A852" s="4" t="s">
        <v>21</v>
      </c>
      <c r="B852" s="4" t="s">
        <v>37</v>
      </c>
      <c r="C852" s="4" t="s">
        <v>33</v>
      </c>
      <c r="D852" s="4" t="s">
        <v>44</v>
      </c>
      <c r="E852" s="4" t="s">
        <v>25</v>
      </c>
      <c r="F852" s="4" t="s">
        <v>25</v>
      </c>
      <c r="G852" s="4" t="s">
        <v>25</v>
      </c>
      <c r="H852" s="4" t="s">
        <v>34</v>
      </c>
      <c r="I852" s="5">
        <v>44774</v>
      </c>
      <c r="J852" s="6">
        <v>0</v>
      </c>
      <c r="K852" s="6">
        <v>0</v>
      </c>
      <c r="L852" s="6">
        <v>1.2390000000000001</v>
      </c>
      <c r="M852" s="6">
        <v>1.2390000000000001</v>
      </c>
      <c r="N852" s="6">
        <v>1.2390000000000001</v>
      </c>
      <c r="O852" s="6">
        <v>1.2390000000000001</v>
      </c>
      <c r="P852" s="6">
        <v>0</v>
      </c>
      <c r="Q852" s="4" t="s">
        <v>26</v>
      </c>
      <c r="R852" s="4">
        <v>0</v>
      </c>
      <c r="S852" s="6">
        <v>0</v>
      </c>
      <c r="T852" s="6">
        <v>63</v>
      </c>
      <c r="U852" s="6">
        <v>105</v>
      </c>
      <c r="V852" s="6">
        <f>IF(ISERROR(VLOOKUP($S$852,'TAR FIN'!$A$1:$O$108,15,0)),0,VLOOKUP($S$852,'TAR FIN'!$A$1:$O$108,15,0))</f>
        <v>0</v>
      </c>
      <c r="W852" s="6">
        <f>IF(ISERROR(VLOOKUP($T$852,'TAR FIN'!$A$1:$O$108,15,0)),0,VLOOKUP($T$852,'TAR FIN'!$A$1:$O$108,15,0))</f>
        <v>1133.28</v>
      </c>
      <c r="X852" s="6">
        <f>IF(ISERROR(VLOOKUP($U$852,'TAR FIN'!$A$1:$O$108,15,0)),0,VLOOKUP($U$852,'TAR FIN'!$A$1:$O$108,15,0))</f>
        <v>159.43</v>
      </c>
      <c r="Y852" s="6"/>
      <c r="Z852" s="6">
        <f ca="1">('TUSD BE'!$AM$61+'TUSD BF'!$AM$61+'TUSD CVA'!$AM$61)*1</f>
        <v>1169.5504192635606</v>
      </c>
      <c r="AA852" s="6">
        <f>('TE BE'!$AB$41+'TE BF'!$AB$41+'TE CVA'!$AB$41)*1</f>
        <v>322.12477389224171</v>
      </c>
      <c r="AB852" s="6">
        <f>$K$852*$V$852</f>
        <v>0</v>
      </c>
      <c r="AC852" s="6">
        <f>$M$852*$W$852</f>
        <v>1404.13392</v>
      </c>
      <c r="AD852" s="6">
        <f>$O$852*$X$852</f>
        <v>197.53377000000003</v>
      </c>
      <c r="AE852" s="6">
        <f>$K$852*$Y$852</f>
        <v>0</v>
      </c>
      <c r="AF852" s="6">
        <f ca="1">$M$852*$Z$852</f>
        <v>1449.0729694675517</v>
      </c>
      <c r="AG852" s="6">
        <f>$O$852*$AA$852</f>
        <v>399.11259485248752</v>
      </c>
    </row>
    <row r="853" spans="1:33" ht="11.25" customHeight="1" x14ac:dyDescent="0.25">
      <c r="A853" s="4" t="s">
        <v>21</v>
      </c>
      <c r="B853" s="4" t="s">
        <v>37</v>
      </c>
      <c r="C853" s="4" t="s">
        <v>33</v>
      </c>
      <c r="D853" s="4" t="s">
        <v>44</v>
      </c>
      <c r="E853" s="4" t="s">
        <v>25</v>
      </c>
      <c r="F853" s="4" t="s">
        <v>25</v>
      </c>
      <c r="G853" s="4" t="s">
        <v>25</v>
      </c>
      <c r="H853" s="4" t="s">
        <v>34</v>
      </c>
      <c r="I853" s="5">
        <v>44805</v>
      </c>
      <c r="J853" s="6">
        <v>0</v>
      </c>
      <c r="K853" s="6">
        <v>0</v>
      </c>
      <c r="L853" s="6">
        <v>1.9039999999999999</v>
      </c>
      <c r="M853" s="6">
        <v>1.9039999999999999</v>
      </c>
      <c r="N853" s="6">
        <v>1.9039999999999999</v>
      </c>
      <c r="O853" s="6">
        <v>1.9039999999999999</v>
      </c>
      <c r="P853" s="6">
        <v>0</v>
      </c>
      <c r="Q853" s="4" t="s">
        <v>26</v>
      </c>
      <c r="R853" s="4">
        <v>0</v>
      </c>
      <c r="S853" s="6">
        <v>0</v>
      </c>
      <c r="T853" s="6">
        <v>63</v>
      </c>
      <c r="U853" s="6">
        <v>105</v>
      </c>
      <c r="V853" s="6">
        <f>IF(ISERROR(VLOOKUP($S$853,'TAR FIN'!$A$1:$O$108,15,0)),0,VLOOKUP($S$853,'TAR FIN'!$A$1:$O$108,15,0))</f>
        <v>0</v>
      </c>
      <c r="W853" s="6">
        <f>IF(ISERROR(VLOOKUP($T$853,'TAR FIN'!$A$1:$O$108,15,0)),0,VLOOKUP($T$853,'TAR FIN'!$A$1:$O$108,15,0))</f>
        <v>1133.28</v>
      </c>
      <c r="X853" s="6">
        <f>IF(ISERROR(VLOOKUP($U$853,'TAR FIN'!$A$1:$O$108,15,0)),0,VLOOKUP($U$853,'TAR FIN'!$A$1:$O$108,15,0))</f>
        <v>159.43</v>
      </c>
      <c r="Y853" s="6"/>
      <c r="Z853" s="6">
        <f ca="1">('TUSD BE'!$AM$61+'TUSD BF'!$AM$61+'TUSD CVA'!$AM$61)*1</f>
        <v>1169.5504192635606</v>
      </c>
      <c r="AA853" s="6">
        <f>('TE BE'!$AB$41+'TE BF'!$AB$41+'TE CVA'!$AB$41)*1</f>
        <v>322.12477389224171</v>
      </c>
      <c r="AB853" s="6">
        <f>$K$853*$V$853</f>
        <v>0</v>
      </c>
      <c r="AC853" s="6">
        <f>$M$853*$W$853</f>
        <v>2157.76512</v>
      </c>
      <c r="AD853" s="6">
        <f>$O$853*$X$853</f>
        <v>303.55471999999997</v>
      </c>
      <c r="AE853" s="6">
        <f>$K$853*$Y$853</f>
        <v>0</v>
      </c>
      <c r="AF853" s="6">
        <f ca="1">$M$853*$Z$853</f>
        <v>2226.8239982778191</v>
      </c>
      <c r="AG853" s="6">
        <f>$O$853*$AA$853</f>
        <v>613.32556949082823</v>
      </c>
    </row>
    <row r="854" spans="1:33" ht="11.25" customHeight="1" x14ac:dyDescent="0.25">
      <c r="A854" s="4" t="s">
        <v>21</v>
      </c>
      <c r="B854" s="4" t="s">
        <v>37</v>
      </c>
      <c r="C854" s="4" t="s">
        <v>33</v>
      </c>
      <c r="D854" s="4" t="s">
        <v>44</v>
      </c>
      <c r="E854" s="4" t="s">
        <v>25</v>
      </c>
      <c r="F854" s="4" t="s">
        <v>25</v>
      </c>
      <c r="G854" s="4" t="s">
        <v>25</v>
      </c>
      <c r="H854" s="4" t="s">
        <v>34</v>
      </c>
      <c r="I854" s="5">
        <v>44835</v>
      </c>
      <c r="J854" s="6">
        <v>0</v>
      </c>
      <c r="K854" s="6">
        <v>0</v>
      </c>
      <c r="L854" s="6">
        <v>2.452</v>
      </c>
      <c r="M854" s="6">
        <v>2.452</v>
      </c>
      <c r="N854" s="6">
        <v>2.452</v>
      </c>
      <c r="O854" s="6">
        <v>2.452</v>
      </c>
      <c r="P854" s="6">
        <v>0</v>
      </c>
      <c r="Q854" s="4" t="s">
        <v>26</v>
      </c>
      <c r="R854" s="4">
        <v>0</v>
      </c>
      <c r="S854" s="6">
        <v>0</v>
      </c>
      <c r="T854" s="6">
        <v>63</v>
      </c>
      <c r="U854" s="6">
        <v>105</v>
      </c>
      <c r="V854" s="6">
        <f>IF(ISERROR(VLOOKUP($S$854,'TAR FIN'!$A$1:$O$108,15,0)),0,VLOOKUP($S$854,'TAR FIN'!$A$1:$O$108,15,0))</f>
        <v>0</v>
      </c>
      <c r="W854" s="6">
        <f>IF(ISERROR(VLOOKUP($T$854,'TAR FIN'!$A$1:$O$108,15,0)),0,VLOOKUP($T$854,'TAR FIN'!$A$1:$O$108,15,0))</f>
        <v>1133.28</v>
      </c>
      <c r="X854" s="6">
        <f>IF(ISERROR(VLOOKUP($U$854,'TAR FIN'!$A$1:$O$108,15,0)),0,VLOOKUP($U$854,'TAR FIN'!$A$1:$O$108,15,0))</f>
        <v>159.43</v>
      </c>
      <c r="Y854" s="6"/>
      <c r="Z854" s="6">
        <f ca="1">('TUSD BE'!$AM$61+'TUSD BF'!$AM$61+'TUSD CVA'!$AM$61)*1</f>
        <v>1169.5504192635606</v>
      </c>
      <c r="AA854" s="6">
        <f>('TE BE'!$AB$41+'TE BF'!$AB$41+'TE CVA'!$AB$41)*1</f>
        <v>322.12477389224171</v>
      </c>
      <c r="AB854" s="6">
        <f>$K$854*$V$854</f>
        <v>0</v>
      </c>
      <c r="AC854" s="6">
        <f>$M$854*$W$854</f>
        <v>2778.8025600000001</v>
      </c>
      <c r="AD854" s="6">
        <f>$O$854*$X$854</f>
        <v>390.92236000000003</v>
      </c>
      <c r="AE854" s="6">
        <f>$K$854*$Y$854</f>
        <v>0</v>
      </c>
      <c r="AF854" s="6">
        <f ca="1">$M$854*$Z$854</f>
        <v>2867.7376280342505</v>
      </c>
      <c r="AG854" s="6">
        <f>$O$854*$AA$854</f>
        <v>789.84994558377662</v>
      </c>
    </row>
    <row r="855" spans="1:33" ht="11.25" customHeight="1" x14ac:dyDescent="0.25">
      <c r="A855" s="4" t="s">
        <v>54</v>
      </c>
      <c r="B855" s="4" t="s">
        <v>37</v>
      </c>
      <c r="C855" s="4" t="s">
        <v>33</v>
      </c>
      <c r="D855" s="4" t="s">
        <v>44</v>
      </c>
      <c r="E855" s="4" t="s">
        <v>25</v>
      </c>
      <c r="F855" s="4" t="s">
        <v>25</v>
      </c>
      <c r="G855" s="4" t="s">
        <v>25</v>
      </c>
      <c r="H855" s="4" t="s">
        <v>34</v>
      </c>
      <c r="I855" s="5">
        <v>44866</v>
      </c>
      <c r="J855" s="6">
        <v>0</v>
      </c>
      <c r="K855" s="6">
        <v>0</v>
      </c>
      <c r="L855" s="6">
        <v>2.452</v>
      </c>
      <c r="M855" s="6">
        <v>2.452</v>
      </c>
      <c r="N855" s="6">
        <v>2.452</v>
      </c>
      <c r="O855" s="6">
        <v>2.452</v>
      </c>
      <c r="P855" s="6">
        <v>0</v>
      </c>
      <c r="Q855" s="4" t="s">
        <v>26</v>
      </c>
      <c r="R855" s="4">
        <v>0</v>
      </c>
      <c r="S855" s="6">
        <v>0</v>
      </c>
      <c r="T855" s="6">
        <v>63</v>
      </c>
      <c r="U855" s="6">
        <v>105</v>
      </c>
      <c r="V855" s="6">
        <f>IF(ISERROR(VLOOKUP($S$855,'TAR FIN'!$A$1:$O$108,15,0)),0,VLOOKUP($S$855,'TAR FIN'!$A$1:$O$108,15,0))</f>
        <v>0</v>
      </c>
      <c r="W855" s="6">
        <f>IF(ISERROR(VLOOKUP($T$855,'TAR FIN'!$A$1:$O$108,15,0)),0,VLOOKUP($T$855,'TAR FIN'!$A$1:$O$108,15,0))</f>
        <v>1133.28</v>
      </c>
      <c r="X855" s="6">
        <f>IF(ISERROR(VLOOKUP($U$855,'TAR FIN'!$A$1:$O$108,15,0)),0,VLOOKUP($U$855,'TAR FIN'!$A$1:$O$108,15,0))</f>
        <v>159.43</v>
      </c>
      <c r="Y855" s="6"/>
      <c r="Z855" s="6">
        <f ca="1">('TUSD BE'!$AM$61+'TUSD BF'!$AM$61+'TUSD CVA'!$AM$61)*1</f>
        <v>1169.5504192635606</v>
      </c>
      <c r="AA855" s="6">
        <f>('TE BE'!$AB$41+'TE BF'!$AB$41+'TE CVA'!$AB$41)*1</f>
        <v>322.12477389224171</v>
      </c>
      <c r="AB855" s="6">
        <f>$K$855*$V$855</f>
        <v>0</v>
      </c>
      <c r="AC855" s="6">
        <f>$M$855*$W$855</f>
        <v>2778.8025600000001</v>
      </c>
      <c r="AD855" s="6">
        <f>$O$855*$X$855</f>
        <v>390.92236000000003</v>
      </c>
      <c r="AE855" s="6">
        <f>$K$855*$Y$855</f>
        <v>0</v>
      </c>
      <c r="AF855" s="6">
        <f ca="1">$M$855*$Z$855</f>
        <v>2867.7376280342505</v>
      </c>
      <c r="AG855" s="6">
        <f>$O$855*$AA$855</f>
        <v>789.84994558377662</v>
      </c>
    </row>
    <row r="856" spans="1:33" ht="11.25" customHeight="1" x14ac:dyDescent="0.25">
      <c r="A856" s="4" t="s">
        <v>21</v>
      </c>
      <c r="B856" s="4" t="s">
        <v>37</v>
      </c>
      <c r="C856" s="4" t="s">
        <v>33</v>
      </c>
      <c r="D856" s="4" t="s">
        <v>38</v>
      </c>
      <c r="E856" s="4" t="s">
        <v>25</v>
      </c>
      <c r="F856" s="4" t="s">
        <v>25</v>
      </c>
      <c r="G856" s="4" t="s">
        <v>25</v>
      </c>
      <c r="H856" s="4" t="s">
        <v>35</v>
      </c>
      <c r="I856" s="5">
        <v>44835</v>
      </c>
      <c r="J856" s="6">
        <v>0</v>
      </c>
      <c r="K856" s="6">
        <v>0</v>
      </c>
      <c r="L856" s="6">
        <v>0.78400000000000003</v>
      </c>
      <c r="M856" s="6">
        <v>0.78400000000000003</v>
      </c>
      <c r="N856" s="6">
        <v>0.78400000000000003</v>
      </c>
      <c r="O856" s="6">
        <v>0.78400000000000003</v>
      </c>
      <c r="P856" s="6">
        <v>0</v>
      </c>
      <c r="Q856" s="4" t="s">
        <v>26</v>
      </c>
      <c r="R856" s="4">
        <v>0</v>
      </c>
      <c r="S856" s="6">
        <v>0</v>
      </c>
      <c r="T856" s="6">
        <v>65</v>
      </c>
      <c r="U856" s="6">
        <v>107</v>
      </c>
      <c r="V856" s="6">
        <f>IF(ISERROR(VLOOKUP($S$856,'TAR FIN'!$A$1:$O$108,15,0)),0,VLOOKUP($S$856,'TAR FIN'!$A$1:$O$108,15,0))</f>
        <v>0</v>
      </c>
      <c r="W856" s="6">
        <f>IF(ISERROR(VLOOKUP($T$856,'TAR FIN'!$A$1:$O$108,15,0)),0,VLOOKUP($T$856,'TAR FIN'!$A$1:$O$108,15,0))</f>
        <v>322.94</v>
      </c>
      <c r="X856" s="6">
        <f>IF(ISERROR(VLOOKUP($U$856,'TAR FIN'!$A$1:$O$108,15,0)),0,VLOOKUP($U$856,'TAR FIN'!$A$1:$O$108,15,0))</f>
        <v>103.1</v>
      </c>
      <c r="Y856" s="6"/>
      <c r="Z856" s="6">
        <f ca="1">('TUSD BE'!$AM$63+'TUSD BF'!$AM$63+'TUSD CVA'!$AM$63)*1</f>
        <v>392.60303123039864</v>
      </c>
      <c r="AA856" s="6">
        <f>('TE BE'!$AB$43+'TE BF'!$AB$43+'TE CVA'!$AB$43)*1</f>
        <v>215.60278025898469</v>
      </c>
      <c r="AB856" s="6">
        <f>$K$856*$V$856</f>
        <v>0</v>
      </c>
      <c r="AC856" s="6">
        <f>$M$856*$W$856</f>
        <v>253.18496000000002</v>
      </c>
      <c r="AD856" s="6">
        <f>$O$856*$X$856</f>
        <v>80.830399999999997</v>
      </c>
      <c r="AE856" s="6">
        <f>$K$856*$Y$856</f>
        <v>0</v>
      </c>
      <c r="AF856" s="6">
        <f ca="1">$M$856*$Z$856</f>
        <v>307.80077648463254</v>
      </c>
      <c r="AG856" s="6">
        <f>$O$856*$AA$856</f>
        <v>169.03257972304399</v>
      </c>
    </row>
    <row r="857" spans="1:33" ht="11.25" customHeight="1" x14ac:dyDescent="0.25">
      <c r="A857" s="4" t="s">
        <v>54</v>
      </c>
      <c r="B857" s="4" t="s">
        <v>37</v>
      </c>
      <c r="C857" s="4" t="s">
        <v>33</v>
      </c>
      <c r="D857" s="4" t="s">
        <v>38</v>
      </c>
      <c r="E857" s="4" t="s">
        <v>25</v>
      </c>
      <c r="F857" s="4" t="s">
        <v>25</v>
      </c>
      <c r="G857" s="4" t="s">
        <v>25</v>
      </c>
      <c r="H857" s="4" t="s">
        <v>35</v>
      </c>
      <c r="I857" s="5">
        <v>44866</v>
      </c>
      <c r="J857" s="6">
        <v>0</v>
      </c>
      <c r="K857" s="6">
        <v>0</v>
      </c>
      <c r="L857" s="6">
        <v>0.78400000000000003</v>
      </c>
      <c r="M857" s="6">
        <v>0.78400000000000003</v>
      </c>
      <c r="N857" s="6">
        <v>0.78400000000000003</v>
      </c>
      <c r="O857" s="6">
        <v>0.78400000000000003</v>
      </c>
      <c r="P857" s="6">
        <v>0</v>
      </c>
      <c r="Q857" s="4" t="s">
        <v>26</v>
      </c>
      <c r="R857" s="4">
        <v>0</v>
      </c>
      <c r="S857" s="6">
        <v>0</v>
      </c>
      <c r="T857" s="6">
        <v>65</v>
      </c>
      <c r="U857" s="6">
        <v>107</v>
      </c>
      <c r="V857" s="6">
        <f>IF(ISERROR(VLOOKUP($S$857,'TAR FIN'!$A$1:$O$108,15,0)),0,VLOOKUP($S$857,'TAR FIN'!$A$1:$O$108,15,0))</f>
        <v>0</v>
      </c>
      <c r="W857" s="6">
        <f>IF(ISERROR(VLOOKUP($T$857,'TAR FIN'!$A$1:$O$108,15,0)),0,VLOOKUP($T$857,'TAR FIN'!$A$1:$O$108,15,0))</f>
        <v>322.94</v>
      </c>
      <c r="X857" s="6">
        <f>IF(ISERROR(VLOOKUP($U$857,'TAR FIN'!$A$1:$O$108,15,0)),0,VLOOKUP($U$857,'TAR FIN'!$A$1:$O$108,15,0))</f>
        <v>103.1</v>
      </c>
      <c r="Y857" s="6"/>
      <c r="Z857" s="6">
        <f ca="1">('TUSD BE'!$AM$63+'TUSD BF'!$AM$63+'TUSD CVA'!$AM$63)*1</f>
        <v>392.60303123039864</v>
      </c>
      <c r="AA857" s="6">
        <f>('TE BE'!$AB$43+'TE BF'!$AB$43+'TE CVA'!$AB$43)*1</f>
        <v>215.60278025898469</v>
      </c>
      <c r="AB857" s="6">
        <f>$K$857*$V$857</f>
        <v>0</v>
      </c>
      <c r="AC857" s="6">
        <f>$M$857*$W$857</f>
        <v>253.18496000000002</v>
      </c>
      <c r="AD857" s="6">
        <f>$O$857*$X$857</f>
        <v>80.830399999999997</v>
      </c>
      <c r="AE857" s="6">
        <f>$K$857*$Y$857</f>
        <v>0</v>
      </c>
      <c r="AF857" s="6">
        <f ca="1">$M$857*$Z$857</f>
        <v>307.80077648463254</v>
      </c>
      <c r="AG857" s="6">
        <f>$O$857*$AA$857</f>
        <v>169.03257972304399</v>
      </c>
    </row>
    <row r="858" spans="1:33" ht="11.25" customHeight="1" x14ac:dyDescent="0.25">
      <c r="A858" s="4" t="s">
        <v>21</v>
      </c>
      <c r="B858" s="4" t="s">
        <v>37</v>
      </c>
      <c r="C858" s="4" t="s">
        <v>33</v>
      </c>
      <c r="D858" s="4" t="s">
        <v>38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44835</v>
      </c>
      <c r="J858" s="6">
        <v>0</v>
      </c>
      <c r="K858" s="6">
        <v>0</v>
      </c>
      <c r="L858" s="6">
        <v>1.6E-2</v>
      </c>
      <c r="M858" s="6">
        <v>1.6E-2</v>
      </c>
      <c r="N858" s="6">
        <v>1.6E-2</v>
      </c>
      <c r="O858" s="6">
        <v>1.6E-2</v>
      </c>
      <c r="P858" s="6">
        <v>0</v>
      </c>
      <c r="Q858" s="4" t="s">
        <v>26</v>
      </c>
      <c r="R858" s="4">
        <v>0</v>
      </c>
      <c r="S858" s="6">
        <v>0</v>
      </c>
      <c r="T858" s="6">
        <v>64</v>
      </c>
      <c r="U858" s="6">
        <v>106</v>
      </c>
      <c r="V858" s="6">
        <f>IF(ISERROR(VLOOKUP($S$858,'TAR FIN'!$A$1:$O$108,15,0)),0,VLOOKUP($S$858,'TAR FIN'!$A$1:$O$108,15,0))</f>
        <v>0</v>
      </c>
      <c r="W858" s="6">
        <f>IF(ISERROR(VLOOKUP($T$858,'TAR FIN'!$A$1:$O$108,15,0)),0,VLOOKUP($T$858,'TAR FIN'!$A$1:$O$108,15,0))</f>
        <v>728.11</v>
      </c>
      <c r="X858" s="6">
        <f>IF(ISERROR(VLOOKUP($U$858,'TAR FIN'!$A$1:$O$108,15,0)),0,VLOOKUP($U$858,'TAR FIN'!$A$1:$O$108,15,0))</f>
        <v>103.1</v>
      </c>
      <c r="Y858" s="6"/>
      <c r="Z858" s="6">
        <f ca="1">('TUSD BE'!$AM$62+'TUSD BF'!$AM$62+'TUSD CVA'!$AM$62)*1</f>
        <v>781.0767281755011</v>
      </c>
      <c r="AA858" s="6">
        <f>('TE BE'!$AB$42+'TE BF'!$AB$42+'TE CVA'!$AB$42)*1</f>
        <v>215.60278025898469</v>
      </c>
      <c r="AB858" s="6">
        <f>$K$858*$V$858</f>
        <v>0</v>
      </c>
      <c r="AC858" s="6">
        <f>$M$858*$W$858</f>
        <v>11.649760000000001</v>
      </c>
      <c r="AD858" s="6">
        <f>$O$858*$X$858</f>
        <v>1.6496</v>
      </c>
      <c r="AE858" s="6">
        <f>$K$858*$Y$858</f>
        <v>0</v>
      </c>
      <c r="AF858" s="6">
        <f ca="1">$M$858*$Z$858</f>
        <v>12.497227650808018</v>
      </c>
      <c r="AG858" s="6">
        <f>$O$858*$AA$858</f>
        <v>3.449644484143755</v>
      </c>
    </row>
    <row r="859" spans="1:33" ht="11.25" customHeight="1" x14ac:dyDescent="0.25">
      <c r="A859" s="4" t="s">
        <v>54</v>
      </c>
      <c r="B859" s="4" t="s">
        <v>37</v>
      </c>
      <c r="C859" s="4" t="s">
        <v>33</v>
      </c>
      <c r="D859" s="4" t="s">
        <v>38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44866</v>
      </c>
      <c r="J859" s="6">
        <v>0</v>
      </c>
      <c r="K859" s="6">
        <v>0</v>
      </c>
      <c r="L859" s="6">
        <v>1.6E-2</v>
      </c>
      <c r="M859" s="6">
        <v>1.6E-2</v>
      </c>
      <c r="N859" s="6">
        <v>1.6E-2</v>
      </c>
      <c r="O859" s="6">
        <v>1.6E-2</v>
      </c>
      <c r="P859" s="6">
        <v>0</v>
      </c>
      <c r="Q859" s="4" t="s">
        <v>26</v>
      </c>
      <c r="R859" s="4">
        <v>0</v>
      </c>
      <c r="S859" s="6">
        <v>0</v>
      </c>
      <c r="T859" s="6">
        <v>64</v>
      </c>
      <c r="U859" s="6">
        <v>106</v>
      </c>
      <c r="V859" s="6">
        <f>IF(ISERROR(VLOOKUP($S$859,'TAR FIN'!$A$1:$O$108,15,0)),0,VLOOKUP($S$859,'TAR FIN'!$A$1:$O$108,15,0))</f>
        <v>0</v>
      </c>
      <c r="W859" s="6">
        <f>IF(ISERROR(VLOOKUP($T$859,'TAR FIN'!$A$1:$O$108,15,0)),0,VLOOKUP($T$859,'TAR FIN'!$A$1:$O$108,15,0))</f>
        <v>728.11</v>
      </c>
      <c r="X859" s="6">
        <f>IF(ISERROR(VLOOKUP($U$859,'TAR FIN'!$A$1:$O$108,15,0)),0,VLOOKUP($U$859,'TAR FIN'!$A$1:$O$108,15,0))</f>
        <v>103.1</v>
      </c>
      <c r="Y859" s="6"/>
      <c r="Z859" s="6">
        <f ca="1">('TUSD BE'!$AM$62+'TUSD BF'!$AM$62+'TUSD CVA'!$AM$62)*1</f>
        <v>781.0767281755011</v>
      </c>
      <c r="AA859" s="6">
        <f>('TE BE'!$AB$42+'TE BF'!$AB$42+'TE CVA'!$AB$42)*1</f>
        <v>215.60278025898469</v>
      </c>
      <c r="AB859" s="6">
        <f>$K$859*$V$859</f>
        <v>0</v>
      </c>
      <c r="AC859" s="6">
        <f>$M$859*$W$859</f>
        <v>11.649760000000001</v>
      </c>
      <c r="AD859" s="6">
        <f>$O$859*$X$859</f>
        <v>1.6496</v>
      </c>
      <c r="AE859" s="6">
        <f>$K$859*$Y$859</f>
        <v>0</v>
      </c>
      <c r="AF859" s="6">
        <f ca="1">$M$859*$Z$859</f>
        <v>12.497227650808018</v>
      </c>
      <c r="AG859" s="6">
        <f>$O$859*$AA$859</f>
        <v>3.449644484143755</v>
      </c>
    </row>
    <row r="860" spans="1:33" ht="11.25" customHeight="1" x14ac:dyDescent="0.25">
      <c r="A860" s="4" t="s">
        <v>21</v>
      </c>
      <c r="B860" s="4" t="s">
        <v>37</v>
      </c>
      <c r="C860" s="4" t="s">
        <v>33</v>
      </c>
      <c r="D860" s="4" t="s">
        <v>38</v>
      </c>
      <c r="E860" s="4" t="s">
        <v>25</v>
      </c>
      <c r="F860" s="4" t="s">
        <v>25</v>
      </c>
      <c r="G860" s="4" t="s">
        <v>25</v>
      </c>
      <c r="H860" s="4" t="s">
        <v>34</v>
      </c>
      <c r="I860" s="5">
        <v>44835</v>
      </c>
      <c r="J860" s="6">
        <v>0</v>
      </c>
      <c r="K860" s="6">
        <v>0</v>
      </c>
      <c r="L860" s="6">
        <v>2.5000000000000001E-2</v>
      </c>
      <c r="M860" s="6">
        <v>2.5000000000000001E-2</v>
      </c>
      <c r="N860" s="6">
        <v>2.5000000000000001E-2</v>
      </c>
      <c r="O860" s="6">
        <v>2.5000000000000001E-2</v>
      </c>
      <c r="P860" s="6">
        <v>0</v>
      </c>
      <c r="Q860" s="4" t="s">
        <v>26</v>
      </c>
      <c r="R860" s="4">
        <v>0</v>
      </c>
      <c r="S860" s="6">
        <v>0</v>
      </c>
      <c r="T860" s="6">
        <v>63</v>
      </c>
      <c r="U860" s="6">
        <v>105</v>
      </c>
      <c r="V860" s="6">
        <f>IF(ISERROR(VLOOKUP($S$860,'TAR FIN'!$A$1:$O$108,15,0)),0,VLOOKUP($S$860,'TAR FIN'!$A$1:$O$108,15,0))</f>
        <v>0</v>
      </c>
      <c r="W860" s="6">
        <f>IF(ISERROR(VLOOKUP($T$860,'TAR FIN'!$A$1:$O$108,15,0)),0,VLOOKUP($T$860,'TAR FIN'!$A$1:$O$108,15,0))</f>
        <v>1133.28</v>
      </c>
      <c r="X860" s="6">
        <f>IF(ISERROR(VLOOKUP($U$860,'TAR FIN'!$A$1:$O$108,15,0)),0,VLOOKUP($U$860,'TAR FIN'!$A$1:$O$108,15,0))</f>
        <v>159.43</v>
      </c>
      <c r="Y860" s="6"/>
      <c r="Z860" s="6">
        <f ca="1">('TUSD BE'!$AM$61+'TUSD BF'!$AM$61+'TUSD CVA'!$AM$61)*1</f>
        <v>1169.5504192635606</v>
      </c>
      <c r="AA860" s="6">
        <f>('TE BE'!$AB$41+'TE BF'!$AB$41+'TE CVA'!$AB$41)*1</f>
        <v>322.12477389224171</v>
      </c>
      <c r="AB860" s="6">
        <f>$K$860*$V$860</f>
        <v>0</v>
      </c>
      <c r="AC860" s="6">
        <f>$M$860*$W$860</f>
        <v>28.332000000000001</v>
      </c>
      <c r="AD860" s="6">
        <f>$O$860*$X$860</f>
        <v>3.9857500000000003</v>
      </c>
      <c r="AE860" s="6">
        <f>$K$860*$Y$860</f>
        <v>0</v>
      </c>
      <c r="AF860" s="6">
        <f ca="1">$M$860*$Z$860</f>
        <v>29.238760481589015</v>
      </c>
      <c r="AG860" s="6">
        <f>$O$860*$AA$860</f>
        <v>8.0531193473060423</v>
      </c>
    </row>
    <row r="861" spans="1:33" ht="11.25" customHeight="1" x14ac:dyDescent="0.25">
      <c r="A861" s="4" t="s">
        <v>54</v>
      </c>
      <c r="B861" s="4" t="s">
        <v>37</v>
      </c>
      <c r="C861" s="4" t="s">
        <v>33</v>
      </c>
      <c r="D861" s="4" t="s">
        <v>38</v>
      </c>
      <c r="E861" s="4" t="s">
        <v>25</v>
      </c>
      <c r="F861" s="4" t="s">
        <v>25</v>
      </c>
      <c r="G861" s="4" t="s">
        <v>25</v>
      </c>
      <c r="H861" s="4" t="s">
        <v>34</v>
      </c>
      <c r="I861" s="5">
        <v>44866</v>
      </c>
      <c r="J861" s="6">
        <v>0</v>
      </c>
      <c r="K861" s="6">
        <v>0</v>
      </c>
      <c r="L861" s="6">
        <v>2.5000000000000001E-2</v>
      </c>
      <c r="M861" s="6">
        <v>2.5000000000000001E-2</v>
      </c>
      <c r="N861" s="6">
        <v>2.5000000000000001E-2</v>
      </c>
      <c r="O861" s="6">
        <v>2.5000000000000001E-2</v>
      </c>
      <c r="P861" s="6">
        <v>0</v>
      </c>
      <c r="Q861" s="4" t="s">
        <v>26</v>
      </c>
      <c r="R861" s="4">
        <v>0</v>
      </c>
      <c r="S861" s="6">
        <v>0</v>
      </c>
      <c r="T861" s="6">
        <v>63</v>
      </c>
      <c r="U861" s="6">
        <v>105</v>
      </c>
      <c r="V861" s="6">
        <f>IF(ISERROR(VLOOKUP($S$861,'TAR FIN'!$A$1:$O$108,15,0)),0,VLOOKUP($S$861,'TAR FIN'!$A$1:$O$108,15,0))</f>
        <v>0</v>
      </c>
      <c r="W861" s="6">
        <f>IF(ISERROR(VLOOKUP($T$861,'TAR FIN'!$A$1:$O$108,15,0)),0,VLOOKUP($T$861,'TAR FIN'!$A$1:$O$108,15,0))</f>
        <v>1133.28</v>
      </c>
      <c r="X861" s="6">
        <f>IF(ISERROR(VLOOKUP($U$861,'TAR FIN'!$A$1:$O$108,15,0)),0,VLOOKUP($U$861,'TAR FIN'!$A$1:$O$108,15,0))</f>
        <v>159.43</v>
      </c>
      <c r="Y861" s="6"/>
      <c r="Z861" s="6">
        <f ca="1">('TUSD BE'!$AM$61+'TUSD BF'!$AM$61+'TUSD CVA'!$AM$61)*1</f>
        <v>1169.5504192635606</v>
      </c>
      <c r="AA861" s="6">
        <f>('TE BE'!$AB$41+'TE BF'!$AB$41+'TE CVA'!$AB$41)*1</f>
        <v>322.12477389224171</v>
      </c>
      <c r="AB861" s="6">
        <f>$K$861*$V$861</f>
        <v>0</v>
      </c>
      <c r="AC861" s="6">
        <f>$M$861*$W$861</f>
        <v>28.332000000000001</v>
      </c>
      <c r="AD861" s="6">
        <f>$O$861*$X$861</f>
        <v>3.9857500000000003</v>
      </c>
      <c r="AE861" s="6">
        <f>$K$861*$Y$861</f>
        <v>0</v>
      </c>
      <c r="AF861" s="6">
        <f ca="1">$M$861*$Z$861</f>
        <v>29.238760481589015</v>
      </c>
      <c r="AG861" s="6">
        <f>$O$861*$AA$861</f>
        <v>8.0531193473060423</v>
      </c>
    </row>
    <row r="862" spans="1:33" ht="11.25" customHeight="1" x14ac:dyDescent="0.25">
      <c r="A862" s="4" t="s">
        <v>21</v>
      </c>
      <c r="B862" s="4" t="s">
        <v>37</v>
      </c>
      <c r="C862" s="4" t="s">
        <v>33</v>
      </c>
      <c r="D862" s="4" t="s">
        <v>47</v>
      </c>
      <c r="E862" s="4" t="s">
        <v>25</v>
      </c>
      <c r="F862" s="4" t="s">
        <v>25</v>
      </c>
      <c r="G862" s="4" t="s">
        <v>25</v>
      </c>
      <c r="H862" s="4" t="s">
        <v>35</v>
      </c>
      <c r="I862" s="5">
        <v>44621</v>
      </c>
      <c r="J862" s="6">
        <v>0</v>
      </c>
      <c r="K862" s="6">
        <v>0</v>
      </c>
      <c r="L862" s="6">
        <v>1.2010000000000001</v>
      </c>
      <c r="M862" s="6">
        <v>1.2010000000000001</v>
      </c>
      <c r="N862" s="6">
        <v>1.2010000000000001</v>
      </c>
      <c r="O862" s="6">
        <v>1.2010000000000001</v>
      </c>
      <c r="P862" s="6">
        <v>0</v>
      </c>
      <c r="Q862" s="4" t="s">
        <v>26</v>
      </c>
      <c r="R862" s="4">
        <v>0</v>
      </c>
      <c r="S862" s="6">
        <v>0</v>
      </c>
      <c r="T862" s="6">
        <v>65</v>
      </c>
      <c r="U862" s="6">
        <v>107</v>
      </c>
      <c r="V862" s="6">
        <f>IF(ISERROR(VLOOKUP($S$862,'TAR FIN'!$A$1:$O$108,15,0)),0,VLOOKUP($S$862,'TAR FIN'!$A$1:$O$108,15,0))</f>
        <v>0</v>
      </c>
      <c r="W862" s="6">
        <f>IF(ISERROR(VLOOKUP($T$862,'TAR FIN'!$A$1:$O$108,15,0)),0,VLOOKUP($T$862,'TAR FIN'!$A$1:$O$108,15,0))</f>
        <v>322.94</v>
      </c>
      <c r="X862" s="6">
        <f>IF(ISERROR(VLOOKUP($U$862,'TAR FIN'!$A$1:$O$108,15,0)),0,VLOOKUP($U$862,'TAR FIN'!$A$1:$O$108,15,0))</f>
        <v>103.1</v>
      </c>
      <c r="Y862" s="6"/>
      <c r="Z862" s="6">
        <f ca="1">('TUSD BE'!$AM$63+'TUSD BF'!$AM$63+'TUSD CVA'!$AM$63)*1</f>
        <v>392.60303123039864</v>
      </c>
      <c r="AA862" s="6">
        <f>('TE BE'!$AB$43+'TE BF'!$AB$43+'TE CVA'!$AB$43)*1</f>
        <v>215.60278025898469</v>
      </c>
      <c r="AB862" s="6">
        <f>$K$862*$V$862</f>
        <v>0</v>
      </c>
      <c r="AC862" s="6">
        <f>$M$862*$W$862</f>
        <v>387.85094000000004</v>
      </c>
      <c r="AD862" s="6">
        <f>$O$862*$X$862</f>
        <v>123.8231</v>
      </c>
      <c r="AE862" s="6">
        <f>$K$862*$Y$862</f>
        <v>0</v>
      </c>
      <c r="AF862" s="6">
        <f ca="1">$M$862*$Z$862</f>
        <v>471.5162405077088</v>
      </c>
      <c r="AG862" s="6">
        <f>$O$862*$AA$862</f>
        <v>258.93893909104065</v>
      </c>
    </row>
    <row r="863" spans="1:33" ht="11.25" customHeight="1" x14ac:dyDescent="0.25">
      <c r="A863" s="4" t="s">
        <v>21</v>
      </c>
      <c r="B863" s="4" t="s">
        <v>37</v>
      </c>
      <c r="C863" s="4" t="s">
        <v>33</v>
      </c>
      <c r="D863" s="4" t="s">
        <v>47</v>
      </c>
      <c r="E863" s="4" t="s">
        <v>25</v>
      </c>
      <c r="F863" s="4" t="s">
        <v>25</v>
      </c>
      <c r="G863" s="4" t="s">
        <v>25</v>
      </c>
      <c r="H863" s="4" t="s">
        <v>35</v>
      </c>
      <c r="I863" s="5">
        <v>44652</v>
      </c>
      <c r="J863" s="6">
        <v>0</v>
      </c>
      <c r="K863" s="6">
        <v>0</v>
      </c>
      <c r="L863" s="6">
        <v>8.4789999999999992</v>
      </c>
      <c r="M863" s="6">
        <v>8.4789999999999992</v>
      </c>
      <c r="N863" s="6">
        <v>8.4789999999999992</v>
      </c>
      <c r="O863" s="6">
        <v>8.4789999999999992</v>
      </c>
      <c r="P863" s="6">
        <v>0</v>
      </c>
      <c r="Q863" s="4" t="s">
        <v>26</v>
      </c>
      <c r="R863" s="4">
        <v>0</v>
      </c>
      <c r="S863" s="6">
        <v>0</v>
      </c>
      <c r="T863" s="6">
        <v>65</v>
      </c>
      <c r="U863" s="6">
        <v>107</v>
      </c>
      <c r="V863" s="6">
        <f>IF(ISERROR(VLOOKUP($S$863,'TAR FIN'!$A$1:$O$108,15,0)),0,VLOOKUP($S$863,'TAR FIN'!$A$1:$O$108,15,0))</f>
        <v>0</v>
      </c>
      <c r="W863" s="6">
        <f>IF(ISERROR(VLOOKUP($T$863,'TAR FIN'!$A$1:$O$108,15,0)),0,VLOOKUP($T$863,'TAR FIN'!$A$1:$O$108,15,0))</f>
        <v>322.94</v>
      </c>
      <c r="X863" s="6">
        <f>IF(ISERROR(VLOOKUP($U$863,'TAR FIN'!$A$1:$O$108,15,0)),0,VLOOKUP($U$863,'TAR FIN'!$A$1:$O$108,15,0))</f>
        <v>103.1</v>
      </c>
      <c r="Y863" s="6"/>
      <c r="Z863" s="6">
        <f ca="1">('TUSD BE'!$AM$63+'TUSD BF'!$AM$63+'TUSD CVA'!$AM$63)*1</f>
        <v>392.60303123039864</v>
      </c>
      <c r="AA863" s="6">
        <f>('TE BE'!$AB$43+'TE BF'!$AB$43+'TE CVA'!$AB$43)*1</f>
        <v>215.60278025898469</v>
      </c>
      <c r="AB863" s="6">
        <f>$K$863*$V$863</f>
        <v>0</v>
      </c>
      <c r="AC863" s="6">
        <f>$M$863*$W$863</f>
        <v>2738.2082599999999</v>
      </c>
      <c r="AD863" s="6">
        <f>$O$863*$X$863</f>
        <v>874.18489999999986</v>
      </c>
      <c r="AE863" s="6">
        <f>$K$863*$Y$863</f>
        <v>0</v>
      </c>
      <c r="AF863" s="6">
        <f ca="1">$M$863*$Z$863</f>
        <v>3328.8811018025499</v>
      </c>
      <c r="AG863" s="6">
        <f>$O$863*$AA$863</f>
        <v>1828.0959738159311</v>
      </c>
    </row>
    <row r="864" spans="1:33" ht="11.25" customHeight="1" x14ac:dyDescent="0.25">
      <c r="A864" s="4" t="s">
        <v>27</v>
      </c>
      <c r="B864" s="4" t="s">
        <v>37</v>
      </c>
      <c r="C864" s="4" t="s">
        <v>33</v>
      </c>
      <c r="D864" s="4" t="s">
        <v>47</v>
      </c>
      <c r="E864" s="4" t="s">
        <v>25</v>
      </c>
      <c r="F864" s="4" t="s">
        <v>25</v>
      </c>
      <c r="G864" s="4" t="s">
        <v>25</v>
      </c>
      <c r="H864" s="4" t="s">
        <v>35</v>
      </c>
      <c r="I864" s="5">
        <v>44652</v>
      </c>
      <c r="J864" s="6">
        <v>0</v>
      </c>
      <c r="K864" s="6">
        <v>0</v>
      </c>
      <c r="L864" s="6">
        <v>0.1</v>
      </c>
      <c r="M864" s="6">
        <v>0.1</v>
      </c>
      <c r="N864" s="6">
        <v>0.1</v>
      </c>
      <c r="O864" s="6">
        <v>0.1</v>
      </c>
      <c r="P864" s="6">
        <v>0</v>
      </c>
      <c r="Q864" s="4" t="s">
        <v>26</v>
      </c>
      <c r="R864" s="4">
        <v>0</v>
      </c>
      <c r="S864" s="6">
        <v>0</v>
      </c>
      <c r="T864" s="6">
        <v>65</v>
      </c>
      <c r="U864" s="6">
        <v>107</v>
      </c>
      <c r="V864" s="6">
        <f>IF(ISERROR(VLOOKUP($S$864,'TAR FIN'!$A$1:$O$108,15,0)),0,VLOOKUP($S$864,'TAR FIN'!$A$1:$O$108,15,0))</f>
        <v>0</v>
      </c>
      <c r="W864" s="6">
        <f>IF(ISERROR(VLOOKUP($T$864,'TAR FIN'!$A$1:$O$108,15,0)),0,VLOOKUP($T$864,'TAR FIN'!$A$1:$O$108,15,0))</f>
        <v>322.94</v>
      </c>
      <c r="X864" s="6">
        <f>IF(ISERROR(VLOOKUP($U$864,'TAR FIN'!$A$1:$O$108,15,0)),0,VLOOKUP($U$864,'TAR FIN'!$A$1:$O$108,15,0))</f>
        <v>103.1</v>
      </c>
      <c r="Y864" s="6"/>
      <c r="Z864" s="6">
        <f ca="1">('TUSD BE'!$AM$63+'TUSD BF'!$AM$63+'TUSD CVA'!$AM$63)*1</f>
        <v>392.60303123039864</v>
      </c>
      <c r="AA864" s="6">
        <f>('TE BE'!$AB$43+'TE BF'!$AB$43+'TE CVA'!$AB$43)*1</f>
        <v>215.60278025898469</v>
      </c>
      <c r="AB864" s="6">
        <f>$K$864*$V$864</f>
        <v>0</v>
      </c>
      <c r="AC864" s="6">
        <f>$M$864*$W$864</f>
        <v>32.294000000000004</v>
      </c>
      <c r="AD864" s="6">
        <f>$O$864*$X$864</f>
        <v>10.31</v>
      </c>
      <c r="AE864" s="6">
        <f>$K$864*$Y$864</f>
        <v>0</v>
      </c>
      <c r="AF864" s="6">
        <f ca="1">$M$864*$Z$864</f>
        <v>39.260303123039868</v>
      </c>
      <c r="AG864" s="6">
        <f>$O$864*$AA$864</f>
        <v>21.560278025898469</v>
      </c>
    </row>
    <row r="865" spans="1:33" ht="11.25" customHeight="1" x14ac:dyDescent="0.25">
      <c r="A865" s="4" t="s">
        <v>21</v>
      </c>
      <c r="B865" s="4" t="s">
        <v>37</v>
      </c>
      <c r="C865" s="4" t="s">
        <v>33</v>
      </c>
      <c r="D865" s="4" t="s">
        <v>47</v>
      </c>
      <c r="E865" s="4" t="s">
        <v>25</v>
      </c>
      <c r="F865" s="4" t="s">
        <v>25</v>
      </c>
      <c r="G865" s="4" t="s">
        <v>25</v>
      </c>
      <c r="H865" s="4" t="s">
        <v>35</v>
      </c>
      <c r="I865" s="5">
        <v>44682</v>
      </c>
      <c r="J865" s="6">
        <v>0</v>
      </c>
      <c r="K865" s="6">
        <v>0</v>
      </c>
      <c r="L865" s="6">
        <v>12.067</v>
      </c>
      <c r="M865" s="6">
        <v>12.067</v>
      </c>
      <c r="N865" s="6">
        <v>12.067</v>
      </c>
      <c r="O865" s="6">
        <v>12.067</v>
      </c>
      <c r="P865" s="6">
        <v>0</v>
      </c>
      <c r="Q865" s="4" t="s">
        <v>26</v>
      </c>
      <c r="R865" s="4">
        <v>0</v>
      </c>
      <c r="S865" s="6">
        <v>0</v>
      </c>
      <c r="T865" s="6">
        <v>65</v>
      </c>
      <c r="U865" s="6">
        <v>107</v>
      </c>
      <c r="V865" s="6">
        <f>IF(ISERROR(VLOOKUP($S$865,'TAR FIN'!$A$1:$O$108,15,0)),0,VLOOKUP($S$865,'TAR FIN'!$A$1:$O$108,15,0))</f>
        <v>0</v>
      </c>
      <c r="W865" s="6">
        <f>IF(ISERROR(VLOOKUP($T$865,'TAR FIN'!$A$1:$O$108,15,0)),0,VLOOKUP($T$865,'TAR FIN'!$A$1:$O$108,15,0))</f>
        <v>322.94</v>
      </c>
      <c r="X865" s="6">
        <f>IF(ISERROR(VLOOKUP($U$865,'TAR FIN'!$A$1:$O$108,15,0)),0,VLOOKUP($U$865,'TAR FIN'!$A$1:$O$108,15,0))</f>
        <v>103.1</v>
      </c>
      <c r="Y865" s="6"/>
      <c r="Z865" s="6">
        <f ca="1">('TUSD BE'!$AM$63+'TUSD BF'!$AM$63+'TUSD CVA'!$AM$63)*1</f>
        <v>392.60303123039864</v>
      </c>
      <c r="AA865" s="6">
        <f>('TE BE'!$AB$43+'TE BF'!$AB$43+'TE CVA'!$AB$43)*1</f>
        <v>215.60278025898469</v>
      </c>
      <c r="AB865" s="6">
        <f>$K$865*$V$865</f>
        <v>0</v>
      </c>
      <c r="AC865" s="6">
        <f>$M$865*$W$865</f>
        <v>3896.91698</v>
      </c>
      <c r="AD865" s="6">
        <f>$O$865*$X$865</f>
        <v>1244.1077</v>
      </c>
      <c r="AE865" s="6">
        <f>$K$865*$Y$865</f>
        <v>0</v>
      </c>
      <c r="AF865" s="6">
        <f ca="1">$M$865*$Z$865</f>
        <v>4737.5407778572207</v>
      </c>
      <c r="AG865" s="6">
        <f>$O$865*$AA$865</f>
        <v>2601.6787493851684</v>
      </c>
    </row>
    <row r="866" spans="1:33" ht="11.25" customHeight="1" x14ac:dyDescent="0.25">
      <c r="A866" s="4" t="s">
        <v>27</v>
      </c>
      <c r="B866" s="4" t="s">
        <v>37</v>
      </c>
      <c r="C866" s="4" t="s">
        <v>33</v>
      </c>
      <c r="D866" s="4" t="s">
        <v>47</v>
      </c>
      <c r="E866" s="4" t="s">
        <v>25</v>
      </c>
      <c r="F866" s="4" t="s">
        <v>25</v>
      </c>
      <c r="G866" s="4" t="s">
        <v>25</v>
      </c>
      <c r="H866" s="4" t="s">
        <v>35</v>
      </c>
      <c r="I866" s="5">
        <v>44682</v>
      </c>
      <c r="J866" s="6">
        <v>0</v>
      </c>
      <c r="K866" s="6">
        <v>0</v>
      </c>
      <c r="L866" s="6">
        <v>0.60699999999999998</v>
      </c>
      <c r="M866" s="6">
        <v>0.60699999999999998</v>
      </c>
      <c r="N866" s="6">
        <v>0.60699999999999998</v>
      </c>
      <c r="O866" s="6">
        <v>0.60699999999999998</v>
      </c>
      <c r="P866" s="6">
        <v>0</v>
      </c>
      <c r="Q866" s="4" t="s">
        <v>26</v>
      </c>
      <c r="R866" s="4">
        <v>0</v>
      </c>
      <c r="S866" s="6">
        <v>0</v>
      </c>
      <c r="T866" s="6">
        <v>65</v>
      </c>
      <c r="U866" s="6">
        <v>107</v>
      </c>
      <c r="V866" s="6">
        <f>IF(ISERROR(VLOOKUP($S$866,'TAR FIN'!$A$1:$O$108,15,0)),0,VLOOKUP($S$866,'TAR FIN'!$A$1:$O$108,15,0))</f>
        <v>0</v>
      </c>
      <c r="W866" s="6">
        <f>IF(ISERROR(VLOOKUP($T$866,'TAR FIN'!$A$1:$O$108,15,0)),0,VLOOKUP($T$866,'TAR FIN'!$A$1:$O$108,15,0))</f>
        <v>322.94</v>
      </c>
      <c r="X866" s="6">
        <f>IF(ISERROR(VLOOKUP($U$866,'TAR FIN'!$A$1:$O$108,15,0)),0,VLOOKUP($U$866,'TAR FIN'!$A$1:$O$108,15,0))</f>
        <v>103.1</v>
      </c>
      <c r="Y866" s="6"/>
      <c r="Z866" s="6">
        <f ca="1">('TUSD BE'!$AM$63+'TUSD BF'!$AM$63+'TUSD CVA'!$AM$63)*1</f>
        <v>392.60303123039864</v>
      </c>
      <c r="AA866" s="6">
        <f>('TE BE'!$AB$43+'TE BF'!$AB$43+'TE CVA'!$AB$43)*1</f>
        <v>215.60278025898469</v>
      </c>
      <c r="AB866" s="6">
        <f>$K$866*$V$866</f>
        <v>0</v>
      </c>
      <c r="AC866" s="6">
        <f>$M$866*$W$866</f>
        <v>196.02457999999999</v>
      </c>
      <c r="AD866" s="6">
        <f>$O$866*$X$866</f>
        <v>62.581699999999998</v>
      </c>
      <c r="AE866" s="6">
        <f>$K$866*$Y$866</f>
        <v>0</v>
      </c>
      <c r="AF866" s="6">
        <f ca="1">$M$866*$Z$866</f>
        <v>238.31003995685197</v>
      </c>
      <c r="AG866" s="6">
        <f>$O$866*$AA$866</f>
        <v>130.87088761720369</v>
      </c>
    </row>
    <row r="867" spans="1:33" ht="11.25" customHeight="1" x14ac:dyDescent="0.25">
      <c r="A867" s="4" t="s">
        <v>21</v>
      </c>
      <c r="B867" s="4" t="s">
        <v>37</v>
      </c>
      <c r="C867" s="4" t="s">
        <v>33</v>
      </c>
      <c r="D867" s="4" t="s">
        <v>47</v>
      </c>
      <c r="E867" s="4" t="s">
        <v>25</v>
      </c>
      <c r="F867" s="4" t="s">
        <v>25</v>
      </c>
      <c r="G867" s="4" t="s">
        <v>25</v>
      </c>
      <c r="H867" s="4" t="s">
        <v>35</v>
      </c>
      <c r="I867" s="5">
        <v>44713</v>
      </c>
      <c r="J867" s="6">
        <v>0</v>
      </c>
      <c r="K867" s="6">
        <v>0</v>
      </c>
      <c r="L867" s="6">
        <v>11.173</v>
      </c>
      <c r="M867" s="6">
        <v>11.173</v>
      </c>
      <c r="N867" s="6">
        <v>11.173</v>
      </c>
      <c r="O867" s="6">
        <v>11.173</v>
      </c>
      <c r="P867" s="6">
        <v>0</v>
      </c>
      <c r="Q867" s="4" t="s">
        <v>26</v>
      </c>
      <c r="R867" s="4">
        <v>0</v>
      </c>
      <c r="S867" s="6">
        <v>0</v>
      </c>
      <c r="T867" s="6">
        <v>65</v>
      </c>
      <c r="U867" s="6">
        <v>107</v>
      </c>
      <c r="V867" s="6">
        <f>IF(ISERROR(VLOOKUP($S$867,'TAR FIN'!$A$1:$O$108,15,0)),0,VLOOKUP($S$867,'TAR FIN'!$A$1:$O$108,15,0))</f>
        <v>0</v>
      </c>
      <c r="W867" s="6">
        <f>IF(ISERROR(VLOOKUP($T$867,'TAR FIN'!$A$1:$O$108,15,0)),0,VLOOKUP($T$867,'TAR FIN'!$A$1:$O$108,15,0))</f>
        <v>322.94</v>
      </c>
      <c r="X867" s="6">
        <f>IF(ISERROR(VLOOKUP($U$867,'TAR FIN'!$A$1:$O$108,15,0)),0,VLOOKUP($U$867,'TAR FIN'!$A$1:$O$108,15,0))</f>
        <v>103.1</v>
      </c>
      <c r="Y867" s="6"/>
      <c r="Z867" s="6">
        <f ca="1">('TUSD BE'!$AM$63+'TUSD BF'!$AM$63+'TUSD CVA'!$AM$63)*1</f>
        <v>392.60303123039864</v>
      </c>
      <c r="AA867" s="6">
        <f>('TE BE'!$AB$43+'TE BF'!$AB$43+'TE CVA'!$AB$43)*1</f>
        <v>215.60278025898469</v>
      </c>
      <c r="AB867" s="6">
        <f>$K$867*$V$867</f>
        <v>0</v>
      </c>
      <c r="AC867" s="6">
        <f>$M$867*$W$867</f>
        <v>3608.2086199999999</v>
      </c>
      <c r="AD867" s="6">
        <f>$O$867*$X$867</f>
        <v>1151.9362999999998</v>
      </c>
      <c r="AE867" s="6">
        <f>$K$867*$Y$867</f>
        <v>0</v>
      </c>
      <c r="AF867" s="6">
        <f ca="1">$M$867*$Z$867</f>
        <v>4386.5536679372444</v>
      </c>
      <c r="AG867" s="6">
        <f>$O$867*$AA$867</f>
        <v>2408.9298638336359</v>
      </c>
    </row>
    <row r="868" spans="1:33" ht="11.25" customHeight="1" x14ac:dyDescent="0.25">
      <c r="A868" s="4" t="s">
        <v>21</v>
      </c>
      <c r="B868" s="4" t="s">
        <v>37</v>
      </c>
      <c r="C868" s="4" t="s">
        <v>33</v>
      </c>
      <c r="D868" s="4" t="s">
        <v>47</v>
      </c>
      <c r="E868" s="4" t="s">
        <v>25</v>
      </c>
      <c r="F868" s="4" t="s">
        <v>25</v>
      </c>
      <c r="G868" s="4" t="s">
        <v>25</v>
      </c>
      <c r="H868" s="4" t="s">
        <v>35</v>
      </c>
      <c r="I868" s="5">
        <v>44743</v>
      </c>
      <c r="J868" s="6">
        <v>0</v>
      </c>
      <c r="K868" s="6">
        <v>0</v>
      </c>
      <c r="L868" s="6">
        <v>11.907999999999999</v>
      </c>
      <c r="M868" s="6">
        <v>11.907999999999999</v>
      </c>
      <c r="N868" s="6">
        <v>11.907999999999999</v>
      </c>
      <c r="O868" s="6">
        <v>11.907999999999999</v>
      </c>
      <c r="P868" s="6">
        <v>0</v>
      </c>
      <c r="Q868" s="4" t="s">
        <v>26</v>
      </c>
      <c r="R868" s="4">
        <v>0</v>
      </c>
      <c r="S868" s="6">
        <v>0</v>
      </c>
      <c r="T868" s="6">
        <v>65</v>
      </c>
      <c r="U868" s="6">
        <v>107</v>
      </c>
      <c r="V868" s="6">
        <f>IF(ISERROR(VLOOKUP($S$868,'TAR FIN'!$A$1:$O$108,15,0)),0,VLOOKUP($S$868,'TAR FIN'!$A$1:$O$108,15,0))</f>
        <v>0</v>
      </c>
      <c r="W868" s="6">
        <f>IF(ISERROR(VLOOKUP($T$868,'TAR FIN'!$A$1:$O$108,15,0)),0,VLOOKUP($T$868,'TAR FIN'!$A$1:$O$108,15,0))</f>
        <v>322.94</v>
      </c>
      <c r="X868" s="6">
        <f>IF(ISERROR(VLOOKUP($U$868,'TAR FIN'!$A$1:$O$108,15,0)),0,VLOOKUP($U$868,'TAR FIN'!$A$1:$O$108,15,0))</f>
        <v>103.1</v>
      </c>
      <c r="Y868" s="6"/>
      <c r="Z868" s="6">
        <f ca="1">('TUSD BE'!$AM$63+'TUSD BF'!$AM$63+'TUSD CVA'!$AM$63)*1</f>
        <v>392.60303123039864</v>
      </c>
      <c r="AA868" s="6">
        <f>('TE BE'!$AB$43+'TE BF'!$AB$43+'TE CVA'!$AB$43)*1</f>
        <v>215.60278025898469</v>
      </c>
      <c r="AB868" s="6">
        <f>$K$868*$V$868</f>
        <v>0</v>
      </c>
      <c r="AC868" s="6">
        <f>$M$868*$W$868</f>
        <v>3845.56952</v>
      </c>
      <c r="AD868" s="6">
        <f>$O$868*$X$868</f>
        <v>1227.7148</v>
      </c>
      <c r="AE868" s="6">
        <f>$K$868*$Y$868</f>
        <v>0</v>
      </c>
      <c r="AF868" s="6">
        <f ca="1">$M$868*$Z$868</f>
        <v>4675.1168958915869</v>
      </c>
      <c r="AG868" s="6">
        <f>$O$868*$AA$868</f>
        <v>2567.3979073239898</v>
      </c>
    </row>
    <row r="869" spans="1:33" ht="11.25" customHeight="1" x14ac:dyDescent="0.25">
      <c r="A869" s="4" t="s">
        <v>21</v>
      </c>
      <c r="B869" s="4" t="s">
        <v>37</v>
      </c>
      <c r="C869" s="4" t="s">
        <v>33</v>
      </c>
      <c r="D869" s="4" t="s">
        <v>47</v>
      </c>
      <c r="E869" s="4" t="s">
        <v>25</v>
      </c>
      <c r="F869" s="4" t="s">
        <v>25</v>
      </c>
      <c r="G869" s="4" t="s">
        <v>25</v>
      </c>
      <c r="H869" s="4" t="s">
        <v>35</v>
      </c>
      <c r="I869" s="5">
        <v>44774</v>
      </c>
      <c r="J869" s="6">
        <v>0</v>
      </c>
      <c r="K869" s="6">
        <v>0</v>
      </c>
      <c r="L869" s="6">
        <v>15.36</v>
      </c>
      <c r="M869" s="6">
        <v>15.36</v>
      </c>
      <c r="N869" s="6">
        <v>15.36</v>
      </c>
      <c r="O869" s="6">
        <v>15.36</v>
      </c>
      <c r="P869" s="6">
        <v>0</v>
      </c>
      <c r="Q869" s="4" t="s">
        <v>26</v>
      </c>
      <c r="R869" s="4">
        <v>0</v>
      </c>
      <c r="S869" s="6">
        <v>0</v>
      </c>
      <c r="T869" s="6">
        <v>65</v>
      </c>
      <c r="U869" s="6">
        <v>107</v>
      </c>
      <c r="V869" s="6">
        <f>IF(ISERROR(VLOOKUP($S$869,'TAR FIN'!$A$1:$O$108,15,0)),0,VLOOKUP($S$869,'TAR FIN'!$A$1:$O$108,15,0))</f>
        <v>0</v>
      </c>
      <c r="W869" s="6">
        <f>IF(ISERROR(VLOOKUP($T$869,'TAR FIN'!$A$1:$O$108,15,0)),0,VLOOKUP($T$869,'TAR FIN'!$A$1:$O$108,15,0))</f>
        <v>322.94</v>
      </c>
      <c r="X869" s="6">
        <f>IF(ISERROR(VLOOKUP($U$869,'TAR FIN'!$A$1:$O$108,15,0)),0,VLOOKUP($U$869,'TAR FIN'!$A$1:$O$108,15,0))</f>
        <v>103.1</v>
      </c>
      <c r="Y869" s="6"/>
      <c r="Z869" s="6">
        <f ca="1">('TUSD BE'!$AM$63+'TUSD BF'!$AM$63+'TUSD CVA'!$AM$63)*1</f>
        <v>392.60303123039864</v>
      </c>
      <c r="AA869" s="6">
        <f>('TE BE'!$AB$43+'TE BF'!$AB$43+'TE CVA'!$AB$43)*1</f>
        <v>215.60278025898469</v>
      </c>
      <c r="AB869" s="6">
        <f>$K$869*$V$869</f>
        <v>0</v>
      </c>
      <c r="AC869" s="6">
        <f>$M$869*$W$869</f>
        <v>4960.3584000000001</v>
      </c>
      <c r="AD869" s="6">
        <f>$O$869*$X$869</f>
        <v>1583.6159999999998</v>
      </c>
      <c r="AE869" s="6">
        <f>$K$869*$Y$869</f>
        <v>0</v>
      </c>
      <c r="AF869" s="6">
        <f ca="1">$M$869*$Z$869</f>
        <v>6030.3825596989227</v>
      </c>
      <c r="AG869" s="6">
        <f>$O$869*$AA$869</f>
        <v>3311.6587047780049</v>
      </c>
    </row>
    <row r="870" spans="1:33" ht="11.25" customHeight="1" x14ac:dyDescent="0.25">
      <c r="A870" s="4" t="s">
        <v>21</v>
      </c>
      <c r="B870" s="4" t="s">
        <v>37</v>
      </c>
      <c r="C870" s="4" t="s">
        <v>33</v>
      </c>
      <c r="D870" s="4" t="s">
        <v>47</v>
      </c>
      <c r="E870" s="4" t="s">
        <v>25</v>
      </c>
      <c r="F870" s="4" t="s">
        <v>25</v>
      </c>
      <c r="G870" s="4" t="s">
        <v>25</v>
      </c>
      <c r="H870" s="4" t="s">
        <v>35</v>
      </c>
      <c r="I870" s="5">
        <v>44805</v>
      </c>
      <c r="J870" s="6">
        <v>0</v>
      </c>
      <c r="K870" s="6">
        <v>0</v>
      </c>
      <c r="L870" s="6">
        <v>13.993</v>
      </c>
      <c r="M870" s="6">
        <v>13.993</v>
      </c>
      <c r="N870" s="6">
        <v>13.993</v>
      </c>
      <c r="O870" s="6">
        <v>13.993</v>
      </c>
      <c r="P870" s="6">
        <v>0</v>
      </c>
      <c r="Q870" s="4" t="s">
        <v>26</v>
      </c>
      <c r="R870" s="4">
        <v>0</v>
      </c>
      <c r="S870" s="6">
        <v>0</v>
      </c>
      <c r="T870" s="6">
        <v>65</v>
      </c>
      <c r="U870" s="6">
        <v>107</v>
      </c>
      <c r="V870" s="6">
        <f>IF(ISERROR(VLOOKUP($S$870,'TAR FIN'!$A$1:$O$108,15,0)),0,VLOOKUP($S$870,'TAR FIN'!$A$1:$O$108,15,0))</f>
        <v>0</v>
      </c>
      <c r="W870" s="6">
        <f>IF(ISERROR(VLOOKUP($T$870,'TAR FIN'!$A$1:$O$108,15,0)),0,VLOOKUP($T$870,'TAR FIN'!$A$1:$O$108,15,0))</f>
        <v>322.94</v>
      </c>
      <c r="X870" s="6">
        <f>IF(ISERROR(VLOOKUP($U$870,'TAR FIN'!$A$1:$O$108,15,0)),0,VLOOKUP($U$870,'TAR FIN'!$A$1:$O$108,15,0))</f>
        <v>103.1</v>
      </c>
      <c r="Y870" s="6"/>
      <c r="Z870" s="6">
        <f ca="1">('TUSD BE'!$AM$63+'TUSD BF'!$AM$63+'TUSD CVA'!$AM$63)*1</f>
        <v>392.60303123039864</v>
      </c>
      <c r="AA870" s="6">
        <f>('TE BE'!$AB$43+'TE BF'!$AB$43+'TE CVA'!$AB$43)*1</f>
        <v>215.60278025898469</v>
      </c>
      <c r="AB870" s="6">
        <f>$K$870*$V$870</f>
        <v>0</v>
      </c>
      <c r="AC870" s="6">
        <f>$M$870*$W$870</f>
        <v>4518.8994199999997</v>
      </c>
      <c r="AD870" s="6">
        <f>$O$870*$X$870</f>
        <v>1442.6783</v>
      </c>
      <c r="AE870" s="6">
        <f>$K$870*$Y$870</f>
        <v>0</v>
      </c>
      <c r="AF870" s="6">
        <f ca="1">$M$870*$Z$870</f>
        <v>5493.6942160069684</v>
      </c>
      <c r="AG870" s="6">
        <f>$O$870*$AA$870</f>
        <v>3016.9297041639729</v>
      </c>
    </row>
    <row r="871" spans="1:33" ht="11.25" customHeight="1" x14ac:dyDescent="0.25">
      <c r="A871" s="4" t="s">
        <v>21</v>
      </c>
      <c r="B871" s="4" t="s">
        <v>37</v>
      </c>
      <c r="C871" s="4" t="s">
        <v>33</v>
      </c>
      <c r="D871" s="4" t="s">
        <v>47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44621</v>
      </c>
      <c r="J871" s="6">
        <v>0</v>
      </c>
      <c r="K871" s="6">
        <v>0</v>
      </c>
      <c r="L871" s="6">
        <v>3.7999999999999999E-2</v>
      </c>
      <c r="M871" s="6">
        <v>3.7999999999999999E-2</v>
      </c>
      <c r="N871" s="6">
        <v>3.7999999999999999E-2</v>
      </c>
      <c r="O871" s="6">
        <v>3.7999999999999999E-2</v>
      </c>
      <c r="P871" s="6">
        <v>0</v>
      </c>
      <c r="Q871" s="4" t="s">
        <v>26</v>
      </c>
      <c r="R871" s="4">
        <v>0</v>
      </c>
      <c r="S871" s="6">
        <v>0</v>
      </c>
      <c r="T871" s="6">
        <v>64</v>
      </c>
      <c r="U871" s="6">
        <v>106</v>
      </c>
      <c r="V871" s="6">
        <f>IF(ISERROR(VLOOKUP($S$871,'TAR FIN'!$A$1:$O$108,15,0)),0,VLOOKUP($S$871,'TAR FIN'!$A$1:$O$108,15,0))</f>
        <v>0</v>
      </c>
      <c r="W871" s="6">
        <f>IF(ISERROR(VLOOKUP($T$871,'TAR FIN'!$A$1:$O$108,15,0)),0,VLOOKUP($T$871,'TAR FIN'!$A$1:$O$108,15,0))</f>
        <v>728.11</v>
      </c>
      <c r="X871" s="6">
        <f>IF(ISERROR(VLOOKUP($U$871,'TAR FIN'!$A$1:$O$108,15,0)),0,VLOOKUP($U$871,'TAR FIN'!$A$1:$O$108,15,0))</f>
        <v>103.1</v>
      </c>
      <c r="Y871" s="6"/>
      <c r="Z871" s="6">
        <f ca="1">('TUSD BE'!$AM$62+'TUSD BF'!$AM$62+'TUSD CVA'!$AM$62)*1</f>
        <v>781.0767281755011</v>
      </c>
      <c r="AA871" s="6">
        <f>('TE BE'!$AB$42+'TE BF'!$AB$42+'TE CVA'!$AB$42)*1</f>
        <v>215.60278025898469</v>
      </c>
      <c r="AB871" s="6">
        <f>$K$871*$V$871</f>
        <v>0</v>
      </c>
      <c r="AC871" s="6">
        <f>$M$871*$W$871</f>
        <v>27.66818</v>
      </c>
      <c r="AD871" s="6">
        <f>$O$871*$X$871</f>
        <v>3.9177999999999997</v>
      </c>
      <c r="AE871" s="6">
        <f>$K$871*$Y$871</f>
        <v>0</v>
      </c>
      <c r="AF871" s="6">
        <f ca="1">$M$871*$Z$871</f>
        <v>29.680915670669041</v>
      </c>
      <c r="AG871" s="6">
        <f>$O$871*$AA$871</f>
        <v>8.1929056498414177</v>
      </c>
    </row>
    <row r="872" spans="1:33" ht="11.25" customHeight="1" x14ac:dyDescent="0.25">
      <c r="A872" s="4" t="s">
        <v>21</v>
      </c>
      <c r="B872" s="4" t="s">
        <v>37</v>
      </c>
      <c r="C872" s="4" t="s">
        <v>33</v>
      </c>
      <c r="D872" s="4" t="s">
        <v>47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44652</v>
      </c>
      <c r="J872" s="6">
        <v>0</v>
      </c>
      <c r="K872" s="6">
        <v>0</v>
      </c>
      <c r="L872" s="6">
        <v>1.423</v>
      </c>
      <c r="M872" s="6">
        <v>1.423</v>
      </c>
      <c r="N872" s="6">
        <v>1.423</v>
      </c>
      <c r="O872" s="6">
        <v>1.423</v>
      </c>
      <c r="P872" s="6">
        <v>0</v>
      </c>
      <c r="Q872" s="4" t="s">
        <v>26</v>
      </c>
      <c r="R872" s="4">
        <v>0</v>
      </c>
      <c r="S872" s="6">
        <v>0</v>
      </c>
      <c r="T872" s="6">
        <v>64</v>
      </c>
      <c r="U872" s="6">
        <v>106</v>
      </c>
      <c r="V872" s="6">
        <f>IF(ISERROR(VLOOKUP($S$872,'TAR FIN'!$A$1:$O$108,15,0)),0,VLOOKUP($S$872,'TAR FIN'!$A$1:$O$108,15,0))</f>
        <v>0</v>
      </c>
      <c r="W872" s="6">
        <f>IF(ISERROR(VLOOKUP($T$872,'TAR FIN'!$A$1:$O$108,15,0)),0,VLOOKUP($T$872,'TAR FIN'!$A$1:$O$108,15,0))</f>
        <v>728.11</v>
      </c>
      <c r="X872" s="6">
        <f>IF(ISERROR(VLOOKUP($U$872,'TAR FIN'!$A$1:$O$108,15,0)),0,VLOOKUP($U$872,'TAR FIN'!$A$1:$O$108,15,0))</f>
        <v>103.1</v>
      </c>
      <c r="Y872" s="6"/>
      <c r="Z872" s="6">
        <f ca="1">('TUSD BE'!$AM$62+'TUSD BF'!$AM$62+'TUSD CVA'!$AM$62)*1</f>
        <v>781.0767281755011</v>
      </c>
      <c r="AA872" s="6">
        <f>('TE BE'!$AB$42+'TE BF'!$AB$42+'TE CVA'!$AB$42)*1</f>
        <v>215.60278025898469</v>
      </c>
      <c r="AB872" s="6">
        <f>$K$872*$V$872</f>
        <v>0</v>
      </c>
      <c r="AC872" s="6">
        <f>$M$872*$W$872</f>
        <v>1036.1005300000002</v>
      </c>
      <c r="AD872" s="6">
        <f>$O$872*$X$872</f>
        <v>146.71129999999999</v>
      </c>
      <c r="AE872" s="6">
        <f>$K$872*$Y$872</f>
        <v>0</v>
      </c>
      <c r="AF872" s="6">
        <f ca="1">$M$872*$Z$872</f>
        <v>1111.472184193738</v>
      </c>
      <c r="AG872" s="6">
        <f>$O$872*$AA$872</f>
        <v>306.80275630853521</v>
      </c>
    </row>
    <row r="873" spans="1:33" ht="11.25" customHeight="1" x14ac:dyDescent="0.25">
      <c r="A873" s="4" t="s">
        <v>21</v>
      </c>
      <c r="B873" s="4" t="s">
        <v>37</v>
      </c>
      <c r="C873" s="4" t="s">
        <v>33</v>
      </c>
      <c r="D873" s="4" t="s">
        <v>47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44682</v>
      </c>
      <c r="J873" s="6">
        <v>0</v>
      </c>
      <c r="K873" s="6">
        <v>0</v>
      </c>
      <c r="L873" s="6">
        <v>0.38700000000000001</v>
      </c>
      <c r="M873" s="6">
        <v>0.38700000000000001</v>
      </c>
      <c r="N873" s="6">
        <v>0.38700000000000001</v>
      </c>
      <c r="O873" s="6">
        <v>0.38700000000000001</v>
      </c>
      <c r="P873" s="6">
        <v>0</v>
      </c>
      <c r="Q873" s="4" t="s">
        <v>26</v>
      </c>
      <c r="R873" s="4">
        <v>0</v>
      </c>
      <c r="S873" s="6">
        <v>0</v>
      </c>
      <c r="T873" s="6">
        <v>64</v>
      </c>
      <c r="U873" s="6">
        <v>106</v>
      </c>
      <c r="V873" s="6">
        <f>IF(ISERROR(VLOOKUP($S$873,'TAR FIN'!$A$1:$O$108,15,0)),0,VLOOKUP($S$873,'TAR FIN'!$A$1:$O$108,15,0))</f>
        <v>0</v>
      </c>
      <c r="W873" s="6">
        <f>IF(ISERROR(VLOOKUP($T$873,'TAR FIN'!$A$1:$O$108,15,0)),0,VLOOKUP($T$873,'TAR FIN'!$A$1:$O$108,15,0))</f>
        <v>728.11</v>
      </c>
      <c r="X873" s="6">
        <f>IF(ISERROR(VLOOKUP($U$873,'TAR FIN'!$A$1:$O$108,15,0)),0,VLOOKUP($U$873,'TAR FIN'!$A$1:$O$108,15,0))</f>
        <v>103.1</v>
      </c>
      <c r="Y873" s="6"/>
      <c r="Z873" s="6">
        <f ca="1">('TUSD BE'!$AM$62+'TUSD BF'!$AM$62+'TUSD CVA'!$AM$62)*1</f>
        <v>781.0767281755011</v>
      </c>
      <c r="AA873" s="6">
        <f>('TE BE'!$AB$42+'TE BF'!$AB$42+'TE CVA'!$AB$42)*1</f>
        <v>215.60278025898469</v>
      </c>
      <c r="AB873" s="6">
        <f>$K$873*$V$873</f>
        <v>0</v>
      </c>
      <c r="AC873" s="6">
        <f>$M$873*$W$873</f>
        <v>281.77857</v>
      </c>
      <c r="AD873" s="6">
        <f>$O$873*$X$873</f>
        <v>39.899699999999996</v>
      </c>
      <c r="AE873" s="6">
        <f>$K$873*$Y$873</f>
        <v>0</v>
      </c>
      <c r="AF873" s="6">
        <f ca="1">$M$873*$Z$873</f>
        <v>302.27669380391893</v>
      </c>
      <c r="AG873" s="6">
        <f>$O$873*$AA$873</f>
        <v>83.438275960227074</v>
      </c>
    </row>
    <row r="874" spans="1:33" ht="11.25" customHeight="1" x14ac:dyDescent="0.25">
      <c r="A874" s="4" t="s">
        <v>27</v>
      </c>
      <c r="B874" s="4" t="s">
        <v>37</v>
      </c>
      <c r="C874" s="4" t="s">
        <v>33</v>
      </c>
      <c r="D874" s="4" t="s">
        <v>47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44682</v>
      </c>
      <c r="J874" s="6">
        <v>0</v>
      </c>
      <c r="K874" s="6">
        <v>0</v>
      </c>
      <c r="L874" s="6">
        <v>-0.12</v>
      </c>
      <c r="M874" s="6">
        <v>-0.12</v>
      </c>
      <c r="N874" s="6">
        <v>-0.12</v>
      </c>
      <c r="O874" s="6">
        <v>-0.12</v>
      </c>
      <c r="P874" s="6">
        <v>0</v>
      </c>
      <c r="Q874" s="4" t="s">
        <v>26</v>
      </c>
      <c r="R874" s="4">
        <v>0</v>
      </c>
      <c r="S874" s="6">
        <v>0</v>
      </c>
      <c r="T874" s="6">
        <v>64</v>
      </c>
      <c r="U874" s="6">
        <v>106</v>
      </c>
      <c r="V874" s="6">
        <f>IF(ISERROR(VLOOKUP($S$874,'TAR FIN'!$A$1:$O$108,15,0)),0,VLOOKUP($S$874,'TAR FIN'!$A$1:$O$108,15,0))</f>
        <v>0</v>
      </c>
      <c r="W874" s="6">
        <f>IF(ISERROR(VLOOKUP($T$874,'TAR FIN'!$A$1:$O$108,15,0)),0,VLOOKUP($T$874,'TAR FIN'!$A$1:$O$108,15,0))</f>
        <v>728.11</v>
      </c>
      <c r="X874" s="6">
        <f>IF(ISERROR(VLOOKUP($U$874,'TAR FIN'!$A$1:$O$108,15,0)),0,VLOOKUP($U$874,'TAR FIN'!$A$1:$O$108,15,0))</f>
        <v>103.1</v>
      </c>
      <c r="Y874" s="6"/>
      <c r="Z874" s="6">
        <f ca="1">('TUSD BE'!$AM$62+'TUSD BF'!$AM$62+'TUSD CVA'!$AM$62)*1</f>
        <v>781.0767281755011</v>
      </c>
      <c r="AA874" s="6">
        <f>('TE BE'!$AB$42+'TE BF'!$AB$42+'TE CVA'!$AB$42)*1</f>
        <v>215.60278025898469</v>
      </c>
      <c r="AB874" s="6">
        <f>$K$874*$V$874</f>
        <v>0</v>
      </c>
      <c r="AC874" s="6">
        <f>$M$874*$W$874</f>
        <v>-87.373199999999997</v>
      </c>
      <c r="AD874" s="6">
        <f>$O$874*$X$874</f>
        <v>-12.371999999999998</v>
      </c>
      <c r="AE874" s="6">
        <f>$K$874*$Y$874</f>
        <v>0</v>
      </c>
      <c r="AF874" s="6">
        <f ca="1">$M$874*$Z$874</f>
        <v>-93.729207381060135</v>
      </c>
      <c r="AG874" s="6">
        <f>$O$874*$AA$874</f>
        <v>-25.872333631078163</v>
      </c>
    </row>
    <row r="875" spans="1:33" ht="11.25" customHeight="1" x14ac:dyDescent="0.25">
      <c r="A875" s="4" t="s">
        <v>21</v>
      </c>
      <c r="B875" s="4" t="s">
        <v>37</v>
      </c>
      <c r="C875" s="4" t="s">
        <v>33</v>
      </c>
      <c r="D875" s="4" t="s">
        <v>47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44713</v>
      </c>
      <c r="J875" s="6">
        <v>0</v>
      </c>
      <c r="K875" s="6">
        <v>0</v>
      </c>
      <c r="L875" s="6">
        <v>0.36199999999999999</v>
      </c>
      <c r="M875" s="6">
        <v>0.36199999999999999</v>
      </c>
      <c r="N875" s="6">
        <v>0.36199999999999999</v>
      </c>
      <c r="O875" s="6">
        <v>0.36199999999999999</v>
      </c>
      <c r="P875" s="6">
        <v>0</v>
      </c>
      <c r="Q875" s="4" t="s">
        <v>26</v>
      </c>
      <c r="R875" s="4">
        <v>0</v>
      </c>
      <c r="S875" s="6">
        <v>0</v>
      </c>
      <c r="T875" s="6">
        <v>64</v>
      </c>
      <c r="U875" s="6">
        <v>106</v>
      </c>
      <c r="V875" s="6">
        <f>IF(ISERROR(VLOOKUP($S$875,'TAR FIN'!$A$1:$O$108,15,0)),0,VLOOKUP($S$875,'TAR FIN'!$A$1:$O$108,15,0))</f>
        <v>0</v>
      </c>
      <c r="W875" s="6">
        <f>IF(ISERROR(VLOOKUP($T$875,'TAR FIN'!$A$1:$O$108,15,0)),0,VLOOKUP($T$875,'TAR FIN'!$A$1:$O$108,15,0))</f>
        <v>728.11</v>
      </c>
      <c r="X875" s="6">
        <f>IF(ISERROR(VLOOKUP($U$875,'TAR FIN'!$A$1:$O$108,15,0)),0,VLOOKUP($U$875,'TAR FIN'!$A$1:$O$108,15,0))</f>
        <v>103.1</v>
      </c>
      <c r="Y875" s="6"/>
      <c r="Z875" s="6">
        <f ca="1">('TUSD BE'!$AM$62+'TUSD BF'!$AM$62+'TUSD CVA'!$AM$62)*1</f>
        <v>781.0767281755011</v>
      </c>
      <c r="AA875" s="6">
        <f>('TE BE'!$AB$42+'TE BF'!$AB$42+'TE CVA'!$AB$42)*1</f>
        <v>215.60278025898469</v>
      </c>
      <c r="AB875" s="6">
        <f>$K$875*$V$875</f>
        <v>0</v>
      </c>
      <c r="AC875" s="6">
        <f>$M$875*$W$875</f>
        <v>263.57582000000002</v>
      </c>
      <c r="AD875" s="6">
        <f>$O$875*$X$875</f>
        <v>37.322199999999995</v>
      </c>
      <c r="AE875" s="6">
        <f>$K$875*$Y$875</f>
        <v>0</v>
      </c>
      <c r="AF875" s="6">
        <f ca="1">$M$875*$Z$875</f>
        <v>282.7497755995314</v>
      </c>
      <c r="AG875" s="6">
        <f>$O$875*$AA$875</f>
        <v>78.048206453752456</v>
      </c>
    </row>
    <row r="876" spans="1:33" ht="11.25" customHeight="1" x14ac:dyDescent="0.25">
      <c r="A876" s="4" t="s">
        <v>21</v>
      </c>
      <c r="B876" s="4" t="s">
        <v>37</v>
      </c>
      <c r="C876" s="4" t="s">
        <v>33</v>
      </c>
      <c r="D876" s="4" t="s">
        <v>47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44743</v>
      </c>
      <c r="J876" s="6">
        <v>0</v>
      </c>
      <c r="K876" s="6">
        <v>0</v>
      </c>
      <c r="L876" s="6">
        <v>0.379</v>
      </c>
      <c r="M876" s="6">
        <v>0.379</v>
      </c>
      <c r="N876" s="6">
        <v>0.379</v>
      </c>
      <c r="O876" s="6">
        <v>0.379</v>
      </c>
      <c r="P876" s="6">
        <v>0</v>
      </c>
      <c r="Q876" s="4" t="s">
        <v>26</v>
      </c>
      <c r="R876" s="4">
        <v>0</v>
      </c>
      <c r="S876" s="6">
        <v>0</v>
      </c>
      <c r="T876" s="6">
        <v>64</v>
      </c>
      <c r="U876" s="6">
        <v>106</v>
      </c>
      <c r="V876" s="6">
        <f>IF(ISERROR(VLOOKUP($S$876,'TAR FIN'!$A$1:$O$108,15,0)),0,VLOOKUP($S$876,'TAR FIN'!$A$1:$O$108,15,0))</f>
        <v>0</v>
      </c>
      <c r="W876" s="6">
        <f>IF(ISERROR(VLOOKUP($T$876,'TAR FIN'!$A$1:$O$108,15,0)),0,VLOOKUP($T$876,'TAR FIN'!$A$1:$O$108,15,0))</f>
        <v>728.11</v>
      </c>
      <c r="X876" s="6">
        <f>IF(ISERROR(VLOOKUP($U$876,'TAR FIN'!$A$1:$O$108,15,0)),0,VLOOKUP($U$876,'TAR FIN'!$A$1:$O$108,15,0))</f>
        <v>103.1</v>
      </c>
      <c r="Y876" s="6"/>
      <c r="Z876" s="6">
        <f ca="1">('TUSD BE'!$AM$62+'TUSD BF'!$AM$62+'TUSD CVA'!$AM$62)*1</f>
        <v>781.0767281755011</v>
      </c>
      <c r="AA876" s="6">
        <f>('TE BE'!$AB$42+'TE BF'!$AB$42+'TE CVA'!$AB$42)*1</f>
        <v>215.60278025898469</v>
      </c>
      <c r="AB876" s="6">
        <f>$K$876*$V$876</f>
        <v>0</v>
      </c>
      <c r="AC876" s="6">
        <f>$M$876*$W$876</f>
        <v>275.95368999999999</v>
      </c>
      <c r="AD876" s="6">
        <f>$O$876*$X$876</f>
        <v>39.0749</v>
      </c>
      <c r="AE876" s="6">
        <f>$K$876*$Y$876</f>
        <v>0</v>
      </c>
      <c r="AF876" s="6">
        <f ca="1">$M$876*$Z$876</f>
        <v>296.02807997851494</v>
      </c>
      <c r="AG876" s="6">
        <f>$O$876*$AA$876</f>
        <v>81.713453718155193</v>
      </c>
    </row>
    <row r="877" spans="1:33" ht="11.25" customHeight="1" x14ac:dyDescent="0.25">
      <c r="A877" s="4" t="s">
        <v>21</v>
      </c>
      <c r="B877" s="4" t="s">
        <v>37</v>
      </c>
      <c r="C877" s="4" t="s">
        <v>33</v>
      </c>
      <c r="D877" s="4" t="s">
        <v>47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44774</v>
      </c>
      <c r="J877" s="6">
        <v>0</v>
      </c>
      <c r="K877" s="6">
        <v>0</v>
      </c>
      <c r="L877" s="6">
        <v>0.45800000000000002</v>
      </c>
      <c r="M877" s="6">
        <v>0.45800000000000002</v>
      </c>
      <c r="N877" s="6">
        <v>0.45800000000000002</v>
      </c>
      <c r="O877" s="6">
        <v>0.45800000000000002</v>
      </c>
      <c r="P877" s="6">
        <v>0</v>
      </c>
      <c r="Q877" s="4" t="s">
        <v>26</v>
      </c>
      <c r="R877" s="4">
        <v>0</v>
      </c>
      <c r="S877" s="6">
        <v>0</v>
      </c>
      <c r="T877" s="6">
        <v>64</v>
      </c>
      <c r="U877" s="6">
        <v>106</v>
      </c>
      <c r="V877" s="6">
        <f>IF(ISERROR(VLOOKUP($S$877,'TAR FIN'!$A$1:$O$108,15,0)),0,VLOOKUP($S$877,'TAR FIN'!$A$1:$O$108,15,0))</f>
        <v>0</v>
      </c>
      <c r="W877" s="6">
        <f>IF(ISERROR(VLOOKUP($T$877,'TAR FIN'!$A$1:$O$108,15,0)),0,VLOOKUP($T$877,'TAR FIN'!$A$1:$O$108,15,0))</f>
        <v>728.11</v>
      </c>
      <c r="X877" s="6">
        <f>IF(ISERROR(VLOOKUP($U$877,'TAR FIN'!$A$1:$O$108,15,0)),0,VLOOKUP($U$877,'TAR FIN'!$A$1:$O$108,15,0))</f>
        <v>103.1</v>
      </c>
      <c r="Y877" s="6"/>
      <c r="Z877" s="6">
        <f ca="1">('TUSD BE'!$AM$62+'TUSD BF'!$AM$62+'TUSD CVA'!$AM$62)*1</f>
        <v>781.0767281755011</v>
      </c>
      <c r="AA877" s="6">
        <f>('TE BE'!$AB$42+'TE BF'!$AB$42+'TE CVA'!$AB$42)*1</f>
        <v>215.60278025898469</v>
      </c>
      <c r="AB877" s="6">
        <f>$K$877*$V$877</f>
        <v>0</v>
      </c>
      <c r="AC877" s="6">
        <f>$M$877*$W$877</f>
        <v>333.47438</v>
      </c>
      <c r="AD877" s="6">
        <f>$O$877*$X$877</f>
        <v>47.219799999999999</v>
      </c>
      <c r="AE877" s="6">
        <f>$K$877*$Y$877</f>
        <v>0</v>
      </c>
      <c r="AF877" s="6">
        <f ca="1">$M$877*$Z$877</f>
        <v>357.73314150437955</v>
      </c>
      <c r="AG877" s="6">
        <f>$O$877*$AA$877</f>
        <v>98.746073358614993</v>
      </c>
    </row>
    <row r="878" spans="1:33" ht="11.25" customHeight="1" x14ac:dyDescent="0.25">
      <c r="A878" s="4" t="s">
        <v>21</v>
      </c>
      <c r="B878" s="4" t="s">
        <v>37</v>
      </c>
      <c r="C878" s="4" t="s">
        <v>33</v>
      </c>
      <c r="D878" s="4" t="s">
        <v>47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44805</v>
      </c>
      <c r="J878" s="6">
        <v>0</v>
      </c>
      <c r="K878" s="6">
        <v>0</v>
      </c>
      <c r="L878" s="6">
        <v>0.45100000000000001</v>
      </c>
      <c r="M878" s="6">
        <v>0.45100000000000001</v>
      </c>
      <c r="N878" s="6">
        <v>0.45100000000000001</v>
      </c>
      <c r="O878" s="6">
        <v>0.45100000000000001</v>
      </c>
      <c r="P878" s="6">
        <v>0</v>
      </c>
      <c r="Q878" s="4" t="s">
        <v>26</v>
      </c>
      <c r="R878" s="4">
        <v>0</v>
      </c>
      <c r="S878" s="6">
        <v>0</v>
      </c>
      <c r="T878" s="6">
        <v>64</v>
      </c>
      <c r="U878" s="6">
        <v>106</v>
      </c>
      <c r="V878" s="6">
        <f>IF(ISERROR(VLOOKUP($S$878,'TAR FIN'!$A$1:$O$108,15,0)),0,VLOOKUP($S$878,'TAR FIN'!$A$1:$O$108,15,0))</f>
        <v>0</v>
      </c>
      <c r="W878" s="6">
        <f>IF(ISERROR(VLOOKUP($T$878,'TAR FIN'!$A$1:$O$108,15,0)),0,VLOOKUP($T$878,'TAR FIN'!$A$1:$O$108,15,0))</f>
        <v>728.11</v>
      </c>
      <c r="X878" s="6">
        <f>IF(ISERROR(VLOOKUP($U$878,'TAR FIN'!$A$1:$O$108,15,0)),0,VLOOKUP($U$878,'TAR FIN'!$A$1:$O$108,15,0))</f>
        <v>103.1</v>
      </c>
      <c r="Y878" s="6"/>
      <c r="Z878" s="6">
        <f ca="1">('TUSD BE'!$AM$62+'TUSD BF'!$AM$62+'TUSD CVA'!$AM$62)*1</f>
        <v>781.0767281755011</v>
      </c>
      <c r="AA878" s="6">
        <f>('TE BE'!$AB$42+'TE BF'!$AB$42+'TE CVA'!$AB$42)*1</f>
        <v>215.60278025898469</v>
      </c>
      <c r="AB878" s="6">
        <f>$K$878*$V$878</f>
        <v>0</v>
      </c>
      <c r="AC878" s="6">
        <f>$M$878*$W$878</f>
        <v>328.37761</v>
      </c>
      <c r="AD878" s="6">
        <f>$O$878*$X$878</f>
        <v>46.498100000000001</v>
      </c>
      <c r="AE878" s="6">
        <f>$K$878*$Y$878</f>
        <v>0</v>
      </c>
      <c r="AF878" s="6">
        <f ca="1">$M$878*$Z$878</f>
        <v>352.26560440715099</v>
      </c>
      <c r="AG878" s="6">
        <f>$O$878*$AA$878</f>
        <v>97.236853896802103</v>
      </c>
    </row>
    <row r="879" spans="1:33" ht="11.25" customHeight="1" x14ac:dyDescent="0.25">
      <c r="A879" s="4" t="s">
        <v>21</v>
      </c>
      <c r="B879" s="4" t="s">
        <v>37</v>
      </c>
      <c r="C879" s="4" t="s">
        <v>33</v>
      </c>
      <c r="D879" s="4" t="s">
        <v>47</v>
      </c>
      <c r="E879" s="4" t="s">
        <v>25</v>
      </c>
      <c r="F879" s="4" t="s">
        <v>25</v>
      </c>
      <c r="G879" s="4" t="s">
        <v>25</v>
      </c>
      <c r="H879" s="4" t="s">
        <v>34</v>
      </c>
      <c r="I879" s="5">
        <v>44621</v>
      </c>
      <c r="J879" s="6">
        <v>0</v>
      </c>
      <c r="K879" s="6">
        <v>0</v>
      </c>
      <c r="L879" s="6">
        <v>2.3E-2</v>
      </c>
      <c r="M879" s="6">
        <v>2.3E-2</v>
      </c>
      <c r="N879" s="6">
        <v>2.3E-2</v>
      </c>
      <c r="O879" s="6">
        <v>2.3E-2</v>
      </c>
      <c r="P879" s="6">
        <v>0</v>
      </c>
      <c r="Q879" s="4" t="s">
        <v>26</v>
      </c>
      <c r="R879" s="4">
        <v>0</v>
      </c>
      <c r="S879" s="6">
        <v>0</v>
      </c>
      <c r="T879" s="6">
        <v>63</v>
      </c>
      <c r="U879" s="6">
        <v>105</v>
      </c>
      <c r="V879" s="6">
        <f>IF(ISERROR(VLOOKUP($S$879,'TAR FIN'!$A$1:$O$108,15,0)),0,VLOOKUP($S$879,'TAR FIN'!$A$1:$O$108,15,0))</f>
        <v>0</v>
      </c>
      <c r="W879" s="6">
        <f>IF(ISERROR(VLOOKUP($T$879,'TAR FIN'!$A$1:$O$108,15,0)),0,VLOOKUP($T$879,'TAR FIN'!$A$1:$O$108,15,0))</f>
        <v>1133.28</v>
      </c>
      <c r="X879" s="6">
        <f>IF(ISERROR(VLOOKUP($U$879,'TAR FIN'!$A$1:$O$108,15,0)),0,VLOOKUP($U$879,'TAR FIN'!$A$1:$O$108,15,0))</f>
        <v>159.43</v>
      </c>
      <c r="Y879" s="6"/>
      <c r="Z879" s="6">
        <f ca="1">('TUSD BE'!$AM$61+'TUSD BF'!$AM$61+'TUSD CVA'!$AM$61)*1</f>
        <v>1169.5504192635606</v>
      </c>
      <c r="AA879" s="6">
        <f>('TE BE'!$AB$41+'TE BF'!$AB$41+'TE CVA'!$AB$41)*1</f>
        <v>322.12477389224171</v>
      </c>
      <c r="AB879" s="6">
        <f>$K$879*$V$879</f>
        <v>0</v>
      </c>
      <c r="AC879" s="6">
        <f>$M$879*$W$879</f>
        <v>26.065439999999999</v>
      </c>
      <c r="AD879" s="6">
        <f>$O$879*$X$879</f>
        <v>3.66689</v>
      </c>
      <c r="AE879" s="6">
        <f>$K$879*$Y$879</f>
        <v>0</v>
      </c>
      <c r="AF879" s="6">
        <f ca="1">$M$879*$Z$879</f>
        <v>26.899659643061892</v>
      </c>
      <c r="AG879" s="6">
        <f>$O$879*$AA$879</f>
        <v>7.4088697995215593</v>
      </c>
    </row>
    <row r="880" spans="1:33" ht="11.25" customHeight="1" x14ac:dyDescent="0.25">
      <c r="A880" s="4" t="s">
        <v>21</v>
      </c>
      <c r="B880" s="4" t="s">
        <v>37</v>
      </c>
      <c r="C880" s="4" t="s">
        <v>33</v>
      </c>
      <c r="D880" s="4" t="s">
        <v>47</v>
      </c>
      <c r="E880" s="4" t="s">
        <v>25</v>
      </c>
      <c r="F880" s="4" t="s">
        <v>25</v>
      </c>
      <c r="G880" s="4" t="s">
        <v>25</v>
      </c>
      <c r="H880" s="4" t="s">
        <v>34</v>
      </c>
      <c r="I880" s="5">
        <v>44652</v>
      </c>
      <c r="J880" s="6">
        <v>0</v>
      </c>
      <c r="K880" s="6">
        <v>0</v>
      </c>
      <c r="L880" s="6">
        <v>0.14599999999999999</v>
      </c>
      <c r="M880" s="6">
        <v>0.14599999999999999</v>
      </c>
      <c r="N880" s="6">
        <v>0.14599999999999999</v>
      </c>
      <c r="O880" s="6">
        <v>0.14599999999999999</v>
      </c>
      <c r="P880" s="6">
        <v>0</v>
      </c>
      <c r="Q880" s="4" t="s">
        <v>26</v>
      </c>
      <c r="R880" s="4">
        <v>0</v>
      </c>
      <c r="S880" s="6">
        <v>0</v>
      </c>
      <c r="T880" s="6">
        <v>63</v>
      </c>
      <c r="U880" s="6">
        <v>105</v>
      </c>
      <c r="V880" s="6">
        <f>IF(ISERROR(VLOOKUP($S$880,'TAR FIN'!$A$1:$O$108,15,0)),0,VLOOKUP($S$880,'TAR FIN'!$A$1:$O$108,15,0))</f>
        <v>0</v>
      </c>
      <c r="W880" s="6">
        <f>IF(ISERROR(VLOOKUP($T$880,'TAR FIN'!$A$1:$O$108,15,0)),0,VLOOKUP($T$880,'TAR FIN'!$A$1:$O$108,15,0))</f>
        <v>1133.28</v>
      </c>
      <c r="X880" s="6">
        <f>IF(ISERROR(VLOOKUP($U$880,'TAR FIN'!$A$1:$O$108,15,0)),0,VLOOKUP($U$880,'TAR FIN'!$A$1:$O$108,15,0))</f>
        <v>159.43</v>
      </c>
      <c r="Y880" s="6"/>
      <c r="Z880" s="6">
        <f ca="1">('TUSD BE'!$AM$61+'TUSD BF'!$AM$61+'TUSD CVA'!$AM$61)*1</f>
        <v>1169.5504192635606</v>
      </c>
      <c r="AA880" s="6">
        <f>('TE BE'!$AB$41+'TE BF'!$AB$41+'TE CVA'!$AB$41)*1</f>
        <v>322.12477389224171</v>
      </c>
      <c r="AB880" s="6">
        <f>$K$880*$V$880</f>
        <v>0</v>
      </c>
      <c r="AC880" s="6">
        <f>$M$880*$W$880</f>
        <v>165.45887999999999</v>
      </c>
      <c r="AD880" s="6">
        <f>$O$880*$X$880</f>
        <v>23.276779999999999</v>
      </c>
      <c r="AE880" s="6">
        <f>$K$880*$Y$880</f>
        <v>0</v>
      </c>
      <c r="AF880" s="6">
        <f ca="1">$M$880*$Z$880</f>
        <v>170.75436121247984</v>
      </c>
      <c r="AG880" s="6">
        <f>$O$880*$AA$880</f>
        <v>47.030216988267284</v>
      </c>
    </row>
    <row r="881" spans="1:33" ht="11.25" customHeight="1" x14ac:dyDescent="0.25">
      <c r="A881" s="4" t="s">
        <v>21</v>
      </c>
      <c r="B881" s="4" t="s">
        <v>37</v>
      </c>
      <c r="C881" s="4" t="s">
        <v>33</v>
      </c>
      <c r="D881" s="4" t="s">
        <v>47</v>
      </c>
      <c r="E881" s="4" t="s">
        <v>25</v>
      </c>
      <c r="F881" s="4" t="s">
        <v>25</v>
      </c>
      <c r="G881" s="4" t="s">
        <v>25</v>
      </c>
      <c r="H881" s="4" t="s">
        <v>34</v>
      </c>
      <c r="I881" s="5">
        <v>44682</v>
      </c>
      <c r="J881" s="6">
        <v>0</v>
      </c>
      <c r="K881" s="6">
        <v>0</v>
      </c>
      <c r="L881" s="6">
        <v>0.40799999999999997</v>
      </c>
      <c r="M881" s="6">
        <v>0.40799999999999997</v>
      </c>
      <c r="N881" s="6">
        <v>0.40799999999999997</v>
      </c>
      <c r="O881" s="6">
        <v>0.40799999999999997</v>
      </c>
      <c r="P881" s="6">
        <v>0</v>
      </c>
      <c r="Q881" s="4" t="s">
        <v>26</v>
      </c>
      <c r="R881" s="4">
        <v>0</v>
      </c>
      <c r="S881" s="6">
        <v>0</v>
      </c>
      <c r="T881" s="6">
        <v>63</v>
      </c>
      <c r="U881" s="6">
        <v>105</v>
      </c>
      <c r="V881" s="6">
        <f>IF(ISERROR(VLOOKUP($S$881,'TAR FIN'!$A$1:$O$108,15,0)),0,VLOOKUP($S$881,'TAR FIN'!$A$1:$O$108,15,0))</f>
        <v>0</v>
      </c>
      <c r="W881" s="6">
        <f>IF(ISERROR(VLOOKUP($T$881,'TAR FIN'!$A$1:$O$108,15,0)),0,VLOOKUP($T$881,'TAR FIN'!$A$1:$O$108,15,0))</f>
        <v>1133.28</v>
      </c>
      <c r="X881" s="6">
        <f>IF(ISERROR(VLOOKUP($U$881,'TAR FIN'!$A$1:$O$108,15,0)),0,VLOOKUP($U$881,'TAR FIN'!$A$1:$O$108,15,0))</f>
        <v>159.43</v>
      </c>
      <c r="Y881" s="6"/>
      <c r="Z881" s="6">
        <f ca="1">('TUSD BE'!$AM$61+'TUSD BF'!$AM$61+'TUSD CVA'!$AM$61)*1</f>
        <v>1169.5504192635606</v>
      </c>
      <c r="AA881" s="6">
        <f>('TE BE'!$AB$41+'TE BF'!$AB$41+'TE CVA'!$AB$41)*1</f>
        <v>322.12477389224171</v>
      </c>
      <c r="AB881" s="6">
        <f>$K$881*$V$881</f>
        <v>0</v>
      </c>
      <c r="AC881" s="6">
        <f>$M$881*$W$881</f>
        <v>462.37823999999995</v>
      </c>
      <c r="AD881" s="6">
        <f>$O$881*$X$881</f>
        <v>65.047439999999995</v>
      </c>
      <c r="AE881" s="6">
        <f>$K$881*$Y$881</f>
        <v>0</v>
      </c>
      <c r="AF881" s="6">
        <f ca="1">$M$881*$Z$881</f>
        <v>477.17657105953271</v>
      </c>
      <c r="AG881" s="6">
        <f>$O$881*$AA$881</f>
        <v>131.42690774803461</v>
      </c>
    </row>
    <row r="882" spans="1:33" ht="11.25" customHeight="1" x14ac:dyDescent="0.25">
      <c r="A882" s="4" t="s">
        <v>27</v>
      </c>
      <c r="B882" s="4" t="s">
        <v>37</v>
      </c>
      <c r="C882" s="4" t="s">
        <v>33</v>
      </c>
      <c r="D882" s="4" t="s">
        <v>47</v>
      </c>
      <c r="E882" s="4" t="s">
        <v>25</v>
      </c>
      <c r="F882" s="4" t="s">
        <v>25</v>
      </c>
      <c r="G882" s="4" t="s">
        <v>25</v>
      </c>
      <c r="H882" s="4" t="s">
        <v>34</v>
      </c>
      <c r="I882" s="5">
        <v>44682</v>
      </c>
      <c r="J882" s="6">
        <v>0</v>
      </c>
      <c r="K882" s="6">
        <v>0</v>
      </c>
      <c r="L882" s="6">
        <v>7.6999999999999999E-2</v>
      </c>
      <c r="M882" s="6">
        <v>7.6999999999999999E-2</v>
      </c>
      <c r="N882" s="6">
        <v>7.6999999999999999E-2</v>
      </c>
      <c r="O882" s="6">
        <v>7.6999999999999999E-2</v>
      </c>
      <c r="P882" s="6">
        <v>0</v>
      </c>
      <c r="Q882" s="4" t="s">
        <v>26</v>
      </c>
      <c r="R882" s="4">
        <v>0</v>
      </c>
      <c r="S882" s="6">
        <v>0</v>
      </c>
      <c r="T882" s="6">
        <v>63</v>
      </c>
      <c r="U882" s="6">
        <v>105</v>
      </c>
      <c r="V882" s="6">
        <f>IF(ISERROR(VLOOKUP($S$882,'TAR FIN'!$A$1:$O$108,15,0)),0,VLOOKUP($S$882,'TAR FIN'!$A$1:$O$108,15,0))</f>
        <v>0</v>
      </c>
      <c r="W882" s="6">
        <f>IF(ISERROR(VLOOKUP($T$882,'TAR FIN'!$A$1:$O$108,15,0)),0,VLOOKUP($T$882,'TAR FIN'!$A$1:$O$108,15,0))</f>
        <v>1133.28</v>
      </c>
      <c r="X882" s="6">
        <f>IF(ISERROR(VLOOKUP($U$882,'TAR FIN'!$A$1:$O$108,15,0)),0,VLOOKUP($U$882,'TAR FIN'!$A$1:$O$108,15,0))</f>
        <v>159.43</v>
      </c>
      <c r="Y882" s="6"/>
      <c r="Z882" s="6">
        <f ca="1">('TUSD BE'!$AM$61+'TUSD BF'!$AM$61+'TUSD CVA'!$AM$61)*1</f>
        <v>1169.5504192635606</v>
      </c>
      <c r="AA882" s="6">
        <f>('TE BE'!$AB$41+'TE BF'!$AB$41+'TE CVA'!$AB$41)*1</f>
        <v>322.12477389224171</v>
      </c>
      <c r="AB882" s="6">
        <f>$K$882*$V$882</f>
        <v>0</v>
      </c>
      <c r="AC882" s="6">
        <f>$M$882*$W$882</f>
        <v>87.262559999999993</v>
      </c>
      <c r="AD882" s="6">
        <f>$O$882*$X$882</f>
        <v>12.276110000000001</v>
      </c>
      <c r="AE882" s="6">
        <f>$K$882*$Y$882</f>
        <v>0</v>
      </c>
      <c r="AF882" s="6">
        <f ca="1">$M$882*$Z$882</f>
        <v>90.055382283294165</v>
      </c>
      <c r="AG882" s="6">
        <f>$O$882*$AA$882</f>
        <v>24.803607589702612</v>
      </c>
    </row>
    <row r="883" spans="1:33" ht="11.25" customHeight="1" x14ac:dyDescent="0.25">
      <c r="A883" s="4" t="s">
        <v>21</v>
      </c>
      <c r="B883" s="4" t="s">
        <v>37</v>
      </c>
      <c r="C883" s="4" t="s">
        <v>33</v>
      </c>
      <c r="D883" s="4" t="s">
        <v>47</v>
      </c>
      <c r="E883" s="4" t="s">
        <v>25</v>
      </c>
      <c r="F883" s="4" t="s">
        <v>25</v>
      </c>
      <c r="G883" s="4" t="s">
        <v>25</v>
      </c>
      <c r="H883" s="4" t="s">
        <v>34</v>
      </c>
      <c r="I883" s="5">
        <v>44713</v>
      </c>
      <c r="J883" s="6">
        <v>0</v>
      </c>
      <c r="K883" s="6">
        <v>0</v>
      </c>
      <c r="L883" s="6">
        <v>0.67300000000000004</v>
      </c>
      <c r="M883" s="6">
        <v>0.67300000000000004</v>
      </c>
      <c r="N883" s="6">
        <v>0.67300000000000004</v>
      </c>
      <c r="O883" s="6">
        <v>0.67300000000000004</v>
      </c>
      <c r="P883" s="6">
        <v>0</v>
      </c>
      <c r="Q883" s="4" t="s">
        <v>26</v>
      </c>
      <c r="R883" s="4">
        <v>0</v>
      </c>
      <c r="S883" s="6">
        <v>0</v>
      </c>
      <c r="T883" s="6">
        <v>63</v>
      </c>
      <c r="U883" s="6">
        <v>105</v>
      </c>
      <c r="V883" s="6">
        <f>IF(ISERROR(VLOOKUP($S$883,'TAR FIN'!$A$1:$O$108,15,0)),0,VLOOKUP($S$883,'TAR FIN'!$A$1:$O$108,15,0))</f>
        <v>0</v>
      </c>
      <c r="W883" s="6">
        <f>IF(ISERROR(VLOOKUP($T$883,'TAR FIN'!$A$1:$O$108,15,0)),0,VLOOKUP($T$883,'TAR FIN'!$A$1:$O$108,15,0))</f>
        <v>1133.28</v>
      </c>
      <c r="X883" s="6">
        <f>IF(ISERROR(VLOOKUP($U$883,'TAR FIN'!$A$1:$O$108,15,0)),0,VLOOKUP($U$883,'TAR FIN'!$A$1:$O$108,15,0))</f>
        <v>159.43</v>
      </c>
      <c r="Y883" s="6"/>
      <c r="Z883" s="6">
        <f ca="1">('TUSD BE'!$AM$61+'TUSD BF'!$AM$61+'TUSD CVA'!$AM$61)*1</f>
        <v>1169.5504192635606</v>
      </c>
      <c r="AA883" s="6">
        <f>('TE BE'!$AB$41+'TE BF'!$AB$41+'TE CVA'!$AB$41)*1</f>
        <v>322.12477389224171</v>
      </c>
      <c r="AB883" s="6">
        <f>$K$883*$V$883</f>
        <v>0</v>
      </c>
      <c r="AC883" s="6">
        <f>$M$883*$W$883</f>
        <v>762.69744000000003</v>
      </c>
      <c r="AD883" s="6">
        <f>$O$883*$X$883</f>
        <v>107.29639000000002</v>
      </c>
      <c r="AE883" s="6">
        <f>$K$883*$Y$883</f>
        <v>0</v>
      </c>
      <c r="AF883" s="6">
        <f ca="1">$M$883*$Z$883</f>
        <v>787.10743216437629</v>
      </c>
      <c r="AG883" s="6">
        <f>$O$883*$AA$883</f>
        <v>216.78997282947867</v>
      </c>
    </row>
    <row r="884" spans="1:33" ht="11.25" customHeight="1" x14ac:dyDescent="0.25">
      <c r="A884" s="4" t="s">
        <v>21</v>
      </c>
      <c r="B884" s="4" t="s">
        <v>37</v>
      </c>
      <c r="C884" s="4" t="s">
        <v>33</v>
      </c>
      <c r="D884" s="4" t="s">
        <v>47</v>
      </c>
      <c r="E884" s="4" t="s">
        <v>25</v>
      </c>
      <c r="F884" s="4" t="s">
        <v>25</v>
      </c>
      <c r="G884" s="4" t="s">
        <v>25</v>
      </c>
      <c r="H884" s="4" t="s">
        <v>34</v>
      </c>
      <c r="I884" s="5">
        <v>44743</v>
      </c>
      <c r="J884" s="6">
        <v>0</v>
      </c>
      <c r="K884" s="6">
        <v>0</v>
      </c>
      <c r="L884" s="6">
        <v>0.66300000000000003</v>
      </c>
      <c r="M884" s="6">
        <v>0.66300000000000003</v>
      </c>
      <c r="N884" s="6">
        <v>0.66300000000000003</v>
      </c>
      <c r="O884" s="6">
        <v>0.66300000000000003</v>
      </c>
      <c r="P884" s="6">
        <v>0</v>
      </c>
      <c r="Q884" s="4" t="s">
        <v>26</v>
      </c>
      <c r="R884" s="4">
        <v>0</v>
      </c>
      <c r="S884" s="6">
        <v>0</v>
      </c>
      <c r="T884" s="6">
        <v>63</v>
      </c>
      <c r="U884" s="6">
        <v>105</v>
      </c>
      <c r="V884" s="6">
        <f>IF(ISERROR(VLOOKUP($S$884,'TAR FIN'!$A$1:$O$108,15,0)),0,VLOOKUP($S$884,'TAR FIN'!$A$1:$O$108,15,0))</f>
        <v>0</v>
      </c>
      <c r="W884" s="6">
        <f>IF(ISERROR(VLOOKUP($T$884,'TAR FIN'!$A$1:$O$108,15,0)),0,VLOOKUP($T$884,'TAR FIN'!$A$1:$O$108,15,0))</f>
        <v>1133.28</v>
      </c>
      <c r="X884" s="6">
        <f>IF(ISERROR(VLOOKUP($U$884,'TAR FIN'!$A$1:$O$108,15,0)),0,VLOOKUP($U$884,'TAR FIN'!$A$1:$O$108,15,0))</f>
        <v>159.43</v>
      </c>
      <c r="Y884" s="6"/>
      <c r="Z884" s="6">
        <f ca="1">('TUSD BE'!$AM$61+'TUSD BF'!$AM$61+'TUSD CVA'!$AM$61)*1</f>
        <v>1169.5504192635606</v>
      </c>
      <c r="AA884" s="6">
        <f>('TE BE'!$AB$41+'TE BF'!$AB$41+'TE CVA'!$AB$41)*1</f>
        <v>322.12477389224171</v>
      </c>
      <c r="AB884" s="6">
        <f>$K$884*$V$884</f>
        <v>0</v>
      </c>
      <c r="AC884" s="6">
        <f>$M$884*$W$884</f>
        <v>751.36464000000001</v>
      </c>
      <c r="AD884" s="6">
        <f>$O$884*$X$884</f>
        <v>105.70209000000001</v>
      </c>
      <c r="AE884" s="6">
        <f>$K$884*$Y$884</f>
        <v>0</v>
      </c>
      <c r="AF884" s="6">
        <f ca="1">$M$884*$Z$884</f>
        <v>775.41192797174074</v>
      </c>
      <c r="AG884" s="6">
        <f>$O$884*$AA$884</f>
        <v>213.56872509055626</v>
      </c>
    </row>
    <row r="885" spans="1:33" ht="11.25" customHeight="1" x14ac:dyDescent="0.25">
      <c r="A885" s="4" t="s">
        <v>21</v>
      </c>
      <c r="B885" s="4" t="s">
        <v>37</v>
      </c>
      <c r="C885" s="4" t="s">
        <v>33</v>
      </c>
      <c r="D885" s="4" t="s">
        <v>47</v>
      </c>
      <c r="E885" s="4" t="s">
        <v>25</v>
      </c>
      <c r="F885" s="4" t="s">
        <v>25</v>
      </c>
      <c r="G885" s="4" t="s">
        <v>25</v>
      </c>
      <c r="H885" s="4" t="s">
        <v>34</v>
      </c>
      <c r="I885" s="5">
        <v>44774</v>
      </c>
      <c r="J885" s="6">
        <v>0</v>
      </c>
      <c r="K885" s="6">
        <v>0</v>
      </c>
      <c r="L885" s="6">
        <v>0.55600000000000005</v>
      </c>
      <c r="M885" s="6">
        <v>0.55600000000000005</v>
      </c>
      <c r="N885" s="6">
        <v>0.55600000000000005</v>
      </c>
      <c r="O885" s="6">
        <v>0.55600000000000005</v>
      </c>
      <c r="P885" s="6">
        <v>0</v>
      </c>
      <c r="Q885" s="4" t="s">
        <v>26</v>
      </c>
      <c r="R885" s="4">
        <v>0</v>
      </c>
      <c r="S885" s="6">
        <v>0</v>
      </c>
      <c r="T885" s="6">
        <v>63</v>
      </c>
      <c r="U885" s="6">
        <v>105</v>
      </c>
      <c r="V885" s="6">
        <f>IF(ISERROR(VLOOKUP($S$885,'TAR FIN'!$A$1:$O$108,15,0)),0,VLOOKUP($S$885,'TAR FIN'!$A$1:$O$108,15,0))</f>
        <v>0</v>
      </c>
      <c r="W885" s="6">
        <f>IF(ISERROR(VLOOKUP($T$885,'TAR FIN'!$A$1:$O$108,15,0)),0,VLOOKUP($T$885,'TAR FIN'!$A$1:$O$108,15,0))</f>
        <v>1133.28</v>
      </c>
      <c r="X885" s="6">
        <f>IF(ISERROR(VLOOKUP($U$885,'TAR FIN'!$A$1:$O$108,15,0)),0,VLOOKUP($U$885,'TAR FIN'!$A$1:$O$108,15,0))</f>
        <v>159.43</v>
      </c>
      <c r="Y885" s="6"/>
      <c r="Z885" s="6">
        <f ca="1">('TUSD BE'!$AM$61+'TUSD BF'!$AM$61+'TUSD CVA'!$AM$61)*1</f>
        <v>1169.5504192635606</v>
      </c>
      <c r="AA885" s="6">
        <f>('TE BE'!$AB$41+'TE BF'!$AB$41+'TE CVA'!$AB$41)*1</f>
        <v>322.12477389224171</v>
      </c>
      <c r="AB885" s="6">
        <f>$K$885*$V$885</f>
        <v>0</v>
      </c>
      <c r="AC885" s="6">
        <f>$M$885*$W$885</f>
        <v>630.10368000000005</v>
      </c>
      <c r="AD885" s="6">
        <f>$O$885*$X$885</f>
        <v>88.643080000000012</v>
      </c>
      <c r="AE885" s="6">
        <f>$K$885*$Y$885</f>
        <v>0</v>
      </c>
      <c r="AF885" s="6">
        <f ca="1">$M$885*$Z$885</f>
        <v>650.27003311053977</v>
      </c>
      <c r="AG885" s="6">
        <f>$O$885*$AA$885</f>
        <v>179.1013742840864</v>
      </c>
    </row>
    <row r="886" spans="1:33" ht="11.25" customHeight="1" x14ac:dyDescent="0.25">
      <c r="A886" s="4" t="s">
        <v>21</v>
      </c>
      <c r="B886" s="4" t="s">
        <v>37</v>
      </c>
      <c r="C886" s="4" t="s">
        <v>33</v>
      </c>
      <c r="D886" s="4" t="s">
        <v>47</v>
      </c>
      <c r="E886" s="4" t="s">
        <v>25</v>
      </c>
      <c r="F886" s="4" t="s">
        <v>25</v>
      </c>
      <c r="G886" s="4" t="s">
        <v>25</v>
      </c>
      <c r="H886" s="4" t="s">
        <v>34</v>
      </c>
      <c r="I886" s="5">
        <v>44805</v>
      </c>
      <c r="J886" s="6">
        <v>0</v>
      </c>
      <c r="K886" s="6">
        <v>0</v>
      </c>
      <c r="L886" s="6">
        <v>0.54900000000000004</v>
      </c>
      <c r="M886" s="6">
        <v>0.54900000000000004</v>
      </c>
      <c r="N886" s="6">
        <v>0.54900000000000004</v>
      </c>
      <c r="O886" s="6">
        <v>0.54900000000000004</v>
      </c>
      <c r="P886" s="6">
        <v>0</v>
      </c>
      <c r="Q886" s="4" t="s">
        <v>26</v>
      </c>
      <c r="R886" s="4">
        <v>0</v>
      </c>
      <c r="S886" s="6">
        <v>0</v>
      </c>
      <c r="T886" s="6">
        <v>63</v>
      </c>
      <c r="U886" s="6">
        <v>105</v>
      </c>
      <c r="V886" s="6">
        <f>IF(ISERROR(VLOOKUP($S$886,'TAR FIN'!$A$1:$O$108,15,0)),0,VLOOKUP($S$886,'TAR FIN'!$A$1:$O$108,15,0))</f>
        <v>0</v>
      </c>
      <c r="W886" s="6">
        <f>IF(ISERROR(VLOOKUP($T$886,'TAR FIN'!$A$1:$O$108,15,0)),0,VLOOKUP($T$886,'TAR FIN'!$A$1:$O$108,15,0))</f>
        <v>1133.28</v>
      </c>
      <c r="X886" s="6">
        <f>IF(ISERROR(VLOOKUP($U$886,'TAR FIN'!$A$1:$O$108,15,0)),0,VLOOKUP($U$886,'TAR FIN'!$A$1:$O$108,15,0))</f>
        <v>159.43</v>
      </c>
      <c r="Y886" s="6"/>
      <c r="Z886" s="6">
        <f ca="1">('TUSD BE'!$AM$61+'TUSD BF'!$AM$61+'TUSD CVA'!$AM$61)*1</f>
        <v>1169.5504192635606</v>
      </c>
      <c r="AA886" s="6">
        <f>('TE BE'!$AB$41+'TE BF'!$AB$41+'TE CVA'!$AB$41)*1</f>
        <v>322.12477389224171</v>
      </c>
      <c r="AB886" s="6">
        <f>$K$886*$V$886</f>
        <v>0</v>
      </c>
      <c r="AC886" s="6">
        <f>$M$886*$W$886</f>
        <v>622.17072000000007</v>
      </c>
      <c r="AD886" s="6">
        <f>$O$886*$X$886</f>
        <v>87.527070000000009</v>
      </c>
      <c r="AE886" s="6">
        <f>$K$886*$Y$886</f>
        <v>0</v>
      </c>
      <c r="AF886" s="6">
        <f ca="1">$M$886*$Z$886</f>
        <v>642.08318017569479</v>
      </c>
      <c r="AG886" s="6">
        <f>$O$886*$AA$886</f>
        <v>176.8465008668407</v>
      </c>
    </row>
    <row r="887" spans="1:33" ht="11.25" customHeight="1" x14ac:dyDescent="0.25">
      <c r="A887" s="4" t="s">
        <v>21</v>
      </c>
      <c r="B887" s="4" t="s">
        <v>37</v>
      </c>
      <c r="C887" s="4" t="s">
        <v>23</v>
      </c>
      <c r="D887" s="4" t="s">
        <v>44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44531</v>
      </c>
      <c r="J887" s="6">
        <v>0</v>
      </c>
      <c r="K887" s="6">
        <v>0</v>
      </c>
      <c r="L887" s="6">
        <v>11556.769</v>
      </c>
      <c r="M887" s="6">
        <v>11556.769</v>
      </c>
      <c r="N887" s="6">
        <v>11556.769</v>
      </c>
      <c r="O887" s="6">
        <v>11556.769</v>
      </c>
      <c r="P887" s="6">
        <v>16490</v>
      </c>
      <c r="Q887" s="4" t="s">
        <v>26</v>
      </c>
      <c r="R887" s="4">
        <v>0</v>
      </c>
      <c r="S887" s="6">
        <v>0</v>
      </c>
      <c r="T887" s="6">
        <v>66</v>
      </c>
      <c r="U887" s="6">
        <v>3</v>
      </c>
      <c r="V887" s="6">
        <f>IF(ISERROR(VLOOKUP($S$887,'TAR FIN'!$A$1:$O$108,15,0)),0,VLOOKUP($S$887,'TAR FIN'!$A$1:$O$108,15,0))</f>
        <v>0</v>
      </c>
      <c r="W887" s="6">
        <f>IF(ISERROR(VLOOKUP($T$887,'TAR FIN'!$A$1:$O$108,15,0)),0,VLOOKUP($T$887,'TAR FIN'!$A$1:$O$108,15,0))</f>
        <v>432.02</v>
      </c>
      <c r="X887" s="6">
        <f>IF(ISERROR(VLOOKUP($U$887,'TAR FIN'!$A$1:$O$108,15,0)),0,VLOOKUP($U$887,'TAR FIN'!$A$1:$O$108,15,0))</f>
        <v>107.79</v>
      </c>
      <c r="Y887" s="6"/>
      <c r="Z887" s="6">
        <f ca="1">('TUSD BE'!$AM$64+'TUSD BF'!$AM$64+'TUSD CVA'!$AM$64)*1</f>
        <v>497.19204594021971</v>
      </c>
      <c r="AA887" s="6">
        <f>('TE BE'!$AB$44+'TE BF'!$AB$44+'TE CVA'!$AB$44)*1</f>
        <v>224.47961306175614</v>
      </c>
      <c r="AB887" s="6">
        <f>$K$887*$V$887</f>
        <v>0</v>
      </c>
      <c r="AC887" s="6">
        <f>$M$887*$W$887</f>
        <v>4992755.3433799995</v>
      </c>
      <c r="AD887" s="6">
        <f>$O$887*$X$887</f>
        <v>1245704.13051</v>
      </c>
      <c r="AE887" s="6">
        <f>$K$887*$Y$887</f>
        <v>0</v>
      </c>
      <c r="AF887" s="6">
        <f ca="1">$M$887*$Z$887</f>
        <v>5745933.6235685069</v>
      </c>
      <c r="AG887" s="6">
        <f>$O$887*$AA$887</f>
        <v>2594259.0333640985</v>
      </c>
    </row>
    <row r="888" spans="1:33" ht="11.25" customHeight="1" x14ac:dyDescent="0.25">
      <c r="A888" s="4" t="s">
        <v>27</v>
      </c>
      <c r="B888" s="4" t="s">
        <v>37</v>
      </c>
      <c r="C888" s="4" t="s">
        <v>23</v>
      </c>
      <c r="D888" s="4" t="s">
        <v>44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44531</v>
      </c>
      <c r="J888" s="6">
        <v>0</v>
      </c>
      <c r="K888" s="6">
        <v>0</v>
      </c>
      <c r="L888" s="6">
        <v>-322.38400000000001</v>
      </c>
      <c r="M888" s="6">
        <v>-322.38400000000001</v>
      </c>
      <c r="N888" s="6">
        <v>-322.38400000000001</v>
      </c>
      <c r="O888" s="6">
        <v>-322.38400000000001</v>
      </c>
      <c r="P888" s="6">
        <v>-236</v>
      </c>
      <c r="Q888" s="4" t="s">
        <v>26</v>
      </c>
      <c r="R888" s="4">
        <v>0</v>
      </c>
      <c r="S888" s="6">
        <v>0</v>
      </c>
      <c r="T888" s="6">
        <v>66</v>
      </c>
      <c r="U888" s="6">
        <v>3</v>
      </c>
      <c r="V888" s="6">
        <f>IF(ISERROR(VLOOKUP($S$888,'TAR FIN'!$A$1:$O$108,15,0)),0,VLOOKUP($S$888,'TAR FIN'!$A$1:$O$108,15,0))</f>
        <v>0</v>
      </c>
      <c r="W888" s="6">
        <f>IF(ISERROR(VLOOKUP($T$888,'TAR FIN'!$A$1:$O$108,15,0)),0,VLOOKUP($T$888,'TAR FIN'!$A$1:$O$108,15,0))</f>
        <v>432.02</v>
      </c>
      <c r="X888" s="6">
        <f>IF(ISERROR(VLOOKUP($U$888,'TAR FIN'!$A$1:$O$108,15,0)),0,VLOOKUP($U$888,'TAR FIN'!$A$1:$O$108,15,0))</f>
        <v>107.79</v>
      </c>
      <c r="Y888" s="6"/>
      <c r="Z888" s="6">
        <f ca="1">('TUSD BE'!$AM$64+'TUSD BF'!$AM$64+'TUSD CVA'!$AM$64)*1</f>
        <v>497.19204594021971</v>
      </c>
      <c r="AA888" s="6">
        <f>('TE BE'!$AB$44+'TE BF'!$AB$44+'TE CVA'!$AB$44)*1</f>
        <v>224.47961306175614</v>
      </c>
      <c r="AB888" s="6">
        <f>$K$888*$V$888</f>
        <v>0</v>
      </c>
      <c r="AC888" s="6">
        <f>$M$888*$W$888</f>
        <v>-139276.33567999999</v>
      </c>
      <c r="AD888" s="6">
        <f>$O$888*$X$888</f>
        <v>-34749.771360000006</v>
      </c>
      <c r="AE888" s="6">
        <f>$K$888*$Y$888</f>
        <v>0</v>
      </c>
      <c r="AF888" s="6">
        <f ca="1">$M$888*$Z$888</f>
        <v>-160286.7605383918</v>
      </c>
      <c r="AG888" s="6">
        <f>$O$888*$AA$888</f>
        <v>-72368.635577301189</v>
      </c>
    </row>
    <row r="889" spans="1:33" ht="11.25" customHeight="1" x14ac:dyDescent="0.25">
      <c r="A889" s="4" t="s">
        <v>28</v>
      </c>
      <c r="B889" s="4" t="s">
        <v>37</v>
      </c>
      <c r="C889" s="4" t="s">
        <v>23</v>
      </c>
      <c r="D889" s="4" t="s">
        <v>44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44531</v>
      </c>
      <c r="J889" s="6">
        <v>0</v>
      </c>
      <c r="K889" s="6">
        <v>0</v>
      </c>
      <c r="L889" s="6">
        <v>256.28899999999999</v>
      </c>
      <c r="M889" s="6">
        <v>256.28899999999999</v>
      </c>
      <c r="N889" s="6">
        <v>256.28899999999999</v>
      </c>
      <c r="O889" s="6">
        <v>256.28899999999999</v>
      </c>
      <c r="P889" s="6">
        <v>196</v>
      </c>
      <c r="Q889" s="4" t="s">
        <v>26</v>
      </c>
      <c r="R889" s="4">
        <v>0</v>
      </c>
      <c r="S889" s="6">
        <v>0</v>
      </c>
      <c r="T889" s="6">
        <v>66</v>
      </c>
      <c r="U889" s="6">
        <v>3</v>
      </c>
      <c r="V889" s="6">
        <f>IF(ISERROR(VLOOKUP($S$889,'TAR FIN'!$A$1:$O$108,15,0)),0,VLOOKUP($S$889,'TAR FIN'!$A$1:$O$108,15,0))</f>
        <v>0</v>
      </c>
      <c r="W889" s="6">
        <f>IF(ISERROR(VLOOKUP($T$889,'TAR FIN'!$A$1:$O$108,15,0)),0,VLOOKUP($T$889,'TAR FIN'!$A$1:$O$108,15,0))</f>
        <v>432.02</v>
      </c>
      <c r="X889" s="6">
        <f>IF(ISERROR(VLOOKUP($U$889,'TAR FIN'!$A$1:$O$108,15,0)),0,VLOOKUP($U$889,'TAR FIN'!$A$1:$O$108,15,0))</f>
        <v>107.79</v>
      </c>
      <c r="Y889" s="6"/>
      <c r="Z889" s="6">
        <f ca="1">('TUSD BE'!$AM$64+'TUSD BF'!$AM$64+'TUSD CVA'!$AM$64)*1</f>
        <v>497.19204594021971</v>
      </c>
      <c r="AA889" s="6">
        <f>('TE BE'!$AB$44+'TE BF'!$AB$44+'TE CVA'!$AB$44)*1</f>
        <v>224.47961306175614</v>
      </c>
      <c r="AB889" s="6">
        <f>$K$889*$V$889</f>
        <v>0</v>
      </c>
      <c r="AC889" s="6">
        <f>$M$889*$W$889</f>
        <v>110721.97377999999</v>
      </c>
      <c r="AD889" s="6">
        <f>$O$889*$X$889</f>
        <v>27625.391309999999</v>
      </c>
      <c r="AE889" s="6">
        <f>$K$889*$Y$889</f>
        <v>0</v>
      </c>
      <c r="AF889" s="6">
        <f ca="1">$M$889*$Z$889</f>
        <v>127424.85226197296</v>
      </c>
      <c r="AG889" s="6">
        <f>$O$889*$AA$889</f>
        <v>57531.655551984419</v>
      </c>
    </row>
    <row r="890" spans="1:33" ht="11.25" customHeight="1" x14ac:dyDescent="0.25">
      <c r="A890" s="4" t="s">
        <v>28</v>
      </c>
      <c r="B890" s="4" t="s">
        <v>37</v>
      </c>
      <c r="C890" s="4" t="s">
        <v>23</v>
      </c>
      <c r="D890" s="4" t="s">
        <v>44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44531</v>
      </c>
      <c r="J890" s="6">
        <v>0</v>
      </c>
      <c r="K890" s="6">
        <v>0</v>
      </c>
      <c r="L890" s="6">
        <v>0.20799999999999999</v>
      </c>
      <c r="M890" s="6">
        <v>0.20799999999999999</v>
      </c>
      <c r="N890" s="6">
        <v>0.20799999999999999</v>
      </c>
      <c r="O890" s="6">
        <v>0.20799999999999999</v>
      </c>
      <c r="P890" s="6">
        <v>1</v>
      </c>
      <c r="Q890" s="4" t="s">
        <v>26</v>
      </c>
      <c r="R890" s="4">
        <v>0</v>
      </c>
      <c r="S890" s="6">
        <v>0</v>
      </c>
      <c r="T890" s="6">
        <v>66</v>
      </c>
      <c r="U890" s="6">
        <v>3</v>
      </c>
      <c r="V890" s="6">
        <f>IF(ISERROR(VLOOKUP($S$890,'TAR FIN'!$A$1:$O$108,15,0)),0,VLOOKUP($S$890,'TAR FIN'!$A$1:$O$108,15,0))</f>
        <v>0</v>
      </c>
      <c r="W890" s="6">
        <f>IF(ISERROR(VLOOKUP($T$890,'TAR FIN'!$A$1:$O$108,15,0)),0,VLOOKUP($T$890,'TAR FIN'!$A$1:$O$108,15,0))</f>
        <v>432.02</v>
      </c>
      <c r="X890" s="6">
        <f>IF(ISERROR(VLOOKUP($U$890,'TAR FIN'!$A$1:$O$108,15,0)),0,VLOOKUP($U$890,'TAR FIN'!$A$1:$O$108,15,0))</f>
        <v>107.79</v>
      </c>
      <c r="Y890" s="6"/>
      <c r="Z890" s="6">
        <f ca="1">('TUSD BE'!$AM$64+'TUSD BF'!$AM$64+'TUSD CVA'!$AM$64)*1</f>
        <v>497.19204594021971</v>
      </c>
      <c r="AA890" s="6">
        <f>('TE BE'!$AB$44+'TE BF'!$AB$44+'TE CVA'!$AB$44)*1</f>
        <v>224.47961306175614</v>
      </c>
      <c r="AB890" s="6">
        <f>$K$890*$V$890</f>
        <v>0</v>
      </c>
      <c r="AC890" s="6">
        <f>$M$890*$W$890</f>
        <v>89.860159999999993</v>
      </c>
      <c r="AD890" s="6">
        <f>$O$890*$X$890</f>
        <v>22.42032</v>
      </c>
      <c r="AE890" s="6">
        <f>$K$890*$Y$890</f>
        <v>0</v>
      </c>
      <c r="AF890" s="6">
        <f ca="1">$M$890*$Z$890</f>
        <v>103.4159455555657</v>
      </c>
      <c r="AG890" s="6">
        <f>$O$890*$AA$890</f>
        <v>46.691759516845273</v>
      </c>
    </row>
    <row r="891" spans="1:33" ht="11.25" customHeight="1" x14ac:dyDescent="0.25">
      <c r="A891" s="4" t="s">
        <v>21</v>
      </c>
      <c r="B891" s="4" t="s">
        <v>37</v>
      </c>
      <c r="C891" s="4" t="s">
        <v>23</v>
      </c>
      <c r="D891" s="4" t="s">
        <v>44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44562</v>
      </c>
      <c r="J891" s="6">
        <v>0</v>
      </c>
      <c r="K891" s="6">
        <v>0</v>
      </c>
      <c r="L891" s="6">
        <v>10244.385</v>
      </c>
      <c r="M891" s="6">
        <v>10244.385</v>
      </c>
      <c r="N891" s="6">
        <v>10244.385</v>
      </c>
      <c r="O891" s="6">
        <v>10244.385</v>
      </c>
      <c r="P891" s="6">
        <v>16405</v>
      </c>
      <c r="Q891" s="4" t="s">
        <v>26</v>
      </c>
      <c r="R891" s="4">
        <v>0</v>
      </c>
      <c r="S891" s="6">
        <v>0</v>
      </c>
      <c r="T891" s="6">
        <v>66</v>
      </c>
      <c r="U891" s="6">
        <v>3</v>
      </c>
      <c r="V891" s="6">
        <f>IF(ISERROR(VLOOKUP($S$891,'TAR FIN'!$A$1:$O$108,15,0)),0,VLOOKUP($S$891,'TAR FIN'!$A$1:$O$108,15,0))</f>
        <v>0</v>
      </c>
      <c r="W891" s="6">
        <f>IF(ISERROR(VLOOKUP($T$891,'TAR FIN'!$A$1:$O$108,15,0)),0,VLOOKUP($T$891,'TAR FIN'!$A$1:$O$108,15,0))</f>
        <v>432.02</v>
      </c>
      <c r="X891" s="6">
        <f>IF(ISERROR(VLOOKUP($U$891,'TAR FIN'!$A$1:$O$108,15,0)),0,VLOOKUP($U$891,'TAR FIN'!$A$1:$O$108,15,0))</f>
        <v>107.79</v>
      </c>
      <c r="Y891" s="6"/>
      <c r="Z891" s="6">
        <f ca="1">('TUSD BE'!$AM$64+'TUSD BF'!$AM$64+'TUSD CVA'!$AM$64)*1</f>
        <v>497.19204594021971</v>
      </c>
      <c r="AA891" s="6">
        <f>('TE BE'!$AB$44+'TE BF'!$AB$44+'TE CVA'!$AB$44)*1</f>
        <v>224.47961306175614</v>
      </c>
      <c r="AB891" s="6">
        <f>$K$891*$V$891</f>
        <v>0</v>
      </c>
      <c r="AC891" s="6">
        <f>$M$891*$W$891</f>
        <v>4425779.2077000001</v>
      </c>
      <c r="AD891" s="6">
        <f>$O$891*$X$891</f>
        <v>1104242.2591500001</v>
      </c>
      <c r="AE891" s="6">
        <f>$K$891*$Y$891</f>
        <v>0</v>
      </c>
      <c r="AF891" s="6">
        <f ca="1">$M$891*$Z$891</f>
        <v>5093426.7375492975</v>
      </c>
      <c r="AG891" s="6">
        <f>$O$891*$AA$891</f>
        <v>2299655.5808556587</v>
      </c>
    </row>
    <row r="892" spans="1:33" ht="11.25" customHeight="1" x14ac:dyDescent="0.25">
      <c r="A892" s="4" t="s">
        <v>27</v>
      </c>
      <c r="B892" s="4" t="s">
        <v>37</v>
      </c>
      <c r="C892" s="4" t="s">
        <v>23</v>
      </c>
      <c r="D892" s="4" t="s">
        <v>44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44562</v>
      </c>
      <c r="J892" s="6">
        <v>0</v>
      </c>
      <c r="K892" s="6">
        <v>0</v>
      </c>
      <c r="L892" s="6">
        <v>-227.30600000000001</v>
      </c>
      <c r="M892" s="6">
        <v>-227.30600000000001</v>
      </c>
      <c r="N892" s="6">
        <v>-227.30600000000001</v>
      </c>
      <c r="O892" s="6">
        <v>-227.30600000000001</v>
      </c>
      <c r="P892" s="6">
        <v>-342</v>
      </c>
      <c r="Q892" s="4" t="s">
        <v>26</v>
      </c>
      <c r="R892" s="4">
        <v>0</v>
      </c>
      <c r="S892" s="6">
        <v>0</v>
      </c>
      <c r="T892" s="6">
        <v>66</v>
      </c>
      <c r="U892" s="6">
        <v>3</v>
      </c>
      <c r="V892" s="6">
        <f>IF(ISERROR(VLOOKUP($S$892,'TAR FIN'!$A$1:$O$108,15,0)),0,VLOOKUP($S$892,'TAR FIN'!$A$1:$O$108,15,0))</f>
        <v>0</v>
      </c>
      <c r="W892" s="6">
        <f>IF(ISERROR(VLOOKUP($T$892,'TAR FIN'!$A$1:$O$108,15,0)),0,VLOOKUP($T$892,'TAR FIN'!$A$1:$O$108,15,0))</f>
        <v>432.02</v>
      </c>
      <c r="X892" s="6">
        <f>IF(ISERROR(VLOOKUP($U$892,'TAR FIN'!$A$1:$O$108,15,0)),0,VLOOKUP($U$892,'TAR FIN'!$A$1:$O$108,15,0))</f>
        <v>107.79</v>
      </c>
      <c r="Y892" s="6"/>
      <c r="Z892" s="6">
        <f ca="1">('TUSD BE'!$AM$64+'TUSD BF'!$AM$64+'TUSD CVA'!$AM$64)*1</f>
        <v>497.19204594021971</v>
      </c>
      <c r="AA892" s="6">
        <f>('TE BE'!$AB$44+'TE BF'!$AB$44+'TE CVA'!$AB$44)*1</f>
        <v>224.47961306175614</v>
      </c>
      <c r="AB892" s="6">
        <f>$K$892*$V$892</f>
        <v>0</v>
      </c>
      <c r="AC892" s="6">
        <f>$M$892*$W$892</f>
        <v>-98200.738119999995</v>
      </c>
      <c r="AD892" s="6">
        <f>$O$892*$X$892</f>
        <v>-24501.313740000001</v>
      </c>
      <c r="AE892" s="6">
        <f>$K$892*$Y$892</f>
        <v>0</v>
      </c>
      <c r="AF892" s="6">
        <f ca="1">$M$892*$Z$892</f>
        <v>-113014.73519448758</v>
      </c>
      <c r="AG892" s="6">
        <f>$O$892*$AA$892</f>
        <v>-51025.562926615545</v>
      </c>
    </row>
    <row r="893" spans="1:33" ht="11.25" customHeight="1" x14ac:dyDescent="0.25">
      <c r="A893" s="4" t="s">
        <v>28</v>
      </c>
      <c r="B893" s="4" t="s">
        <v>37</v>
      </c>
      <c r="C893" s="4" t="s">
        <v>23</v>
      </c>
      <c r="D893" s="4" t="s">
        <v>44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44562</v>
      </c>
      <c r="J893" s="6">
        <v>0</v>
      </c>
      <c r="K893" s="6">
        <v>0</v>
      </c>
      <c r="L893" s="6">
        <v>258.50099999999998</v>
      </c>
      <c r="M893" s="6">
        <v>258.50099999999998</v>
      </c>
      <c r="N893" s="6">
        <v>258.50099999999998</v>
      </c>
      <c r="O893" s="6">
        <v>258.50099999999998</v>
      </c>
      <c r="P893" s="6">
        <v>209</v>
      </c>
      <c r="Q893" s="4" t="s">
        <v>26</v>
      </c>
      <c r="R893" s="4">
        <v>0</v>
      </c>
      <c r="S893" s="6">
        <v>0</v>
      </c>
      <c r="T893" s="6">
        <v>66</v>
      </c>
      <c r="U893" s="6">
        <v>3</v>
      </c>
      <c r="V893" s="6">
        <f>IF(ISERROR(VLOOKUP($S$893,'TAR FIN'!$A$1:$O$108,15,0)),0,VLOOKUP($S$893,'TAR FIN'!$A$1:$O$108,15,0))</f>
        <v>0</v>
      </c>
      <c r="W893" s="6">
        <f>IF(ISERROR(VLOOKUP($T$893,'TAR FIN'!$A$1:$O$108,15,0)),0,VLOOKUP($T$893,'TAR FIN'!$A$1:$O$108,15,0))</f>
        <v>432.02</v>
      </c>
      <c r="X893" s="6">
        <f>IF(ISERROR(VLOOKUP($U$893,'TAR FIN'!$A$1:$O$108,15,0)),0,VLOOKUP($U$893,'TAR FIN'!$A$1:$O$108,15,0))</f>
        <v>107.79</v>
      </c>
      <c r="Y893" s="6"/>
      <c r="Z893" s="6">
        <f ca="1">('TUSD BE'!$AM$64+'TUSD BF'!$AM$64+'TUSD CVA'!$AM$64)*1</f>
        <v>497.19204594021971</v>
      </c>
      <c r="AA893" s="6">
        <f>('TE BE'!$AB$44+'TE BF'!$AB$44+'TE CVA'!$AB$44)*1</f>
        <v>224.47961306175614</v>
      </c>
      <c r="AB893" s="6">
        <f>$K$893*$V$893</f>
        <v>0</v>
      </c>
      <c r="AC893" s="6">
        <f>$M$893*$W$893</f>
        <v>111677.60201999999</v>
      </c>
      <c r="AD893" s="6">
        <f>$O$893*$X$893</f>
        <v>27863.822789999998</v>
      </c>
      <c r="AE893" s="6">
        <f>$K$893*$Y$893</f>
        <v>0</v>
      </c>
      <c r="AF893" s="6">
        <f ca="1">$M$893*$Z$893</f>
        <v>128524.64106759272</v>
      </c>
      <c r="AG893" s="6">
        <f>$O$893*$AA$893</f>
        <v>58028.204456077015</v>
      </c>
    </row>
    <row r="894" spans="1:33" ht="11.25" customHeight="1" x14ac:dyDescent="0.25">
      <c r="A894" s="4" t="s">
        <v>28</v>
      </c>
      <c r="B894" s="4" t="s">
        <v>37</v>
      </c>
      <c r="C894" s="4" t="s">
        <v>23</v>
      </c>
      <c r="D894" s="4" t="s">
        <v>44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44562</v>
      </c>
      <c r="J894" s="6">
        <v>0</v>
      </c>
      <c r="K894" s="6">
        <v>0</v>
      </c>
      <c r="L894" s="6">
        <v>1.4750000000000001</v>
      </c>
      <c r="M894" s="6">
        <v>1.4750000000000001</v>
      </c>
      <c r="N894" s="6">
        <v>1.4750000000000001</v>
      </c>
      <c r="O894" s="6">
        <v>1.4750000000000001</v>
      </c>
      <c r="P894" s="6">
        <v>2</v>
      </c>
      <c r="Q894" s="4" t="s">
        <v>26</v>
      </c>
      <c r="R894" s="4">
        <v>0</v>
      </c>
      <c r="S894" s="6">
        <v>0</v>
      </c>
      <c r="T894" s="6">
        <v>66</v>
      </c>
      <c r="U894" s="6">
        <v>3</v>
      </c>
      <c r="V894" s="6">
        <f>IF(ISERROR(VLOOKUP($S$894,'TAR FIN'!$A$1:$O$108,15,0)),0,VLOOKUP($S$894,'TAR FIN'!$A$1:$O$108,15,0))</f>
        <v>0</v>
      </c>
      <c r="W894" s="6">
        <f>IF(ISERROR(VLOOKUP($T$894,'TAR FIN'!$A$1:$O$108,15,0)),0,VLOOKUP($T$894,'TAR FIN'!$A$1:$O$108,15,0))</f>
        <v>432.02</v>
      </c>
      <c r="X894" s="6">
        <f>IF(ISERROR(VLOOKUP($U$894,'TAR FIN'!$A$1:$O$108,15,0)),0,VLOOKUP($U$894,'TAR FIN'!$A$1:$O$108,15,0))</f>
        <v>107.79</v>
      </c>
      <c r="Y894" s="6"/>
      <c r="Z894" s="6">
        <f ca="1">('TUSD BE'!$AM$64+'TUSD BF'!$AM$64+'TUSD CVA'!$AM$64)*1</f>
        <v>497.19204594021971</v>
      </c>
      <c r="AA894" s="6">
        <f>('TE BE'!$AB$44+'TE BF'!$AB$44+'TE CVA'!$AB$44)*1</f>
        <v>224.47961306175614</v>
      </c>
      <c r="AB894" s="6">
        <f>$K$894*$V$894</f>
        <v>0</v>
      </c>
      <c r="AC894" s="6">
        <f>$M$894*$W$894</f>
        <v>637.22950000000003</v>
      </c>
      <c r="AD894" s="6">
        <f>$O$894*$X$894</f>
        <v>158.99025000000003</v>
      </c>
      <c r="AE894" s="6">
        <f>$K$894*$Y$894</f>
        <v>0</v>
      </c>
      <c r="AF894" s="6">
        <f ca="1">$M$894*$Z$894</f>
        <v>733.3582677618241</v>
      </c>
      <c r="AG894" s="6">
        <f>$O$894*$AA$894</f>
        <v>331.10742926609032</v>
      </c>
    </row>
    <row r="895" spans="1:33" ht="11.25" customHeight="1" x14ac:dyDescent="0.25">
      <c r="A895" s="4" t="s">
        <v>21</v>
      </c>
      <c r="B895" s="4" t="s">
        <v>37</v>
      </c>
      <c r="C895" s="4" t="s">
        <v>23</v>
      </c>
      <c r="D895" s="4" t="s">
        <v>44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44593</v>
      </c>
      <c r="J895" s="6">
        <v>0</v>
      </c>
      <c r="K895" s="6">
        <v>0</v>
      </c>
      <c r="L895" s="6">
        <v>9065.7800000000007</v>
      </c>
      <c r="M895" s="6">
        <v>9065.7800000000007</v>
      </c>
      <c r="N895" s="6">
        <v>9065.7800000000007</v>
      </c>
      <c r="O895" s="6">
        <v>9065.7800000000007</v>
      </c>
      <c r="P895" s="6">
        <v>15183</v>
      </c>
      <c r="Q895" s="4" t="s">
        <v>26</v>
      </c>
      <c r="R895" s="4">
        <v>0</v>
      </c>
      <c r="S895" s="6">
        <v>0</v>
      </c>
      <c r="T895" s="6">
        <v>66</v>
      </c>
      <c r="U895" s="6">
        <v>3</v>
      </c>
      <c r="V895" s="6">
        <f>IF(ISERROR(VLOOKUP($S$895,'TAR FIN'!$A$1:$O$108,15,0)),0,VLOOKUP($S$895,'TAR FIN'!$A$1:$O$108,15,0))</f>
        <v>0</v>
      </c>
      <c r="W895" s="6">
        <f>IF(ISERROR(VLOOKUP($T$895,'TAR FIN'!$A$1:$O$108,15,0)),0,VLOOKUP($T$895,'TAR FIN'!$A$1:$O$108,15,0))</f>
        <v>432.02</v>
      </c>
      <c r="X895" s="6">
        <f>IF(ISERROR(VLOOKUP($U$895,'TAR FIN'!$A$1:$O$108,15,0)),0,VLOOKUP($U$895,'TAR FIN'!$A$1:$O$108,15,0))</f>
        <v>107.79</v>
      </c>
      <c r="Y895" s="6"/>
      <c r="Z895" s="6">
        <f ca="1">('TUSD BE'!$AM$64+'TUSD BF'!$AM$64+'TUSD CVA'!$AM$64)*1</f>
        <v>497.19204594021971</v>
      </c>
      <c r="AA895" s="6">
        <f>('TE BE'!$AB$44+'TE BF'!$AB$44+'TE CVA'!$AB$44)*1</f>
        <v>224.47961306175614</v>
      </c>
      <c r="AB895" s="6">
        <f>$K$895*$V$895</f>
        <v>0</v>
      </c>
      <c r="AC895" s="6">
        <f>$M$895*$W$895</f>
        <v>3916598.2756000003</v>
      </c>
      <c r="AD895" s="6">
        <f>$O$895*$X$895</f>
        <v>977200.4262000001</v>
      </c>
      <c r="AE895" s="6">
        <f>$K$895*$Y$895</f>
        <v>0</v>
      </c>
      <c r="AF895" s="6">
        <f ca="1">$M$895*$Z$895</f>
        <v>4507433.7062439257</v>
      </c>
      <c r="AG895" s="6">
        <f>$O$895*$AA$895</f>
        <v>2035082.7865030076</v>
      </c>
    </row>
    <row r="896" spans="1:33" ht="11.25" customHeight="1" x14ac:dyDescent="0.25">
      <c r="A896" s="4" t="s">
        <v>27</v>
      </c>
      <c r="B896" s="4" t="s">
        <v>37</v>
      </c>
      <c r="C896" s="4" t="s">
        <v>23</v>
      </c>
      <c r="D896" s="4" t="s">
        <v>44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44593</v>
      </c>
      <c r="J896" s="6">
        <v>0</v>
      </c>
      <c r="K896" s="6">
        <v>0</v>
      </c>
      <c r="L896" s="6">
        <v>-370.13099999999997</v>
      </c>
      <c r="M896" s="6">
        <v>-370.13099999999997</v>
      </c>
      <c r="N896" s="6">
        <v>-370.13099999999997</v>
      </c>
      <c r="O896" s="6">
        <v>-370.13099999999997</v>
      </c>
      <c r="P896" s="6">
        <v>-84</v>
      </c>
      <c r="Q896" s="4" t="s">
        <v>26</v>
      </c>
      <c r="R896" s="4">
        <v>0</v>
      </c>
      <c r="S896" s="6">
        <v>0</v>
      </c>
      <c r="T896" s="6">
        <v>66</v>
      </c>
      <c r="U896" s="6">
        <v>3</v>
      </c>
      <c r="V896" s="6">
        <f>IF(ISERROR(VLOOKUP($S$896,'TAR FIN'!$A$1:$O$108,15,0)),0,VLOOKUP($S$896,'TAR FIN'!$A$1:$O$108,15,0))</f>
        <v>0</v>
      </c>
      <c r="W896" s="6">
        <f>IF(ISERROR(VLOOKUP($T$896,'TAR FIN'!$A$1:$O$108,15,0)),0,VLOOKUP($T$896,'TAR FIN'!$A$1:$O$108,15,0))</f>
        <v>432.02</v>
      </c>
      <c r="X896" s="6">
        <f>IF(ISERROR(VLOOKUP($U$896,'TAR FIN'!$A$1:$O$108,15,0)),0,VLOOKUP($U$896,'TAR FIN'!$A$1:$O$108,15,0))</f>
        <v>107.79</v>
      </c>
      <c r="Y896" s="6"/>
      <c r="Z896" s="6">
        <f ca="1">('TUSD BE'!$AM$64+'TUSD BF'!$AM$64+'TUSD CVA'!$AM$64)*1</f>
        <v>497.19204594021971</v>
      </c>
      <c r="AA896" s="6">
        <f>('TE BE'!$AB$44+'TE BF'!$AB$44+'TE CVA'!$AB$44)*1</f>
        <v>224.47961306175614</v>
      </c>
      <c r="AB896" s="6">
        <f>$K$896*$V$896</f>
        <v>0</v>
      </c>
      <c r="AC896" s="6">
        <f>$M$896*$W$896</f>
        <v>-159903.99461999998</v>
      </c>
      <c r="AD896" s="6">
        <f>$O$896*$X$896</f>
        <v>-39896.420489999997</v>
      </c>
      <c r="AE896" s="6">
        <f>$K$896*$Y$896</f>
        <v>0</v>
      </c>
      <c r="AF896" s="6">
        <f ca="1">$M$896*$Z$896</f>
        <v>-184026.18915589945</v>
      </c>
      <c r="AG896" s="6">
        <f>$O$896*$AA$896</f>
        <v>-83086.86366216086</v>
      </c>
    </row>
    <row r="897" spans="1:33" ht="11.25" customHeight="1" x14ac:dyDescent="0.25">
      <c r="A897" s="4" t="s">
        <v>28</v>
      </c>
      <c r="B897" s="4" t="s">
        <v>37</v>
      </c>
      <c r="C897" s="4" t="s">
        <v>23</v>
      </c>
      <c r="D897" s="4" t="s">
        <v>44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44593</v>
      </c>
      <c r="J897" s="6">
        <v>0</v>
      </c>
      <c r="K897" s="6">
        <v>0</v>
      </c>
      <c r="L897" s="6">
        <v>329.10599999999999</v>
      </c>
      <c r="M897" s="6">
        <v>329.10599999999999</v>
      </c>
      <c r="N897" s="6">
        <v>329.10599999999999</v>
      </c>
      <c r="O897" s="6">
        <v>329.10599999999999</v>
      </c>
      <c r="P897" s="6">
        <v>214</v>
      </c>
      <c r="Q897" s="4" t="s">
        <v>26</v>
      </c>
      <c r="R897" s="4">
        <v>0</v>
      </c>
      <c r="S897" s="6">
        <v>0</v>
      </c>
      <c r="T897" s="6">
        <v>66</v>
      </c>
      <c r="U897" s="6">
        <v>3</v>
      </c>
      <c r="V897" s="6">
        <f>IF(ISERROR(VLOOKUP($S$897,'TAR FIN'!$A$1:$O$108,15,0)),0,VLOOKUP($S$897,'TAR FIN'!$A$1:$O$108,15,0))</f>
        <v>0</v>
      </c>
      <c r="W897" s="6">
        <f>IF(ISERROR(VLOOKUP($T$897,'TAR FIN'!$A$1:$O$108,15,0)),0,VLOOKUP($T$897,'TAR FIN'!$A$1:$O$108,15,0))</f>
        <v>432.02</v>
      </c>
      <c r="X897" s="6">
        <f>IF(ISERROR(VLOOKUP($U$897,'TAR FIN'!$A$1:$O$108,15,0)),0,VLOOKUP($U$897,'TAR FIN'!$A$1:$O$108,15,0))</f>
        <v>107.79</v>
      </c>
      <c r="Y897" s="6"/>
      <c r="Z897" s="6">
        <f ca="1">('TUSD BE'!$AM$64+'TUSD BF'!$AM$64+'TUSD CVA'!$AM$64)*1</f>
        <v>497.19204594021971</v>
      </c>
      <c r="AA897" s="6">
        <f>('TE BE'!$AB$44+'TE BF'!$AB$44+'TE CVA'!$AB$44)*1</f>
        <v>224.47961306175614</v>
      </c>
      <c r="AB897" s="6">
        <f>$K$897*$V$897</f>
        <v>0</v>
      </c>
      <c r="AC897" s="6">
        <f>$M$897*$W$897</f>
        <v>142180.37411999999</v>
      </c>
      <c r="AD897" s="6">
        <f>$O$897*$X$897</f>
        <v>35474.335740000002</v>
      </c>
      <c r="AE897" s="6">
        <f>$K$897*$Y$897</f>
        <v>0</v>
      </c>
      <c r="AF897" s="6">
        <f ca="1">$M$897*$Z$897</f>
        <v>163628.88547120194</v>
      </c>
      <c r="AG897" s="6">
        <f>$O$897*$AA$897</f>
        <v>73877.587536302308</v>
      </c>
    </row>
    <row r="898" spans="1:33" ht="11.25" customHeight="1" x14ac:dyDescent="0.25">
      <c r="A898" s="4" t="s">
        <v>21</v>
      </c>
      <c r="B898" s="4" t="s">
        <v>37</v>
      </c>
      <c r="C898" s="4" t="s">
        <v>23</v>
      </c>
      <c r="D898" s="4" t="s">
        <v>44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44621</v>
      </c>
      <c r="J898" s="6">
        <v>0</v>
      </c>
      <c r="K898" s="6">
        <v>0</v>
      </c>
      <c r="L898" s="6">
        <v>10219.133</v>
      </c>
      <c r="M898" s="6">
        <v>10219.133</v>
      </c>
      <c r="N898" s="6">
        <v>10219.133</v>
      </c>
      <c r="O898" s="6">
        <v>10219.133</v>
      </c>
      <c r="P898" s="6">
        <v>15279</v>
      </c>
      <c r="Q898" s="4" t="s">
        <v>26</v>
      </c>
      <c r="R898" s="4">
        <v>0</v>
      </c>
      <c r="S898" s="6">
        <v>0</v>
      </c>
      <c r="T898" s="6">
        <v>66</v>
      </c>
      <c r="U898" s="6">
        <v>3</v>
      </c>
      <c r="V898" s="6">
        <f>IF(ISERROR(VLOOKUP($S$898,'TAR FIN'!$A$1:$O$108,15,0)),0,VLOOKUP($S$898,'TAR FIN'!$A$1:$O$108,15,0))</f>
        <v>0</v>
      </c>
      <c r="W898" s="6">
        <f>IF(ISERROR(VLOOKUP($T$898,'TAR FIN'!$A$1:$O$108,15,0)),0,VLOOKUP($T$898,'TAR FIN'!$A$1:$O$108,15,0))</f>
        <v>432.02</v>
      </c>
      <c r="X898" s="6">
        <f>IF(ISERROR(VLOOKUP($U$898,'TAR FIN'!$A$1:$O$108,15,0)),0,VLOOKUP($U$898,'TAR FIN'!$A$1:$O$108,15,0))</f>
        <v>107.79</v>
      </c>
      <c r="Y898" s="6"/>
      <c r="Z898" s="6">
        <f ca="1">('TUSD BE'!$AM$64+'TUSD BF'!$AM$64+'TUSD CVA'!$AM$64)*1</f>
        <v>497.19204594021971</v>
      </c>
      <c r="AA898" s="6">
        <f>('TE BE'!$AB$44+'TE BF'!$AB$44+'TE CVA'!$AB$44)*1</f>
        <v>224.47961306175614</v>
      </c>
      <c r="AB898" s="6">
        <f>$K$898*$V$898</f>
        <v>0</v>
      </c>
      <c r="AC898" s="6">
        <f>$M$898*$W$898</f>
        <v>4414869.8386599999</v>
      </c>
      <c r="AD898" s="6">
        <f>$O$898*$X$898</f>
        <v>1101520.34607</v>
      </c>
      <c r="AE898" s="6">
        <f>$K$898*$Y$898</f>
        <v>0</v>
      </c>
      <c r="AF898" s="6">
        <f ca="1">$M$898*$Z$898</f>
        <v>5080871.6440052148</v>
      </c>
      <c r="AG898" s="6">
        <f>$O$898*$AA$898</f>
        <v>2293987.0216666232</v>
      </c>
    </row>
    <row r="899" spans="1:33" ht="11.25" customHeight="1" x14ac:dyDescent="0.25">
      <c r="A899" s="4" t="s">
        <v>27</v>
      </c>
      <c r="B899" s="4" t="s">
        <v>37</v>
      </c>
      <c r="C899" s="4" t="s">
        <v>23</v>
      </c>
      <c r="D899" s="4" t="s">
        <v>44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44621</v>
      </c>
      <c r="J899" s="6">
        <v>0</v>
      </c>
      <c r="K899" s="6">
        <v>0</v>
      </c>
      <c r="L899" s="6">
        <v>-354.66699999999997</v>
      </c>
      <c r="M899" s="6">
        <v>-354.66699999999997</v>
      </c>
      <c r="N899" s="6">
        <v>-354.66699999999997</v>
      </c>
      <c r="O899" s="6">
        <v>-354.66699999999997</v>
      </c>
      <c r="P899" s="6">
        <v>-518</v>
      </c>
      <c r="Q899" s="4" t="s">
        <v>26</v>
      </c>
      <c r="R899" s="4">
        <v>0</v>
      </c>
      <c r="S899" s="6">
        <v>0</v>
      </c>
      <c r="T899" s="6">
        <v>66</v>
      </c>
      <c r="U899" s="6">
        <v>3</v>
      </c>
      <c r="V899" s="6">
        <f>IF(ISERROR(VLOOKUP($S$899,'TAR FIN'!$A$1:$O$108,15,0)),0,VLOOKUP($S$899,'TAR FIN'!$A$1:$O$108,15,0))</f>
        <v>0</v>
      </c>
      <c r="W899" s="6">
        <f>IF(ISERROR(VLOOKUP($T$899,'TAR FIN'!$A$1:$O$108,15,0)),0,VLOOKUP($T$899,'TAR FIN'!$A$1:$O$108,15,0))</f>
        <v>432.02</v>
      </c>
      <c r="X899" s="6">
        <f>IF(ISERROR(VLOOKUP($U$899,'TAR FIN'!$A$1:$O$108,15,0)),0,VLOOKUP($U$899,'TAR FIN'!$A$1:$O$108,15,0))</f>
        <v>107.79</v>
      </c>
      <c r="Y899" s="6"/>
      <c r="Z899" s="6">
        <f ca="1">('TUSD BE'!$AM$64+'TUSD BF'!$AM$64+'TUSD CVA'!$AM$64)*1</f>
        <v>497.19204594021971</v>
      </c>
      <c r="AA899" s="6">
        <f>('TE BE'!$AB$44+'TE BF'!$AB$44+'TE CVA'!$AB$44)*1</f>
        <v>224.47961306175614</v>
      </c>
      <c r="AB899" s="6">
        <f>$K$899*$V$899</f>
        <v>0</v>
      </c>
      <c r="AC899" s="6">
        <f>$M$899*$W$899</f>
        <v>-153223.23733999999</v>
      </c>
      <c r="AD899" s="6">
        <f>$O$899*$X$899</f>
        <v>-38229.555930000002</v>
      </c>
      <c r="AE899" s="6">
        <f>$K$899*$Y$899</f>
        <v>0</v>
      </c>
      <c r="AF899" s="6">
        <f ca="1">$M$899*$Z$899</f>
        <v>-176337.61135747988</v>
      </c>
      <c r="AG899" s="6">
        <f>$O$899*$AA$899</f>
        <v>-79615.510925773866</v>
      </c>
    </row>
    <row r="900" spans="1:33" ht="11.25" customHeight="1" x14ac:dyDescent="0.25">
      <c r="A900" s="4" t="s">
        <v>28</v>
      </c>
      <c r="B900" s="4" t="s">
        <v>37</v>
      </c>
      <c r="C900" s="4" t="s">
        <v>23</v>
      </c>
      <c r="D900" s="4" t="s">
        <v>44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44621</v>
      </c>
      <c r="J900" s="6">
        <v>0</v>
      </c>
      <c r="K900" s="6">
        <v>0</v>
      </c>
      <c r="L900" s="6">
        <v>276.12</v>
      </c>
      <c r="M900" s="6">
        <v>276.12</v>
      </c>
      <c r="N900" s="6">
        <v>276.12</v>
      </c>
      <c r="O900" s="6">
        <v>276.12</v>
      </c>
      <c r="P900" s="6">
        <v>220</v>
      </c>
      <c r="Q900" s="4" t="s">
        <v>26</v>
      </c>
      <c r="R900" s="4">
        <v>0</v>
      </c>
      <c r="S900" s="6">
        <v>0</v>
      </c>
      <c r="T900" s="6">
        <v>66</v>
      </c>
      <c r="U900" s="6">
        <v>3</v>
      </c>
      <c r="V900" s="6">
        <f>IF(ISERROR(VLOOKUP($S$900,'TAR FIN'!$A$1:$O$108,15,0)),0,VLOOKUP($S$900,'TAR FIN'!$A$1:$O$108,15,0))</f>
        <v>0</v>
      </c>
      <c r="W900" s="6">
        <f>IF(ISERROR(VLOOKUP($T$900,'TAR FIN'!$A$1:$O$108,15,0)),0,VLOOKUP($T$900,'TAR FIN'!$A$1:$O$108,15,0))</f>
        <v>432.02</v>
      </c>
      <c r="X900" s="6">
        <f>IF(ISERROR(VLOOKUP($U$900,'TAR FIN'!$A$1:$O$108,15,0)),0,VLOOKUP($U$900,'TAR FIN'!$A$1:$O$108,15,0))</f>
        <v>107.79</v>
      </c>
      <c r="Y900" s="6"/>
      <c r="Z900" s="6">
        <f ca="1">('TUSD BE'!$AM$64+'TUSD BF'!$AM$64+'TUSD CVA'!$AM$64)*1</f>
        <v>497.19204594021971</v>
      </c>
      <c r="AA900" s="6">
        <f>('TE BE'!$AB$44+'TE BF'!$AB$44+'TE CVA'!$AB$44)*1</f>
        <v>224.47961306175614</v>
      </c>
      <c r="AB900" s="6">
        <f>$K$900*$V$900</f>
        <v>0</v>
      </c>
      <c r="AC900" s="6">
        <f>$M$900*$W$900</f>
        <v>119289.3624</v>
      </c>
      <c r="AD900" s="6">
        <f>$O$900*$X$900</f>
        <v>29762.974800000004</v>
      </c>
      <c r="AE900" s="6">
        <f>$K$900*$Y$900</f>
        <v>0</v>
      </c>
      <c r="AF900" s="6">
        <f ca="1">$M$900*$Z$900</f>
        <v>137284.66772501348</v>
      </c>
      <c r="AG900" s="6">
        <f>$O$900*$AA$900</f>
        <v>61983.310758612104</v>
      </c>
    </row>
    <row r="901" spans="1:33" ht="11.25" customHeight="1" x14ac:dyDescent="0.25">
      <c r="A901" s="4" t="s">
        <v>21</v>
      </c>
      <c r="B901" s="4" t="s">
        <v>37</v>
      </c>
      <c r="C901" s="4" t="s">
        <v>23</v>
      </c>
      <c r="D901" s="4" t="s">
        <v>44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44652</v>
      </c>
      <c r="J901" s="6">
        <v>0</v>
      </c>
      <c r="K901" s="6">
        <v>0</v>
      </c>
      <c r="L901" s="6">
        <v>9965.0439999999999</v>
      </c>
      <c r="M901" s="6">
        <v>9965.0439999999999</v>
      </c>
      <c r="N901" s="6">
        <v>9965.0439999999999</v>
      </c>
      <c r="O901" s="6">
        <v>9965.0439999999999</v>
      </c>
      <c r="P901" s="6">
        <v>15115</v>
      </c>
      <c r="Q901" s="4" t="s">
        <v>26</v>
      </c>
      <c r="R901" s="4">
        <v>0</v>
      </c>
      <c r="S901" s="6">
        <v>0</v>
      </c>
      <c r="T901" s="6">
        <v>66</v>
      </c>
      <c r="U901" s="6">
        <v>3</v>
      </c>
      <c r="V901" s="6">
        <f>IF(ISERROR(VLOOKUP($S$901,'TAR FIN'!$A$1:$O$108,15,0)),0,VLOOKUP($S$901,'TAR FIN'!$A$1:$O$108,15,0))</f>
        <v>0</v>
      </c>
      <c r="W901" s="6">
        <f>IF(ISERROR(VLOOKUP($T$901,'TAR FIN'!$A$1:$O$108,15,0)),0,VLOOKUP($T$901,'TAR FIN'!$A$1:$O$108,15,0))</f>
        <v>432.02</v>
      </c>
      <c r="X901" s="6">
        <f>IF(ISERROR(VLOOKUP($U$901,'TAR FIN'!$A$1:$O$108,15,0)),0,VLOOKUP($U$901,'TAR FIN'!$A$1:$O$108,15,0))</f>
        <v>107.79</v>
      </c>
      <c r="Y901" s="6"/>
      <c r="Z901" s="6">
        <f ca="1">('TUSD BE'!$AM$64+'TUSD BF'!$AM$64+'TUSD CVA'!$AM$64)*1</f>
        <v>497.19204594021971</v>
      </c>
      <c r="AA901" s="6">
        <f>('TE BE'!$AB$44+'TE BF'!$AB$44+'TE CVA'!$AB$44)*1</f>
        <v>224.47961306175614</v>
      </c>
      <c r="AB901" s="6">
        <f>$K$901*$V$901</f>
        <v>0</v>
      </c>
      <c r="AC901" s="6">
        <f>$M$901*$W$901</f>
        <v>4305098.3088799994</v>
      </c>
      <c r="AD901" s="6">
        <f>$O$901*$X$901</f>
        <v>1074132.0927600001</v>
      </c>
      <c r="AE901" s="6">
        <f>$K$901*$Y$901</f>
        <v>0</v>
      </c>
      <c r="AF901" s="6">
        <f ca="1">$M$901*$Z$901</f>
        <v>4954540.6142443111</v>
      </c>
      <c r="AG901" s="6">
        <f>$O$901*$AA$901</f>
        <v>2236949.2212633747</v>
      </c>
    </row>
    <row r="902" spans="1:33" ht="11.25" customHeight="1" x14ac:dyDescent="0.25">
      <c r="A902" s="4" t="s">
        <v>27</v>
      </c>
      <c r="B902" s="4" t="s">
        <v>37</v>
      </c>
      <c r="C902" s="4" t="s">
        <v>23</v>
      </c>
      <c r="D902" s="4" t="s">
        <v>44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44652</v>
      </c>
      <c r="J902" s="6">
        <v>0</v>
      </c>
      <c r="K902" s="6">
        <v>0</v>
      </c>
      <c r="L902" s="6">
        <v>-436.42399999999998</v>
      </c>
      <c r="M902" s="6">
        <v>-436.42399999999998</v>
      </c>
      <c r="N902" s="6">
        <v>-436.42399999999998</v>
      </c>
      <c r="O902" s="6">
        <v>-436.42399999999998</v>
      </c>
      <c r="P902" s="6">
        <v>-565</v>
      </c>
      <c r="Q902" s="4" t="s">
        <v>26</v>
      </c>
      <c r="R902" s="4">
        <v>0</v>
      </c>
      <c r="S902" s="6">
        <v>0</v>
      </c>
      <c r="T902" s="6">
        <v>66</v>
      </c>
      <c r="U902" s="6">
        <v>3</v>
      </c>
      <c r="V902" s="6">
        <f>IF(ISERROR(VLOOKUP($S$902,'TAR FIN'!$A$1:$O$108,15,0)),0,VLOOKUP($S$902,'TAR FIN'!$A$1:$O$108,15,0))</f>
        <v>0</v>
      </c>
      <c r="W902" s="6">
        <f>IF(ISERROR(VLOOKUP($T$902,'TAR FIN'!$A$1:$O$108,15,0)),0,VLOOKUP($T$902,'TAR FIN'!$A$1:$O$108,15,0))</f>
        <v>432.02</v>
      </c>
      <c r="X902" s="6">
        <f>IF(ISERROR(VLOOKUP($U$902,'TAR FIN'!$A$1:$O$108,15,0)),0,VLOOKUP($U$902,'TAR FIN'!$A$1:$O$108,15,0))</f>
        <v>107.79</v>
      </c>
      <c r="Y902" s="6"/>
      <c r="Z902" s="6">
        <f ca="1">('TUSD BE'!$AM$64+'TUSD BF'!$AM$64+'TUSD CVA'!$AM$64)*1</f>
        <v>497.19204594021971</v>
      </c>
      <c r="AA902" s="6">
        <f>('TE BE'!$AB$44+'TE BF'!$AB$44+'TE CVA'!$AB$44)*1</f>
        <v>224.47961306175614</v>
      </c>
      <c r="AB902" s="6">
        <f>$K$902*$V$902</f>
        <v>0</v>
      </c>
      <c r="AC902" s="6">
        <f>$M$902*$W$902</f>
        <v>-188543.89648</v>
      </c>
      <c r="AD902" s="6">
        <f>$O$902*$X$902</f>
        <v>-47042.142959999997</v>
      </c>
      <c r="AE902" s="6">
        <f>$K$902*$Y$902</f>
        <v>0</v>
      </c>
      <c r="AF902" s="6">
        <f ca="1">$M$902*$Z$902</f>
        <v>-216986.54145741442</v>
      </c>
      <c r="AG902" s="6">
        <f>$O$902*$AA$902</f>
        <v>-97968.290650863855</v>
      </c>
    </row>
    <row r="903" spans="1:33" ht="11.25" customHeight="1" x14ac:dyDescent="0.25">
      <c r="A903" s="4" t="s">
        <v>28</v>
      </c>
      <c r="B903" s="4" t="s">
        <v>37</v>
      </c>
      <c r="C903" s="4" t="s">
        <v>23</v>
      </c>
      <c r="D903" s="4" t="s">
        <v>44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44652</v>
      </c>
      <c r="J903" s="6">
        <v>0</v>
      </c>
      <c r="K903" s="6">
        <v>0</v>
      </c>
      <c r="L903" s="6">
        <v>299.40699999999998</v>
      </c>
      <c r="M903" s="6">
        <v>299.40699999999998</v>
      </c>
      <c r="N903" s="6">
        <v>299.40699999999998</v>
      </c>
      <c r="O903" s="6">
        <v>299.40699999999998</v>
      </c>
      <c r="P903" s="6">
        <v>234</v>
      </c>
      <c r="Q903" s="4" t="s">
        <v>26</v>
      </c>
      <c r="R903" s="4">
        <v>0</v>
      </c>
      <c r="S903" s="6">
        <v>0</v>
      </c>
      <c r="T903" s="6">
        <v>66</v>
      </c>
      <c r="U903" s="6">
        <v>3</v>
      </c>
      <c r="V903" s="6">
        <f>IF(ISERROR(VLOOKUP($S$903,'TAR FIN'!$A$1:$O$108,15,0)),0,VLOOKUP($S$903,'TAR FIN'!$A$1:$O$108,15,0))</f>
        <v>0</v>
      </c>
      <c r="W903" s="6">
        <f>IF(ISERROR(VLOOKUP($T$903,'TAR FIN'!$A$1:$O$108,15,0)),0,VLOOKUP($T$903,'TAR FIN'!$A$1:$O$108,15,0))</f>
        <v>432.02</v>
      </c>
      <c r="X903" s="6">
        <f>IF(ISERROR(VLOOKUP($U$903,'TAR FIN'!$A$1:$O$108,15,0)),0,VLOOKUP($U$903,'TAR FIN'!$A$1:$O$108,15,0))</f>
        <v>107.79</v>
      </c>
      <c r="Y903" s="6"/>
      <c r="Z903" s="6">
        <f ca="1">('TUSD BE'!$AM$64+'TUSD BF'!$AM$64+'TUSD CVA'!$AM$64)*1</f>
        <v>497.19204594021971</v>
      </c>
      <c r="AA903" s="6">
        <f>('TE BE'!$AB$44+'TE BF'!$AB$44+'TE CVA'!$AB$44)*1</f>
        <v>224.47961306175614</v>
      </c>
      <c r="AB903" s="6">
        <f>$K$903*$V$903</f>
        <v>0</v>
      </c>
      <c r="AC903" s="6">
        <f>$M$903*$W$903</f>
        <v>129349.81213999998</v>
      </c>
      <c r="AD903" s="6">
        <f>$O$903*$X$903</f>
        <v>32273.080529999999</v>
      </c>
      <c r="AE903" s="6">
        <f>$K$903*$Y$903</f>
        <v>0</v>
      </c>
      <c r="AF903" s="6">
        <f ca="1">$M$903*$Z$903</f>
        <v>148862.77889882337</v>
      </c>
      <c r="AG903" s="6">
        <f>$O$903*$AA$903</f>
        <v>67210.767507981218</v>
      </c>
    </row>
    <row r="904" spans="1:33" ht="11.25" customHeight="1" x14ac:dyDescent="0.25">
      <c r="A904" s="4" t="s">
        <v>28</v>
      </c>
      <c r="B904" s="4" t="s">
        <v>37</v>
      </c>
      <c r="C904" s="4" t="s">
        <v>23</v>
      </c>
      <c r="D904" s="4" t="s">
        <v>44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44652</v>
      </c>
      <c r="J904" s="6">
        <v>0</v>
      </c>
      <c r="K904" s="6">
        <v>0</v>
      </c>
      <c r="L904" s="6">
        <v>-4.76</v>
      </c>
      <c r="M904" s="6">
        <v>-4.76</v>
      </c>
      <c r="N904" s="6">
        <v>-4.76</v>
      </c>
      <c r="O904" s="6">
        <v>-4.76</v>
      </c>
      <c r="P904" s="6">
        <v>0</v>
      </c>
      <c r="Q904" s="4" t="s">
        <v>26</v>
      </c>
      <c r="R904" s="4">
        <v>0</v>
      </c>
      <c r="S904" s="6">
        <v>0</v>
      </c>
      <c r="T904" s="6">
        <v>66</v>
      </c>
      <c r="U904" s="6">
        <v>3</v>
      </c>
      <c r="V904" s="6">
        <f>IF(ISERROR(VLOOKUP($S$904,'TAR FIN'!$A$1:$O$108,15,0)),0,VLOOKUP($S$904,'TAR FIN'!$A$1:$O$108,15,0))</f>
        <v>0</v>
      </c>
      <c r="W904" s="6">
        <f>IF(ISERROR(VLOOKUP($T$904,'TAR FIN'!$A$1:$O$108,15,0)),0,VLOOKUP($T$904,'TAR FIN'!$A$1:$O$108,15,0))</f>
        <v>432.02</v>
      </c>
      <c r="X904" s="6">
        <f>IF(ISERROR(VLOOKUP($U$904,'TAR FIN'!$A$1:$O$108,15,0)),0,VLOOKUP($U$904,'TAR FIN'!$A$1:$O$108,15,0))</f>
        <v>107.79</v>
      </c>
      <c r="Y904" s="6"/>
      <c r="Z904" s="6">
        <f ca="1">('TUSD BE'!$AM$64+'TUSD BF'!$AM$64+'TUSD CVA'!$AM$64)*1</f>
        <v>497.19204594021971</v>
      </c>
      <c r="AA904" s="6">
        <f>('TE BE'!$AB$44+'TE BF'!$AB$44+'TE CVA'!$AB$44)*1</f>
        <v>224.47961306175614</v>
      </c>
      <c r="AB904" s="6">
        <f>$K$904*$V$904</f>
        <v>0</v>
      </c>
      <c r="AC904" s="6">
        <f>$M$904*$W$904</f>
        <v>-2056.4151999999999</v>
      </c>
      <c r="AD904" s="6">
        <f>$O$904*$X$904</f>
        <v>-513.08040000000005</v>
      </c>
      <c r="AE904" s="6">
        <f>$K$904*$Y$904</f>
        <v>0</v>
      </c>
      <c r="AF904" s="6">
        <f ca="1">$M$904*$Z$904</f>
        <v>-2366.6341386754457</v>
      </c>
      <c r="AG904" s="6">
        <f>$O$904*$AA$904</f>
        <v>-1068.5229581739591</v>
      </c>
    </row>
    <row r="905" spans="1:33" ht="11.25" customHeight="1" x14ac:dyDescent="0.25">
      <c r="A905" s="4" t="s">
        <v>21</v>
      </c>
      <c r="B905" s="4" t="s">
        <v>37</v>
      </c>
      <c r="C905" s="4" t="s">
        <v>23</v>
      </c>
      <c r="D905" s="4" t="s">
        <v>44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44682</v>
      </c>
      <c r="J905" s="6">
        <v>0</v>
      </c>
      <c r="K905" s="6">
        <v>0</v>
      </c>
      <c r="L905" s="6">
        <v>11080.031999999999</v>
      </c>
      <c r="M905" s="6">
        <v>11080.031999999999</v>
      </c>
      <c r="N905" s="6">
        <v>11080.031999999999</v>
      </c>
      <c r="O905" s="6">
        <v>11080.031999999999</v>
      </c>
      <c r="P905" s="6">
        <v>15159</v>
      </c>
      <c r="Q905" s="4" t="s">
        <v>26</v>
      </c>
      <c r="R905" s="4">
        <v>0</v>
      </c>
      <c r="S905" s="6">
        <v>0</v>
      </c>
      <c r="T905" s="6">
        <v>66</v>
      </c>
      <c r="U905" s="6">
        <v>3</v>
      </c>
      <c r="V905" s="6">
        <f>IF(ISERROR(VLOOKUP($S$905,'TAR FIN'!$A$1:$O$108,15,0)),0,VLOOKUP($S$905,'TAR FIN'!$A$1:$O$108,15,0))</f>
        <v>0</v>
      </c>
      <c r="W905" s="6">
        <f>IF(ISERROR(VLOOKUP($T$905,'TAR FIN'!$A$1:$O$108,15,0)),0,VLOOKUP($T$905,'TAR FIN'!$A$1:$O$108,15,0))</f>
        <v>432.02</v>
      </c>
      <c r="X905" s="6">
        <f>IF(ISERROR(VLOOKUP($U$905,'TAR FIN'!$A$1:$O$108,15,0)),0,VLOOKUP($U$905,'TAR FIN'!$A$1:$O$108,15,0))</f>
        <v>107.79</v>
      </c>
      <c r="Y905" s="6"/>
      <c r="Z905" s="6">
        <f ca="1">('TUSD BE'!$AM$64+'TUSD BF'!$AM$64+'TUSD CVA'!$AM$64)*1</f>
        <v>497.19204594021971</v>
      </c>
      <c r="AA905" s="6">
        <f>('TE BE'!$AB$44+'TE BF'!$AB$44+'TE CVA'!$AB$44)*1</f>
        <v>224.47961306175614</v>
      </c>
      <c r="AB905" s="6">
        <f>$K$905*$V$905</f>
        <v>0</v>
      </c>
      <c r="AC905" s="6">
        <f>$M$905*$W$905</f>
        <v>4786795.4246399999</v>
      </c>
      <c r="AD905" s="6">
        <f>$O$905*$X$905</f>
        <v>1194316.64928</v>
      </c>
      <c r="AE905" s="6">
        <f>$K$905*$Y$905</f>
        <v>0</v>
      </c>
      <c r="AF905" s="6">
        <f ca="1">$M$905*$Z$905</f>
        <v>5508903.7791631045</v>
      </c>
      <c r="AG905" s="6">
        <f>$O$905*$AA$905</f>
        <v>2487241.2960718758</v>
      </c>
    </row>
    <row r="906" spans="1:33" ht="11.25" customHeight="1" x14ac:dyDescent="0.25">
      <c r="A906" s="4" t="s">
        <v>27</v>
      </c>
      <c r="B906" s="4" t="s">
        <v>37</v>
      </c>
      <c r="C906" s="4" t="s">
        <v>23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-594.08399999999995</v>
      </c>
      <c r="M906" s="6">
        <v>-594.08399999999995</v>
      </c>
      <c r="N906" s="6">
        <v>-594.08399999999995</v>
      </c>
      <c r="O906" s="6">
        <v>-594.08399999999995</v>
      </c>
      <c r="P906" s="6">
        <v>-243</v>
      </c>
      <c r="Q906" s="4" t="s">
        <v>26</v>
      </c>
      <c r="R906" s="4">
        <v>0</v>
      </c>
      <c r="S906" s="6">
        <v>0</v>
      </c>
      <c r="T906" s="6">
        <v>66</v>
      </c>
      <c r="U906" s="6">
        <v>3</v>
      </c>
      <c r="V906" s="6">
        <f>IF(ISERROR(VLOOKUP($S$906,'TAR FIN'!$A$1:$O$108,15,0)),0,VLOOKUP($S$906,'TAR FIN'!$A$1:$O$108,15,0))</f>
        <v>0</v>
      </c>
      <c r="W906" s="6">
        <f>IF(ISERROR(VLOOKUP($T$906,'TAR FIN'!$A$1:$O$108,15,0)),0,VLOOKUP($T$906,'TAR FIN'!$A$1:$O$108,15,0))</f>
        <v>432.02</v>
      </c>
      <c r="X906" s="6">
        <f>IF(ISERROR(VLOOKUP($U$906,'TAR FIN'!$A$1:$O$108,15,0)),0,VLOOKUP($U$906,'TAR FIN'!$A$1:$O$108,15,0))</f>
        <v>107.79</v>
      </c>
      <c r="Y906" s="6"/>
      <c r="Z906" s="6">
        <f ca="1">('TUSD BE'!$AM$64+'TUSD BF'!$AM$64+'TUSD CVA'!$AM$64)*1</f>
        <v>497.19204594021971</v>
      </c>
      <c r="AA906" s="6">
        <f>('TE BE'!$AB$44+'TE BF'!$AB$44+'TE CVA'!$AB$44)*1</f>
        <v>224.47961306175614</v>
      </c>
      <c r="AB906" s="6">
        <f>$K$906*$V$906</f>
        <v>0</v>
      </c>
      <c r="AC906" s="6">
        <f>$M$906*$W$906</f>
        <v>-256656.16967999996</v>
      </c>
      <c r="AD906" s="6">
        <f>$O$906*$X$906</f>
        <v>-64036.314359999997</v>
      </c>
      <c r="AE906" s="6">
        <f>$K$906*$Y$906</f>
        <v>0</v>
      </c>
      <c r="AF906" s="6">
        <f ca="1">$M$906*$Z$906</f>
        <v>-295373.83942034945</v>
      </c>
      <c r="AG906" s="6">
        <f>$O$906*$AA$906</f>
        <v>-133359.74644618033</v>
      </c>
    </row>
    <row r="907" spans="1:33" ht="11.25" customHeight="1" x14ac:dyDescent="0.25">
      <c r="A907" s="4" t="s">
        <v>28</v>
      </c>
      <c r="B907" s="4" t="s">
        <v>37</v>
      </c>
      <c r="C907" s="4" t="s">
        <v>23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314.38299999999998</v>
      </c>
      <c r="M907" s="6">
        <v>314.38299999999998</v>
      </c>
      <c r="N907" s="6">
        <v>314.38299999999998</v>
      </c>
      <c r="O907" s="6">
        <v>314.38299999999998</v>
      </c>
      <c r="P907" s="6">
        <v>249</v>
      </c>
      <c r="Q907" s="4" t="s">
        <v>26</v>
      </c>
      <c r="R907" s="4">
        <v>0</v>
      </c>
      <c r="S907" s="6">
        <v>0</v>
      </c>
      <c r="T907" s="6">
        <v>66</v>
      </c>
      <c r="U907" s="6">
        <v>3</v>
      </c>
      <c r="V907" s="6">
        <f>IF(ISERROR(VLOOKUP($S$907,'TAR FIN'!$A$1:$O$108,15,0)),0,VLOOKUP($S$907,'TAR FIN'!$A$1:$O$108,15,0))</f>
        <v>0</v>
      </c>
      <c r="W907" s="6">
        <f>IF(ISERROR(VLOOKUP($T$907,'TAR FIN'!$A$1:$O$108,15,0)),0,VLOOKUP($T$907,'TAR FIN'!$A$1:$O$108,15,0))</f>
        <v>432.02</v>
      </c>
      <c r="X907" s="6">
        <f>IF(ISERROR(VLOOKUP($U$907,'TAR FIN'!$A$1:$O$108,15,0)),0,VLOOKUP($U$907,'TAR FIN'!$A$1:$O$108,15,0))</f>
        <v>107.79</v>
      </c>
      <c r="Y907" s="6"/>
      <c r="Z907" s="6">
        <f ca="1">('TUSD BE'!$AM$64+'TUSD BF'!$AM$64+'TUSD CVA'!$AM$64)*1</f>
        <v>497.19204594021971</v>
      </c>
      <c r="AA907" s="6">
        <f>('TE BE'!$AB$44+'TE BF'!$AB$44+'TE CVA'!$AB$44)*1</f>
        <v>224.47961306175614</v>
      </c>
      <c r="AB907" s="6">
        <f>$K$907*$V$907</f>
        <v>0</v>
      </c>
      <c r="AC907" s="6">
        <f>$M$907*$W$907</f>
        <v>135819.74365999998</v>
      </c>
      <c r="AD907" s="6">
        <f>$O$907*$X$907</f>
        <v>33887.343569999997</v>
      </c>
      <c r="AE907" s="6">
        <f>$K$907*$Y$907</f>
        <v>0</v>
      </c>
      <c r="AF907" s="6">
        <f ca="1">$M$907*$Z$907</f>
        <v>156308.7269788241</v>
      </c>
      <c r="AG907" s="6">
        <f>$O$907*$AA$907</f>
        <v>70572.574193194072</v>
      </c>
    </row>
    <row r="908" spans="1:33" ht="11.25" customHeight="1" x14ac:dyDescent="0.25">
      <c r="A908" s="4" t="s">
        <v>28</v>
      </c>
      <c r="B908" s="4" t="s">
        <v>37</v>
      </c>
      <c r="C908" s="4" t="s">
        <v>23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44682</v>
      </c>
      <c r="J908" s="6">
        <v>0</v>
      </c>
      <c r="K908" s="6">
        <v>0</v>
      </c>
      <c r="L908" s="6">
        <v>-18</v>
      </c>
      <c r="M908" s="6">
        <v>-18</v>
      </c>
      <c r="N908" s="6">
        <v>-18</v>
      </c>
      <c r="O908" s="6">
        <v>-18</v>
      </c>
      <c r="P908" s="6">
        <v>0</v>
      </c>
      <c r="Q908" s="4" t="s">
        <v>26</v>
      </c>
      <c r="R908" s="4">
        <v>0</v>
      </c>
      <c r="S908" s="6">
        <v>0</v>
      </c>
      <c r="T908" s="6">
        <v>66</v>
      </c>
      <c r="U908" s="6">
        <v>3</v>
      </c>
      <c r="V908" s="6">
        <f>IF(ISERROR(VLOOKUP($S$908,'TAR FIN'!$A$1:$O$108,15,0)),0,VLOOKUP($S$908,'TAR FIN'!$A$1:$O$108,15,0))</f>
        <v>0</v>
      </c>
      <c r="W908" s="6">
        <f>IF(ISERROR(VLOOKUP($T$908,'TAR FIN'!$A$1:$O$108,15,0)),0,VLOOKUP($T$908,'TAR FIN'!$A$1:$O$108,15,0))</f>
        <v>432.02</v>
      </c>
      <c r="X908" s="6">
        <f>IF(ISERROR(VLOOKUP($U$908,'TAR FIN'!$A$1:$O$108,15,0)),0,VLOOKUP($U$908,'TAR FIN'!$A$1:$O$108,15,0))</f>
        <v>107.79</v>
      </c>
      <c r="Y908" s="6"/>
      <c r="Z908" s="6">
        <f ca="1">('TUSD BE'!$AM$64+'TUSD BF'!$AM$64+'TUSD CVA'!$AM$64)*1</f>
        <v>497.19204594021971</v>
      </c>
      <c r="AA908" s="6">
        <f>('TE BE'!$AB$44+'TE BF'!$AB$44+'TE CVA'!$AB$44)*1</f>
        <v>224.47961306175614</v>
      </c>
      <c r="AB908" s="6">
        <f>$K$908*$V$908</f>
        <v>0</v>
      </c>
      <c r="AC908" s="6">
        <f>$M$908*$W$908</f>
        <v>-7776.36</v>
      </c>
      <c r="AD908" s="6">
        <f>$O$908*$X$908</f>
        <v>-1940.22</v>
      </c>
      <c r="AE908" s="6">
        <f>$K$908*$Y$908</f>
        <v>0</v>
      </c>
      <c r="AF908" s="6">
        <f ca="1">$M$908*$Z$908</f>
        <v>-8949.4568269239553</v>
      </c>
      <c r="AG908" s="6">
        <f>$O$908*$AA$908</f>
        <v>-4040.6330351116103</v>
      </c>
    </row>
    <row r="909" spans="1:33" ht="11.25" customHeight="1" x14ac:dyDescent="0.25">
      <c r="A909" s="4" t="s">
        <v>21</v>
      </c>
      <c r="B909" s="4" t="s">
        <v>37</v>
      </c>
      <c r="C909" s="4" t="s">
        <v>23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44713</v>
      </c>
      <c r="J909" s="6">
        <v>0</v>
      </c>
      <c r="K909" s="6">
        <v>0</v>
      </c>
      <c r="L909" s="6">
        <v>11374.653</v>
      </c>
      <c r="M909" s="6">
        <v>11374.653</v>
      </c>
      <c r="N909" s="6">
        <v>11374.653</v>
      </c>
      <c r="O909" s="6">
        <v>11374.653</v>
      </c>
      <c r="P909" s="6">
        <v>15252</v>
      </c>
      <c r="Q909" s="4" t="s">
        <v>26</v>
      </c>
      <c r="R909" s="4">
        <v>0</v>
      </c>
      <c r="S909" s="6">
        <v>0</v>
      </c>
      <c r="T909" s="6">
        <v>66</v>
      </c>
      <c r="U909" s="6">
        <v>3</v>
      </c>
      <c r="V909" s="6">
        <f>IF(ISERROR(VLOOKUP($S$909,'TAR FIN'!$A$1:$O$108,15,0)),0,VLOOKUP($S$909,'TAR FIN'!$A$1:$O$108,15,0))</f>
        <v>0</v>
      </c>
      <c r="W909" s="6">
        <f>IF(ISERROR(VLOOKUP($T$909,'TAR FIN'!$A$1:$O$108,15,0)),0,VLOOKUP($T$909,'TAR FIN'!$A$1:$O$108,15,0))</f>
        <v>432.02</v>
      </c>
      <c r="X909" s="6">
        <f>IF(ISERROR(VLOOKUP($U$909,'TAR FIN'!$A$1:$O$108,15,0)),0,VLOOKUP($U$909,'TAR FIN'!$A$1:$O$108,15,0))</f>
        <v>107.79</v>
      </c>
      <c r="Y909" s="6"/>
      <c r="Z909" s="6">
        <f ca="1">('TUSD BE'!$AM$64+'TUSD BF'!$AM$64+'TUSD CVA'!$AM$64)*1</f>
        <v>497.19204594021971</v>
      </c>
      <c r="AA909" s="6">
        <f>('TE BE'!$AB$44+'TE BF'!$AB$44+'TE CVA'!$AB$44)*1</f>
        <v>224.47961306175614</v>
      </c>
      <c r="AB909" s="6">
        <f>$K$909*$V$909</f>
        <v>0</v>
      </c>
      <c r="AC909" s="6">
        <f>$M$909*$W$909</f>
        <v>4914077.5890600001</v>
      </c>
      <c r="AD909" s="6">
        <f>$O$909*$X$909</f>
        <v>1226073.84687</v>
      </c>
      <c r="AE909" s="6">
        <f>$K$909*$Y$909</f>
        <v>0</v>
      </c>
      <c r="AF909" s="6">
        <f ca="1">$M$909*$Z$909</f>
        <v>5655386.9969300581</v>
      </c>
      <c r="AG909" s="6">
        <f>$O$909*$AA$909</f>
        <v>2553377.7041517436</v>
      </c>
    </row>
    <row r="910" spans="1:33" ht="11.25" customHeight="1" x14ac:dyDescent="0.25">
      <c r="A910" s="4" t="s">
        <v>27</v>
      </c>
      <c r="B910" s="4" t="s">
        <v>37</v>
      </c>
      <c r="C910" s="4" t="s">
        <v>23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44713</v>
      </c>
      <c r="J910" s="6">
        <v>0</v>
      </c>
      <c r="K910" s="6">
        <v>0</v>
      </c>
      <c r="L910" s="6">
        <v>-116.081</v>
      </c>
      <c r="M910" s="6">
        <v>-116.081</v>
      </c>
      <c r="N910" s="6">
        <v>-116.081</v>
      </c>
      <c r="O910" s="6">
        <v>-116.081</v>
      </c>
      <c r="P910" s="6">
        <v>-174</v>
      </c>
      <c r="Q910" s="4" t="s">
        <v>26</v>
      </c>
      <c r="R910" s="4">
        <v>0</v>
      </c>
      <c r="S910" s="6">
        <v>0</v>
      </c>
      <c r="T910" s="6">
        <v>66</v>
      </c>
      <c r="U910" s="6">
        <v>3</v>
      </c>
      <c r="V910" s="6">
        <f>IF(ISERROR(VLOOKUP($S$910,'TAR FIN'!$A$1:$O$108,15,0)),0,VLOOKUP($S$910,'TAR FIN'!$A$1:$O$108,15,0))</f>
        <v>0</v>
      </c>
      <c r="W910" s="6">
        <f>IF(ISERROR(VLOOKUP($T$910,'TAR FIN'!$A$1:$O$108,15,0)),0,VLOOKUP($T$910,'TAR FIN'!$A$1:$O$108,15,0))</f>
        <v>432.02</v>
      </c>
      <c r="X910" s="6">
        <f>IF(ISERROR(VLOOKUP($U$910,'TAR FIN'!$A$1:$O$108,15,0)),0,VLOOKUP($U$910,'TAR FIN'!$A$1:$O$108,15,0))</f>
        <v>107.79</v>
      </c>
      <c r="Y910" s="6"/>
      <c r="Z910" s="6">
        <f ca="1">('TUSD BE'!$AM$64+'TUSD BF'!$AM$64+'TUSD CVA'!$AM$64)*1</f>
        <v>497.19204594021971</v>
      </c>
      <c r="AA910" s="6">
        <f>('TE BE'!$AB$44+'TE BF'!$AB$44+'TE CVA'!$AB$44)*1</f>
        <v>224.47961306175614</v>
      </c>
      <c r="AB910" s="6">
        <f>$K$910*$V$910</f>
        <v>0</v>
      </c>
      <c r="AC910" s="6">
        <f>$M$910*$W$910</f>
        <v>-50149.313620000001</v>
      </c>
      <c r="AD910" s="6">
        <f>$O$910*$X$910</f>
        <v>-12512.370990000001</v>
      </c>
      <c r="AE910" s="6">
        <f>$K$910*$Y$910</f>
        <v>0</v>
      </c>
      <c r="AF910" s="6">
        <f ca="1">$M$910*$Z$910</f>
        <v>-57714.549884786647</v>
      </c>
      <c r="AG910" s="6">
        <f>$O$910*$AA$910</f>
        <v>-26057.817963821715</v>
      </c>
    </row>
    <row r="911" spans="1:33" ht="11.25" customHeight="1" x14ac:dyDescent="0.25">
      <c r="A911" s="4" t="s">
        <v>28</v>
      </c>
      <c r="B911" s="4" t="s">
        <v>37</v>
      </c>
      <c r="C911" s="4" t="s">
        <v>23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44713</v>
      </c>
      <c r="J911" s="6">
        <v>0</v>
      </c>
      <c r="K911" s="6">
        <v>0</v>
      </c>
      <c r="L911" s="6">
        <v>355.75099999999998</v>
      </c>
      <c r="M911" s="6">
        <v>355.75099999999998</v>
      </c>
      <c r="N911" s="6">
        <v>355.75099999999998</v>
      </c>
      <c r="O911" s="6">
        <v>355.75099999999998</v>
      </c>
      <c r="P911" s="6">
        <v>257</v>
      </c>
      <c r="Q911" s="4" t="s">
        <v>26</v>
      </c>
      <c r="R911" s="4">
        <v>0</v>
      </c>
      <c r="S911" s="6">
        <v>0</v>
      </c>
      <c r="T911" s="6">
        <v>66</v>
      </c>
      <c r="U911" s="6">
        <v>3</v>
      </c>
      <c r="V911" s="6">
        <f>IF(ISERROR(VLOOKUP($S$911,'TAR FIN'!$A$1:$O$108,15,0)),0,VLOOKUP($S$911,'TAR FIN'!$A$1:$O$108,15,0))</f>
        <v>0</v>
      </c>
      <c r="W911" s="6">
        <f>IF(ISERROR(VLOOKUP($T$911,'TAR FIN'!$A$1:$O$108,15,0)),0,VLOOKUP($T$911,'TAR FIN'!$A$1:$O$108,15,0))</f>
        <v>432.02</v>
      </c>
      <c r="X911" s="6">
        <f>IF(ISERROR(VLOOKUP($U$911,'TAR FIN'!$A$1:$O$108,15,0)),0,VLOOKUP($U$911,'TAR FIN'!$A$1:$O$108,15,0))</f>
        <v>107.79</v>
      </c>
      <c r="Y911" s="6"/>
      <c r="Z911" s="6">
        <f ca="1">('TUSD BE'!$AM$64+'TUSD BF'!$AM$64+'TUSD CVA'!$AM$64)*1</f>
        <v>497.19204594021971</v>
      </c>
      <c r="AA911" s="6">
        <f>('TE BE'!$AB$44+'TE BF'!$AB$44+'TE CVA'!$AB$44)*1</f>
        <v>224.47961306175614</v>
      </c>
      <c r="AB911" s="6">
        <f>$K$911*$V$911</f>
        <v>0</v>
      </c>
      <c r="AC911" s="6">
        <f>$M$911*$W$911</f>
        <v>153691.54701999997</v>
      </c>
      <c r="AD911" s="6">
        <f>$O$911*$X$911</f>
        <v>38346.400289999998</v>
      </c>
      <c r="AE911" s="6">
        <f>$K$911*$Y$911</f>
        <v>0</v>
      </c>
      <c r="AF911" s="6">
        <f ca="1">$M$911*$Z$911</f>
        <v>176876.56753527909</v>
      </c>
      <c r="AG911" s="6">
        <f>$O$911*$AA$911</f>
        <v>79858.84682633281</v>
      </c>
    </row>
    <row r="912" spans="1:33" ht="11.25" customHeight="1" x14ac:dyDescent="0.25">
      <c r="A912" s="4" t="s">
        <v>21</v>
      </c>
      <c r="B912" s="4" t="s">
        <v>37</v>
      </c>
      <c r="C912" s="4" t="s">
        <v>23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44743</v>
      </c>
      <c r="J912" s="6">
        <v>0</v>
      </c>
      <c r="K912" s="6">
        <v>0</v>
      </c>
      <c r="L912" s="6">
        <v>10852.985000000001</v>
      </c>
      <c r="M912" s="6">
        <v>10852.985000000001</v>
      </c>
      <c r="N912" s="6">
        <v>10852.985000000001</v>
      </c>
      <c r="O912" s="6">
        <v>10852.985000000001</v>
      </c>
      <c r="P912" s="6">
        <v>15212</v>
      </c>
      <c r="Q912" s="4" t="s">
        <v>26</v>
      </c>
      <c r="R912" s="4">
        <v>0</v>
      </c>
      <c r="S912" s="6">
        <v>0</v>
      </c>
      <c r="T912" s="6">
        <v>66</v>
      </c>
      <c r="U912" s="6">
        <v>3</v>
      </c>
      <c r="V912" s="6">
        <f>IF(ISERROR(VLOOKUP($S$912,'TAR FIN'!$A$1:$O$108,15,0)),0,VLOOKUP($S$912,'TAR FIN'!$A$1:$O$108,15,0))</f>
        <v>0</v>
      </c>
      <c r="W912" s="6">
        <f>IF(ISERROR(VLOOKUP($T$912,'TAR FIN'!$A$1:$O$108,15,0)),0,VLOOKUP($T$912,'TAR FIN'!$A$1:$O$108,15,0))</f>
        <v>432.02</v>
      </c>
      <c r="X912" s="6">
        <f>IF(ISERROR(VLOOKUP($U$912,'TAR FIN'!$A$1:$O$108,15,0)),0,VLOOKUP($U$912,'TAR FIN'!$A$1:$O$108,15,0))</f>
        <v>107.79</v>
      </c>
      <c r="Y912" s="6"/>
      <c r="Z912" s="6">
        <f ca="1">('TUSD BE'!$AM$64+'TUSD BF'!$AM$64+'TUSD CVA'!$AM$64)*1</f>
        <v>497.19204594021971</v>
      </c>
      <c r="AA912" s="6">
        <f>('TE BE'!$AB$44+'TE BF'!$AB$44+'TE CVA'!$AB$44)*1</f>
        <v>224.47961306175614</v>
      </c>
      <c r="AB912" s="6">
        <f>$K$912*$V$912</f>
        <v>0</v>
      </c>
      <c r="AC912" s="6">
        <f>$M$912*$W$912</f>
        <v>4688706.5796999997</v>
      </c>
      <c r="AD912" s="6">
        <f>$O$912*$X$912</f>
        <v>1169843.2531500002</v>
      </c>
      <c r="AE912" s="6">
        <f>$K$912*$Y$912</f>
        <v>0</v>
      </c>
      <c r="AF912" s="6">
        <f ca="1">$M$912*$Z$912</f>
        <v>5396017.8167085154</v>
      </c>
      <c r="AG912" s="6">
        <f>$O$912*$AA$912</f>
        <v>2436273.8733650437</v>
      </c>
    </row>
    <row r="913" spans="1:33" ht="11.25" customHeight="1" x14ac:dyDescent="0.25">
      <c r="A913" s="4" t="s">
        <v>27</v>
      </c>
      <c r="B913" s="4" t="s">
        <v>37</v>
      </c>
      <c r="C913" s="4" t="s">
        <v>23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44743</v>
      </c>
      <c r="J913" s="6">
        <v>0</v>
      </c>
      <c r="K913" s="6">
        <v>0</v>
      </c>
      <c r="L913" s="6">
        <v>-307.89299999999997</v>
      </c>
      <c r="M913" s="6">
        <v>-307.89299999999997</v>
      </c>
      <c r="N913" s="6">
        <v>-307.89299999999997</v>
      </c>
      <c r="O913" s="6">
        <v>-307.89299999999997</v>
      </c>
      <c r="P913" s="6">
        <v>-616</v>
      </c>
      <c r="Q913" s="4" t="s">
        <v>26</v>
      </c>
      <c r="R913" s="4">
        <v>0</v>
      </c>
      <c r="S913" s="6">
        <v>0</v>
      </c>
      <c r="T913" s="6">
        <v>66</v>
      </c>
      <c r="U913" s="6">
        <v>3</v>
      </c>
      <c r="V913" s="6">
        <f>IF(ISERROR(VLOOKUP($S$913,'TAR FIN'!$A$1:$O$108,15,0)),0,VLOOKUP($S$913,'TAR FIN'!$A$1:$O$108,15,0))</f>
        <v>0</v>
      </c>
      <c r="W913" s="6">
        <f>IF(ISERROR(VLOOKUP($T$913,'TAR FIN'!$A$1:$O$108,15,0)),0,VLOOKUP($T$913,'TAR FIN'!$A$1:$O$108,15,0))</f>
        <v>432.02</v>
      </c>
      <c r="X913" s="6">
        <f>IF(ISERROR(VLOOKUP($U$913,'TAR FIN'!$A$1:$O$108,15,0)),0,VLOOKUP($U$913,'TAR FIN'!$A$1:$O$108,15,0))</f>
        <v>107.79</v>
      </c>
      <c r="Y913" s="6"/>
      <c r="Z913" s="6">
        <f ca="1">('TUSD BE'!$AM$64+'TUSD BF'!$AM$64+'TUSD CVA'!$AM$64)*1</f>
        <v>497.19204594021971</v>
      </c>
      <c r="AA913" s="6">
        <f>('TE BE'!$AB$44+'TE BF'!$AB$44+'TE CVA'!$AB$44)*1</f>
        <v>224.47961306175614</v>
      </c>
      <c r="AB913" s="6">
        <f>$K$913*$V$913</f>
        <v>0</v>
      </c>
      <c r="AC913" s="6">
        <f>$M$913*$W$913</f>
        <v>-133015.93385999999</v>
      </c>
      <c r="AD913" s="6">
        <f>$O$913*$X$913</f>
        <v>-33187.786469999999</v>
      </c>
      <c r="AE913" s="6">
        <f>$K$913*$Y$913</f>
        <v>0</v>
      </c>
      <c r="AF913" s="6">
        <f ca="1">$M$913*$Z$913</f>
        <v>-153081.95060067205</v>
      </c>
      <c r="AG913" s="6">
        <f>$O$913*$AA$913</f>
        <v>-69115.701504423283</v>
      </c>
    </row>
    <row r="914" spans="1:33" ht="11.25" customHeight="1" x14ac:dyDescent="0.25">
      <c r="A914" s="4" t="s">
        <v>28</v>
      </c>
      <c r="B914" s="4" t="s">
        <v>37</v>
      </c>
      <c r="C914" s="4" t="s">
        <v>23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44743</v>
      </c>
      <c r="J914" s="6">
        <v>0</v>
      </c>
      <c r="K914" s="6">
        <v>0</v>
      </c>
      <c r="L914" s="6">
        <v>311.613</v>
      </c>
      <c r="M914" s="6">
        <v>311.613</v>
      </c>
      <c r="N914" s="6">
        <v>311.613</v>
      </c>
      <c r="O914" s="6">
        <v>311.613</v>
      </c>
      <c r="P914" s="6">
        <v>265</v>
      </c>
      <c r="Q914" s="4" t="s">
        <v>26</v>
      </c>
      <c r="R914" s="4">
        <v>0</v>
      </c>
      <c r="S914" s="6">
        <v>0</v>
      </c>
      <c r="T914" s="6">
        <v>66</v>
      </c>
      <c r="U914" s="6">
        <v>3</v>
      </c>
      <c r="V914" s="6">
        <f>IF(ISERROR(VLOOKUP($S$914,'TAR FIN'!$A$1:$O$108,15,0)),0,VLOOKUP($S$914,'TAR FIN'!$A$1:$O$108,15,0))</f>
        <v>0</v>
      </c>
      <c r="W914" s="6">
        <f>IF(ISERROR(VLOOKUP($T$914,'TAR FIN'!$A$1:$O$108,15,0)),0,VLOOKUP($T$914,'TAR FIN'!$A$1:$O$108,15,0))</f>
        <v>432.02</v>
      </c>
      <c r="X914" s="6">
        <f>IF(ISERROR(VLOOKUP($U$914,'TAR FIN'!$A$1:$O$108,15,0)),0,VLOOKUP($U$914,'TAR FIN'!$A$1:$O$108,15,0))</f>
        <v>107.79</v>
      </c>
      <c r="Y914" s="6"/>
      <c r="Z914" s="6">
        <f ca="1">('TUSD BE'!$AM$64+'TUSD BF'!$AM$64+'TUSD CVA'!$AM$64)*1</f>
        <v>497.19204594021971</v>
      </c>
      <c r="AA914" s="6">
        <f>('TE BE'!$AB$44+'TE BF'!$AB$44+'TE CVA'!$AB$44)*1</f>
        <v>224.47961306175614</v>
      </c>
      <c r="AB914" s="6">
        <f>$K$914*$V$914</f>
        <v>0</v>
      </c>
      <c r="AC914" s="6">
        <f>$M$914*$W$914</f>
        <v>134623.04825999998</v>
      </c>
      <c r="AD914" s="6">
        <f>$O$914*$X$914</f>
        <v>33588.765270000004</v>
      </c>
      <c r="AE914" s="6">
        <f>$K$914*$Y$914</f>
        <v>0</v>
      </c>
      <c r="AF914" s="6">
        <f ca="1">$M$914*$Z$914</f>
        <v>154931.50501156968</v>
      </c>
      <c r="AG914" s="6">
        <f>$O$914*$AA$914</f>
        <v>69950.765665013023</v>
      </c>
    </row>
    <row r="915" spans="1:33" ht="11.25" customHeight="1" x14ac:dyDescent="0.25">
      <c r="A915" s="4" t="s">
        <v>21</v>
      </c>
      <c r="B915" s="4" t="s">
        <v>37</v>
      </c>
      <c r="C915" s="4" t="s">
        <v>23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44774</v>
      </c>
      <c r="J915" s="6">
        <v>0</v>
      </c>
      <c r="K915" s="6">
        <v>0</v>
      </c>
      <c r="L915" s="6">
        <v>11725.965</v>
      </c>
      <c r="M915" s="6">
        <v>11725.965</v>
      </c>
      <c r="N915" s="6">
        <v>11725.965</v>
      </c>
      <c r="O915" s="6">
        <v>11725.965</v>
      </c>
      <c r="P915" s="6">
        <v>15661</v>
      </c>
      <c r="Q915" s="4" t="s">
        <v>26</v>
      </c>
      <c r="R915" s="4">
        <v>0</v>
      </c>
      <c r="S915" s="6">
        <v>0</v>
      </c>
      <c r="T915" s="6">
        <v>66</v>
      </c>
      <c r="U915" s="6">
        <v>3</v>
      </c>
      <c r="V915" s="6">
        <f>IF(ISERROR(VLOOKUP($S$915,'TAR FIN'!$A$1:$O$108,15,0)),0,VLOOKUP($S$915,'TAR FIN'!$A$1:$O$108,15,0))</f>
        <v>0</v>
      </c>
      <c r="W915" s="6">
        <f>IF(ISERROR(VLOOKUP($T$915,'TAR FIN'!$A$1:$O$108,15,0)),0,VLOOKUP($T$915,'TAR FIN'!$A$1:$O$108,15,0))</f>
        <v>432.02</v>
      </c>
      <c r="X915" s="6">
        <f>IF(ISERROR(VLOOKUP($U$915,'TAR FIN'!$A$1:$O$108,15,0)),0,VLOOKUP($U$915,'TAR FIN'!$A$1:$O$108,15,0))</f>
        <v>107.79</v>
      </c>
      <c r="Y915" s="6"/>
      <c r="Z915" s="6">
        <f ca="1">('TUSD BE'!$AM$64+'TUSD BF'!$AM$64+'TUSD CVA'!$AM$64)*1</f>
        <v>497.19204594021971</v>
      </c>
      <c r="AA915" s="6">
        <f>('TE BE'!$AB$44+'TE BF'!$AB$44+'TE CVA'!$AB$44)*1</f>
        <v>224.47961306175614</v>
      </c>
      <c r="AB915" s="6">
        <f>$K$915*$V$915</f>
        <v>0</v>
      </c>
      <c r="AC915" s="6">
        <f>$M$915*$W$915</f>
        <v>5065851.3992999997</v>
      </c>
      <c r="AD915" s="6">
        <f>$O$915*$X$915</f>
        <v>1263941.7673500001</v>
      </c>
      <c r="AE915" s="6">
        <f>$K$915*$Y$915</f>
        <v>0</v>
      </c>
      <c r="AF915" s="6">
        <f ca="1">$M$915*$Z$915</f>
        <v>5830056.528973409</v>
      </c>
      <c r="AG915" s="6">
        <f>$O$915*$AA$915</f>
        <v>2632240.0859756954</v>
      </c>
    </row>
    <row r="916" spans="1:33" ht="11.25" customHeight="1" x14ac:dyDescent="0.25">
      <c r="A916" s="4" t="s">
        <v>27</v>
      </c>
      <c r="B916" s="4" t="s">
        <v>37</v>
      </c>
      <c r="C916" s="4" t="s">
        <v>23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44774</v>
      </c>
      <c r="J916" s="6">
        <v>0</v>
      </c>
      <c r="K916" s="6">
        <v>0</v>
      </c>
      <c r="L916" s="6">
        <v>-287.28500000000003</v>
      </c>
      <c r="M916" s="6">
        <v>-287.28500000000003</v>
      </c>
      <c r="N916" s="6">
        <v>-287.28500000000003</v>
      </c>
      <c r="O916" s="6">
        <v>-287.28500000000003</v>
      </c>
      <c r="P916" s="6">
        <v>-334</v>
      </c>
      <c r="Q916" s="4" t="s">
        <v>26</v>
      </c>
      <c r="R916" s="4">
        <v>0</v>
      </c>
      <c r="S916" s="6">
        <v>0</v>
      </c>
      <c r="T916" s="6">
        <v>66</v>
      </c>
      <c r="U916" s="6">
        <v>3</v>
      </c>
      <c r="V916" s="6">
        <f>IF(ISERROR(VLOOKUP($S$916,'TAR FIN'!$A$1:$O$108,15,0)),0,VLOOKUP($S$916,'TAR FIN'!$A$1:$O$108,15,0))</f>
        <v>0</v>
      </c>
      <c r="W916" s="6">
        <f>IF(ISERROR(VLOOKUP($T$916,'TAR FIN'!$A$1:$O$108,15,0)),0,VLOOKUP($T$916,'TAR FIN'!$A$1:$O$108,15,0))</f>
        <v>432.02</v>
      </c>
      <c r="X916" s="6">
        <f>IF(ISERROR(VLOOKUP($U$916,'TAR FIN'!$A$1:$O$108,15,0)),0,VLOOKUP($U$916,'TAR FIN'!$A$1:$O$108,15,0))</f>
        <v>107.79</v>
      </c>
      <c r="Y916" s="6"/>
      <c r="Z916" s="6">
        <f ca="1">('TUSD BE'!$AM$64+'TUSD BF'!$AM$64+'TUSD CVA'!$AM$64)*1</f>
        <v>497.19204594021971</v>
      </c>
      <c r="AA916" s="6">
        <f>('TE BE'!$AB$44+'TE BF'!$AB$44+'TE CVA'!$AB$44)*1</f>
        <v>224.47961306175614</v>
      </c>
      <c r="AB916" s="6">
        <f>$K$916*$V$916</f>
        <v>0</v>
      </c>
      <c r="AC916" s="6">
        <f>$M$916*$W$916</f>
        <v>-124112.86570000001</v>
      </c>
      <c r="AD916" s="6">
        <f>$O$916*$X$916</f>
        <v>-30966.450150000004</v>
      </c>
      <c r="AE916" s="6">
        <f>$K$916*$Y$916</f>
        <v>0</v>
      </c>
      <c r="AF916" s="6">
        <f ca="1">$M$916*$Z$916</f>
        <v>-142835.81691793603</v>
      </c>
      <c r="AG916" s="6">
        <f>$O$916*$AA$916</f>
        <v>-64489.625638446618</v>
      </c>
    </row>
    <row r="917" spans="1:33" ht="11.25" customHeight="1" x14ac:dyDescent="0.25">
      <c r="A917" s="4" t="s">
        <v>28</v>
      </c>
      <c r="B917" s="4" t="s">
        <v>37</v>
      </c>
      <c r="C917" s="4" t="s">
        <v>23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44774</v>
      </c>
      <c r="J917" s="6">
        <v>0</v>
      </c>
      <c r="K917" s="6">
        <v>0</v>
      </c>
      <c r="L917" s="6">
        <v>357.03899999999999</v>
      </c>
      <c r="M917" s="6">
        <v>357.03899999999999</v>
      </c>
      <c r="N917" s="6">
        <v>357.03899999999999</v>
      </c>
      <c r="O917" s="6">
        <v>357.03899999999999</v>
      </c>
      <c r="P917" s="6">
        <v>277</v>
      </c>
      <c r="Q917" s="4" t="s">
        <v>26</v>
      </c>
      <c r="R917" s="4">
        <v>0</v>
      </c>
      <c r="S917" s="6">
        <v>0</v>
      </c>
      <c r="T917" s="6">
        <v>66</v>
      </c>
      <c r="U917" s="6">
        <v>3</v>
      </c>
      <c r="V917" s="6">
        <f>IF(ISERROR(VLOOKUP($S$917,'TAR FIN'!$A$1:$O$108,15,0)),0,VLOOKUP($S$917,'TAR FIN'!$A$1:$O$108,15,0))</f>
        <v>0</v>
      </c>
      <c r="W917" s="6">
        <f>IF(ISERROR(VLOOKUP($T$917,'TAR FIN'!$A$1:$O$108,15,0)),0,VLOOKUP($T$917,'TAR FIN'!$A$1:$O$108,15,0))</f>
        <v>432.02</v>
      </c>
      <c r="X917" s="6">
        <f>IF(ISERROR(VLOOKUP($U$917,'TAR FIN'!$A$1:$O$108,15,0)),0,VLOOKUP($U$917,'TAR FIN'!$A$1:$O$108,15,0))</f>
        <v>107.79</v>
      </c>
      <c r="Y917" s="6"/>
      <c r="Z917" s="6">
        <f ca="1">('TUSD BE'!$AM$64+'TUSD BF'!$AM$64+'TUSD CVA'!$AM$64)*1</f>
        <v>497.19204594021971</v>
      </c>
      <c r="AA917" s="6">
        <f>('TE BE'!$AB$44+'TE BF'!$AB$44+'TE CVA'!$AB$44)*1</f>
        <v>224.47961306175614</v>
      </c>
      <c r="AB917" s="6">
        <f>$K$917*$V$917</f>
        <v>0</v>
      </c>
      <c r="AC917" s="6">
        <f>$M$917*$W$917</f>
        <v>154247.98877999999</v>
      </c>
      <c r="AD917" s="6">
        <f>$O$917*$X$917</f>
        <v>38485.233809999998</v>
      </c>
      <c r="AE917" s="6">
        <f>$K$917*$Y$917</f>
        <v>0</v>
      </c>
      <c r="AF917" s="6">
        <f ca="1">$M$917*$Z$917</f>
        <v>177516.9508904501</v>
      </c>
      <c r="AG917" s="6">
        <f>$O$917*$AA$917</f>
        <v>80147.976567956342</v>
      </c>
    </row>
    <row r="918" spans="1:33" ht="11.25" customHeight="1" x14ac:dyDescent="0.25">
      <c r="A918" s="4" t="s">
        <v>21</v>
      </c>
      <c r="B918" s="4" t="s">
        <v>37</v>
      </c>
      <c r="C918" s="4" t="s">
        <v>23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44805</v>
      </c>
      <c r="J918" s="6">
        <v>0</v>
      </c>
      <c r="K918" s="6">
        <v>0</v>
      </c>
      <c r="L918" s="6">
        <v>12587.894</v>
      </c>
      <c r="M918" s="6">
        <v>12587.894</v>
      </c>
      <c r="N918" s="6">
        <v>12587.894</v>
      </c>
      <c r="O918" s="6">
        <v>12587.894</v>
      </c>
      <c r="P918" s="6">
        <v>14906</v>
      </c>
      <c r="Q918" s="4" t="s">
        <v>26</v>
      </c>
      <c r="R918" s="4">
        <v>0</v>
      </c>
      <c r="S918" s="6">
        <v>0</v>
      </c>
      <c r="T918" s="6">
        <v>66</v>
      </c>
      <c r="U918" s="6">
        <v>3</v>
      </c>
      <c r="V918" s="6">
        <f>IF(ISERROR(VLOOKUP($S$918,'TAR FIN'!$A$1:$O$108,15,0)),0,VLOOKUP($S$918,'TAR FIN'!$A$1:$O$108,15,0))</f>
        <v>0</v>
      </c>
      <c r="W918" s="6">
        <f>IF(ISERROR(VLOOKUP($T$918,'TAR FIN'!$A$1:$O$108,15,0)),0,VLOOKUP($T$918,'TAR FIN'!$A$1:$O$108,15,0))</f>
        <v>432.02</v>
      </c>
      <c r="X918" s="6">
        <f>IF(ISERROR(VLOOKUP($U$918,'TAR FIN'!$A$1:$O$108,15,0)),0,VLOOKUP($U$918,'TAR FIN'!$A$1:$O$108,15,0))</f>
        <v>107.79</v>
      </c>
      <c r="Y918" s="6"/>
      <c r="Z918" s="6">
        <f ca="1">('TUSD BE'!$AM$64+'TUSD BF'!$AM$64+'TUSD CVA'!$AM$64)*1</f>
        <v>497.19204594021971</v>
      </c>
      <c r="AA918" s="6">
        <f>('TE BE'!$AB$44+'TE BF'!$AB$44+'TE CVA'!$AB$44)*1</f>
        <v>224.47961306175614</v>
      </c>
      <c r="AB918" s="6">
        <f>$K$918*$V$918</f>
        <v>0</v>
      </c>
      <c r="AC918" s="6">
        <f>$M$918*$W$918</f>
        <v>5438221.96588</v>
      </c>
      <c r="AD918" s="6">
        <f>$O$918*$X$918</f>
        <v>1356849.0942600002</v>
      </c>
      <c r="AE918" s="6">
        <f>$K$918*$Y$918</f>
        <v>0</v>
      </c>
      <c r="AF918" s="6">
        <f ca="1">$M$918*$Z$918</f>
        <v>6258600.7719386164</v>
      </c>
      <c r="AG918" s="6">
        <f>$O$918*$AA$918</f>
        <v>2825725.574382402</v>
      </c>
    </row>
    <row r="919" spans="1:33" ht="11.25" customHeight="1" x14ac:dyDescent="0.25">
      <c r="A919" s="4" t="s">
        <v>27</v>
      </c>
      <c r="B919" s="4" t="s">
        <v>37</v>
      </c>
      <c r="C919" s="4" t="s">
        <v>23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44805</v>
      </c>
      <c r="J919" s="6">
        <v>0</v>
      </c>
      <c r="K919" s="6">
        <v>0</v>
      </c>
      <c r="L919" s="6">
        <v>-358.16300000000001</v>
      </c>
      <c r="M919" s="6">
        <v>-358.16300000000001</v>
      </c>
      <c r="N919" s="6">
        <v>-358.16300000000001</v>
      </c>
      <c r="O919" s="6">
        <v>-358.16300000000001</v>
      </c>
      <c r="P919" s="6">
        <v>-1091</v>
      </c>
      <c r="Q919" s="4" t="s">
        <v>26</v>
      </c>
      <c r="R919" s="4">
        <v>0</v>
      </c>
      <c r="S919" s="6">
        <v>0</v>
      </c>
      <c r="T919" s="6">
        <v>66</v>
      </c>
      <c r="U919" s="6">
        <v>3</v>
      </c>
      <c r="V919" s="6">
        <f>IF(ISERROR(VLOOKUP($S$919,'TAR FIN'!$A$1:$O$108,15,0)),0,VLOOKUP($S$919,'TAR FIN'!$A$1:$O$108,15,0))</f>
        <v>0</v>
      </c>
      <c r="W919" s="6">
        <f>IF(ISERROR(VLOOKUP($T$919,'TAR FIN'!$A$1:$O$108,15,0)),0,VLOOKUP($T$919,'TAR FIN'!$A$1:$O$108,15,0))</f>
        <v>432.02</v>
      </c>
      <c r="X919" s="6">
        <f>IF(ISERROR(VLOOKUP($U$919,'TAR FIN'!$A$1:$O$108,15,0)),0,VLOOKUP($U$919,'TAR FIN'!$A$1:$O$108,15,0))</f>
        <v>107.79</v>
      </c>
      <c r="Y919" s="6"/>
      <c r="Z919" s="6">
        <f ca="1">('TUSD BE'!$AM$64+'TUSD BF'!$AM$64+'TUSD CVA'!$AM$64)*1</f>
        <v>497.19204594021971</v>
      </c>
      <c r="AA919" s="6">
        <f>('TE BE'!$AB$44+'TE BF'!$AB$44+'TE CVA'!$AB$44)*1</f>
        <v>224.47961306175614</v>
      </c>
      <c r="AB919" s="6">
        <f>$K$919*$V$919</f>
        <v>0</v>
      </c>
      <c r="AC919" s="6">
        <f>$M$919*$W$919</f>
        <v>-154733.57926</v>
      </c>
      <c r="AD919" s="6">
        <f>$O$919*$X$919</f>
        <v>-38606.389770000002</v>
      </c>
      <c r="AE919" s="6">
        <f>$K$919*$Y$919</f>
        <v>0</v>
      </c>
      <c r="AF919" s="6">
        <f ca="1">$M$919*$Z$919</f>
        <v>-178075.7947500869</v>
      </c>
      <c r="AG919" s="6">
        <f>$O$919*$AA$919</f>
        <v>-80400.29165303777</v>
      </c>
    </row>
    <row r="920" spans="1:33" ht="11.25" customHeight="1" x14ac:dyDescent="0.25">
      <c r="A920" s="4" t="s">
        <v>28</v>
      </c>
      <c r="B920" s="4" t="s">
        <v>37</v>
      </c>
      <c r="C920" s="4" t="s">
        <v>23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44805</v>
      </c>
      <c r="J920" s="6">
        <v>0</v>
      </c>
      <c r="K920" s="6">
        <v>0</v>
      </c>
      <c r="L920" s="6">
        <v>366.21499999999997</v>
      </c>
      <c r="M920" s="6">
        <v>366.21499999999997</v>
      </c>
      <c r="N920" s="6">
        <v>366.21499999999997</v>
      </c>
      <c r="O920" s="6">
        <v>366.21499999999997</v>
      </c>
      <c r="P920" s="6">
        <v>281</v>
      </c>
      <c r="Q920" s="4" t="s">
        <v>26</v>
      </c>
      <c r="R920" s="4">
        <v>0</v>
      </c>
      <c r="S920" s="6">
        <v>0</v>
      </c>
      <c r="T920" s="6">
        <v>66</v>
      </c>
      <c r="U920" s="6">
        <v>3</v>
      </c>
      <c r="V920" s="6">
        <f>IF(ISERROR(VLOOKUP($S$920,'TAR FIN'!$A$1:$O$108,15,0)),0,VLOOKUP($S$920,'TAR FIN'!$A$1:$O$108,15,0))</f>
        <v>0</v>
      </c>
      <c r="W920" s="6">
        <f>IF(ISERROR(VLOOKUP($T$920,'TAR FIN'!$A$1:$O$108,15,0)),0,VLOOKUP($T$920,'TAR FIN'!$A$1:$O$108,15,0))</f>
        <v>432.02</v>
      </c>
      <c r="X920" s="6">
        <f>IF(ISERROR(VLOOKUP($U$920,'TAR FIN'!$A$1:$O$108,15,0)),0,VLOOKUP($U$920,'TAR FIN'!$A$1:$O$108,15,0))</f>
        <v>107.79</v>
      </c>
      <c r="Y920" s="6"/>
      <c r="Z920" s="6">
        <f ca="1">('TUSD BE'!$AM$64+'TUSD BF'!$AM$64+'TUSD CVA'!$AM$64)*1</f>
        <v>497.19204594021971</v>
      </c>
      <c r="AA920" s="6">
        <f>('TE BE'!$AB$44+'TE BF'!$AB$44+'TE CVA'!$AB$44)*1</f>
        <v>224.47961306175614</v>
      </c>
      <c r="AB920" s="6">
        <f>$K$920*$V$920</f>
        <v>0</v>
      </c>
      <c r="AC920" s="6">
        <f>$M$920*$W$920</f>
        <v>158212.20429999998</v>
      </c>
      <c r="AD920" s="6">
        <f>$O$920*$X$920</f>
        <v>39474.314850000002</v>
      </c>
      <c r="AE920" s="6">
        <f>$K$920*$Y$920</f>
        <v>0</v>
      </c>
      <c r="AF920" s="6">
        <f ca="1">$M$920*$Z$920</f>
        <v>182079.18510399756</v>
      </c>
      <c r="AG920" s="6">
        <f>$O$920*$AA$920</f>
        <v>82207.801497411027</v>
      </c>
    </row>
    <row r="921" spans="1:33" ht="11.25" customHeight="1" x14ac:dyDescent="0.25">
      <c r="A921" s="4" t="s">
        <v>28</v>
      </c>
      <c r="B921" s="4" t="s">
        <v>37</v>
      </c>
      <c r="C921" s="4" t="s">
        <v>23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44805</v>
      </c>
      <c r="J921" s="6">
        <v>0</v>
      </c>
      <c r="K921" s="6">
        <v>0</v>
      </c>
      <c r="L921" s="6">
        <v>-0.1</v>
      </c>
      <c r="M921" s="6">
        <v>-0.1</v>
      </c>
      <c r="N921" s="6">
        <v>-0.1</v>
      </c>
      <c r="O921" s="6">
        <v>-0.1</v>
      </c>
      <c r="P921" s="6">
        <v>-2</v>
      </c>
      <c r="Q921" s="4" t="s">
        <v>26</v>
      </c>
      <c r="R921" s="4">
        <v>0</v>
      </c>
      <c r="S921" s="6">
        <v>0</v>
      </c>
      <c r="T921" s="6">
        <v>66</v>
      </c>
      <c r="U921" s="6">
        <v>3</v>
      </c>
      <c r="V921" s="6">
        <f>IF(ISERROR(VLOOKUP($S$921,'TAR FIN'!$A$1:$O$108,15,0)),0,VLOOKUP($S$921,'TAR FIN'!$A$1:$O$108,15,0))</f>
        <v>0</v>
      </c>
      <c r="W921" s="6">
        <f>IF(ISERROR(VLOOKUP($T$921,'TAR FIN'!$A$1:$O$108,15,0)),0,VLOOKUP($T$921,'TAR FIN'!$A$1:$O$108,15,0))</f>
        <v>432.02</v>
      </c>
      <c r="X921" s="6">
        <f>IF(ISERROR(VLOOKUP($U$921,'TAR FIN'!$A$1:$O$108,15,0)),0,VLOOKUP($U$921,'TAR FIN'!$A$1:$O$108,15,0))</f>
        <v>107.79</v>
      </c>
      <c r="Y921" s="6"/>
      <c r="Z921" s="6">
        <f ca="1">('TUSD BE'!$AM$64+'TUSD BF'!$AM$64+'TUSD CVA'!$AM$64)*1</f>
        <v>497.19204594021971</v>
      </c>
      <c r="AA921" s="6">
        <f>('TE BE'!$AB$44+'TE BF'!$AB$44+'TE CVA'!$AB$44)*1</f>
        <v>224.47961306175614</v>
      </c>
      <c r="AB921" s="6">
        <f>$K$921*$V$921</f>
        <v>0</v>
      </c>
      <c r="AC921" s="6">
        <f>$M$921*$W$921</f>
        <v>-43.201999999999998</v>
      </c>
      <c r="AD921" s="6">
        <f>$O$921*$X$921</f>
        <v>-10.779000000000002</v>
      </c>
      <c r="AE921" s="6">
        <f>$K$921*$Y$921</f>
        <v>0</v>
      </c>
      <c r="AF921" s="6">
        <f ca="1">$M$921*$Z$921</f>
        <v>-49.719204594021974</v>
      </c>
      <c r="AG921" s="6">
        <f>$O$921*$AA$921</f>
        <v>-22.447961306175614</v>
      </c>
    </row>
    <row r="922" spans="1:33" ht="11.25" customHeight="1" x14ac:dyDescent="0.25">
      <c r="A922" s="4" t="s">
        <v>21</v>
      </c>
      <c r="B922" s="4" t="s">
        <v>37</v>
      </c>
      <c r="C922" s="4" t="s">
        <v>23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44835</v>
      </c>
      <c r="J922" s="6">
        <v>0</v>
      </c>
      <c r="K922" s="6">
        <v>0</v>
      </c>
      <c r="L922" s="6">
        <v>13376.085999999999</v>
      </c>
      <c r="M922" s="6">
        <v>13376.085999999999</v>
      </c>
      <c r="N922" s="6">
        <v>13376.085999999999</v>
      </c>
      <c r="O922" s="6">
        <v>13376.085999999999</v>
      </c>
      <c r="P922" s="6">
        <v>15151</v>
      </c>
      <c r="Q922" s="4" t="s">
        <v>26</v>
      </c>
      <c r="R922" s="4">
        <v>0</v>
      </c>
      <c r="S922" s="6">
        <v>0</v>
      </c>
      <c r="T922" s="6">
        <v>66</v>
      </c>
      <c r="U922" s="6">
        <v>3</v>
      </c>
      <c r="V922" s="6">
        <f>IF(ISERROR(VLOOKUP($S$922,'TAR FIN'!$A$1:$O$108,15,0)),0,VLOOKUP($S$922,'TAR FIN'!$A$1:$O$108,15,0))</f>
        <v>0</v>
      </c>
      <c r="W922" s="6">
        <f>IF(ISERROR(VLOOKUP($T$922,'TAR FIN'!$A$1:$O$108,15,0)),0,VLOOKUP($T$922,'TAR FIN'!$A$1:$O$108,15,0))</f>
        <v>432.02</v>
      </c>
      <c r="X922" s="6">
        <f>IF(ISERROR(VLOOKUP($U$922,'TAR FIN'!$A$1:$O$108,15,0)),0,VLOOKUP($U$922,'TAR FIN'!$A$1:$O$108,15,0))</f>
        <v>107.79</v>
      </c>
      <c r="Y922" s="6"/>
      <c r="Z922" s="6">
        <f ca="1">('TUSD BE'!$AM$64+'TUSD BF'!$AM$64+'TUSD CVA'!$AM$64)*1</f>
        <v>497.19204594021971</v>
      </c>
      <c r="AA922" s="6">
        <f>('TE BE'!$AB$44+'TE BF'!$AB$44+'TE CVA'!$AB$44)*1</f>
        <v>224.47961306175614</v>
      </c>
      <c r="AB922" s="6">
        <f>$K$922*$V$922</f>
        <v>0</v>
      </c>
      <c r="AC922" s="6">
        <f>$M$922*$W$922</f>
        <v>5778736.6737199994</v>
      </c>
      <c r="AD922" s="6">
        <f>$O$922*$X$922</f>
        <v>1441808.3099400001</v>
      </c>
      <c r="AE922" s="6">
        <f>$K$922*$Y$922</f>
        <v>0</v>
      </c>
      <c r="AF922" s="6">
        <f ca="1">$M$922*$Z$922</f>
        <v>6650483.5650123293</v>
      </c>
      <c r="AG922" s="6">
        <f>$O$922*$AA$922</f>
        <v>3002658.6095607732</v>
      </c>
    </row>
    <row r="923" spans="1:33" ht="11.25" customHeight="1" x14ac:dyDescent="0.25">
      <c r="A923" s="4" t="s">
        <v>27</v>
      </c>
      <c r="B923" s="4" t="s">
        <v>37</v>
      </c>
      <c r="C923" s="4" t="s">
        <v>23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44835</v>
      </c>
      <c r="J923" s="6">
        <v>0</v>
      </c>
      <c r="K923" s="6">
        <v>0</v>
      </c>
      <c r="L923" s="6">
        <v>-476.08300000000003</v>
      </c>
      <c r="M923" s="6">
        <v>-476.08300000000003</v>
      </c>
      <c r="N923" s="6">
        <v>-476.08300000000003</v>
      </c>
      <c r="O923" s="6">
        <v>-476.08300000000003</v>
      </c>
      <c r="P923" s="6">
        <v>-223</v>
      </c>
      <c r="Q923" s="4" t="s">
        <v>26</v>
      </c>
      <c r="R923" s="4">
        <v>0</v>
      </c>
      <c r="S923" s="6">
        <v>0</v>
      </c>
      <c r="T923" s="6">
        <v>66</v>
      </c>
      <c r="U923" s="6">
        <v>3</v>
      </c>
      <c r="V923" s="6">
        <f>IF(ISERROR(VLOOKUP($S$923,'TAR FIN'!$A$1:$O$108,15,0)),0,VLOOKUP($S$923,'TAR FIN'!$A$1:$O$108,15,0))</f>
        <v>0</v>
      </c>
      <c r="W923" s="6">
        <f>IF(ISERROR(VLOOKUP($T$923,'TAR FIN'!$A$1:$O$108,15,0)),0,VLOOKUP($T$923,'TAR FIN'!$A$1:$O$108,15,0))</f>
        <v>432.02</v>
      </c>
      <c r="X923" s="6">
        <f>IF(ISERROR(VLOOKUP($U$923,'TAR FIN'!$A$1:$O$108,15,0)),0,VLOOKUP($U$923,'TAR FIN'!$A$1:$O$108,15,0))</f>
        <v>107.79</v>
      </c>
      <c r="Y923" s="6"/>
      <c r="Z923" s="6">
        <f ca="1">('TUSD BE'!$AM$64+'TUSD BF'!$AM$64+'TUSD CVA'!$AM$64)*1</f>
        <v>497.19204594021971</v>
      </c>
      <c r="AA923" s="6">
        <f>('TE BE'!$AB$44+'TE BF'!$AB$44+'TE CVA'!$AB$44)*1</f>
        <v>224.47961306175614</v>
      </c>
      <c r="AB923" s="6">
        <f>$K$923*$V$923</f>
        <v>0</v>
      </c>
      <c r="AC923" s="6">
        <f>$M$923*$W$923</f>
        <v>-205677.37766</v>
      </c>
      <c r="AD923" s="6">
        <f>$O$923*$X$923</f>
        <v>-51316.986570000008</v>
      </c>
      <c r="AE923" s="6">
        <f>$K$923*$Y$923</f>
        <v>0</v>
      </c>
      <c r="AF923" s="6">
        <f ca="1">$M$923*$Z$923</f>
        <v>-236704.68080735762</v>
      </c>
      <c r="AG923" s="6">
        <f>$O$923*$AA$923</f>
        <v>-106870.92762528005</v>
      </c>
    </row>
    <row r="924" spans="1:33" ht="11.25" customHeight="1" x14ac:dyDescent="0.25">
      <c r="A924" s="4" t="s">
        <v>28</v>
      </c>
      <c r="B924" s="4" t="s">
        <v>37</v>
      </c>
      <c r="C924" s="4" t="s">
        <v>23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44835</v>
      </c>
      <c r="J924" s="6">
        <v>0</v>
      </c>
      <c r="K924" s="6">
        <v>0</v>
      </c>
      <c r="L924" s="6">
        <v>363.98700000000002</v>
      </c>
      <c r="M924" s="6">
        <v>363.98700000000002</v>
      </c>
      <c r="N924" s="6">
        <v>363.98700000000002</v>
      </c>
      <c r="O924" s="6">
        <v>363.98700000000002</v>
      </c>
      <c r="P924" s="6">
        <v>294</v>
      </c>
      <c r="Q924" s="4" t="s">
        <v>26</v>
      </c>
      <c r="R924" s="4">
        <v>0</v>
      </c>
      <c r="S924" s="6">
        <v>0</v>
      </c>
      <c r="T924" s="6">
        <v>66</v>
      </c>
      <c r="U924" s="6">
        <v>3</v>
      </c>
      <c r="V924" s="6">
        <f>IF(ISERROR(VLOOKUP($S$924,'TAR FIN'!$A$1:$O$108,15,0)),0,VLOOKUP($S$924,'TAR FIN'!$A$1:$O$108,15,0))</f>
        <v>0</v>
      </c>
      <c r="W924" s="6">
        <f>IF(ISERROR(VLOOKUP($T$924,'TAR FIN'!$A$1:$O$108,15,0)),0,VLOOKUP($T$924,'TAR FIN'!$A$1:$O$108,15,0))</f>
        <v>432.02</v>
      </c>
      <c r="X924" s="6">
        <f>IF(ISERROR(VLOOKUP($U$924,'TAR FIN'!$A$1:$O$108,15,0)),0,VLOOKUP($U$924,'TAR FIN'!$A$1:$O$108,15,0))</f>
        <v>107.79</v>
      </c>
      <c r="Y924" s="6"/>
      <c r="Z924" s="6">
        <f ca="1">('TUSD BE'!$AM$64+'TUSD BF'!$AM$64+'TUSD CVA'!$AM$64)*1</f>
        <v>497.19204594021971</v>
      </c>
      <c r="AA924" s="6">
        <f>('TE BE'!$AB$44+'TE BF'!$AB$44+'TE CVA'!$AB$44)*1</f>
        <v>224.47961306175614</v>
      </c>
      <c r="AB924" s="6">
        <f>$K$924*$V$924</f>
        <v>0</v>
      </c>
      <c r="AC924" s="6">
        <f>$M$924*$W$924</f>
        <v>157249.66373999999</v>
      </c>
      <c r="AD924" s="6">
        <f>$O$924*$X$924</f>
        <v>39234.158730000003</v>
      </c>
      <c r="AE924" s="6">
        <f>$K$924*$Y$924</f>
        <v>0</v>
      </c>
      <c r="AF924" s="6">
        <f ca="1">$M$924*$Z$924</f>
        <v>180971.44122564277</v>
      </c>
      <c r="AG924" s="6">
        <f>$O$924*$AA$924</f>
        <v>81707.660919509435</v>
      </c>
    </row>
    <row r="925" spans="1:33" ht="11.25" customHeight="1" x14ac:dyDescent="0.25">
      <c r="A925" s="4" t="s">
        <v>54</v>
      </c>
      <c r="B925" s="4" t="s">
        <v>37</v>
      </c>
      <c r="C925" s="4" t="s">
        <v>23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44866</v>
      </c>
      <c r="J925" s="6">
        <v>0</v>
      </c>
      <c r="K925" s="6">
        <v>0</v>
      </c>
      <c r="L925" s="6">
        <v>13376.085999999999</v>
      </c>
      <c r="M925" s="6">
        <v>13376.085999999999</v>
      </c>
      <c r="N925" s="6">
        <v>13376.085999999999</v>
      </c>
      <c r="O925" s="6">
        <v>13376.085999999999</v>
      </c>
      <c r="P925" s="6">
        <v>15151</v>
      </c>
      <c r="Q925" s="4" t="s">
        <v>26</v>
      </c>
      <c r="R925" s="4">
        <v>0</v>
      </c>
      <c r="S925" s="6">
        <v>0</v>
      </c>
      <c r="T925" s="6">
        <v>66</v>
      </c>
      <c r="U925" s="6">
        <v>3</v>
      </c>
      <c r="V925" s="6">
        <f>IF(ISERROR(VLOOKUP($S$925,'TAR FIN'!$A$1:$O$108,15,0)),0,VLOOKUP($S$925,'TAR FIN'!$A$1:$O$108,15,0))</f>
        <v>0</v>
      </c>
      <c r="W925" s="6">
        <f>IF(ISERROR(VLOOKUP($T$925,'TAR FIN'!$A$1:$O$108,15,0)),0,VLOOKUP($T$925,'TAR FIN'!$A$1:$O$108,15,0))</f>
        <v>432.02</v>
      </c>
      <c r="X925" s="6">
        <f>IF(ISERROR(VLOOKUP($U$925,'TAR FIN'!$A$1:$O$108,15,0)),0,VLOOKUP($U$925,'TAR FIN'!$A$1:$O$108,15,0))</f>
        <v>107.79</v>
      </c>
      <c r="Y925" s="6"/>
      <c r="Z925" s="6">
        <f ca="1">('TUSD BE'!$AM$64+'TUSD BF'!$AM$64+'TUSD CVA'!$AM$64)*1</f>
        <v>497.19204594021971</v>
      </c>
      <c r="AA925" s="6">
        <f>('TE BE'!$AB$44+'TE BF'!$AB$44+'TE CVA'!$AB$44)*1</f>
        <v>224.47961306175614</v>
      </c>
      <c r="AB925" s="6">
        <f>$K$925*$V$925</f>
        <v>0</v>
      </c>
      <c r="AC925" s="6">
        <f>$M$925*$W$925</f>
        <v>5778736.6737199994</v>
      </c>
      <c r="AD925" s="6">
        <f>$O$925*$X$925</f>
        <v>1441808.3099400001</v>
      </c>
      <c r="AE925" s="6">
        <f>$K$925*$Y$925</f>
        <v>0</v>
      </c>
      <c r="AF925" s="6">
        <f ca="1">$M$925*$Z$925</f>
        <v>6650483.5650123293</v>
      </c>
      <c r="AG925" s="6">
        <f>$O$925*$AA$925</f>
        <v>3002658.6095607732</v>
      </c>
    </row>
    <row r="926" spans="1:33" ht="11.25" customHeight="1" x14ac:dyDescent="0.25">
      <c r="A926" s="4" t="s">
        <v>54</v>
      </c>
      <c r="B926" s="4" t="s">
        <v>37</v>
      </c>
      <c r="C926" s="4" t="s">
        <v>23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44866</v>
      </c>
      <c r="J926" s="6">
        <v>0</v>
      </c>
      <c r="K926" s="6">
        <v>0</v>
      </c>
      <c r="L926" s="6">
        <v>-476.08300000000003</v>
      </c>
      <c r="M926" s="6">
        <v>-476.08300000000003</v>
      </c>
      <c r="N926" s="6">
        <v>-476.08300000000003</v>
      </c>
      <c r="O926" s="6">
        <v>-476.08300000000003</v>
      </c>
      <c r="P926" s="6">
        <v>-223</v>
      </c>
      <c r="Q926" s="4" t="s">
        <v>26</v>
      </c>
      <c r="R926" s="4">
        <v>0</v>
      </c>
      <c r="S926" s="6">
        <v>0</v>
      </c>
      <c r="T926" s="6">
        <v>66</v>
      </c>
      <c r="U926" s="6">
        <v>3</v>
      </c>
      <c r="V926" s="6">
        <f>IF(ISERROR(VLOOKUP($S$926,'TAR FIN'!$A$1:$O$108,15,0)),0,VLOOKUP($S$926,'TAR FIN'!$A$1:$O$108,15,0))</f>
        <v>0</v>
      </c>
      <c r="W926" s="6">
        <f>IF(ISERROR(VLOOKUP($T$926,'TAR FIN'!$A$1:$O$108,15,0)),0,VLOOKUP($T$926,'TAR FIN'!$A$1:$O$108,15,0))</f>
        <v>432.02</v>
      </c>
      <c r="X926" s="6">
        <f>IF(ISERROR(VLOOKUP($U$926,'TAR FIN'!$A$1:$O$108,15,0)),0,VLOOKUP($U$926,'TAR FIN'!$A$1:$O$108,15,0))</f>
        <v>107.79</v>
      </c>
      <c r="Y926" s="6"/>
      <c r="Z926" s="6">
        <f ca="1">('TUSD BE'!$AM$64+'TUSD BF'!$AM$64+'TUSD CVA'!$AM$64)*1</f>
        <v>497.19204594021971</v>
      </c>
      <c r="AA926" s="6">
        <f>('TE BE'!$AB$44+'TE BF'!$AB$44+'TE CVA'!$AB$44)*1</f>
        <v>224.47961306175614</v>
      </c>
      <c r="AB926" s="6">
        <f>$K$926*$V$926</f>
        <v>0</v>
      </c>
      <c r="AC926" s="6">
        <f>$M$926*$W$926</f>
        <v>-205677.37766</v>
      </c>
      <c r="AD926" s="6">
        <f>$O$926*$X$926</f>
        <v>-51316.986570000008</v>
      </c>
      <c r="AE926" s="6">
        <f>$K$926*$Y$926</f>
        <v>0</v>
      </c>
      <c r="AF926" s="6">
        <f ca="1">$M$926*$Z$926</f>
        <v>-236704.68080735762</v>
      </c>
      <c r="AG926" s="6">
        <f>$O$926*$AA$926</f>
        <v>-106870.92762528005</v>
      </c>
    </row>
    <row r="927" spans="1:33" ht="11.25" customHeight="1" x14ac:dyDescent="0.25">
      <c r="A927" s="4" t="s">
        <v>54</v>
      </c>
      <c r="B927" s="4" t="s">
        <v>37</v>
      </c>
      <c r="C927" s="4" t="s">
        <v>23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44866</v>
      </c>
      <c r="J927" s="6">
        <v>0</v>
      </c>
      <c r="K927" s="6">
        <v>0</v>
      </c>
      <c r="L927" s="6">
        <v>363.98700000000002</v>
      </c>
      <c r="M927" s="6">
        <v>363.98700000000002</v>
      </c>
      <c r="N927" s="6">
        <v>363.98700000000002</v>
      </c>
      <c r="O927" s="6">
        <v>363.98700000000002</v>
      </c>
      <c r="P927" s="6">
        <v>294</v>
      </c>
      <c r="Q927" s="4" t="s">
        <v>26</v>
      </c>
      <c r="R927" s="4">
        <v>0</v>
      </c>
      <c r="S927" s="6">
        <v>0</v>
      </c>
      <c r="T927" s="6">
        <v>66</v>
      </c>
      <c r="U927" s="6">
        <v>3</v>
      </c>
      <c r="V927" s="6">
        <f>IF(ISERROR(VLOOKUP($S$927,'TAR FIN'!$A$1:$O$108,15,0)),0,VLOOKUP($S$927,'TAR FIN'!$A$1:$O$108,15,0))</f>
        <v>0</v>
      </c>
      <c r="W927" s="6">
        <f>IF(ISERROR(VLOOKUP($T$927,'TAR FIN'!$A$1:$O$108,15,0)),0,VLOOKUP($T$927,'TAR FIN'!$A$1:$O$108,15,0))</f>
        <v>432.02</v>
      </c>
      <c r="X927" s="6">
        <f>IF(ISERROR(VLOOKUP($U$927,'TAR FIN'!$A$1:$O$108,15,0)),0,VLOOKUP($U$927,'TAR FIN'!$A$1:$O$108,15,0))</f>
        <v>107.79</v>
      </c>
      <c r="Y927" s="6"/>
      <c r="Z927" s="6">
        <f ca="1">('TUSD BE'!$AM$64+'TUSD BF'!$AM$64+'TUSD CVA'!$AM$64)*1</f>
        <v>497.19204594021971</v>
      </c>
      <c r="AA927" s="6">
        <f>('TE BE'!$AB$44+'TE BF'!$AB$44+'TE CVA'!$AB$44)*1</f>
        <v>224.47961306175614</v>
      </c>
      <c r="AB927" s="6">
        <f>$K$927*$V$927</f>
        <v>0</v>
      </c>
      <c r="AC927" s="6">
        <f>$M$927*$W$927</f>
        <v>157249.66373999999</v>
      </c>
      <c r="AD927" s="6">
        <f>$O$927*$X$927</f>
        <v>39234.158730000003</v>
      </c>
      <c r="AE927" s="6">
        <f>$K$927*$Y$927</f>
        <v>0</v>
      </c>
      <c r="AF927" s="6">
        <f ca="1">$M$927*$Z$927</f>
        <v>180971.44122564277</v>
      </c>
      <c r="AG927" s="6">
        <f>$O$927*$AA$927</f>
        <v>81707.660919509435</v>
      </c>
    </row>
    <row r="928" spans="1:33" ht="11.25" customHeight="1" x14ac:dyDescent="0.25">
      <c r="A928" s="4" t="s">
        <v>21</v>
      </c>
      <c r="B928" s="4" t="s">
        <v>37</v>
      </c>
      <c r="C928" s="4" t="s">
        <v>23</v>
      </c>
      <c r="D928" s="4" t="s">
        <v>53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44531</v>
      </c>
      <c r="J928" s="6">
        <v>0</v>
      </c>
      <c r="K928" s="6">
        <v>0</v>
      </c>
      <c r="L928" s="6">
        <v>253.71</v>
      </c>
      <c r="M928" s="6">
        <v>253.71</v>
      </c>
      <c r="N928" s="6">
        <v>253.71</v>
      </c>
      <c r="O928" s="6">
        <v>253.71</v>
      </c>
      <c r="P928" s="6">
        <v>39</v>
      </c>
      <c r="Q928" s="4" t="s">
        <v>26</v>
      </c>
      <c r="R928" s="4">
        <v>0</v>
      </c>
      <c r="S928" s="6">
        <v>0</v>
      </c>
      <c r="T928" s="6">
        <v>66</v>
      </c>
      <c r="U928" s="6">
        <v>3</v>
      </c>
      <c r="V928" s="6">
        <f>IF(ISERROR(VLOOKUP($S$928,'TAR FIN'!$A$1:$O$108,15,0)),0,VLOOKUP($S$928,'TAR FIN'!$A$1:$O$108,15,0))</f>
        <v>0</v>
      </c>
      <c r="W928" s="6">
        <f>IF(ISERROR(VLOOKUP($T$928,'TAR FIN'!$A$1:$O$108,15,0)),0,VLOOKUP($T$928,'TAR FIN'!$A$1:$O$108,15,0))</f>
        <v>432.02</v>
      </c>
      <c r="X928" s="6">
        <f>IF(ISERROR(VLOOKUP($U$928,'TAR FIN'!$A$1:$O$108,15,0)),0,VLOOKUP($U$928,'TAR FIN'!$A$1:$O$108,15,0))</f>
        <v>107.79</v>
      </c>
      <c r="Y928" s="6"/>
      <c r="Z928" s="6">
        <f ca="1">('TUSD BE'!$AM$64+'TUSD BF'!$AM$64+'TUSD CVA'!$AM$64)*1</f>
        <v>497.19204594021971</v>
      </c>
      <c r="AA928" s="6">
        <f>('TE BE'!$AB$44+'TE BF'!$AB$44+'TE CVA'!$AB$44)*1</f>
        <v>224.47961306175614</v>
      </c>
      <c r="AB928" s="6">
        <f>$K$928*$V$928</f>
        <v>0</v>
      </c>
      <c r="AC928" s="6">
        <f>$M$928*$W$928</f>
        <v>109607.7942</v>
      </c>
      <c r="AD928" s="6">
        <f>$O$928*$X$928</f>
        <v>27347.400900000004</v>
      </c>
      <c r="AE928" s="6">
        <f>$K$928*$Y$928</f>
        <v>0</v>
      </c>
      <c r="AF928" s="6">
        <f ca="1">$M$928*$Z$928</f>
        <v>126142.59397549315</v>
      </c>
      <c r="AG928" s="6">
        <f>$O$928*$AA$928</f>
        <v>56952.722629898155</v>
      </c>
    </row>
    <row r="929" spans="1:33" ht="11.25" customHeight="1" x14ac:dyDescent="0.25">
      <c r="A929" s="4" t="s">
        <v>21</v>
      </c>
      <c r="B929" s="4" t="s">
        <v>37</v>
      </c>
      <c r="C929" s="4" t="s">
        <v>23</v>
      </c>
      <c r="D929" s="4" t="s">
        <v>53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44562</v>
      </c>
      <c r="J929" s="6">
        <v>0</v>
      </c>
      <c r="K929" s="6">
        <v>0</v>
      </c>
      <c r="L929" s="6">
        <v>187.81700000000001</v>
      </c>
      <c r="M929" s="6">
        <v>187.81700000000001</v>
      </c>
      <c r="N929" s="6">
        <v>187.81700000000001</v>
      </c>
      <c r="O929" s="6">
        <v>187.81700000000001</v>
      </c>
      <c r="P929" s="6">
        <v>38</v>
      </c>
      <c r="Q929" s="4" t="s">
        <v>26</v>
      </c>
      <c r="R929" s="4">
        <v>0</v>
      </c>
      <c r="S929" s="6">
        <v>0</v>
      </c>
      <c r="T929" s="6">
        <v>66</v>
      </c>
      <c r="U929" s="6">
        <v>3</v>
      </c>
      <c r="V929" s="6">
        <f>IF(ISERROR(VLOOKUP($S$929,'TAR FIN'!$A$1:$O$108,15,0)),0,VLOOKUP($S$929,'TAR FIN'!$A$1:$O$108,15,0))</f>
        <v>0</v>
      </c>
      <c r="W929" s="6">
        <f>IF(ISERROR(VLOOKUP($T$929,'TAR FIN'!$A$1:$O$108,15,0)),0,VLOOKUP($T$929,'TAR FIN'!$A$1:$O$108,15,0))</f>
        <v>432.02</v>
      </c>
      <c r="X929" s="6">
        <f>IF(ISERROR(VLOOKUP($U$929,'TAR FIN'!$A$1:$O$108,15,0)),0,VLOOKUP($U$929,'TAR FIN'!$A$1:$O$108,15,0))</f>
        <v>107.79</v>
      </c>
      <c r="Y929" s="6"/>
      <c r="Z929" s="6">
        <f ca="1">('TUSD BE'!$AM$64+'TUSD BF'!$AM$64+'TUSD CVA'!$AM$64)*1</f>
        <v>497.19204594021971</v>
      </c>
      <c r="AA929" s="6">
        <f>('TE BE'!$AB$44+'TE BF'!$AB$44+'TE CVA'!$AB$44)*1</f>
        <v>224.47961306175614</v>
      </c>
      <c r="AB929" s="6">
        <f>$K$929*$V$929</f>
        <v>0</v>
      </c>
      <c r="AC929" s="6">
        <f>$M$929*$W$929</f>
        <v>81140.700339999996</v>
      </c>
      <c r="AD929" s="6">
        <f>$O$929*$X$929</f>
        <v>20244.794430000002</v>
      </c>
      <c r="AE929" s="6">
        <f>$K$929*$Y$929</f>
        <v>0</v>
      </c>
      <c r="AF929" s="6">
        <f ca="1">$M$929*$Z$929</f>
        <v>93381.118492354246</v>
      </c>
      <c r="AG929" s="6">
        <f>$O$929*$AA$929</f>
        <v>42161.087486419856</v>
      </c>
    </row>
    <row r="930" spans="1:33" ht="11.25" customHeight="1" x14ac:dyDescent="0.25">
      <c r="A930" s="4" t="s">
        <v>21</v>
      </c>
      <c r="B930" s="4" t="s">
        <v>37</v>
      </c>
      <c r="C930" s="4" t="s">
        <v>23</v>
      </c>
      <c r="D930" s="4" t="s">
        <v>53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44593</v>
      </c>
      <c r="J930" s="6">
        <v>0</v>
      </c>
      <c r="K930" s="6">
        <v>0</v>
      </c>
      <c r="L930" s="6">
        <v>207.43799999999999</v>
      </c>
      <c r="M930" s="6">
        <v>207.43799999999999</v>
      </c>
      <c r="N930" s="6">
        <v>207.43799999999999</v>
      </c>
      <c r="O930" s="6">
        <v>207.43799999999999</v>
      </c>
      <c r="P930" s="6">
        <v>28</v>
      </c>
      <c r="Q930" s="4" t="s">
        <v>26</v>
      </c>
      <c r="R930" s="4">
        <v>0</v>
      </c>
      <c r="S930" s="6">
        <v>0</v>
      </c>
      <c r="T930" s="6">
        <v>66</v>
      </c>
      <c r="U930" s="6">
        <v>3</v>
      </c>
      <c r="V930" s="6">
        <f>IF(ISERROR(VLOOKUP($S$930,'TAR FIN'!$A$1:$O$108,15,0)),0,VLOOKUP($S$930,'TAR FIN'!$A$1:$O$108,15,0))</f>
        <v>0</v>
      </c>
      <c r="W930" s="6">
        <f>IF(ISERROR(VLOOKUP($T$930,'TAR FIN'!$A$1:$O$108,15,0)),0,VLOOKUP($T$930,'TAR FIN'!$A$1:$O$108,15,0))</f>
        <v>432.02</v>
      </c>
      <c r="X930" s="6">
        <f>IF(ISERROR(VLOOKUP($U$930,'TAR FIN'!$A$1:$O$108,15,0)),0,VLOOKUP($U$930,'TAR FIN'!$A$1:$O$108,15,0))</f>
        <v>107.79</v>
      </c>
      <c r="Y930" s="6"/>
      <c r="Z930" s="6">
        <f ca="1">('TUSD BE'!$AM$64+'TUSD BF'!$AM$64+'TUSD CVA'!$AM$64)*1</f>
        <v>497.19204594021971</v>
      </c>
      <c r="AA930" s="6">
        <f>('TE BE'!$AB$44+'TE BF'!$AB$44+'TE CVA'!$AB$44)*1</f>
        <v>224.47961306175614</v>
      </c>
      <c r="AB930" s="6">
        <f>$K$930*$V$930</f>
        <v>0</v>
      </c>
      <c r="AC930" s="6">
        <f>$M$930*$W$930</f>
        <v>89617.364759999997</v>
      </c>
      <c r="AD930" s="6">
        <f>$O$930*$X$930</f>
        <v>22359.742020000002</v>
      </c>
      <c r="AE930" s="6">
        <f>$K$930*$Y$930</f>
        <v>0</v>
      </c>
      <c r="AF930" s="6">
        <f ca="1">$M$930*$Z$930</f>
        <v>103136.52362574729</v>
      </c>
      <c r="AG930" s="6">
        <f>$O$930*$AA$930</f>
        <v>46565.601974304569</v>
      </c>
    </row>
    <row r="931" spans="1:33" ht="11.25" customHeight="1" x14ac:dyDescent="0.25">
      <c r="A931" s="4" t="s">
        <v>21</v>
      </c>
      <c r="B931" s="4" t="s">
        <v>37</v>
      </c>
      <c r="C931" s="4" t="s">
        <v>23</v>
      </c>
      <c r="D931" s="4" t="s">
        <v>53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44621</v>
      </c>
      <c r="J931" s="6">
        <v>0</v>
      </c>
      <c r="K931" s="6">
        <v>0</v>
      </c>
      <c r="L931" s="6">
        <v>152.38499999999999</v>
      </c>
      <c r="M931" s="6">
        <v>152.38499999999999</v>
      </c>
      <c r="N931" s="6">
        <v>152.38499999999999</v>
      </c>
      <c r="O931" s="6">
        <v>152.38499999999999</v>
      </c>
      <c r="P931" s="6">
        <v>31</v>
      </c>
      <c r="Q931" s="4" t="s">
        <v>26</v>
      </c>
      <c r="R931" s="4">
        <v>0</v>
      </c>
      <c r="S931" s="6">
        <v>0</v>
      </c>
      <c r="T931" s="6">
        <v>66</v>
      </c>
      <c r="U931" s="6">
        <v>3</v>
      </c>
      <c r="V931" s="6">
        <f>IF(ISERROR(VLOOKUP($S$931,'TAR FIN'!$A$1:$O$108,15,0)),0,VLOOKUP($S$931,'TAR FIN'!$A$1:$O$108,15,0))</f>
        <v>0</v>
      </c>
      <c r="W931" s="6">
        <f>IF(ISERROR(VLOOKUP($T$931,'TAR FIN'!$A$1:$O$108,15,0)),0,VLOOKUP($T$931,'TAR FIN'!$A$1:$O$108,15,0))</f>
        <v>432.02</v>
      </c>
      <c r="X931" s="6">
        <f>IF(ISERROR(VLOOKUP($U$931,'TAR FIN'!$A$1:$O$108,15,0)),0,VLOOKUP($U$931,'TAR FIN'!$A$1:$O$108,15,0))</f>
        <v>107.79</v>
      </c>
      <c r="Y931" s="6"/>
      <c r="Z931" s="6">
        <f ca="1">('TUSD BE'!$AM$64+'TUSD BF'!$AM$64+'TUSD CVA'!$AM$64)*1</f>
        <v>497.19204594021971</v>
      </c>
      <c r="AA931" s="6">
        <f>('TE BE'!$AB$44+'TE BF'!$AB$44+'TE CVA'!$AB$44)*1</f>
        <v>224.47961306175614</v>
      </c>
      <c r="AB931" s="6">
        <f>$K$931*$V$931</f>
        <v>0</v>
      </c>
      <c r="AC931" s="6">
        <f>$M$931*$W$931</f>
        <v>65833.367699999988</v>
      </c>
      <c r="AD931" s="6">
        <f>$O$931*$X$931</f>
        <v>16425.579150000001</v>
      </c>
      <c r="AE931" s="6">
        <f>$K$931*$Y$931</f>
        <v>0</v>
      </c>
      <c r="AF931" s="6">
        <f ca="1">$M$931*$Z$931</f>
        <v>75764.609920600371</v>
      </c>
      <c r="AG931" s="6">
        <f>$O$931*$AA$931</f>
        <v>34207.325836415708</v>
      </c>
    </row>
    <row r="932" spans="1:33" ht="11.25" customHeight="1" x14ac:dyDescent="0.25">
      <c r="A932" s="4" t="s">
        <v>21</v>
      </c>
      <c r="B932" s="4" t="s">
        <v>37</v>
      </c>
      <c r="C932" s="4" t="s">
        <v>23</v>
      </c>
      <c r="D932" s="4" t="s">
        <v>53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44652</v>
      </c>
      <c r="J932" s="6">
        <v>0</v>
      </c>
      <c r="K932" s="6">
        <v>0</v>
      </c>
      <c r="L932" s="6">
        <v>197.62</v>
      </c>
      <c r="M932" s="6">
        <v>197.62</v>
      </c>
      <c r="N932" s="6">
        <v>197.62</v>
      </c>
      <c r="O932" s="6">
        <v>197.62</v>
      </c>
      <c r="P932" s="6">
        <v>28</v>
      </c>
      <c r="Q932" s="4" t="s">
        <v>26</v>
      </c>
      <c r="R932" s="4">
        <v>0</v>
      </c>
      <c r="S932" s="6">
        <v>0</v>
      </c>
      <c r="T932" s="6">
        <v>66</v>
      </c>
      <c r="U932" s="6">
        <v>3</v>
      </c>
      <c r="V932" s="6">
        <f>IF(ISERROR(VLOOKUP($S$932,'TAR FIN'!$A$1:$O$108,15,0)),0,VLOOKUP($S$932,'TAR FIN'!$A$1:$O$108,15,0))</f>
        <v>0</v>
      </c>
      <c r="W932" s="6">
        <f>IF(ISERROR(VLOOKUP($T$932,'TAR FIN'!$A$1:$O$108,15,0)),0,VLOOKUP($T$932,'TAR FIN'!$A$1:$O$108,15,0))</f>
        <v>432.02</v>
      </c>
      <c r="X932" s="6">
        <f>IF(ISERROR(VLOOKUP($U$932,'TAR FIN'!$A$1:$O$108,15,0)),0,VLOOKUP($U$932,'TAR FIN'!$A$1:$O$108,15,0))</f>
        <v>107.79</v>
      </c>
      <c r="Y932" s="6"/>
      <c r="Z932" s="6">
        <f ca="1">('TUSD BE'!$AM$64+'TUSD BF'!$AM$64+'TUSD CVA'!$AM$64)*1</f>
        <v>497.19204594021971</v>
      </c>
      <c r="AA932" s="6">
        <f>('TE BE'!$AB$44+'TE BF'!$AB$44+'TE CVA'!$AB$44)*1</f>
        <v>224.47961306175614</v>
      </c>
      <c r="AB932" s="6">
        <f>$K$932*$V$932</f>
        <v>0</v>
      </c>
      <c r="AC932" s="6">
        <f>$M$932*$W$932</f>
        <v>85375.792399999991</v>
      </c>
      <c r="AD932" s="6">
        <f>$O$932*$X$932</f>
        <v>21301.459800000001</v>
      </c>
      <c r="AE932" s="6">
        <f>$K$932*$Y$932</f>
        <v>0</v>
      </c>
      <c r="AF932" s="6">
        <f ca="1">$M$932*$Z$932</f>
        <v>98255.092118706219</v>
      </c>
      <c r="AG932" s="6">
        <f>$O$932*$AA$932</f>
        <v>44361.66113326425</v>
      </c>
    </row>
    <row r="933" spans="1:33" ht="11.25" customHeight="1" x14ac:dyDescent="0.25">
      <c r="A933" s="4" t="s">
        <v>21</v>
      </c>
      <c r="B933" s="4" t="s">
        <v>37</v>
      </c>
      <c r="C933" s="4" t="s">
        <v>23</v>
      </c>
      <c r="D933" s="4" t="s">
        <v>53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44682</v>
      </c>
      <c r="J933" s="6">
        <v>0</v>
      </c>
      <c r="K933" s="6">
        <v>0</v>
      </c>
      <c r="L933" s="6">
        <v>167.821</v>
      </c>
      <c r="M933" s="6">
        <v>167.821</v>
      </c>
      <c r="N933" s="6">
        <v>167.821</v>
      </c>
      <c r="O933" s="6">
        <v>167.821</v>
      </c>
      <c r="P933" s="6">
        <v>31</v>
      </c>
      <c r="Q933" s="4" t="s">
        <v>26</v>
      </c>
      <c r="R933" s="4">
        <v>0</v>
      </c>
      <c r="S933" s="6">
        <v>0</v>
      </c>
      <c r="T933" s="6">
        <v>66</v>
      </c>
      <c r="U933" s="6">
        <v>3</v>
      </c>
      <c r="V933" s="6">
        <f>IF(ISERROR(VLOOKUP($S$933,'TAR FIN'!$A$1:$O$108,15,0)),0,VLOOKUP($S$933,'TAR FIN'!$A$1:$O$108,15,0))</f>
        <v>0</v>
      </c>
      <c r="W933" s="6">
        <f>IF(ISERROR(VLOOKUP($T$933,'TAR FIN'!$A$1:$O$108,15,0)),0,VLOOKUP($T$933,'TAR FIN'!$A$1:$O$108,15,0))</f>
        <v>432.02</v>
      </c>
      <c r="X933" s="6">
        <f>IF(ISERROR(VLOOKUP($U$933,'TAR FIN'!$A$1:$O$108,15,0)),0,VLOOKUP($U$933,'TAR FIN'!$A$1:$O$108,15,0))</f>
        <v>107.79</v>
      </c>
      <c r="Y933" s="6"/>
      <c r="Z933" s="6">
        <f ca="1">('TUSD BE'!$AM$64+'TUSD BF'!$AM$64+'TUSD CVA'!$AM$64)*1</f>
        <v>497.19204594021971</v>
      </c>
      <c r="AA933" s="6">
        <f>('TE BE'!$AB$44+'TE BF'!$AB$44+'TE CVA'!$AB$44)*1</f>
        <v>224.47961306175614</v>
      </c>
      <c r="AB933" s="6">
        <f>$K$933*$V$933</f>
        <v>0</v>
      </c>
      <c r="AC933" s="6">
        <f>$M$933*$W$933</f>
        <v>72502.028420000002</v>
      </c>
      <c r="AD933" s="6">
        <f>$O$933*$X$933</f>
        <v>18089.425590000003</v>
      </c>
      <c r="AE933" s="6">
        <f>$K$933*$Y$933</f>
        <v>0</v>
      </c>
      <c r="AF933" s="6">
        <f ca="1">$M$933*$Z$933</f>
        <v>83439.266341733615</v>
      </c>
      <c r="AG933" s="6">
        <f>$O$933*$AA$933</f>
        <v>37672.393143636975</v>
      </c>
    </row>
    <row r="934" spans="1:33" ht="11.25" customHeight="1" x14ac:dyDescent="0.25">
      <c r="A934" s="4" t="s">
        <v>21</v>
      </c>
      <c r="B934" s="4" t="s">
        <v>37</v>
      </c>
      <c r="C934" s="4" t="s">
        <v>23</v>
      </c>
      <c r="D934" s="4" t="s">
        <v>53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44713</v>
      </c>
      <c r="J934" s="6">
        <v>0</v>
      </c>
      <c r="K934" s="6">
        <v>0</v>
      </c>
      <c r="L934" s="6">
        <v>129.22800000000001</v>
      </c>
      <c r="M934" s="6">
        <v>129.22800000000001</v>
      </c>
      <c r="N934" s="6">
        <v>129.22800000000001</v>
      </c>
      <c r="O934" s="6">
        <v>129.22800000000001</v>
      </c>
      <c r="P934" s="6">
        <v>31</v>
      </c>
      <c r="Q934" s="4" t="s">
        <v>26</v>
      </c>
      <c r="R934" s="4">
        <v>0</v>
      </c>
      <c r="S934" s="6">
        <v>0</v>
      </c>
      <c r="T934" s="6">
        <v>66</v>
      </c>
      <c r="U934" s="6">
        <v>3</v>
      </c>
      <c r="V934" s="6">
        <f>IF(ISERROR(VLOOKUP($S$934,'TAR FIN'!$A$1:$O$108,15,0)),0,VLOOKUP($S$934,'TAR FIN'!$A$1:$O$108,15,0))</f>
        <v>0</v>
      </c>
      <c r="W934" s="6">
        <f>IF(ISERROR(VLOOKUP($T$934,'TAR FIN'!$A$1:$O$108,15,0)),0,VLOOKUP($T$934,'TAR FIN'!$A$1:$O$108,15,0))</f>
        <v>432.02</v>
      </c>
      <c r="X934" s="6">
        <f>IF(ISERROR(VLOOKUP($U$934,'TAR FIN'!$A$1:$O$108,15,0)),0,VLOOKUP($U$934,'TAR FIN'!$A$1:$O$108,15,0))</f>
        <v>107.79</v>
      </c>
      <c r="Y934" s="6"/>
      <c r="Z934" s="6">
        <f ca="1">('TUSD BE'!$AM$64+'TUSD BF'!$AM$64+'TUSD CVA'!$AM$64)*1</f>
        <v>497.19204594021971</v>
      </c>
      <c r="AA934" s="6">
        <f>('TE BE'!$AB$44+'TE BF'!$AB$44+'TE CVA'!$AB$44)*1</f>
        <v>224.47961306175614</v>
      </c>
      <c r="AB934" s="6">
        <f>$K$934*$V$934</f>
        <v>0</v>
      </c>
      <c r="AC934" s="6">
        <f>$M$934*$W$934</f>
        <v>55829.080560000002</v>
      </c>
      <c r="AD934" s="6">
        <f>$O$934*$X$934</f>
        <v>13929.486120000001</v>
      </c>
      <c r="AE934" s="6">
        <f>$K$934*$Y$934</f>
        <v>0</v>
      </c>
      <c r="AF934" s="6">
        <f ca="1">$M$934*$Z$934</f>
        <v>64251.133712762719</v>
      </c>
      <c r="AG934" s="6">
        <f>$O$934*$AA$934</f>
        <v>29009.051436744623</v>
      </c>
    </row>
    <row r="935" spans="1:33" ht="11.25" customHeight="1" x14ac:dyDescent="0.25">
      <c r="A935" s="4" t="s">
        <v>21</v>
      </c>
      <c r="B935" s="4" t="s">
        <v>37</v>
      </c>
      <c r="C935" s="4" t="s">
        <v>23</v>
      </c>
      <c r="D935" s="4" t="s">
        <v>53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44743</v>
      </c>
      <c r="J935" s="6">
        <v>0</v>
      </c>
      <c r="K935" s="6">
        <v>0</v>
      </c>
      <c r="L935" s="6">
        <v>147.977</v>
      </c>
      <c r="M935" s="6">
        <v>147.977</v>
      </c>
      <c r="N935" s="6">
        <v>147.977</v>
      </c>
      <c r="O935" s="6">
        <v>147.977</v>
      </c>
      <c r="P935" s="6">
        <v>32</v>
      </c>
      <c r="Q935" s="4" t="s">
        <v>26</v>
      </c>
      <c r="R935" s="4">
        <v>0</v>
      </c>
      <c r="S935" s="6">
        <v>0</v>
      </c>
      <c r="T935" s="6">
        <v>66</v>
      </c>
      <c r="U935" s="6">
        <v>3</v>
      </c>
      <c r="V935" s="6">
        <f>IF(ISERROR(VLOOKUP($S$935,'TAR FIN'!$A$1:$O$108,15,0)),0,VLOOKUP($S$935,'TAR FIN'!$A$1:$O$108,15,0))</f>
        <v>0</v>
      </c>
      <c r="W935" s="6">
        <f>IF(ISERROR(VLOOKUP($T$935,'TAR FIN'!$A$1:$O$108,15,0)),0,VLOOKUP($T$935,'TAR FIN'!$A$1:$O$108,15,0))</f>
        <v>432.02</v>
      </c>
      <c r="X935" s="6">
        <f>IF(ISERROR(VLOOKUP($U$935,'TAR FIN'!$A$1:$O$108,15,0)),0,VLOOKUP($U$935,'TAR FIN'!$A$1:$O$108,15,0))</f>
        <v>107.79</v>
      </c>
      <c r="Y935" s="6"/>
      <c r="Z935" s="6">
        <f ca="1">('TUSD BE'!$AM$64+'TUSD BF'!$AM$64+'TUSD CVA'!$AM$64)*1</f>
        <v>497.19204594021971</v>
      </c>
      <c r="AA935" s="6">
        <f>('TE BE'!$AB$44+'TE BF'!$AB$44+'TE CVA'!$AB$44)*1</f>
        <v>224.47961306175614</v>
      </c>
      <c r="AB935" s="6">
        <f>$K$935*$V$935</f>
        <v>0</v>
      </c>
      <c r="AC935" s="6">
        <f>$M$935*$W$935</f>
        <v>63929.023540000002</v>
      </c>
      <c r="AD935" s="6">
        <f>$O$935*$X$935</f>
        <v>15950.440830000001</v>
      </c>
      <c r="AE935" s="6">
        <f>$K$935*$Y$935</f>
        <v>0</v>
      </c>
      <c r="AF935" s="6">
        <f ca="1">$M$935*$Z$935</f>
        <v>73572.987382095889</v>
      </c>
      <c r="AG935" s="6">
        <f>$O$935*$AA$935</f>
        <v>33217.819702039487</v>
      </c>
    </row>
    <row r="936" spans="1:33" ht="11.25" customHeight="1" x14ac:dyDescent="0.25">
      <c r="A936" s="4" t="s">
        <v>21</v>
      </c>
      <c r="B936" s="4" t="s">
        <v>37</v>
      </c>
      <c r="C936" s="4" t="s">
        <v>23</v>
      </c>
      <c r="D936" s="4" t="s">
        <v>53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44774</v>
      </c>
      <c r="J936" s="6">
        <v>0</v>
      </c>
      <c r="K936" s="6">
        <v>0</v>
      </c>
      <c r="L936" s="6">
        <v>170.96</v>
      </c>
      <c r="M936" s="6">
        <v>170.96</v>
      </c>
      <c r="N936" s="6">
        <v>170.96</v>
      </c>
      <c r="O936" s="6">
        <v>170.96</v>
      </c>
      <c r="P936" s="6">
        <v>38</v>
      </c>
      <c r="Q936" s="4" t="s">
        <v>26</v>
      </c>
      <c r="R936" s="4">
        <v>0</v>
      </c>
      <c r="S936" s="6">
        <v>0</v>
      </c>
      <c r="T936" s="6">
        <v>66</v>
      </c>
      <c r="U936" s="6">
        <v>3</v>
      </c>
      <c r="V936" s="6">
        <f>IF(ISERROR(VLOOKUP($S$936,'TAR FIN'!$A$1:$O$108,15,0)),0,VLOOKUP($S$936,'TAR FIN'!$A$1:$O$108,15,0))</f>
        <v>0</v>
      </c>
      <c r="W936" s="6">
        <f>IF(ISERROR(VLOOKUP($T$936,'TAR FIN'!$A$1:$O$108,15,0)),0,VLOOKUP($T$936,'TAR FIN'!$A$1:$O$108,15,0))</f>
        <v>432.02</v>
      </c>
      <c r="X936" s="6">
        <f>IF(ISERROR(VLOOKUP($U$936,'TAR FIN'!$A$1:$O$108,15,0)),0,VLOOKUP($U$936,'TAR FIN'!$A$1:$O$108,15,0))</f>
        <v>107.79</v>
      </c>
      <c r="Y936" s="6"/>
      <c r="Z936" s="6">
        <f ca="1">('TUSD BE'!$AM$64+'TUSD BF'!$AM$64+'TUSD CVA'!$AM$64)*1</f>
        <v>497.19204594021971</v>
      </c>
      <c r="AA936" s="6">
        <f>('TE BE'!$AB$44+'TE BF'!$AB$44+'TE CVA'!$AB$44)*1</f>
        <v>224.47961306175614</v>
      </c>
      <c r="AB936" s="6">
        <f>$K$936*$V$936</f>
        <v>0</v>
      </c>
      <c r="AC936" s="6">
        <f>$M$936*$W$936</f>
        <v>73858.139200000005</v>
      </c>
      <c r="AD936" s="6">
        <f>$O$936*$X$936</f>
        <v>18427.778400000003</v>
      </c>
      <c r="AE936" s="6">
        <f>$K$936*$Y$936</f>
        <v>0</v>
      </c>
      <c r="AF936" s="6">
        <f ca="1">$M$936*$Z$936</f>
        <v>84999.952173939964</v>
      </c>
      <c r="AG936" s="6">
        <f>$O$936*$AA$936</f>
        <v>38377.034649037829</v>
      </c>
    </row>
    <row r="937" spans="1:33" ht="11.25" customHeight="1" x14ac:dyDescent="0.25">
      <c r="A937" s="4" t="s">
        <v>21</v>
      </c>
      <c r="B937" s="4" t="s">
        <v>37</v>
      </c>
      <c r="C937" s="4" t="s">
        <v>23</v>
      </c>
      <c r="D937" s="4" t="s">
        <v>53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44805</v>
      </c>
      <c r="J937" s="6">
        <v>0</v>
      </c>
      <c r="K937" s="6">
        <v>0</v>
      </c>
      <c r="L937" s="6">
        <v>159.78</v>
      </c>
      <c r="M937" s="6">
        <v>159.78</v>
      </c>
      <c r="N937" s="6">
        <v>159.78</v>
      </c>
      <c r="O937" s="6">
        <v>159.78</v>
      </c>
      <c r="P937" s="6">
        <v>36</v>
      </c>
      <c r="Q937" s="4" t="s">
        <v>26</v>
      </c>
      <c r="R937" s="4">
        <v>0</v>
      </c>
      <c r="S937" s="6">
        <v>0</v>
      </c>
      <c r="T937" s="6">
        <v>66</v>
      </c>
      <c r="U937" s="6">
        <v>3</v>
      </c>
      <c r="V937" s="6">
        <f>IF(ISERROR(VLOOKUP($S$937,'TAR FIN'!$A$1:$O$108,15,0)),0,VLOOKUP($S$937,'TAR FIN'!$A$1:$O$108,15,0))</f>
        <v>0</v>
      </c>
      <c r="W937" s="6">
        <f>IF(ISERROR(VLOOKUP($T$937,'TAR FIN'!$A$1:$O$108,15,0)),0,VLOOKUP($T$937,'TAR FIN'!$A$1:$O$108,15,0))</f>
        <v>432.02</v>
      </c>
      <c r="X937" s="6">
        <f>IF(ISERROR(VLOOKUP($U$937,'TAR FIN'!$A$1:$O$108,15,0)),0,VLOOKUP($U$937,'TAR FIN'!$A$1:$O$108,15,0))</f>
        <v>107.79</v>
      </c>
      <c r="Y937" s="6"/>
      <c r="Z937" s="6">
        <f ca="1">('TUSD BE'!$AM$64+'TUSD BF'!$AM$64+'TUSD CVA'!$AM$64)*1</f>
        <v>497.19204594021971</v>
      </c>
      <c r="AA937" s="6">
        <f>('TE BE'!$AB$44+'TE BF'!$AB$44+'TE CVA'!$AB$44)*1</f>
        <v>224.47961306175614</v>
      </c>
      <c r="AB937" s="6">
        <f>$K$937*$V$937</f>
        <v>0</v>
      </c>
      <c r="AC937" s="6">
        <f>$M$937*$W$937</f>
        <v>69028.155599999998</v>
      </c>
      <c r="AD937" s="6">
        <f>$O$937*$X$937</f>
        <v>17222.6862</v>
      </c>
      <c r="AE937" s="6">
        <f>$K$937*$Y$937</f>
        <v>0</v>
      </c>
      <c r="AF937" s="6">
        <f ca="1">$M$937*$Z$937</f>
        <v>79441.345100328312</v>
      </c>
      <c r="AG937" s="6">
        <f>$O$937*$AA$937</f>
        <v>35867.352575007397</v>
      </c>
    </row>
    <row r="938" spans="1:33" ht="11.25" customHeight="1" x14ac:dyDescent="0.25">
      <c r="A938" s="4" t="s">
        <v>21</v>
      </c>
      <c r="B938" s="4" t="s">
        <v>37</v>
      </c>
      <c r="C938" s="4" t="s">
        <v>23</v>
      </c>
      <c r="D938" s="4" t="s">
        <v>53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44835</v>
      </c>
      <c r="J938" s="6">
        <v>0</v>
      </c>
      <c r="K938" s="6">
        <v>0</v>
      </c>
      <c r="L938" s="6">
        <v>187.661</v>
      </c>
      <c r="M938" s="6">
        <v>187.661</v>
      </c>
      <c r="N938" s="6">
        <v>187.661</v>
      </c>
      <c r="O938" s="6">
        <v>187.661</v>
      </c>
      <c r="P938" s="6">
        <v>35</v>
      </c>
      <c r="Q938" s="4" t="s">
        <v>26</v>
      </c>
      <c r="R938" s="4">
        <v>0</v>
      </c>
      <c r="S938" s="6">
        <v>0</v>
      </c>
      <c r="T938" s="6">
        <v>66</v>
      </c>
      <c r="U938" s="6">
        <v>3</v>
      </c>
      <c r="V938" s="6">
        <f>IF(ISERROR(VLOOKUP($S$938,'TAR FIN'!$A$1:$O$108,15,0)),0,VLOOKUP($S$938,'TAR FIN'!$A$1:$O$108,15,0))</f>
        <v>0</v>
      </c>
      <c r="W938" s="6">
        <f>IF(ISERROR(VLOOKUP($T$938,'TAR FIN'!$A$1:$O$108,15,0)),0,VLOOKUP($T$938,'TAR FIN'!$A$1:$O$108,15,0))</f>
        <v>432.02</v>
      </c>
      <c r="X938" s="6">
        <f>IF(ISERROR(VLOOKUP($U$938,'TAR FIN'!$A$1:$O$108,15,0)),0,VLOOKUP($U$938,'TAR FIN'!$A$1:$O$108,15,0))</f>
        <v>107.79</v>
      </c>
      <c r="Y938" s="6"/>
      <c r="Z938" s="6">
        <f ca="1">('TUSD BE'!$AM$64+'TUSD BF'!$AM$64+'TUSD CVA'!$AM$64)*1</f>
        <v>497.19204594021971</v>
      </c>
      <c r="AA938" s="6">
        <f>('TE BE'!$AB$44+'TE BF'!$AB$44+'TE CVA'!$AB$44)*1</f>
        <v>224.47961306175614</v>
      </c>
      <c r="AB938" s="6">
        <f>$K$938*$V$938</f>
        <v>0</v>
      </c>
      <c r="AC938" s="6">
        <f>$M$938*$W$938</f>
        <v>81073.305219999995</v>
      </c>
      <c r="AD938" s="6">
        <f>$O$938*$X$938</f>
        <v>20227.979190000002</v>
      </c>
      <c r="AE938" s="6">
        <f>$K$938*$Y$938</f>
        <v>0</v>
      </c>
      <c r="AF938" s="6">
        <f ca="1">$M$938*$Z$938</f>
        <v>93303.55653318757</v>
      </c>
      <c r="AG938" s="6">
        <f>$O$938*$AA$938</f>
        <v>42126.068666782223</v>
      </c>
    </row>
    <row r="939" spans="1:33" ht="11.25" customHeight="1" x14ac:dyDescent="0.25">
      <c r="A939" s="4" t="s">
        <v>54</v>
      </c>
      <c r="B939" s="4" t="s">
        <v>37</v>
      </c>
      <c r="C939" s="4" t="s">
        <v>23</v>
      </c>
      <c r="D939" s="4" t="s">
        <v>53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44866</v>
      </c>
      <c r="J939" s="6">
        <v>0</v>
      </c>
      <c r="K939" s="6">
        <v>0</v>
      </c>
      <c r="L939" s="6">
        <v>187.661</v>
      </c>
      <c r="M939" s="6">
        <v>187.661</v>
      </c>
      <c r="N939" s="6">
        <v>187.661</v>
      </c>
      <c r="O939" s="6">
        <v>187.661</v>
      </c>
      <c r="P939" s="6">
        <v>35</v>
      </c>
      <c r="Q939" s="4" t="s">
        <v>26</v>
      </c>
      <c r="R939" s="4">
        <v>0</v>
      </c>
      <c r="S939" s="6">
        <v>0</v>
      </c>
      <c r="T939" s="6">
        <v>66</v>
      </c>
      <c r="U939" s="6">
        <v>3</v>
      </c>
      <c r="V939" s="6">
        <f>IF(ISERROR(VLOOKUP($S$939,'TAR FIN'!$A$1:$O$108,15,0)),0,VLOOKUP($S$939,'TAR FIN'!$A$1:$O$108,15,0))</f>
        <v>0</v>
      </c>
      <c r="W939" s="6">
        <f>IF(ISERROR(VLOOKUP($T$939,'TAR FIN'!$A$1:$O$108,15,0)),0,VLOOKUP($T$939,'TAR FIN'!$A$1:$O$108,15,0))</f>
        <v>432.02</v>
      </c>
      <c r="X939" s="6">
        <f>IF(ISERROR(VLOOKUP($U$939,'TAR FIN'!$A$1:$O$108,15,0)),0,VLOOKUP($U$939,'TAR FIN'!$A$1:$O$108,15,0))</f>
        <v>107.79</v>
      </c>
      <c r="Y939" s="6"/>
      <c r="Z939" s="6">
        <f ca="1">('TUSD BE'!$AM$64+'TUSD BF'!$AM$64+'TUSD CVA'!$AM$64)*1</f>
        <v>497.19204594021971</v>
      </c>
      <c r="AA939" s="6">
        <f>('TE BE'!$AB$44+'TE BF'!$AB$44+'TE CVA'!$AB$44)*1</f>
        <v>224.47961306175614</v>
      </c>
      <c r="AB939" s="6">
        <f>$K$939*$V$939</f>
        <v>0</v>
      </c>
      <c r="AC939" s="6">
        <f>$M$939*$W$939</f>
        <v>81073.305219999995</v>
      </c>
      <c r="AD939" s="6">
        <f>$O$939*$X$939</f>
        <v>20227.979190000002</v>
      </c>
      <c r="AE939" s="6">
        <f>$K$939*$Y$939</f>
        <v>0</v>
      </c>
      <c r="AF939" s="6">
        <f ca="1">$M$939*$Z$939</f>
        <v>93303.55653318757</v>
      </c>
      <c r="AG939" s="6">
        <f>$O$939*$AA$939</f>
        <v>42126.068666782223</v>
      </c>
    </row>
    <row r="940" spans="1:33" ht="11.25" customHeight="1" x14ac:dyDescent="0.25">
      <c r="A940" s="4" t="s">
        <v>21</v>
      </c>
      <c r="B940" s="4" t="s">
        <v>37</v>
      </c>
      <c r="C940" s="4" t="s">
        <v>23</v>
      </c>
      <c r="D940" s="4" t="s">
        <v>38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44531</v>
      </c>
      <c r="J940" s="6">
        <v>0</v>
      </c>
      <c r="K940" s="6">
        <v>0</v>
      </c>
      <c r="L940" s="6">
        <v>274.173</v>
      </c>
      <c r="M940" s="6">
        <v>274.173</v>
      </c>
      <c r="N940" s="6">
        <v>274.173</v>
      </c>
      <c r="O940" s="6">
        <v>274.173</v>
      </c>
      <c r="P940" s="6">
        <v>254</v>
      </c>
      <c r="Q940" s="4" t="s">
        <v>26</v>
      </c>
      <c r="R940" s="4">
        <v>0</v>
      </c>
      <c r="S940" s="6">
        <v>0</v>
      </c>
      <c r="T940" s="6">
        <v>66</v>
      </c>
      <c r="U940" s="6">
        <v>3</v>
      </c>
      <c r="V940" s="6">
        <f>IF(ISERROR(VLOOKUP($S$940,'TAR FIN'!$A$1:$O$108,15,0)),0,VLOOKUP($S$940,'TAR FIN'!$A$1:$O$108,15,0))</f>
        <v>0</v>
      </c>
      <c r="W940" s="6">
        <f>IF(ISERROR(VLOOKUP($T$940,'TAR FIN'!$A$1:$O$108,15,0)),0,VLOOKUP($T$940,'TAR FIN'!$A$1:$O$108,15,0))</f>
        <v>432.02</v>
      </c>
      <c r="X940" s="6">
        <f>IF(ISERROR(VLOOKUP($U$940,'TAR FIN'!$A$1:$O$108,15,0)),0,VLOOKUP($U$940,'TAR FIN'!$A$1:$O$108,15,0))</f>
        <v>107.79</v>
      </c>
      <c r="Y940" s="6"/>
      <c r="Z940" s="6">
        <f ca="1">('TUSD BE'!$AM$64+'TUSD BF'!$AM$64+'TUSD CVA'!$AM$64)*1</f>
        <v>497.19204594021971</v>
      </c>
      <c r="AA940" s="6">
        <f>('TE BE'!$AB$44+'TE BF'!$AB$44+'TE CVA'!$AB$44)*1</f>
        <v>224.47961306175614</v>
      </c>
      <c r="AB940" s="6">
        <f>$K$940*$V$940</f>
        <v>0</v>
      </c>
      <c r="AC940" s="6">
        <f>$M$940*$W$940</f>
        <v>118448.21945999999</v>
      </c>
      <c r="AD940" s="6">
        <f>$O$940*$X$940</f>
        <v>29553.107670000001</v>
      </c>
      <c r="AE940" s="6">
        <f>$K$940*$Y$940</f>
        <v>0</v>
      </c>
      <c r="AF940" s="6">
        <f ca="1">$M$940*$Z$940</f>
        <v>136316.63481156787</v>
      </c>
      <c r="AG940" s="6">
        <f>$O$940*$AA$940</f>
        <v>61546.248951980866</v>
      </c>
    </row>
    <row r="941" spans="1:33" ht="11.25" customHeight="1" x14ac:dyDescent="0.25">
      <c r="A941" s="4" t="s">
        <v>27</v>
      </c>
      <c r="B941" s="4" t="s">
        <v>37</v>
      </c>
      <c r="C941" s="4" t="s">
        <v>23</v>
      </c>
      <c r="D941" s="4" t="s">
        <v>38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44531</v>
      </c>
      <c r="J941" s="6">
        <v>0</v>
      </c>
      <c r="K941" s="6">
        <v>0</v>
      </c>
      <c r="L941" s="6">
        <v>-0.376</v>
      </c>
      <c r="M941" s="6">
        <v>-0.376</v>
      </c>
      <c r="N941" s="6">
        <v>-0.376</v>
      </c>
      <c r="O941" s="6">
        <v>-0.376</v>
      </c>
      <c r="P941" s="6">
        <v>0</v>
      </c>
      <c r="Q941" s="4" t="s">
        <v>26</v>
      </c>
      <c r="R941" s="4">
        <v>0</v>
      </c>
      <c r="S941" s="6">
        <v>0</v>
      </c>
      <c r="T941" s="6">
        <v>66</v>
      </c>
      <c r="U941" s="6">
        <v>3</v>
      </c>
      <c r="V941" s="6">
        <f>IF(ISERROR(VLOOKUP($S$941,'TAR FIN'!$A$1:$O$108,15,0)),0,VLOOKUP($S$941,'TAR FIN'!$A$1:$O$108,15,0))</f>
        <v>0</v>
      </c>
      <c r="W941" s="6">
        <f>IF(ISERROR(VLOOKUP($T$941,'TAR FIN'!$A$1:$O$108,15,0)),0,VLOOKUP($T$941,'TAR FIN'!$A$1:$O$108,15,0))</f>
        <v>432.02</v>
      </c>
      <c r="X941" s="6">
        <f>IF(ISERROR(VLOOKUP($U$941,'TAR FIN'!$A$1:$O$108,15,0)),0,VLOOKUP($U$941,'TAR FIN'!$A$1:$O$108,15,0))</f>
        <v>107.79</v>
      </c>
      <c r="Y941" s="6"/>
      <c r="Z941" s="6">
        <f ca="1">('TUSD BE'!$AM$64+'TUSD BF'!$AM$64+'TUSD CVA'!$AM$64)*1</f>
        <v>497.19204594021971</v>
      </c>
      <c r="AA941" s="6">
        <f>('TE BE'!$AB$44+'TE BF'!$AB$44+'TE CVA'!$AB$44)*1</f>
        <v>224.47961306175614</v>
      </c>
      <c r="AB941" s="6">
        <f>$K$941*$V$941</f>
        <v>0</v>
      </c>
      <c r="AC941" s="6">
        <f>$M$941*$W$941</f>
        <v>-162.43951999999999</v>
      </c>
      <c r="AD941" s="6">
        <f>$O$941*$X$941</f>
        <v>-40.529040000000002</v>
      </c>
      <c r="AE941" s="6">
        <f>$K$941*$Y$941</f>
        <v>0</v>
      </c>
      <c r="AF941" s="6">
        <f ca="1">$M$941*$Z$941</f>
        <v>-186.9442092735226</v>
      </c>
      <c r="AG941" s="6">
        <f>$O$941*$AA$941</f>
        <v>-84.404334511220313</v>
      </c>
    </row>
    <row r="942" spans="1:33" ht="11.25" customHeight="1" x14ac:dyDescent="0.25">
      <c r="A942" s="4" t="s">
        <v>28</v>
      </c>
      <c r="B942" s="4" t="s">
        <v>37</v>
      </c>
      <c r="C942" s="4" t="s">
        <v>23</v>
      </c>
      <c r="D942" s="4" t="s">
        <v>38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44531</v>
      </c>
      <c r="J942" s="6">
        <v>0</v>
      </c>
      <c r="K942" s="6">
        <v>0</v>
      </c>
      <c r="L942" s="6">
        <v>0.1</v>
      </c>
      <c r="M942" s="6">
        <v>0.1</v>
      </c>
      <c r="N942" s="6">
        <v>0.1</v>
      </c>
      <c r="O942" s="6">
        <v>0.1</v>
      </c>
      <c r="P942" s="6">
        <v>1</v>
      </c>
      <c r="Q942" s="4" t="s">
        <v>26</v>
      </c>
      <c r="R942" s="4">
        <v>0</v>
      </c>
      <c r="S942" s="6">
        <v>0</v>
      </c>
      <c r="T942" s="6">
        <v>66</v>
      </c>
      <c r="U942" s="6">
        <v>3</v>
      </c>
      <c r="V942" s="6">
        <f>IF(ISERROR(VLOOKUP($S$942,'TAR FIN'!$A$1:$O$108,15,0)),0,VLOOKUP($S$942,'TAR FIN'!$A$1:$O$108,15,0))</f>
        <v>0</v>
      </c>
      <c r="W942" s="6">
        <f>IF(ISERROR(VLOOKUP($T$942,'TAR FIN'!$A$1:$O$108,15,0)),0,VLOOKUP($T$942,'TAR FIN'!$A$1:$O$108,15,0))</f>
        <v>432.02</v>
      </c>
      <c r="X942" s="6">
        <f>IF(ISERROR(VLOOKUP($U$942,'TAR FIN'!$A$1:$O$108,15,0)),0,VLOOKUP($U$942,'TAR FIN'!$A$1:$O$108,15,0))</f>
        <v>107.79</v>
      </c>
      <c r="Y942" s="6"/>
      <c r="Z942" s="6">
        <f ca="1">('TUSD BE'!$AM$64+'TUSD BF'!$AM$64+'TUSD CVA'!$AM$64)*1</f>
        <v>497.19204594021971</v>
      </c>
      <c r="AA942" s="6">
        <f>('TE BE'!$AB$44+'TE BF'!$AB$44+'TE CVA'!$AB$44)*1</f>
        <v>224.47961306175614</v>
      </c>
      <c r="AB942" s="6">
        <f>$K$942*$V$942</f>
        <v>0</v>
      </c>
      <c r="AC942" s="6">
        <f>$M$942*$W$942</f>
        <v>43.201999999999998</v>
      </c>
      <c r="AD942" s="6">
        <f>$O$942*$X$942</f>
        <v>10.779000000000002</v>
      </c>
      <c r="AE942" s="6">
        <f>$K$942*$Y$942</f>
        <v>0</v>
      </c>
      <c r="AF942" s="6">
        <f ca="1">$M$942*$Z$942</f>
        <v>49.719204594021974</v>
      </c>
      <c r="AG942" s="6">
        <f>$O$942*$AA$942</f>
        <v>22.447961306175614</v>
      </c>
    </row>
    <row r="943" spans="1:33" ht="11.25" customHeight="1" x14ac:dyDescent="0.25">
      <c r="A943" s="4" t="s">
        <v>21</v>
      </c>
      <c r="B943" s="4" t="s">
        <v>37</v>
      </c>
      <c r="C943" s="4" t="s">
        <v>23</v>
      </c>
      <c r="D943" s="4" t="s">
        <v>38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44562</v>
      </c>
      <c r="J943" s="6">
        <v>0</v>
      </c>
      <c r="K943" s="6">
        <v>0</v>
      </c>
      <c r="L943" s="6">
        <v>257.28899999999999</v>
      </c>
      <c r="M943" s="6">
        <v>257.28899999999999</v>
      </c>
      <c r="N943" s="6">
        <v>257.28899999999999</v>
      </c>
      <c r="O943" s="6">
        <v>257.28899999999999</v>
      </c>
      <c r="P943" s="6">
        <v>250</v>
      </c>
      <c r="Q943" s="4" t="s">
        <v>26</v>
      </c>
      <c r="R943" s="4">
        <v>0</v>
      </c>
      <c r="S943" s="6">
        <v>0</v>
      </c>
      <c r="T943" s="6">
        <v>66</v>
      </c>
      <c r="U943" s="6">
        <v>3</v>
      </c>
      <c r="V943" s="6">
        <f>IF(ISERROR(VLOOKUP($S$943,'TAR FIN'!$A$1:$O$108,15,0)),0,VLOOKUP($S$943,'TAR FIN'!$A$1:$O$108,15,0))</f>
        <v>0</v>
      </c>
      <c r="W943" s="6">
        <f>IF(ISERROR(VLOOKUP($T$943,'TAR FIN'!$A$1:$O$108,15,0)),0,VLOOKUP($T$943,'TAR FIN'!$A$1:$O$108,15,0))</f>
        <v>432.02</v>
      </c>
      <c r="X943" s="6">
        <f>IF(ISERROR(VLOOKUP($U$943,'TAR FIN'!$A$1:$O$108,15,0)),0,VLOOKUP($U$943,'TAR FIN'!$A$1:$O$108,15,0))</f>
        <v>107.79</v>
      </c>
      <c r="Y943" s="6"/>
      <c r="Z943" s="6">
        <f ca="1">('TUSD BE'!$AM$64+'TUSD BF'!$AM$64+'TUSD CVA'!$AM$64)*1</f>
        <v>497.19204594021971</v>
      </c>
      <c r="AA943" s="6">
        <f>('TE BE'!$AB$44+'TE BF'!$AB$44+'TE CVA'!$AB$44)*1</f>
        <v>224.47961306175614</v>
      </c>
      <c r="AB943" s="6">
        <f>$K$943*$V$943</f>
        <v>0</v>
      </c>
      <c r="AC943" s="6">
        <f>$M$943*$W$943</f>
        <v>111153.99377999999</v>
      </c>
      <c r="AD943" s="6">
        <f>$O$943*$X$943</f>
        <v>27733.18131</v>
      </c>
      <c r="AE943" s="6">
        <f>$K$943*$Y$943</f>
        <v>0</v>
      </c>
      <c r="AF943" s="6">
        <f ca="1">$M$943*$Z$943</f>
        <v>127922.04430791318</v>
      </c>
      <c r="AG943" s="6">
        <f>$O$943*$AA$943</f>
        <v>57756.135165046173</v>
      </c>
    </row>
    <row r="944" spans="1:33" ht="11.25" customHeight="1" x14ac:dyDescent="0.25">
      <c r="A944" s="4" t="s">
        <v>27</v>
      </c>
      <c r="B944" s="4" t="s">
        <v>37</v>
      </c>
      <c r="C944" s="4" t="s">
        <v>23</v>
      </c>
      <c r="D944" s="4" t="s">
        <v>38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44562</v>
      </c>
      <c r="J944" s="6">
        <v>0</v>
      </c>
      <c r="K944" s="6">
        <v>0</v>
      </c>
      <c r="L944" s="6">
        <v>-8.4369999999999994</v>
      </c>
      <c r="M944" s="6">
        <v>-8.4369999999999994</v>
      </c>
      <c r="N944" s="6">
        <v>-8.4369999999999994</v>
      </c>
      <c r="O944" s="6">
        <v>-8.4369999999999994</v>
      </c>
      <c r="P944" s="6">
        <v>-18</v>
      </c>
      <c r="Q944" s="4" t="s">
        <v>26</v>
      </c>
      <c r="R944" s="4">
        <v>0</v>
      </c>
      <c r="S944" s="6">
        <v>0</v>
      </c>
      <c r="T944" s="6">
        <v>66</v>
      </c>
      <c r="U944" s="6">
        <v>3</v>
      </c>
      <c r="V944" s="6">
        <f>IF(ISERROR(VLOOKUP($S$944,'TAR FIN'!$A$1:$O$108,15,0)),0,VLOOKUP($S$944,'TAR FIN'!$A$1:$O$108,15,0))</f>
        <v>0</v>
      </c>
      <c r="W944" s="6">
        <f>IF(ISERROR(VLOOKUP($T$944,'TAR FIN'!$A$1:$O$108,15,0)),0,VLOOKUP($T$944,'TAR FIN'!$A$1:$O$108,15,0))</f>
        <v>432.02</v>
      </c>
      <c r="X944" s="6">
        <f>IF(ISERROR(VLOOKUP($U$944,'TAR FIN'!$A$1:$O$108,15,0)),0,VLOOKUP($U$944,'TAR FIN'!$A$1:$O$108,15,0))</f>
        <v>107.79</v>
      </c>
      <c r="Y944" s="6"/>
      <c r="Z944" s="6">
        <f ca="1">('TUSD BE'!$AM$64+'TUSD BF'!$AM$64+'TUSD CVA'!$AM$64)*1</f>
        <v>497.19204594021971</v>
      </c>
      <c r="AA944" s="6">
        <f>('TE BE'!$AB$44+'TE BF'!$AB$44+'TE CVA'!$AB$44)*1</f>
        <v>224.47961306175614</v>
      </c>
      <c r="AB944" s="6">
        <f>$K$944*$V$944</f>
        <v>0</v>
      </c>
      <c r="AC944" s="6">
        <f>$M$944*$W$944</f>
        <v>-3644.9527399999997</v>
      </c>
      <c r="AD944" s="6">
        <f>$O$944*$X$944</f>
        <v>-909.42422999999997</v>
      </c>
      <c r="AE944" s="6">
        <f>$K$944*$Y$944</f>
        <v>0</v>
      </c>
      <c r="AF944" s="6">
        <f ca="1">$M$944*$Z$944</f>
        <v>-4194.8092915976331</v>
      </c>
      <c r="AG944" s="6">
        <f>$O$944*$AA$944</f>
        <v>-1893.9344954020364</v>
      </c>
    </row>
    <row r="945" spans="1:33" ht="11.25" customHeight="1" x14ac:dyDescent="0.25">
      <c r="A945" s="4" t="s">
        <v>28</v>
      </c>
      <c r="B945" s="4" t="s">
        <v>37</v>
      </c>
      <c r="C945" s="4" t="s">
        <v>23</v>
      </c>
      <c r="D945" s="4" t="s">
        <v>38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44562</v>
      </c>
      <c r="J945" s="6">
        <v>0</v>
      </c>
      <c r="K945" s="6">
        <v>0</v>
      </c>
      <c r="L945" s="6">
        <v>11.589</v>
      </c>
      <c r="M945" s="6">
        <v>11.589</v>
      </c>
      <c r="N945" s="6">
        <v>11.589</v>
      </c>
      <c r="O945" s="6">
        <v>11.589</v>
      </c>
      <c r="P945" s="6">
        <v>3</v>
      </c>
      <c r="Q945" s="4" t="s">
        <v>26</v>
      </c>
      <c r="R945" s="4">
        <v>0</v>
      </c>
      <c r="S945" s="6">
        <v>0</v>
      </c>
      <c r="T945" s="6">
        <v>66</v>
      </c>
      <c r="U945" s="6">
        <v>3</v>
      </c>
      <c r="V945" s="6">
        <f>IF(ISERROR(VLOOKUP($S$945,'TAR FIN'!$A$1:$O$108,15,0)),0,VLOOKUP($S$945,'TAR FIN'!$A$1:$O$108,15,0))</f>
        <v>0</v>
      </c>
      <c r="W945" s="6">
        <f>IF(ISERROR(VLOOKUP($T$945,'TAR FIN'!$A$1:$O$108,15,0)),0,VLOOKUP($T$945,'TAR FIN'!$A$1:$O$108,15,0))</f>
        <v>432.02</v>
      </c>
      <c r="X945" s="6">
        <f>IF(ISERROR(VLOOKUP($U$945,'TAR FIN'!$A$1:$O$108,15,0)),0,VLOOKUP($U$945,'TAR FIN'!$A$1:$O$108,15,0))</f>
        <v>107.79</v>
      </c>
      <c r="Y945" s="6"/>
      <c r="Z945" s="6">
        <f ca="1">('TUSD BE'!$AM$64+'TUSD BF'!$AM$64+'TUSD CVA'!$AM$64)*1</f>
        <v>497.19204594021971</v>
      </c>
      <c r="AA945" s="6">
        <f>('TE BE'!$AB$44+'TE BF'!$AB$44+'TE CVA'!$AB$44)*1</f>
        <v>224.47961306175614</v>
      </c>
      <c r="AB945" s="6">
        <f>$K$945*$V$945</f>
        <v>0</v>
      </c>
      <c r="AC945" s="6">
        <f>$M$945*$W$945</f>
        <v>5006.6797800000004</v>
      </c>
      <c r="AD945" s="6">
        <f>$O$945*$X$945</f>
        <v>1249.17831</v>
      </c>
      <c r="AE945" s="6">
        <f>$K$945*$Y$945</f>
        <v>0</v>
      </c>
      <c r="AF945" s="6">
        <f ca="1">$M$945*$Z$945</f>
        <v>5761.9586204012066</v>
      </c>
      <c r="AG945" s="6">
        <f>$O$945*$AA$945</f>
        <v>2601.4942357726918</v>
      </c>
    </row>
    <row r="946" spans="1:33" ht="11.25" customHeight="1" x14ac:dyDescent="0.25">
      <c r="A946" s="4" t="s">
        <v>21</v>
      </c>
      <c r="B946" s="4" t="s">
        <v>37</v>
      </c>
      <c r="C946" s="4" t="s">
        <v>23</v>
      </c>
      <c r="D946" s="4" t="s">
        <v>38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44593</v>
      </c>
      <c r="J946" s="6">
        <v>0</v>
      </c>
      <c r="K946" s="6">
        <v>0</v>
      </c>
      <c r="L946" s="6">
        <v>215.87200000000001</v>
      </c>
      <c r="M946" s="6">
        <v>215.87200000000001</v>
      </c>
      <c r="N946" s="6">
        <v>215.87200000000001</v>
      </c>
      <c r="O946" s="6">
        <v>215.87200000000001</v>
      </c>
      <c r="P946" s="6">
        <v>219</v>
      </c>
      <c r="Q946" s="4" t="s">
        <v>26</v>
      </c>
      <c r="R946" s="4">
        <v>0</v>
      </c>
      <c r="S946" s="6">
        <v>0</v>
      </c>
      <c r="T946" s="6">
        <v>66</v>
      </c>
      <c r="U946" s="6">
        <v>3</v>
      </c>
      <c r="V946" s="6">
        <f>IF(ISERROR(VLOOKUP($S$946,'TAR FIN'!$A$1:$O$108,15,0)),0,VLOOKUP($S$946,'TAR FIN'!$A$1:$O$108,15,0))</f>
        <v>0</v>
      </c>
      <c r="W946" s="6">
        <f>IF(ISERROR(VLOOKUP($T$946,'TAR FIN'!$A$1:$O$108,15,0)),0,VLOOKUP($T$946,'TAR FIN'!$A$1:$O$108,15,0))</f>
        <v>432.02</v>
      </c>
      <c r="X946" s="6">
        <f>IF(ISERROR(VLOOKUP($U$946,'TAR FIN'!$A$1:$O$108,15,0)),0,VLOOKUP($U$946,'TAR FIN'!$A$1:$O$108,15,0))</f>
        <v>107.79</v>
      </c>
      <c r="Y946" s="6"/>
      <c r="Z946" s="6">
        <f ca="1">('TUSD BE'!$AM$64+'TUSD BF'!$AM$64+'TUSD CVA'!$AM$64)*1</f>
        <v>497.19204594021971</v>
      </c>
      <c r="AA946" s="6">
        <f>('TE BE'!$AB$44+'TE BF'!$AB$44+'TE CVA'!$AB$44)*1</f>
        <v>224.47961306175614</v>
      </c>
      <c r="AB946" s="6">
        <f>$K$946*$V$946</f>
        <v>0</v>
      </c>
      <c r="AC946" s="6">
        <f>$M$946*$W$946</f>
        <v>93261.021439999997</v>
      </c>
      <c r="AD946" s="6">
        <f>$O$946*$X$946</f>
        <v>23268.842880000004</v>
      </c>
      <c r="AE946" s="6">
        <f>$K$946*$Y$946</f>
        <v>0</v>
      </c>
      <c r="AF946" s="6">
        <f ca="1">$M$946*$Z$946</f>
        <v>107329.84134120712</v>
      </c>
      <c r="AG946" s="6">
        <f>$O$946*$AA$946</f>
        <v>48458.863030867426</v>
      </c>
    </row>
    <row r="947" spans="1:33" ht="11.25" customHeight="1" x14ac:dyDescent="0.25">
      <c r="A947" s="4" t="s">
        <v>28</v>
      </c>
      <c r="B947" s="4" t="s">
        <v>37</v>
      </c>
      <c r="C947" s="4" t="s">
        <v>23</v>
      </c>
      <c r="D947" s="4" t="s">
        <v>38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44593</v>
      </c>
      <c r="J947" s="6">
        <v>0</v>
      </c>
      <c r="K947" s="6">
        <v>0</v>
      </c>
      <c r="L947" s="6">
        <v>11.587999999999999</v>
      </c>
      <c r="M947" s="6">
        <v>11.587999999999999</v>
      </c>
      <c r="N947" s="6">
        <v>11.587999999999999</v>
      </c>
      <c r="O947" s="6">
        <v>11.587999999999999</v>
      </c>
      <c r="P947" s="6">
        <v>3</v>
      </c>
      <c r="Q947" s="4" t="s">
        <v>26</v>
      </c>
      <c r="R947" s="4">
        <v>0</v>
      </c>
      <c r="S947" s="6">
        <v>0</v>
      </c>
      <c r="T947" s="6">
        <v>66</v>
      </c>
      <c r="U947" s="6">
        <v>3</v>
      </c>
      <c r="V947" s="6">
        <f>IF(ISERROR(VLOOKUP($S$947,'TAR FIN'!$A$1:$O$108,15,0)),0,VLOOKUP($S$947,'TAR FIN'!$A$1:$O$108,15,0))</f>
        <v>0</v>
      </c>
      <c r="W947" s="6">
        <f>IF(ISERROR(VLOOKUP($T$947,'TAR FIN'!$A$1:$O$108,15,0)),0,VLOOKUP($T$947,'TAR FIN'!$A$1:$O$108,15,0))</f>
        <v>432.02</v>
      </c>
      <c r="X947" s="6">
        <f>IF(ISERROR(VLOOKUP($U$947,'TAR FIN'!$A$1:$O$108,15,0)),0,VLOOKUP($U$947,'TAR FIN'!$A$1:$O$108,15,0))</f>
        <v>107.79</v>
      </c>
      <c r="Y947" s="6"/>
      <c r="Z947" s="6">
        <f ca="1">('TUSD BE'!$AM$64+'TUSD BF'!$AM$64+'TUSD CVA'!$AM$64)*1</f>
        <v>497.19204594021971</v>
      </c>
      <c r="AA947" s="6">
        <f>('TE BE'!$AB$44+'TE BF'!$AB$44+'TE CVA'!$AB$44)*1</f>
        <v>224.47961306175614</v>
      </c>
      <c r="AB947" s="6">
        <f>$K$947*$V$947</f>
        <v>0</v>
      </c>
      <c r="AC947" s="6">
        <f>$M$947*$W$947</f>
        <v>5006.2477599999993</v>
      </c>
      <c r="AD947" s="6">
        <f>$O$947*$X$947</f>
        <v>1249.07052</v>
      </c>
      <c r="AE947" s="6">
        <f>$K$947*$Y$947</f>
        <v>0</v>
      </c>
      <c r="AF947" s="6">
        <f ca="1">$M$947*$Z$947</f>
        <v>5761.4614283552655</v>
      </c>
      <c r="AG947" s="6">
        <f>$O$947*$AA$947</f>
        <v>2601.2697561596301</v>
      </c>
    </row>
    <row r="948" spans="1:33" ht="11.25" customHeight="1" x14ac:dyDescent="0.25">
      <c r="A948" s="4" t="s">
        <v>21</v>
      </c>
      <c r="B948" s="4" t="s">
        <v>37</v>
      </c>
      <c r="C948" s="4" t="s">
        <v>23</v>
      </c>
      <c r="D948" s="4" t="s">
        <v>38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44621</v>
      </c>
      <c r="J948" s="6">
        <v>0</v>
      </c>
      <c r="K948" s="6">
        <v>0</v>
      </c>
      <c r="L948" s="6">
        <v>228.69399999999999</v>
      </c>
      <c r="M948" s="6">
        <v>228.69399999999999</v>
      </c>
      <c r="N948" s="6">
        <v>228.69399999999999</v>
      </c>
      <c r="O948" s="6">
        <v>228.69399999999999</v>
      </c>
      <c r="P948" s="6">
        <v>218</v>
      </c>
      <c r="Q948" s="4" t="s">
        <v>26</v>
      </c>
      <c r="R948" s="4">
        <v>0</v>
      </c>
      <c r="S948" s="6">
        <v>0</v>
      </c>
      <c r="T948" s="6">
        <v>66</v>
      </c>
      <c r="U948" s="6">
        <v>3</v>
      </c>
      <c r="V948" s="6">
        <f>IF(ISERROR(VLOOKUP($S$948,'TAR FIN'!$A$1:$O$108,15,0)),0,VLOOKUP($S$948,'TAR FIN'!$A$1:$O$108,15,0))</f>
        <v>0</v>
      </c>
      <c r="W948" s="6">
        <f>IF(ISERROR(VLOOKUP($T$948,'TAR FIN'!$A$1:$O$108,15,0)),0,VLOOKUP($T$948,'TAR FIN'!$A$1:$O$108,15,0))</f>
        <v>432.02</v>
      </c>
      <c r="X948" s="6">
        <f>IF(ISERROR(VLOOKUP($U$948,'TAR FIN'!$A$1:$O$108,15,0)),0,VLOOKUP($U$948,'TAR FIN'!$A$1:$O$108,15,0))</f>
        <v>107.79</v>
      </c>
      <c r="Y948" s="6"/>
      <c r="Z948" s="6">
        <f ca="1">('TUSD BE'!$AM$64+'TUSD BF'!$AM$64+'TUSD CVA'!$AM$64)*1</f>
        <v>497.19204594021971</v>
      </c>
      <c r="AA948" s="6">
        <f>('TE BE'!$AB$44+'TE BF'!$AB$44+'TE CVA'!$AB$44)*1</f>
        <v>224.47961306175614</v>
      </c>
      <c r="AB948" s="6">
        <f>$K$948*$V$948</f>
        <v>0</v>
      </c>
      <c r="AC948" s="6">
        <f>$M$948*$W$948</f>
        <v>98800.381879999986</v>
      </c>
      <c r="AD948" s="6">
        <f>$O$948*$X$948</f>
        <v>24650.92626</v>
      </c>
      <c r="AE948" s="6">
        <f>$K$948*$Y$948</f>
        <v>0</v>
      </c>
      <c r="AF948" s="6">
        <f ca="1">$M$948*$Z$948</f>
        <v>113704.8377542526</v>
      </c>
      <c r="AG948" s="6">
        <f>$O$948*$AA$948</f>
        <v>51337.140629545254</v>
      </c>
    </row>
    <row r="949" spans="1:33" ht="11.25" customHeight="1" x14ac:dyDescent="0.25">
      <c r="A949" s="4" t="s">
        <v>27</v>
      </c>
      <c r="B949" s="4" t="s">
        <v>37</v>
      </c>
      <c r="C949" s="4" t="s">
        <v>23</v>
      </c>
      <c r="D949" s="4" t="s">
        <v>38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44621</v>
      </c>
      <c r="J949" s="6">
        <v>0</v>
      </c>
      <c r="K949" s="6">
        <v>0</v>
      </c>
      <c r="L949" s="6">
        <v>-3.1070000000000002</v>
      </c>
      <c r="M949" s="6">
        <v>-3.1070000000000002</v>
      </c>
      <c r="N949" s="6">
        <v>-3.1070000000000002</v>
      </c>
      <c r="O949" s="6">
        <v>-3.1070000000000002</v>
      </c>
      <c r="P949" s="6">
        <v>0</v>
      </c>
      <c r="Q949" s="4" t="s">
        <v>26</v>
      </c>
      <c r="R949" s="4">
        <v>0</v>
      </c>
      <c r="S949" s="6">
        <v>0</v>
      </c>
      <c r="T949" s="6">
        <v>66</v>
      </c>
      <c r="U949" s="6">
        <v>3</v>
      </c>
      <c r="V949" s="6">
        <f>IF(ISERROR(VLOOKUP($S$949,'TAR FIN'!$A$1:$O$108,15,0)),0,VLOOKUP($S$949,'TAR FIN'!$A$1:$O$108,15,0))</f>
        <v>0</v>
      </c>
      <c r="W949" s="6">
        <f>IF(ISERROR(VLOOKUP($T$949,'TAR FIN'!$A$1:$O$108,15,0)),0,VLOOKUP($T$949,'TAR FIN'!$A$1:$O$108,15,0))</f>
        <v>432.02</v>
      </c>
      <c r="X949" s="6">
        <f>IF(ISERROR(VLOOKUP($U$949,'TAR FIN'!$A$1:$O$108,15,0)),0,VLOOKUP($U$949,'TAR FIN'!$A$1:$O$108,15,0))</f>
        <v>107.79</v>
      </c>
      <c r="Y949" s="6"/>
      <c r="Z949" s="6">
        <f ca="1">('TUSD BE'!$AM$64+'TUSD BF'!$AM$64+'TUSD CVA'!$AM$64)*1</f>
        <v>497.19204594021971</v>
      </c>
      <c r="AA949" s="6">
        <f>('TE BE'!$AB$44+'TE BF'!$AB$44+'TE CVA'!$AB$44)*1</f>
        <v>224.47961306175614</v>
      </c>
      <c r="AB949" s="6">
        <f>$K$949*$V$949</f>
        <v>0</v>
      </c>
      <c r="AC949" s="6">
        <f>$M$949*$W$949</f>
        <v>-1342.2861399999999</v>
      </c>
      <c r="AD949" s="6">
        <f>$O$949*$X$949</f>
        <v>-334.90353000000005</v>
      </c>
      <c r="AE949" s="6">
        <f>$K$949*$Y$949</f>
        <v>0</v>
      </c>
      <c r="AF949" s="6">
        <f ca="1">$M$949*$Z$949</f>
        <v>-1544.7756867362627</v>
      </c>
      <c r="AG949" s="6">
        <f>$O$949*$AA$949</f>
        <v>-697.45815778287636</v>
      </c>
    </row>
    <row r="950" spans="1:33" ht="11.25" customHeight="1" x14ac:dyDescent="0.25">
      <c r="A950" s="4" t="s">
        <v>28</v>
      </c>
      <c r="B950" s="4" t="s">
        <v>37</v>
      </c>
      <c r="C950" s="4" t="s">
        <v>23</v>
      </c>
      <c r="D950" s="4" t="s">
        <v>38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44621</v>
      </c>
      <c r="J950" s="6">
        <v>0</v>
      </c>
      <c r="K950" s="6">
        <v>0</v>
      </c>
      <c r="L950" s="6">
        <v>11.62</v>
      </c>
      <c r="M950" s="6">
        <v>11.62</v>
      </c>
      <c r="N950" s="6">
        <v>11.62</v>
      </c>
      <c r="O950" s="6">
        <v>11.62</v>
      </c>
      <c r="P950" s="6">
        <v>3</v>
      </c>
      <c r="Q950" s="4" t="s">
        <v>26</v>
      </c>
      <c r="R950" s="4">
        <v>0</v>
      </c>
      <c r="S950" s="6">
        <v>0</v>
      </c>
      <c r="T950" s="6">
        <v>66</v>
      </c>
      <c r="U950" s="6">
        <v>3</v>
      </c>
      <c r="V950" s="6">
        <f>IF(ISERROR(VLOOKUP($S$950,'TAR FIN'!$A$1:$O$108,15,0)),0,VLOOKUP($S$950,'TAR FIN'!$A$1:$O$108,15,0))</f>
        <v>0</v>
      </c>
      <c r="W950" s="6">
        <f>IF(ISERROR(VLOOKUP($T$950,'TAR FIN'!$A$1:$O$108,15,0)),0,VLOOKUP($T$950,'TAR FIN'!$A$1:$O$108,15,0))</f>
        <v>432.02</v>
      </c>
      <c r="X950" s="6">
        <f>IF(ISERROR(VLOOKUP($U$950,'TAR FIN'!$A$1:$O$108,15,0)),0,VLOOKUP($U$950,'TAR FIN'!$A$1:$O$108,15,0))</f>
        <v>107.79</v>
      </c>
      <c r="Y950" s="6"/>
      <c r="Z950" s="6">
        <f ca="1">('TUSD BE'!$AM$64+'TUSD BF'!$AM$64+'TUSD CVA'!$AM$64)*1</f>
        <v>497.19204594021971</v>
      </c>
      <c r="AA950" s="6">
        <f>('TE BE'!$AB$44+'TE BF'!$AB$44+'TE CVA'!$AB$44)*1</f>
        <v>224.47961306175614</v>
      </c>
      <c r="AB950" s="6">
        <f>$K$950*$V$950</f>
        <v>0</v>
      </c>
      <c r="AC950" s="6">
        <f>$M$950*$W$950</f>
        <v>5020.0723999999991</v>
      </c>
      <c r="AD950" s="6">
        <f>$O$950*$X$950</f>
        <v>1252.5198</v>
      </c>
      <c r="AE950" s="6">
        <f>$K$950*$Y$950</f>
        <v>0</v>
      </c>
      <c r="AF950" s="6">
        <f ca="1">$M$950*$Z$950</f>
        <v>5777.3715738253522</v>
      </c>
      <c r="AG950" s="6">
        <f>$O$950*$AA$950</f>
        <v>2608.453103777606</v>
      </c>
    </row>
    <row r="951" spans="1:33" ht="11.25" customHeight="1" x14ac:dyDescent="0.25">
      <c r="A951" s="4" t="s">
        <v>21</v>
      </c>
      <c r="B951" s="4" t="s">
        <v>37</v>
      </c>
      <c r="C951" s="4" t="s">
        <v>23</v>
      </c>
      <c r="D951" s="4" t="s">
        <v>38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44652</v>
      </c>
      <c r="J951" s="6">
        <v>0</v>
      </c>
      <c r="K951" s="6">
        <v>0</v>
      </c>
      <c r="L951" s="6">
        <v>239.10300000000001</v>
      </c>
      <c r="M951" s="6">
        <v>239.10300000000001</v>
      </c>
      <c r="N951" s="6">
        <v>239.10300000000001</v>
      </c>
      <c r="O951" s="6">
        <v>239.10300000000001</v>
      </c>
      <c r="P951" s="6">
        <v>212</v>
      </c>
      <c r="Q951" s="4" t="s">
        <v>26</v>
      </c>
      <c r="R951" s="4">
        <v>0</v>
      </c>
      <c r="S951" s="6">
        <v>0</v>
      </c>
      <c r="T951" s="6">
        <v>66</v>
      </c>
      <c r="U951" s="6">
        <v>3</v>
      </c>
      <c r="V951" s="6">
        <f>IF(ISERROR(VLOOKUP($S$951,'TAR FIN'!$A$1:$O$108,15,0)),0,VLOOKUP($S$951,'TAR FIN'!$A$1:$O$108,15,0))</f>
        <v>0</v>
      </c>
      <c r="W951" s="6">
        <f>IF(ISERROR(VLOOKUP($T$951,'TAR FIN'!$A$1:$O$108,15,0)),0,VLOOKUP($T$951,'TAR FIN'!$A$1:$O$108,15,0))</f>
        <v>432.02</v>
      </c>
      <c r="X951" s="6">
        <f>IF(ISERROR(VLOOKUP($U$951,'TAR FIN'!$A$1:$O$108,15,0)),0,VLOOKUP($U$951,'TAR FIN'!$A$1:$O$108,15,0))</f>
        <v>107.79</v>
      </c>
      <c r="Y951" s="6"/>
      <c r="Z951" s="6">
        <f ca="1">('TUSD BE'!$AM$64+'TUSD BF'!$AM$64+'TUSD CVA'!$AM$64)*1</f>
        <v>497.19204594021971</v>
      </c>
      <c r="AA951" s="6">
        <f>('TE BE'!$AB$44+'TE BF'!$AB$44+'TE CVA'!$AB$44)*1</f>
        <v>224.47961306175614</v>
      </c>
      <c r="AB951" s="6">
        <f>$K$951*$V$951</f>
        <v>0</v>
      </c>
      <c r="AC951" s="6">
        <f>$M$951*$W$951</f>
        <v>103297.27806</v>
      </c>
      <c r="AD951" s="6">
        <f>$O$951*$X$951</f>
        <v>25772.912370000002</v>
      </c>
      <c r="AE951" s="6">
        <f>$K$951*$Y$951</f>
        <v>0</v>
      </c>
      <c r="AF951" s="6">
        <f ca="1">$M$951*$Z$951</f>
        <v>118880.10976044436</v>
      </c>
      <c r="AG951" s="6">
        <f>$O$951*$AA$951</f>
        <v>53673.748921905077</v>
      </c>
    </row>
    <row r="952" spans="1:33" ht="11.25" customHeight="1" x14ac:dyDescent="0.25">
      <c r="A952" s="4" t="s">
        <v>28</v>
      </c>
      <c r="B952" s="4" t="s">
        <v>37</v>
      </c>
      <c r="C952" s="4" t="s">
        <v>23</v>
      </c>
      <c r="D952" s="4" t="s">
        <v>38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44652</v>
      </c>
      <c r="J952" s="6">
        <v>0</v>
      </c>
      <c r="K952" s="6">
        <v>0</v>
      </c>
      <c r="L952" s="6">
        <v>11.978</v>
      </c>
      <c r="M952" s="6">
        <v>11.978</v>
      </c>
      <c r="N952" s="6">
        <v>11.978</v>
      </c>
      <c r="O952" s="6">
        <v>11.978</v>
      </c>
      <c r="P952" s="6">
        <v>3</v>
      </c>
      <c r="Q952" s="4" t="s">
        <v>26</v>
      </c>
      <c r="R952" s="4">
        <v>0</v>
      </c>
      <c r="S952" s="6">
        <v>0</v>
      </c>
      <c r="T952" s="6">
        <v>66</v>
      </c>
      <c r="U952" s="6">
        <v>3</v>
      </c>
      <c r="V952" s="6">
        <f>IF(ISERROR(VLOOKUP($S$952,'TAR FIN'!$A$1:$O$108,15,0)),0,VLOOKUP($S$952,'TAR FIN'!$A$1:$O$108,15,0))</f>
        <v>0</v>
      </c>
      <c r="W952" s="6">
        <f>IF(ISERROR(VLOOKUP($T$952,'TAR FIN'!$A$1:$O$108,15,0)),0,VLOOKUP($T$952,'TAR FIN'!$A$1:$O$108,15,0))</f>
        <v>432.02</v>
      </c>
      <c r="X952" s="6">
        <f>IF(ISERROR(VLOOKUP($U$952,'TAR FIN'!$A$1:$O$108,15,0)),0,VLOOKUP($U$952,'TAR FIN'!$A$1:$O$108,15,0))</f>
        <v>107.79</v>
      </c>
      <c r="Y952" s="6"/>
      <c r="Z952" s="6">
        <f ca="1">('TUSD BE'!$AM$64+'TUSD BF'!$AM$64+'TUSD CVA'!$AM$64)*1</f>
        <v>497.19204594021971</v>
      </c>
      <c r="AA952" s="6">
        <f>('TE BE'!$AB$44+'TE BF'!$AB$44+'TE CVA'!$AB$44)*1</f>
        <v>224.47961306175614</v>
      </c>
      <c r="AB952" s="6">
        <f>$K$952*$V$952</f>
        <v>0</v>
      </c>
      <c r="AC952" s="6">
        <f>$M$952*$W$952</f>
        <v>5174.7355600000001</v>
      </c>
      <c r="AD952" s="6">
        <f>$O$952*$X$952</f>
        <v>1291.10862</v>
      </c>
      <c r="AE952" s="6">
        <f>$K$952*$Y$952</f>
        <v>0</v>
      </c>
      <c r="AF952" s="6">
        <f ca="1">$M$952*$Z$952</f>
        <v>5955.3663262719519</v>
      </c>
      <c r="AG952" s="6">
        <f>$O$952*$AA$952</f>
        <v>2688.8168052537148</v>
      </c>
    </row>
    <row r="953" spans="1:33" ht="11.25" customHeight="1" x14ac:dyDescent="0.25">
      <c r="A953" s="4" t="s">
        <v>21</v>
      </c>
      <c r="B953" s="4" t="s">
        <v>37</v>
      </c>
      <c r="C953" s="4" t="s">
        <v>23</v>
      </c>
      <c r="D953" s="4" t="s">
        <v>38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44682</v>
      </c>
      <c r="J953" s="6">
        <v>0</v>
      </c>
      <c r="K953" s="6">
        <v>0</v>
      </c>
      <c r="L953" s="6">
        <v>247.72300000000001</v>
      </c>
      <c r="M953" s="6">
        <v>247.72300000000001</v>
      </c>
      <c r="N953" s="6">
        <v>247.72300000000001</v>
      </c>
      <c r="O953" s="6">
        <v>247.72300000000001</v>
      </c>
      <c r="P953" s="6">
        <v>214</v>
      </c>
      <c r="Q953" s="4" t="s">
        <v>26</v>
      </c>
      <c r="R953" s="4">
        <v>0</v>
      </c>
      <c r="S953" s="6">
        <v>0</v>
      </c>
      <c r="T953" s="6">
        <v>66</v>
      </c>
      <c r="U953" s="6">
        <v>3</v>
      </c>
      <c r="V953" s="6">
        <f>IF(ISERROR(VLOOKUP($S$953,'TAR FIN'!$A$1:$O$108,15,0)),0,VLOOKUP($S$953,'TAR FIN'!$A$1:$O$108,15,0))</f>
        <v>0</v>
      </c>
      <c r="W953" s="6">
        <f>IF(ISERROR(VLOOKUP($T$953,'TAR FIN'!$A$1:$O$108,15,0)),0,VLOOKUP($T$953,'TAR FIN'!$A$1:$O$108,15,0))</f>
        <v>432.02</v>
      </c>
      <c r="X953" s="6">
        <f>IF(ISERROR(VLOOKUP($U$953,'TAR FIN'!$A$1:$O$108,15,0)),0,VLOOKUP($U$953,'TAR FIN'!$A$1:$O$108,15,0))</f>
        <v>107.79</v>
      </c>
      <c r="Y953" s="6"/>
      <c r="Z953" s="6">
        <f ca="1">('TUSD BE'!$AM$64+'TUSD BF'!$AM$64+'TUSD CVA'!$AM$64)*1</f>
        <v>497.19204594021971</v>
      </c>
      <c r="AA953" s="6">
        <f>('TE BE'!$AB$44+'TE BF'!$AB$44+'TE CVA'!$AB$44)*1</f>
        <v>224.47961306175614</v>
      </c>
      <c r="AB953" s="6">
        <f>$K$953*$V$953</f>
        <v>0</v>
      </c>
      <c r="AC953" s="6">
        <f>$M$953*$W$953</f>
        <v>107021.29046</v>
      </c>
      <c r="AD953" s="6">
        <f>$O$953*$X$953</f>
        <v>26702.062170000005</v>
      </c>
      <c r="AE953" s="6">
        <f>$K$953*$Y$953</f>
        <v>0</v>
      </c>
      <c r="AF953" s="6">
        <f ca="1">$M$953*$Z$953</f>
        <v>123165.90519644905</v>
      </c>
      <c r="AG953" s="6">
        <f>$O$953*$AA$953</f>
        <v>55608.763186497417</v>
      </c>
    </row>
    <row r="954" spans="1:33" ht="11.25" customHeight="1" x14ac:dyDescent="0.25">
      <c r="A954" s="4" t="s">
        <v>27</v>
      </c>
      <c r="B954" s="4" t="s">
        <v>37</v>
      </c>
      <c r="C954" s="4" t="s">
        <v>23</v>
      </c>
      <c r="D954" s="4" t="s">
        <v>38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44682</v>
      </c>
      <c r="J954" s="6">
        <v>0</v>
      </c>
      <c r="K954" s="6">
        <v>0</v>
      </c>
      <c r="L954" s="6">
        <v>-6.4779999999999998</v>
      </c>
      <c r="M954" s="6">
        <v>-6.4779999999999998</v>
      </c>
      <c r="N954" s="6">
        <v>-6.4779999999999998</v>
      </c>
      <c r="O954" s="6">
        <v>-6.4779999999999998</v>
      </c>
      <c r="P954" s="6">
        <v>0</v>
      </c>
      <c r="Q954" s="4" t="s">
        <v>26</v>
      </c>
      <c r="R954" s="4">
        <v>0</v>
      </c>
      <c r="S954" s="6">
        <v>0</v>
      </c>
      <c r="T954" s="6">
        <v>66</v>
      </c>
      <c r="U954" s="6">
        <v>3</v>
      </c>
      <c r="V954" s="6">
        <f>IF(ISERROR(VLOOKUP($S$954,'TAR FIN'!$A$1:$O$108,15,0)),0,VLOOKUP($S$954,'TAR FIN'!$A$1:$O$108,15,0))</f>
        <v>0</v>
      </c>
      <c r="W954" s="6">
        <f>IF(ISERROR(VLOOKUP($T$954,'TAR FIN'!$A$1:$O$108,15,0)),0,VLOOKUP($T$954,'TAR FIN'!$A$1:$O$108,15,0))</f>
        <v>432.02</v>
      </c>
      <c r="X954" s="6">
        <f>IF(ISERROR(VLOOKUP($U$954,'TAR FIN'!$A$1:$O$108,15,0)),0,VLOOKUP($U$954,'TAR FIN'!$A$1:$O$108,15,0))</f>
        <v>107.79</v>
      </c>
      <c r="Y954" s="6"/>
      <c r="Z954" s="6">
        <f ca="1">('TUSD BE'!$AM$64+'TUSD BF'!$AM$64+'TUSD CVA'!$AM$64)*1</f>
        <v>497.19204594021971</v>
      </c>
      <c r="AA954" s="6">
        <f>('TE BE'!$AB$44+'TE BF'!$AB$44+'TE CVA'!$AB$44)*1</f>
        <v>224.47961306175614</v>
      </c>
      <c r="AB954" s="6">
        <f>$K$954*$V$954</f>
        <v>0</v>
      </c>
      <c r="AC954" s="6">
        <f>$M$954*$W$954</f>
        <v>-2798.62556</v>
      </c>
      <c r="AD954" s="6">
        <f>$O$954*$X$954</f>
        <v>-698.26362000000006</v>
      </c>
      <c r="AE954" s="6">
        <f>$K$954*$Y$954</f>
        <v>0</v>
      </c>
      <c r="AF954" s="6">
        <f ca="1">$M$954*$Z$954</f>
        <v>-3220.8100736007432</v>
      </c>
      <c r="AG954" s="6">
        <f>$O$954*$AA$954</f>
        <v>-1454.1789334140562</v>
      </c>
    </row>
    <row r="955" spans="1:33" ht="11.25" customHeight="1" x14ac:dyDescent="0.25">
      <c r="A955" s="4" t="s">
        <v>28</v>
      </c>
      <c r="B955" s="4" t="s">
        <v>37</v>
      </c>
      <c r="C955" s="4" t="s">
        <v>23</v>
      </c>
      <c r="D955" s="4" t="s">
        <v>38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44682</v>
      </c>
      <c r="J955" s="6">
        <v>0</v>
      </c>
      <c r="K955" s="6">
        <v>0</v>
      </c>
      <c r="L955" s="6">
        <v>7.5049999999999999</v>
      </c>
      <c r="M955" s="6">
        <v>7.5049999999999999</v>
      </c>
      <c r="N955" s="6">
        <v>7.5049999999999999</v>
      </c>
      <c r="O955" s="6">
        <v>7.5049999999999999</v>
      </c>
      <c r="P955" s="6">
        <v>3</v>
      </c>
      <c r="Q955" s="4" t="s">
        <v>26</v>
      </c>
      <c r="R955" s="4">
        <v>0</v>
      </c>
      <c r="S955" s="6">
        <v>0</v>
      </c>
      <c r="T955" s="6">
        <v>66</v>
      </c>
      <c r="U955" s="6">
        <v>3</v>
      </c>
      <c r="V955" s="6">
        <f>IF(ISERROR(VLOOKUP($S$955,'TAR FIN'!$A$1:$O$108,15,0)),0,VLOOKUP($S$955,'TAR FIN'!$A$1:$O$108,15,0))</f>
        <v>0</v>
      </c>
      <c r="W955" s="6">
        <f>IF(ISERROR(VLOOKUP($T$955,'TAR FIN'!$A$1:$O$108,15,0)),0,VLOOKUP($T$955,'TAR FIN'!$A$1:$O$108,15,0))</f>
        <v>432.02</v>
      </c>
      <c r="X955" s="6">
        <f>IF(ISERROR(VLOOKUP($U$955,'TAR FIN'!$A$1:$O$108,15,0)),0,VLOOKUP($U$955,'TAR FIN'!$A$1:$O$108,15,0))</f>
        <v>107.79</v>
      </c>
      <c r="Y955" s="6"/>
      <c r="Z955" s="6">
        <f ca="1">('TUSD BE'!$AM$64+'TUSD BF'!$AM$64+'TUSD CVA'!$AM$64)*1</f>
        <v>497.19204594021971</v>
      </c>
      <c r="AA955" s="6">
        <f>('TE BE'!$AB$44+'TE BF'!$AB$44+'TE CVA'!$AB$44)*1</f>
        <v>224.47961306175614</v>
      </c>
      <c r="AB955" s="6">
        <f>$K$955*$V$955</f>
        <v>0</v>
      </c>
      <c r="AC955" s="6">
        <f>$M$955*$W$955</f>
        <v>3242.3100999999997</v>
      </c>
      <c r="AD955" s="6">
        <f>$O$955*$X$955</f>
        <v>808.96395000000007</v>
      </c>
      <c r="AE955" s="6">
        <f>$K$955*$Y$955</f>
        <v>0</v>
      </c>
      <c r="AF955" s="6">
        <f ca="1">$M$955*$Z$955</f>
        <v>3731.4263047813488</v>
      </c>
      <c r="AG955" s="6">
        <f>$O$955*$AA$955</f>
        <v>1684.7194960284799</v>
      </c>
    </row>
    <row r="956" spans="1:33" ht="11.25" customHeight="1" x14ac:dyDescent="0.25">
      <c r="A956" s="4" t="s">
        <v>21</v>
      </c>
      <c r="B956" s="4" t="s">
        <v>37</v>
      </c>
      <c r="C956" s="4" t="s">
        <v>23</v>
      </c>
      <c r="D956" s="4" t="s">
        <v>38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44713</v>
      </c>
      <c r="J956" s="6">
        <v>0</v>
      </c>
      <c r="K956" s="6">
        <v>0</v>
      </c>
      <c r="L956" s="6">
        <v>280.84399999999999</v>
      </c>
      <c r="M956" s="6">
        <v>280.84399999999999</v>
      </c>
      <c r="N956" s="6">
        <v>280.84399999999999</v>
      </c>
      <c r="O956" s="6">
        <v>280.84399999999999</v>
      </c>
      <c r="P956" s="6">
        <v>220</v>
      </c>
      <c r="Q956" s="4" t="s">
        <v>26</v>
      </c>
      <c r="R956" s="4">
        <v>0</v>
      </c>
      <c r="S956" s="6">
        <v>0</v>
      </c>
      <c r="T956" s="6">
        <v>66</v>
      </c>
      <c r="U956" s="6">
        <v>3</v>
      </c>
      <c r="V956" s="6">
        <f>IF(ISERROR(VLOOKUP($S$956,'TAR FIN'!$A$1:$O$108,15,0)),0,VLOOKUP($S$956,'TAR FIN'!$A$1:$O$108,15,0))</f>
        <v>0</v>
      </c>
      <c r="W956" s="6">
        <f>IF(ISERROR(VLOOKUP($T$956,'TAR FIN'!$A$1:$O$108,15,0)),0,VLOOKUP($T$956,'TAR FIN'!$A$1:$O$108,15,0))</f>
        <v>432.02</v>
      </c>
      <c r="X956" s="6">
        <f>IF(ISERROR(VLOOKUP($U$956,'TAR FIN'!$A$1:$O$108,15,0)),0,VLOOKUP($U$956,'TAR FIN'!$A$1:$O$108,15,0))</f>
        <v>107.79</v>
      </c>
      <c r="Y956" s="6"/>
      <c r="Z956" s="6">
        <f ca="1">('TUSD BE'!$AM$64+'TUSD BF'!$AM$64+'TUSD CVA'!$AM$64)*1</f>
        <v>497.19204594021971</v>
      </c>
      <c r="AA956" s="6">
        <f>('TE BE'!$AB$44+'TE BF'!$AB$44+'TE CVA'!$AB$44)*1</f>
        <v>224.47961306175614</v>
      </c>
      <c r="AB956" s="6">
        <f>$K$956*$V$956</f>
        <v>0</v>
      </c>
      <c r="AC956" s="6">
        <f>$M$956*$W$956</f>
        <v>121330.22487999999</v>
      </c>
      <c r="AD956" s="6">
        <f>$O$956*$X$956</f>
        <v>30272.174760000002</v>
      </c>
      <c r="AE956" s="6">
        <f>$K$956*$Y$956</f>
        <v>0</v>
      </c>
      <c r="AF956" s="6">
        <f ca="1">$M$956*$Z$956</f>
        <v>139633.40295003506</v>
      </c>
      <c r="AG956" s="6">
        <f>$O$956*$AA$956</f>
        <v>63043.752450715838</v>
      </c>
    </row>
    <row r="957" spans="1:33" ht="11.25" customHeight="1" x14ac:dyDescent="0.25">
      <c r="A957" s="4" t="s">
        <v>28</v>
      </c>
      <c r="B957" s="4" t="s">
        <v>37</v>
      </c>
      <c r="C957" s="4" t="s">
        <v>23</v>
      </c>
      <c r="D957" s="4" t="s">
        <v>38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44713</v>
      </c>
      <c r="J957" s="6">
        <v>0</v>
      </c>
      <c r="K957" s="6">
        <v>0</v>
      </c>
      <c r="L957" s="6">
        <v>16.222000000000001</v>
      </c>
      <c r="M957" s="6">
        <v>16.222000000000001</v>
      </c>
      <c r="N957" s="6">
        <v>16.222000000000001</v>
      </c>
      <c r="O957" s="6">
        <v>16.222000000000001</v>
      </c>
      <c r="P957" s="6">
        <v>3</v>
      </c>
      <c r="Q957" s="4" t="s">
        <v>26</v>
      </c>
      <c r="R957" s="4">
        <v>0</v>
      </c>
      <c r="S957" s="6">
        <v>0</v>
      </c>
      <c r="T957" s="6">
        <v>66</v>
      </c>
      <c r="U957" s="6">
        <v>3</v>
      </c>
      <c r="V957" s="6">
        <f>IF(ISERROR(VLOOKUP($S$957,'TAR FIN'!$A$1:$O$108,15,0)),0,VLOOKUP($S$957,'TAR FIN'!$A$1:$O$108,15,0))</f>
        <v>0</v>
      </c>
      <c r="W957" s="6">
        <f>IF(ISERROR(VLOOKUP($T$957,'TAR FIN'!$A$1:$O$108,15,0)),0,VLOOKUP($T$957,'TAR FIN'!$A$1:$O$108,15,0))</f>
        <v>432.02</v>
      </c>
      <c r="X957" s="6">
        <f>IF(ISERROR(VLOOKUP($U$957,'TAR FIN'!$A$1:$O$108,15,0)),0,VLOOKUP($U$957,'TAR FIN'!$A$1:$O$108,15,0))</f>
        <v>107.79</v>
      </c>
      <c r="Y957" s="6"/>
      <c r="Z957" s="6">
        <f ca="1">('TUSD BE'!$AM$64+'TUSD BF'!$AM$64+'TUSD CVA'!$AM$64)*1</f>
        <v>497.19204594021971</v>
      </c>
      <c r="AA957" s="6">
        <f>('TE BE'!$AB$44+'TE BF'!$AB$44+'TE CVA'!$AB$44)*1</f>
        <v>224.47961306175614</v>
      </c>
      <c r="AB957" s="6">
        <f>$K$957*$V$957</f>
        <v>0</v>
      </c>
      <c r="AC957" s="6">
        <f>$M$957*$W$957</f>
        <v>7008.2284399999999</v>
      </c>
      <c r="AD957" s="6">
        <f>$O$957*$X$957</f>
        <v>1748.5693800000001</v>
      </c>
      <c r="AE957" s="6">
        <f>$K$957*$Y$957</f>
        <v>0</v>
      </c>
      <c r="AF957" s="6">
        <f ca="1">$M$957*$Z$957</f>
        <v>8065.4493692422448</v>
      </c>
      <c r="AG957" s="6">
        <f>$O$957*$AA$957</f>
        <v>3641.5082830878082</v>
      </c>
    </row>
    <row r="958" spans="1:33" ht="11.25" customHeight="1" x14ac:dyDescent="0.25">
      <c r="A958" s="4" t="s">
        <v>21</v>
      </c>
      <c r="B958" s="4" t="s">
        <v>37</v>
      </c>
      <c r="C958" s="4" t="s">
        <v>23</v>
      </c>
      <c r="D958" s="4" t="s">
        <v>38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44743</v>
      </c>
      <c r="J958" s="6">
        <v>0</v>
      </c>
      <c r="K958" s="6">
        <v>0</v>
      </c>
      <c r="L958" s="6">
        <v>237.977</v>
      </c>
      <c r="M958" s="6">
        <v>237.977</v>
      </c>
      <c r="N958" s="6">
        <v>237.977</v>
      </c>
      <c r="O958" s="6">
        <v>237.977</v>
      </c>
      <c r="P958" s="6">
        <v>217</v>
      </c>
      <c r="Q958" s="4" t="s">
        <v>26</v>
      </c>
      <c r="R958" s="4">
        <v>0</v>
      </c>
      <c r="S958" s="6">
        <v>0</v>
      </c>
      <c r="T958" s="6">
        <v>66</v>
      </c>
      <c r="U958" s="6">
        <v>3</v>
      </c>
      <c r="V958" s="6">
        <f>IF(ISERROR(VLOOKUP($S$958,'TAR FIN'!$A$1:$O$108,15,0)),0,VLOOKUP($S$958,'TAR FIN'!$A$1:$O$108,15,0))</f>
        <v>0</v>
      </c>
      <c r="W958" s="6">
        <f>IF(ISERROR(VLOOKUP($T$958,'TAR FIN'!$A$1:$O$108,15,0)),0,VLOOKUP($T$958,'TAR FIN'!$A$1:$O$108,15,0))</f>
        <v>432.02</v>
      </c>
      <c r="X958" s="6">
        <f>IF(ISERROR(VLOOKUP($U$958,'TAR FIN'!$A$1:$O$108,15,0)),0,VLOOKUP($U$958,'TAR FIN'!$A$1:$O$108,15,0))</f>
        <v>107.79</v>
      </c>
      <c r="Y958" s="6"/>
      <c r="Z958" s="6">
        <f ca="1">('TUSD BE'!$AM$64+'TUSD BF'!$AM$64+'TUSD CVA'!$AM$64)*1</f>
        <v>497.19204594021971</v>
      </c>
      <c r="AA958" s="6">
        <f>('TE BE'!$AB$44+'TE BF'!$AB$44+'TE CVA'!$AB$44)*1</f>
        <v>224.47961306175614</v>
      </c>
      <c r="AB958" s="6">
        <f>$K$958*$V$958</f>
        <v>0</v>
      </c>
      <c r="AC958" s="6">
        <f>$M$958*$W$958</f>
        <v>102810.82354</v>
      </c>
      <c r="AD958" s="6">
        <f>$O$958*$X$958</f>
        <v>25651.540830000002</v>
      </c>
      <c r="AE958" s="6">
        <f>$K$958*$Y$958</f>
        <v>0</v>
      </c>
      <c r="AF958" s="6">
        <f ca="1">$M$958*$Z$958</f>
        <v>118320.27151671567</v>
      </c>
      <c r="AG958" s="6">
        <f>$O$958*$AA$958</f>
        <v>53420.984877597541</v>
      </c>
    </row>
    <row r="959" spans="1:33" ht="11.25" customHeight="1" x14ac:dyDescent="0.25">
      <c r="A959" s="4" t="s">
        <v>27</v>
      </c>
      <c r="B959" s="4" t="s">
        <v>37</v>
      </c>
      <c r="C959" s="4" t="s">
        <v>23</v>
      </c>
      <c r="D959" s="4" t="s">
        <v>38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44743</v>
      </c>
      <c r="J959" s="6">
        <v>0</v>
      </c>
      <c r="K959" s="6">
        <v>0</v>
      </c>
      <c r="L959" s="6">
        <v>-13.643000000000001</v>
      </c>
      <c r="M959" s="6">
        <v>-13.643000000000001</v>
      </c>
      <c r="N959" s="6">
        <v>-13.643000000000001</v>
      </c>
      <c r="O959" s="6">
        <v>-13.643000000000001</v>
      </c>
      <c r="P959" s="6">
        <v>2</v>
      </c>
      <c r="Q959" s="4" t="s">
        <v>26</v>
      </c>
      <c r="R959" s="4">
        <v>0</v>
      </c>
      <c r="S959" s="6">
        <v>0</v>
      </c>
      <c r="T959" s="6">
        <v>66</v>
      </c>
      <c r="U959" s="6">
        <v>3</v>
      </c>
      <c r="V959" s="6">
        <f>IF(ISERROR(VLOOKUP($S$959,'TAR FIN'!$A$1:$O$108,15,0)),0,VLOOKUP($S$959,'TAR FIN'!$A$1:$O$108,15,0))</f>
        <v>0</v>
      </c>
      <c r="W959" s="6">
        <f>IF(ISERROR(VLOOKUP($T$959,'TAR FIN'!$A$1:$O$108,15,0)),0,VLOOKUP($T$959,'TAR FIN'!$A$1:$O$108,15,0))</f>
        <v>432.02</v>
      </c>
      <c r="X959" s="6">
        <f>IF(ISERROR(VLOOKUP($U$959,'TAR FIN'!$A$1:$O$108,15,0)),0,VLOOKUP($U$959,'TAR FIN'!$A$1:$O$108,15,0))</f>
        <v>107.79</v>
      </c>
      <c r="Y959" s="6"/>
      <c r="Z959" s="6">
        <f ca="1">('TUSD BE'!$AM$64+'TUSD BF'!$AM$64+'TUSD CVA'!$AM$64)*1</f>
        <v>497.19204594021971</v>
      </c>
      <c r="AA959" s="6">
        <f>('TE BE'!$AB$44+'TE BF'!$AB$44+'TE CVA'!$AB$44)*1</f>
        <v>224.47961306175614</v>
      </c>
      <c r="AB959" s="6">
        <f>$K$959*$V$959</f>
        <v>0</v>
      </c>
      <c r="AC959" s="6">
        <f>$M$959*$W$959</f>
        <v>-5894.0488599999999</v>
      </c>
      <c r="AD959" s="6">
        <f>$O$959*$X$959</f>
        <v>-1470.5789700000003</v>
      </c>
      <c r="AE959" s="6">
        <f>$K$959*$Y$959</f>
        <v>0</v>
      </c>
      <c r="AF959" s="6">
        <f ca="1">$M$959*$Z$959</f>
        <v>-6783.1910827624179</v>
      </c>
      <c r="AG959" s="6">
        <f>$O$959*$AA$959</f>
        <v>-3062.575361001539</v>
      </c>
    </row>
    <row r="960" spans="1:33" ht="11.25" customHeight="1" x14ac:dyDescent="0.25">
      <c r="A960" s="4" t="s">
        <v>28</v>
      </c>
      <c r="B960" s="4" t="s">
        <v>37</v>
      </c>
      <c r="C960" s="4" t="s">
        <v>23</v>
      </c>
      <c r="D960" s="4" t="s">
        <v>38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44743</v>
      </c>
      <c r="J960" s="6">
        <v>0</v>
      </c>
      <c r="K960" s="6">
        <v>0</v>
      </c>
      <c r="L960" s="6">
        <v>16.492000000000001</v>
      </c>
      <c r="M960" s="6">
        <v>16.492000000000001</v>
      </c>
      <c r="N960" s="6">
        <v>16.492000000000001</v>
      </c>
      <c r="O960" s="6">
        <v>16.492000000000001</v>
      </c>
      <c r="P960" s="6">
        <v>4</v>
      </c>
      <c r="Q960" s="4" t="s">
        <v>26</v>
      </c>
      <c r="R960" s="4">
        <v>0</v>
      </c>
      <c r="S960" s="6">
        <v>0</v>
      </c>
      <c r="T960" s="6">
        <v>66</v>
      </c>
      <c r="U960" s="6">
        <v>3</v>
      </c>
      <c r="V960" s="6">
        <f>IF(ISERROR(VLOOKUP($S$960,'TAR FIN'!$A$1:$O$108,15,0)),0,VLOOKUP($S$960,'TAR FIN'!$A$1:$O$108,15,0))</f>
        <v>0</v>
      </c>
      <c r="W960" s="6">
        <f>IF(ISERROR(VLOOKUP($T$960,'TAR FIN'!$A$1:$O$108,15,0)),0,VLOOKUP($T$960,'TAR FIN'!$A$1:$O$108,15,0))</f>
        <v>432.02</v>
      </c>
      <c r="X960" s="6">
        <f>IF(ISERROR(VLOOKUP($U$960,'TAR FIN'!$A$1:$O$108,15,0)),0,VLOOKUP($U$960,'TAR FIN'!$A$1:$O$108,15,0))</f>
        <v>107.79</v>
      </c>
      <c r="Y960" s="6"/>
      <c r="Z960" s="6">
        <f ca="1">('TUSD BE'!$AM$64+'TUSD BF'!$AM$64+'TUSD CVA'!$AM$64)*1</f>
        <v>497.19204594021971</v>
      </c>
      <c r="AA960" s="6">
        <f>('TE BE'!$AB$44+'TE BF'!$AB$44+'TE CVA'!$AB$44)*1</f>
        <v>224.47961306175614</v>
      </c>
      <c r="AB960" s="6">
        <f>$K$960*$V$960</f>
        <v>0</v>
      </c>
      <c r="AC960" s="6">
        <f>$M$960*$W$960</f>
        <v>7124.8738400000002</v>
      </c>
      <c r="AD960" s="6">
        <f>$O$960*$X$960</f>
        <v>1777.6726800000001</v>
      </c>
      <c r="AE960" s="6">
        <f>$K$960*$Y$960</f>
        <v>0</v>
      </c>
      <c r="AF960" s="6">
        <f ca="1">$M$960*$Z$960</f>
        <v>8199.6912216461042</v>
      </c>
      <c r="AG960" s="6">
        <f>$O$960*$AA$960</f>
        <v>3702.1177786144826</v>
      </c>
    </row>
    <row r="961" spans="1:33" ht="11.25" customHeight="1" x14ac:dyDescent="0.25">
      <c r="A961" s="4" t="s">
        <v>21</v>
      </c>
      <c r="B961" s="4" t="s">
        <v>37</v>
      </c>
      <c r="C961" s="4" t="s">
        <v>23</v>
      </c>
      <c r="D961" s="4" t="s">
        <v>38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44774</v>
      </c>
      <c r="J961" s="6">
        <v>0</v>
      </c>
      <c r="K961" s="6">
        <v>0</v>
      </c>
      <c r="L961" s="6">
        <v>265.57400000000001</v>
      </c>
      <c r="M961" s="6">
        <v>265.57400000000001</v>
      </c>
      <c r="N961" s="6">
        <v>265.57400000000001</v>
      </c>
      <c r="O961" s="6">
        <v>265.57400000000001</v>
      </c>
      <c r="P961" s="6">
        <v>222</v>
      </c>
      <c r="Q961" s="4" t="s">
        <v>26</v>
      </c>
      <c r="R961" s="4">
        <v>0</v>
      </c>
      <c r="S961" s="6">
        <v>0</v>
      </c>
      <c r="T961" s="6">
        <v>66</v>
      </c>
      <c r="U961" s="6">
        <v>3</v>
      </c>
      <c r="V961" s="6">
        <f>IF(ISERROR(VLOOKUP($S$961,'TAR FIN'!$A$1:$O$108,15,0)),0,VLOOKUP($S$961,'TAR FIN'!$A$1:$O$108,15,0))</f>
        <v>0</v>
      </c>
      <c r="W961" s="6">
        <f>IF(ISERROR(VLOOKUP($T$961,'TAR FIN'!$A$1:$O$108,15,0)),0,VLOOKUP($T$961,'TAR FIN'!$A$1:$O$108,15,0))</f>
        <v>432.02</v>
      </c>
      <c r="X961" s="6">
        <f>IF(ISERROR(VLOOKUP($U$961,'TAR FIN'!$A$1:$O$108,15,0)),0,VLOOKUP($U$961,'TAR FIN'!$A$1:$O$108,15,0))</f>
        <v>107.79</v>
      </c>
      <c r="Y961" s="6"/>
      <c r="Z961" s="6">
        <f ca="1">('TUSD BE'!$AM$64+'TUSD BF'!$AM$64+'TUSD CVA'!$AM$64)*1</f>
        <v>497.19204594021971</v>
      </c>
      <c r="AA961" s="6">
        <f>('TE BE'!$AB$44+'TE BF'!$AB$44+'TE CVA'!$AB$44)*1</f>
        <v>224.47961306175614</v>
      </c>
      <c r="AB961" s="6">
        <f>$K$961*$V$961</f>
        <v>0</v>
      </c>
      <c r="AC961" s="6">
        <f>$M$961*$W$961</f>
        <v>114733.27948</v>
      </c>
      <c r="AD961" s="6">
        <f>$O$961*$X$961</f>
        <v>28626.221460000004</v>
      </c>
      <c r="AE961" s="6">
        <f>$K$961*$Y$961</f>
        <v>0</v>
      </c>
      <c r="AF961" s="6">
        <f ca="1">$M$961*$Z$961</f>
        <v>132041.28040852791</v>
      </c>
      <c r="AG961" s="6">
        <f>$O$961*$AA$961</f>
        <v>59615.948759262828</v>
      </c>
    </row>
    <row r="962" spans="1:33" ht="11.25" customHeight="1" x14ac:dyDescent="0.25">
      <c r="A962" s="4" t="s">
        <v>27</v>
      </c>
      <c r="B962" s="4" t="s">
        <v>37</v>
      </c>
      <c r="C962" s="4" t="s">
        <v>23</v>
      </c>
      <c r="D962" s="4" t="s">
        <v>38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44774</v>
      </c>
      <c r="J962" s="6">
        <v>0</v>
      </c>
      <c r="K962" s="6">
        <v>0</v>
      </c>
      <c r="L962" s="6">
        <v>-4.3769999999999998</v>
      </c>
      <c r="M962" s="6">
        <v>-4.3769999999999998</v>
      </c>
      <c r="N962" s="6">
        <v>-4.3769999999999998</v>
      </c>
      <c r="O962" s="6">
        <v>-4.3769999999999998</v>
      </c>
      <c r="P962" s="6">
        <v>0</v>
      </c>
      <c r="Q962" s="4" t="s">
        <v>26</v>
      </c>
      <c r="R962" s="4">
        <v>0</v>
      </c>
      <c r="S962" s="6">
        <v>0</v>
      </c>
      <c r="T962" s="6">
        <v>66</v>
      </c>
      <c r="U962" s="6">
        <v>3</v>
      </c>
      <c r="V962" s="6">
        <f>IF(ISERROR(VLOOKUP($S$962,'TAR FIN'!$A$1:$O$108,15,0)),0,VLOOKUP($S$962,'TAR FIN'!$A$1:$O$108,15,0))</f>
        <v>0</v>
      </c>
      <c r="W962" s="6">
        <f>IF(ISERROR(VLOOKUP($T$962,'TAR FIN'!$A$1:$O$108,15,0)),0,VLOOKUP($T$962,'TAR FIN'!$A$1:$O$108,15,0))</f>
        <v>432.02</v>
      </c>
      <c r="X962" s="6">
        <f>IF(ISERROR(VLOOKUP($U$962,'TAR FIN'!$A$1:$O$108,15,0)),0,VLOOKUP($U$962,'TAR FIN'!$A$1:$O$108,15,0))</f>
        <v>107.79</v>
      </c>
      <c r="Y962" s="6"/>
      <c r="Z962" s="6">
        <f ca="1">('TUSD BE'!$AM$64+'TUSD BF'!$AM$64+'TUSD CVA'!$AM$64)*1</f>
        <v>497.19204594021971</v>
      </c>
      <c r="AA962" s="6">
        <f>('TE BE'!$AB$44+'TE BF'!$AB$44+'TE CVA'!$AB$44)*1</f>
        <v>224.47961306175614</v>
      </c>
      <c r="AB962" s="6">
        <f>$K$962*$V$962</f>
        <v>0</v>
      </c>
      <c r="AC962" s="6">
        <f>$M$962*$W$962</f>
        <v>-1890.9515399999998</v>
      </c>
      <c r="AD962" s="6">
        <f>$O$962*$X$962</f>
        <v>-471.79683</v>
      </c>
      <c r="AE962" s="6">
        <f>$K$962*$Y$962</f>
        <v>0</v>
      </c>
      <c r="AF962" s="6">
        <f ca="1">$M$962*$Z$962</f>
        <v>-2176.2095850803416</v>
      </c>
      <c r="AG962" s="6">
        <f>$O$962*$AA$962</f>
        <v>-982.54726637130659</v>
      </c>
    </row>
    <row r="963" spans="1:33" ht="11.25" customHeight="1" x14ac:dyDescent="0.25">
      <c r="A963" s="4" t="s">
        <v>28</v>
      </c>
      <c r="B963" s="4" t="s">
        <v>37</v>
      </c>
      <c r="C963" s="4" t="s">
        <v>23</v>
      </c>
      <c r="D963" s="4" t="s">
        <v>38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44774</v>
      </c>
      <c r="J963" s="6">
        <v>0</v>
      </c>
      <c r="K963" s="6">
        <v>0</v>
      </c>
      <c r="L963" s="6">
        <v>36.944000000000003</v>
      </c>
      <c r="M963" s="6">
        <v>36.944000000000003</v>
      </c>
      <c r="N963" s="6">
        <v>36.944000000000003</v>
      </c>
      <c r="O963" s="6">
        <v>36.944000000000003</v>
      </c>
      <c r="P963" s="6">
        <v>4</v>
      </c>
      <c r="Q963" s="4" t="s">
        <v>26</v>
      </c>
      <c r="R963" s="4">
        <v>0</v>
      </c>
      <c r="S963" s="6">
        <v>0</v>
      </c>
      <c r="T963" s="6">
        <v>66</v>
      </c>
      <c r="U963" s="6">
        <v>3</v>
      </c>
      <c r="V963" s="6">
        <f>IF(ISERROR(VLOOKUP($S$963,'TAR FIN'!$A$1:$O$108,15,0)),0,VLOOKUP($S$963,'TAR FIN'!$A$1:$O$108,15,0))</f>
        <v>0</v>
      </c>
      <c r="W963" s="6">
        <f>IF(ISERROR(VLOOKUP($T$963,'TAR FIN'!$A$1:$O$108,15,0)),0,VLOOKUP($T$963,'TAR FIN'!$A$1:$O$108,15,0))</f>
        <v>432.02</v>
      </c>
      <c r="X963" s="6">
        <f>IF(ISERROR(VLOOKUP($U$963,'TAR FIN'!$A$1:$O$108,15,0)),0,VLOOKUP($U$963,'TAR FIN'!$A$1:$O$108,15,0))</f>
        <v>107.79</v>
      </c>
      <c r="Y963" s="6"/>
      <c r="Z963" s="6">
        <f ca="1">('TUSD BE'!$AM$64+'TUSD BF'!$AM$64+'TUSD CVA'!$AM$64)*1</f>
        <v>497.19204594021971</v>
      </c>
      <c r="AA963" s="6">
        <f>('TE BE'!$AB$44+'TE BF'!$AB$44+'TE CVA'!$AB$44)*1</f>
        <v>224.47961306175614</v>
      </c>
      <c r="AB963" s="6">
        <f>$K$963*$V$963</f>
        <v>0</v>
      </c>
      <c r="AC963" s="6">
        <f>$M$963*$W$963</f>
        <v>15960.54688</v>
      </c>
      <c r="AD963" s="6">
        <f>$O$963*$X$963</f>
        <v>3982.1937600000006</v>
      </c>
      <c r="AE963" s="6">
        <f>$K$963*$Y$963</f>
        <v>0</v>
      </c>
      <c r="AF963" s="6">
        <f ca="1">$M$963*$Z$963</f>
        <v>18368.26294521548</v>
      </c>
      <c r="AG963" s="6">
        <f>$O$963*$AA$963</f>
        <v>8293.1748249535194</v>
      </c>
    </row>
    <row r="964" spans="1:33" ht="11.25" customHeight="1" x14ac:dyDescent="0.25">
      <c r="A964" s="4" t="s">
        <v>21</v>
      </c>
      <c r="B964" s="4" t="s">
        <v>37</v>
      </c>
      <c r="C964" s="4" t="s">
        <v>23</v>
      </c>
      <c r="D964" s="4" t="s">
        <v>38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44805</v>
      </c>
      <c r="J964" s="6">
        <v>0</v>
      </c>
      <c r="K964" s="6">
        <v>0</v>
      </c>
      <c r="L964" s="6">
        <v>310.55500000000001</v>
      </c>
      <c r="M964" s="6">
        <v>310.55500000000001</v>
      </c>
      <c r="N964" s="6">
        <v>310.55500000000001</v>
      </c>
      <c r="O964" s="6">
        <v>310.55500000000001</v>
      </c>
      <c r="P964" s="6">
        <v>205</v>
      </c>
      <c r="Q964" s="4" t="s">
        <v>26</v>
      </c>
      <c r="R964" s="4">
        <v>0</v>
      </c>
      <c r="S964" s="6">
        <v>0</v>
      </c>
      <c r="T964" s="6">
        <v>66</v>
      </c>
      <c r="U964" s="6">
        <v>3</v>
      </c>
      <c r="V964" s="6">
        <f>IF(ISERROR(VLOOKUP($S$964,'TAR FIN'!$A$1:$O$108,15,0)),0,VLOOKUP($S$964,'TAR FIN'!$A$1:$O$108,15,0))</f>
        <v>0</v>
      </c>
      <c r="W964" s="6">
        <f>IF(ISERROR(VLOOKUP($T$964,'TAR FIN'!$A$1:$O$108,15,0)),0,VLOOKUP($T$964,'TAR FIN'!$A$1:$O$108,15,0))</f>
        <v>432.02</v>
      </c>
      <c r="X964" s="6">
        <f>IF(ISERROR(VLOOKUP($U$964,'TAR FIN'!$A$1:$O$108,15,0)),0,VLOOKUP($U$964,'TAR FIN'!$A$1:$O$108,15,0))</f>
        <v>107.79</v>
      </c>
      <c r="Y964" s="6"/>
      <c r="Z964" s="6">
        <f ca="1">('TUSD BE'!$AM$64+'TUSD BF'!$AM$64+'TUSD CVA'!$AM$64)*1</f>
        <v>497.19204594021971</v>
      </c>
      <c r="AA964" s="6">
        <f>('TE BE'!$AB$44+'TE BF'!$AB$44+'TE CVA'!$AB$44)*1</f>
        <v>224.47961306175614</v>
      </c>
      <c r="AB964" s="6">
        <f>$K$964*$V$964</f>
        <v>0</v>
      </c>
      <c r="AC964" s="6">
        <f>$M$964*$W$964</f>
        <v>134165.9711</v>
      </c>
      <c r="AD964" s="6">
        <f>$O$964*$X$964</f>
        <v>33474.723450000005</v>
      </c>
      <c r="AE964" s="6">
        <f>$K$964*$Y$964</f>
        <v>0</v>
      </c>
      <c r="AF964" s="6">
        <f ca="1">$M$964*$Z$964</f>
        <v>154405.47582696495</v>
      </c>
      <c r="AG964" s="6">
        <f>$O$964*$AA$964</f>
        <v>69713.266234393683</v>
      </c>
    </row>
    <row r="965" spans="1:33" ht="11.25" customHeight="1" x14ac:dyDescent="0.25">
      <c r="A965" s="4" t="s">
        <v>27</v>
      </c>
      <c r="B965" s="4" t="s">
        <v>37</v>
      </c>
      <c r="C965" s="4" t="s">
        <v>23</v>
      </c>
      <c r="D965" s="4" t="s">
        <v>38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44805</v>
      </c>
      <c r="J965" s="6">
        <v>0</v>
      </c>
      <c r="K965" s="6">
        <v>0</v>
      </c>
      <c r="L965" s="6">
        <v>-1.1000000000000001</v>
      </c>
      <c r="M965" s="6">
        <v>-1.1000000000000001</v>
      </c>
      <c r="N965" s="6">
        <v>-1.1000000000000001</v>
      </c>
      <c r="O965" s="6">
        <v>-1.1000000000000001</v>
      </c>
      <c r="P965" s="6">
        <v>-12</v>
      </c>
      <c r="Q965" s="4" t="s">
        <v>26</v>
      </c>
      <c r="R965" s="4">
        <v>0</v>
      </c>
      <c r="S965" s="6">
        <v>0</v>
      </c>
      <c r="T965" s="6">
        <v>66</v>
      </c>
      <c r="U965" s="6">
        <v>3</v>
      </c>
      <c r="V965" s="6">
        <f>IF(ISERROR(VLOOKUP($S$965,'TAR FIN'!$A$1:$O$108,15,0)),0,VLOOKUP($S$965,'TAR FIN'!$A$1:$O$108,15,0))</f>
        <v>0</v>
      </c>
      <c r="W965" s="6">
        <f>IF(ISERROR(VLOOKUP($T$965,'TAR FIN'!$A$1:$O$108,15,0)),0,VLOOKUP($T$965,'TAR FIN'!$A$1:$O$108,15,0))</f>
        <v>432.02</v>
      </c>
      <c r="X965" s="6">
        <f>IF(ISERROR(VLOOKUP($U$965,'TAR FIN'!$A$1:$O$108,15,0)),0,VLOOKUP($U$965,'TAR FIN'!$A$1:$O$108,15,0))</f>
        <v>107.79</v>
      </c>
      <c r="Y965" s="6"/>
      <c r="Z965" s="6">
        <f ca="1">('TUSD BE'!$AM$64+'TUSD BF'!$AM$64+'TUSD CVA'!$AM$64)*1</f>
        <v>497.19204594021971</v>
      </c>
      <c r="AA965" s="6">
        <f>('TE BE'!$AB$44+'TE BF'!$AB$44+'TE CVA'!$AB$44)*1</f>
        <v>224.47961306175614</v>
      </c>
      <c r="AB965" s="6">
        <f>$K$965*$V$965</f>
        <v>0</v>
      </c>
      <c r="AC965" s="6">
        <f>$M$965*$W$965</f>
        <v>-475.22200000000004</v>
      </c>
      <c r="AD965" s="6">
        <f>$O$965*$X$965</f>
        <v>-118.56900000000002</v>
      </c>
      <c r="AE965" s="6">
        <f>$K$965*$Y$965</f>
        <v>0</v>
      </c>
      <c r="AF965" s="6">
        <f ca="1">$M$965*$Z$965</f>
        <v>-546.91125053424173</v>
      </c>
      <c r="AG965" s="6">
        <f>$O$965*$AA$965</f>
        <v>-246.92757436793178</v>
      </c>
    </row>
    <row r="966" spans="1:33" ht="11.25" customHeight="1" x14ac:dyDescent="0.25">
      <c r="A966" s="4" t="s">
        <v>28</v>
      </c>
      <c r="B966" s="4" t="s">
        <v>37</v>
      </c>
      <c r="C966" s="4" t="s">
        <v>23</v>
      </c>
      <c r="D966" s="4" t="s">
        <v>38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44805</v>
      </c>
      <c r="J966" s="6">
        <v>0</v>
      </c>
      <c r="K966" s="6">
        <v>0</v>
      </c>
      <c r="L966" s="6">
        <v>50.341999999999999</v>
      </c>
      <c r="M966" s="6">
        <v>50.341999999999999</v>
      </c>
      <c r="N966" s="6">
        <v>50.341999999999999</v>
      </c>
      <c r="O966" s="6">
        <v>50.341999999999999</v>
      </c>
      <c r="P966" s="6">
        <v>4</v>
      </c>
      <c r="Q966" s="4" t="s">
        <v>26</v>
      </c>
      <c r="R966" s="4">
        <v>0</v>
      </c>
      <c r="S966" s="6">
        <v>0</v>
      </c>
      <c r="T966" s="6">
        <v>66</v>
      </c>
      <c r="U966" s="6">
        <v>3</v>
      </c>
      <c r="V966" s="6">
        <f>IF(ISERROR(VLOOKUP($S$966,'TAR FIN'!$A$1:$O$108,15,0)),0,VLOOKUP($S$966,'TAR FIN'!$A$1:$O$108,15,0))</f>
        <v>0</v>
      </c>
      <c r="W966" s="6">
        <f>IF(ISERROR(VLOOKUP($T$966,'TAR FIN'!$A$1:$O$108,15,0)),0,VLOOKUP($T$966,'TAR FIN'!$A$1:$O$108,15,0))</f>
        <v>432.02</v>
      </c>
      <c r="X966" s="6">
        <f>IF(ISERROR(VLOOKUP($U$966,'TAR FIN'!$A$1:$O$108,15,0)),0,VLOOKUP($U$966,'TAR FIN'!$A$1:$O$108,15,0))</f>
        <v>107.79</v>
      </c>
      <c r="Y966" s="6"/>
      <c r="Z966" s="6">
        <f ca="1">('TUSD BE'!$AM$64+'TUSD BF'!$AM$64+'TUSD CVA'!$AM$64)*1</f>
        <v>497.19204594021971</v>
      </c>
      <c r="AA966" s="6">
        <f>('TE BE'!$AB$44+'TE BF'!$AB$44+'TE CVA'!$AB$44)*1</f>
        <v>224.47961306175614</v>
      </c>
      <c r="AB966" s="6">
        <f>$K$966*$V$966</f>
        <v>0</v>
      </c>
      <c r="AC966" s="6">
        <f>$M$966*$W$966</f>
        <v>21748.750839999997</v>
      </c>
      <c r="AD966" s="6">
        <f>$O$966*$X$966</f>
        <v>5426.3641800000005</v>
      </c>
      <c r="AE966" s="6">
        <f>$K$966*$Y$966</f>
        <v>0</v>
      </c>
      <c r="AF966" s="6">
        <f ca="1">$M$966*$Z$966</f>
        <v>25029.641976722542</v>
      </c>
      <c r="AG966" s="6">
        <f>$O$966*$AA$966</f>
        <v>11300.752680754927</v>
      </c>
    </row>
    <row r="967" spans="1:33" ht="11.25" customHeight="1" x14ac:dyDescent="0.25">
      <c r="A967" s="4" t="s">
        <v>21</v>
      </c>
      <c r="B967" s="4" t="s">
        <v>37</v>
      </c>
      <c r="C967" s="4" t="s">
        <v>23</v>
      </c>
      <c r="D967" s="4" t="s">
        <v>38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44835</v>
      </c>
      <c r="J967" s="6">
        <v>0</v>
      </c>
      <c r="K967" s="6">
        <v>0</v>
      </c>
      <c r="L967" s="6">
        <v>293.90899999999999</v>
      </c>
      <c r="M967" s="6">
        <v>293.90899999999999</v>
      </c>
      <c r="N967" s="6">
        <v>293.90899999999999</v>
      </c>
      <c r="O967" s="6">
        <v>293.90899999999999</v>
      </c>
      <c r="P967" s="6">
        <v>213</v>
      </c>
      <c r="Q967" s="4" t="s">
        <v>26</v>
      </c>
      <c r="R967" s="4">
        <v>0</v>
      </c>
      <c r="S967" s="6">
        <v>0</v>
      </c>
      <c r="T967" s="6">
        <v>66</v>
      </c>
      <c r="U967" s="6">
        <v>3</v>
      </c>
      <c r="V967" s="6">
        <f>IF(ISERROR(VLOOKUP($S$967,'TAR FIN'!$A$1:$O$108,15,0)),0,VLOOKUP($S$967,'TAR FIN'!$A$1:$O$108,15,0))</f>
        <v>0</v>
      </c>
      <c r="W967" s="6">
        <f>IF(ISERROR(VLOOKUP($T$967,'TAR FIN'!$A$1:$O$108,15,0)),0,VLOOKUP($T$967,'TAR FIN'!$A$1:$O$108,15,0))</f>
        <v>432.02</v>
      </c>
      <c r="X967" s="6">
        <f>IF(ISERROR(VLOOKUP($U$967,'TAR FIN'!$A$1:$O$108,15,0)),0,VLOOKUP($U$967,'TAR FIN'!$A$1:$O$108,15,0))</f>
        <v>107.79</v>
      </c>
      <c r="Y967" s="6"/>
      <c r="Z967" s="6">
        <f ca="1">('TUSD BE'!$AM$64+'TUSD BF'!$AM$64+'TUSD CVA'!$AM$64)*1</f>
        <v>497.19204594021971</v>
      </c>
      <c r="AA967" s="6">
        <f>('TE BE'!$AB$44+'TE BF'!$AB$44+'TE CVA'!$AB$44)*1</f>
        <v>224.47961306175614</v>
      </c>
      <c r="AB967" s="6">
        <f>$K$967*$V$967</f>
        <v>0</v>
      </c>
      <c r="AC967" s="6">
        <f>$M$967*$W$967</f>
        <v>126974.56617999999</v>
      </c>
      <c r="AD967" s="6">
        <f>$O$967*$X$967</f>
        <v>31680.451110000002</v>
      </c>
      <c r="AE967" s="6">
        <f>$K$967*$Y$967</f>
        <v>0</v>
      </c>
      <c r="AF967" s="6">
        <f ca="1">$M$967*$Z$967</f>
        <v>146129.21703024404</v>
      </c>
      <c r="AG967" s="6">
        <f>$O$967*$AA$967</f>
        <v>65976.578595367682</v>
      </c>
    </row>
    <row r="968" spans="1:33" ht="11.25" customHeight="1" x14ac:dyDescent="0.25">
      <c r="A968" s="4" t="s">
        <v>27</v>
      </c>
      <c r="B968" s="4" t="s">
        <v>37</v>
      </c>
      <c r="C968" s="4" t="s">
        <v>23</v>
      </c>
      <c r="D968" s="4" t="s">
        <v>38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44835</v>
      </c>
      <c r="J968" s="6">
        <v>0</v>
      </c>
      <c r="K968" s="6">
        <v>0</v>
      </c>
      <c r="L968" s="6">
        <v>-52.406999999999996</v>
      </c>
      <c r="M968" s="6">
        <v>-52.406999999999996</v>
      </c>
      <c r="N968" s="6">
        <v>-52.406999999999996</v>
      </c>
      <c r="O968" s="6">
        <v>-52.406999999999996</v>
      </c>
      <c r="P968" s="6">
        <v>-4</v>
      </c>
      <c r="Q968" s="4" t="s">
        <v>26</v>
      </c>
      <c r="R968" s="4">
        <v>0</v>
      </c>
      <c r="S968" s="6">
        <v>0</v>
      </c>
      <c r="T968" s="6">
        <v>66</v>
      </c>
      <c r="U968" s="6">
        <v>3</v>
      </c>
      <c r="V968" s="6">
        <f>IF(ISERROR(VLOOKUP($S$968,'TAR FIN'!$A$1:$O$108,15,0)),0,VLOOKUP($S$968,'TAR FIN'!$A$1:$O$108,15,0))</f>
        <v>0</v>
      </c>
      <c r="W968" s="6">
        <f>IF(ISERROR(VLOOKUP($T$968,'TAR FIN'!$A$1:$O$108,15,0)),0,VLOOKUP($T$968,'TAR FIN'!$A$1:$O$108,15,0))</f>
        <v>432.02</v>
      </c>
      <c r="X968" s="6">
        <f>IF(ISERROR(VLOOKUP($U$968,'TAR FIN'!$A$1:$O$108,15,0)),0,VLOOKUP($U$968,'TAR FIN'!$A$1:$O$108,15,0))</f>
        <v>107.79</v>
      </c>
      <c r="Y968" s="6"/>
      <c r="Z968" s="6">
        <f ca="1">('TUSD BE'!$AM$64+'TUSD BF'!$AM$64+'TUSD CVA'!$AM$64)*1</f>
        <v>497.19204594021971</v>
      </c>
      <c r="AA968" s="6">
        <f>('TE BE'!$AB$44+'TE BF'!$AB$44+'TE CVA'!$AB$44)*1</f>
        <v>224.47961306175614</v>
      </c>
      <c r="AB968" s="6">
        <f>$K$968*$V$968</f>
        <v>0</v>
      </c>
      <c r="AC968" s="6">
        <f>$M$968*$W$968</f>
        <v>-22640.872139999996</v>
      </c>
      <c r="AD968" s="6">
        <f>$O$968*$X$968</f>
        <v>-5648.9505300000001</v>
      </c>
      <c r="AE968" s="6">
        <f>$K$968*$Y$968</f>
        <v>0</v>
      </c>
      <c r="AF968" s="6">
        <f ca="1">$M$968*$Z$968</f>
        <v>-26056.343551589092</v>
      </c>
      <c r="AG968" s="6">
        <f>$O$968*$AA$968</f>
        <v>-11764.303081727454</v>
      </c>
    </row>
    <row r="969" spans="1:33" ht="11.25" customHeight="1" x14ac:dyDescent="0.25">
      <c r="A969" s="4" t="s">
        <v>28</v>
      </c>
      <c r="B969" s="4" t="s">
        <v>37</v>
      </c>
      <c r="C969" s="4" t="s">
        <v>23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44835</v>
      </c>
      <c r="J969" s="6">
        <v>0</v>
      </c>
      <c r="K969" s="6">
        <v>0</v>
      </c>
      <c r="L969" s="6">
        <v>27.434000000000001</v>
      </c>
      <c r="M969" s="6">
        <v>27.434000000000001</v>
      </c>
      <c r="N969" s="6">
        <v>27.434000000000001</v>
      </c>
      <c r="O969" s="6">
        <v>27.434000000000001</v>
      </c>
      <c r="P969" s="6">
        <v>4</v>
      </c>
      <c r="Q969" s="4" t="s">
        <v>26</v>
      </c>
      <c r="R969" s="4">
        <v>0</v>
      </c>
      <c r="S969" s="6">
        <v>0</v>
      </c>
      <c r="T969" s="6">
        <v>66</v>
      </c>
      <c r="U969" s="6">
        <v>3</v>
      </c>
      <c r="V969" s="6">
        <f>IF(ISERROR(VLOOKUP($S$969,'TAR FIN'!$A$1:$O$108,15,0)),0,VLOOKUP($S$969,'TAR FIN'!$A$1:$O$108,15,0))</f>
        <v>0</v>
      </c>
      <c r="W969" s="6">
        <f>IF(ISERROR(VLOOKUP($T$969,'TAR FIN'!$A$1:$O$108,15,0)),0,VLOOKUP($T$969,'TAR FIN'!$A$1:$O$108,15,0))</f>
        <v>432.02</v>
      </c>
      <c r="X969" s="6">
        <f>IF(ISERROR(VLOOKUP($U$969,'TAR FIN'!$A$1:$O$108,15,0)),0,VLOOKUP($U$969,'TAR FIN'!$A$1:$O$108,15,0))</f>
        <v>107.79</v>
      </c>
      <c r="Y969" s="6"/>
      <c r="Z969" s="6">
        <f ca="1">('TUSD BE'!$AM$64+'TUSD BF'!$AM$64+'TUSD CVA'!$AM$64)*1</f>
        <v>497.19204594021971</v>
      </c>
      <c r="AA969" s="6">
        <f>('TE BE'!$AB$44+'TE BF'!$AB$44+'TE CVA'!$AB$44)*1</f>
        <v>224.47961306175614</v>
      </c>
      <c r="AB969" s="6">
        <f>$K$969*$V$969</f>
        <v>0</v>
      </c>
      <c r="AC969" s="6">
        <f>$M$969*$W$969</f>
        <v>11852.036679999999</v>
      </c>
      <c r="AD969" s="6">
        <f>$O$969*$X$969</f>
        <v>2957.1108600000002</v>
      </c>
      <c r="AE969" s="6">
        <f>$K$969*$Y$969</f>
        <v>0</v>
      </c>
      <c r="AF969" s="6">
        <f ca="1">$M$969*$Z$969</f>
        <v>13639.966588323989</v>
      </c>
      <c r="AG969" s="6">
        <f>$O$969*$AA$969</f>
        <v>6158.3737047362183</v>
      </c>
    </row>
    <row r="970" spans="1:33" ht="11.25" customHeight="1" x14ac:dyDescent="0.25">
      <c r="A970" s="4" t="s">
        <v>54</v>
      </c>
      <c r="B970" s="4" t="s">
        <v>37</v>
      </c>
      <c r="C970" s="4" t="s">
        <v>23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44866</v>
      </c>
      <c r="J970" s="6">
        <v>0</v>
      </c>
      <c r="K970" s="6">
        <v>0</v>
      </c>
      <c r="L970" s="6">
        <v>293.90899999999999</v>
      </c>
      <c r="M970" s="6">
        <v>293.90899999999999</v>
      </c>
      <c r="N970" s="6">
        <v>293.90899999999999</v>
      </c>
      <c r="O970" s="6">
        <v>293.90899999999999</v>
      </c>
      <c r="P970" s="6">
        <v>213</v>
      </c>
      <c r="Q970" s="4" t="s">
        <v>26</v>
      </c>
      <c r="R970" s="4">
        <v>0</v>
      </c>
      <c r="S970" s="6">
        <v>0</v>
      </c>
      <c r="T970" s="6">
        <v>66</v>
      </c>
      <c r="U970" s="6">
        <v>3</v>
      </c>
      <c r="V970" s="6">
        <f>IF(ISERROR(VLOOKUP($S$970,'TAR FIN'!$A$1:$O$108,15,0)),0,VLOOKUP($S$970,'TAR FIN'!$A$1:$O$108,15,0))</f>
        <v>0</v>
      </c>
      <c r="W970" s="6">
        <f>IF(ISERROR(VLOOKUP($T$970,'TAR FIN'!$A$1:$O$108,15,0)),0,VLOOKUP($T$970,'TAR FIN'!$A$1:$O$108,15,0))</f>
        <v>432.02</v>
      </c>
      <c r="X970" s="6">
        <f>IF(ISERROR(VLOOKUP($U$970,'TAR FIN'!$A$1:$O$108,15,0)),0,VLOOKUP($U$970,'TAR FIN'!$A$1:$O$108,15,0))</f>
        <v>107.79</v>
      </c>
      <c r="Y970" s="6"/>
      <c r="Z970" s="6">
        <f ca="1">('TUSD BE'!$AM$64+'TUSD BF'!$AM$64+'TUSD CVA'!$AM$64)*1</f>
        <v>497.19204594021971</v>
      </c>
      <c r="AA970" s="6">
        <f>('TE BE'!$AB$44+'TE BF'!$AB$44+'TE CVA'!$AB$44)*1</f>
        <v>224.47961306175614</v>
      </c>
      <c r="AB970" s="6">
        <f>$K$970*$V$970</f>
        <v>0</v>
      </c>
      <c r="AC970" s="6">
        <f>$M$970*$W$970</f>
        <v>126974.56617999999</v>
      </c>
      <c r="AD970" s="6">
        <f>$O$970*$X$970</f>
        <v>31680.451110000002</v>
      </c>
      <c r="AE970" s="6">
        <f>$K$970*$Y$970</f>
        <v>0</v>
      </c>
      <c r="AF970" s="6">
        <f ca="1">$M$970*$Z$970</f>
        <v>146129.21703024404</v>
      </c>
      <c r="AG970" s="6">
        <f>$O$970*$AA$970</f>
        <v>65976.578595367682</v>
      </c>
    </row>
    <row r="971" spans="1:33" ht="11.25" customHeight="1" x14ac:dyDescent="0.25">
      <c r="A971" s="4" t="s">
        <v>54</v>
      </c>
      <c r="B971" s="4" t="s">
        <v>37</v>
      </c>
      <c r="C971" s="4" t="s">
        <v>23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44866</v>
      </c>
      <c r="J971" s="6">
        <v>0</v>
      </c>
      <c r="K971" s="6">
        <v>0</v>
      </c>
      <c r="L971" s="6">
        <v>-52.406999999999996</v>
      </c>
      <c r="M971" s="6">
        <v>-52.406999999999996</v>
      </c>
      <c r="N971" s="6">
        <v>-52.406999999999996</v>
      </c>
      <c r="O971" s="6">
        <v>-52.406999999999996</v>
      </c>
      <c r="P971" s="6">
        <v>-4</v>
      </c>
      <c r="Q971" s="4" t="s">
        <v>26</v>
      </c>
      <c r="R971" s="4">
        <v>0</v>
      </c>
      <c r="S971" s="6">
        <v>0</v>
      </c>
      <c r="T971" s="6">
        <v>66</v>
      </c>
      <c r="U971" s="6">
        <v>3</v>
      </c>
      <c r="V971" s="6">
        <f>IF(ISERROR(VLOOKUP($S$971,'TAR FIN'!$A$1:$O$108,15,0)),0,VLOOKUP($S$971,'TAR FIN'!$A$1:$O$108,15,0))</f>
        <v>0</v>
      </c>
      <c r="W971" s="6">
        <f>IF(ISERROR(VLOOKUP($T$971,'TAR FIN'!$A$1:$O$108,15,0)),0,VLOOKUP($T$971,'TAR FIN'!$A$1:$O$108,15,0))</f>
        <v>432.02</v>
      </c>
      <c r="X971" s="6">
        <f>IF(ISERROR(VLOOKUP($U$971,'TAR FIN'!$A$1:$O$108,15,0)),0,VLOOKUP($U$971,'TAR FIN'!$A$1:$O$108,15,0))</f>
        <v>107.79</v>
      </c>
      <c r="Y971" s="6"/>
      <c r="Z971" s="6">
        <f ca="1">('TUSD BE'!$AM$64+'TUSD BF'!$AM$64+'TUSD CVA'!$AM$64)*1</f>
        <v>497.19204594021971</v>
      </c>
      <c r="AA971" s="6">
        <f>('TE BE'!$AB$44+'TE BF'!$AB$44+'TE CVA'!$AB$44)*1</f>
        <v>224.47961306175614</v>
      </c>
      <c r="AB971" s="6">
        <f>$K$971*$V$971</f>
        <v>0</v>
      </c>
      <c r="AC971" s="6">
        <f>$M$971*$W$971</f>
        <v>-22640.872139999996</v>
      </c>
      <c r="AD971" s="6">
        <f>$O$971*$X$971</f>
        <v>-5648.9505300000001</v>
      </c>
      <c r="AE971" s="6">
        <f>$K$971*$Y$971</f>
        <v>0</v>
      </c>
      <c r="AF971" s="6">
        <f ca="1">$M$971*$Z$971</f>
        <v>-26056.343551589092</v>
      </c>
      <c r="AG971" s="6">
        <f>$O$971*$AA$971</f>
        <v>-11764.303081727454</v>
      </c>
    </row>
    <row r="972" spans="1:33" ht="11.25" customHeight="1" x14ac:dyDescent="0.25">
      <c r="A972" s="4" t="s">
        <v>54</v>
      </c>
      <c r="B972" s="4" t="s">
        <v>37</v>
      </c>
      <c r="C972" s="4" t="s">
        <v>23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44866</v>
      </c>
      <c r="J972" s="6">
        <v>0</v>
      </c>
      <c r="K972" s="6">
        <v>0</v>
      </c>
      <c r="L972" s="6">
        <v>27.434000000000001</v>
      </c>
      <c r="M972" s="6">
        <v>27.434000000000001</v>
      </c>
      <c r="N972" s="6">
        <v>27.434000000000001</v>
      </c>
      <c r="O972" s="6">
        <v>27.434000000000001</v>
      </c>
      <c r="P972" s="6">
        <v>4</v>
      </c>
      <c r="Q972" s="4" t="s">
        <v>26</v>
      </c>
      <c r="R972" s="4">
        <v>0</v>
      </c>
      <c r="S972" s="6">
        <v>0</v>
      </c>
      <c r="T972" s="6">
        <v>66</v>
      </c>
      <c r="U972" s="6">
        <v>3</v>
      </c>
      <c r="V972" s="6">
        <f>IF(ISERROR(VLOOKUP($S$972,'TAR FIN'!$A$1:$O$108,15,0)),0,VLOOKUP($S$972,'TAR FIN'!$A$1:$O$108,15,0))</f>
        <v>0</v>
      </c>
      <c r="W972" s="6">
        <f>IF(ISERROR(VLOOKUP($T$972,'TAR FIN'!$A$1:$O$108,15,0)),0,VLOOKUP($T$972,'TAR FIN'!$A$1:$O$108,15,0))</f>
        <v>432.02</v>
      </c>
      <c r="X972" s="6">
        <f>IF(ISERROR(VLOOKUP($U$972,'TAR FIN'!$A$1:$O$108,15,0)),0,VLOOKUP($U$972,'TAR FIN'!$A$1:$O$108,15,0))</f>
        <v>107.79</v>
      </c>
      <c r="Y972" s="6"/>
      <c r="Z972" s="6">
        <f ca="1">('TUSD BE'!$AM$64+'TUSD BF'!$AM$64+'TUSD CVA'!$AM$64)*1</f>
        <v>497.19204594021971</v>
      </c>
      <c r="AA972" s="6">
        <f>('TE BE'!$AB$44+'TE BF'!$AB$44+'TE CVA'!$AB$44)*1</f>
        <v>224.47961306175614</v>
      </c>
      <c r="AB972" s="6">
        <f>$K$972*$V$972</f>
        <v>0</v>
      </c>
      <c r="AC972" s="6">
        <f>$M$972*$W$972</f>
        <v>11852.036679999999</v>
      </c>
      <c r="AD972" s="6">
        <f>$O$972*$X$972</f>
        <v>2957.1108600000002</v>
      </c>
      <c r="AE972" s="6">
        <f>$K$972*$Y$972</f>
        <v>0</v>
      </c>
      <c r="AF972" s="6">
        <f ca="1">$M$972*$Z$972</f>
        <v>13639.966588323989</v>
      </c>
      <c r="AG972" s="6">
        <f>$O$972*$AA$972</f>
        <v>6158.3737047362183</v>
      </c>
    </row>
    <row r="973" spans="1:33" ht="11.25" customHeight="1" x14ac:dyDescent="0.25">
      <c r="A973" s="4" t="s">
        <v>21</v>
      </c>
      <c r="B973" s="4" t="s">
        <v>37</v>
      </c>
      <c r="C973" s="4" t="s">
        <v>23</v>
      </c>
      <c r="D973" s="4" t="s">
        <v>47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44531</v>
      </c>
      <c r="J973" s="6">
        <v>0</v>
      </c>
      <c r="K973" s="6">
        <v>0</v>
      </c>
      <c r="L973" s="6">
        <v>2860.585</v>
      </c>
      <c r="M973" s="6">
        <v>2860.585</v>
      </c>
      <c r="N973" s="6">
        <v>2860.585</v>
      </c>
      <c r="O973" s="6">
        <v>2860.585</v>
      </c>
      <c r="P973" s="6">
        <v>1866</v>
      </c>
      <c r="Q973" s="4" t="s">
        <v>26</v>
      </c>
      <c r="R973" s="4">
        <v>0</v>
      </c>
      <c r="S973" s="6">
        <v>0</v>
      </c>
      <c r="T973" s="6">
        <v>66</v>
      </c>
      <c r="U973" s="6">
        <v>3</v>
      </c>
      <c r="V973" s="6">
        <f>IF(ISERROR(VLOOKUP($S$973,'TAR FIN'!$A$1:$O$108,15,0)),0,VLOOKUP($S$973,'TAR FIN'!$A$1:$O$108,15,0))</f>
        <v>0</v>
      </c>
      <c r="W973" s="6">
        <f>IF(ISERROR(VLOOKUP($T$973,'TAR FIN'!$A$1:$O$108,15,0)),0,VLOOKUP($T$973,'TAR FIN'!$A$1:$O$108,15,0))</f>
        <v>432.02</v>
      </c>
      <c r="X973" s="6">
        <f>IF(ISERROR(VLOOKUP($U$973,'TAR FIN'!$A$1:$O$108,15,0)),0,VLOOKUP($U$973,'TAR FIN'!$A$1:$O$108,15,0))</f>
        <v>107.79</v>
      </c>
      <c r="Y973" s="6"/>
      <c r="Z973" s="6">
        <f ca="1">('TUSD BE'!$AM$64+'TUSD BF'!$AM$64+'TUSD CVA'!$AM$64)*1</f>
        <v>497.19204594021971</v>
      </c>
      <c r="AA973" s="6">
        <f>('TE BE'!$AB$44+'TE BF'!$AB$44+'TE CVA'!$AB$44)*1</f>
        <v>224.47961306175614</v>
      </c>
      <c r="AB973" s="6">
        <f>$K$973*$V$973</f>
        <v>0</v>
      </c>
      <c r="AC973" s="6">
        <f>$M$973*$W$973</f>
        <v>1235829.9317000001</v>
      </c>
      <c r="AD973" s="6">
        <f>$O$973*$X$973</f>
        <v>308342.45715000003</v>
      </c>
      <c r="AE973" s="6">
        <f>$K$973*$Y$973</f>
        <v>0</v>
      </c>
      <c r="AF973" s="6">
        <f ca="1">$M$973*$Z$973</f>
        <v>1422260.1087359034</v>
      </c>
      <c r="AG973" s="6">
        <f>$O$973*$AA$973</f>
        <v>642143.0139302637</v>
      </c>
    </row>
    <row r="974" spans="1:33" ht="11.25" customHeight="1" x14ac:dyDescent="0.25">
      <c r="A974" s="4" t="s">
        <v>27</v>
      </c>
      <c r="B974" s="4" t="s">
        <v>37</v>
      </c>
      <c r="C974" s="4" t="s">
        <v>23</v>
      </c>
      <c r="D974" s="4" t="s">
        <v>47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44531</v>
      </c>
      <c r="J974" s="6">
        <v>0</v>
      </c>
      <c r="K974" s="6">
        <v>0</v>
      </c>
      <c r="L974" s="6">
        <v>-24.808</v>
      </c>
      <c r="M974" s="6">
        <v>-24.808</v>
      </c>
      <c r="N974" s="6">
        <v>-24.808</v>
      </c>
      <c r="O974" s="6">
        <v>-24.808</v>
      </c>
      <c r="P974" s="6">
        <v>-12</v>
      </c>
      <c r="Q974" s="4" t="s">
        <v>26</v>
      </c>
      <c r="R974" s="4">
        <v>0</v>
      </c>
      <c r="S974" s="6">
        <v>0</v>
      </c>
      <c r="T974" s="6">
        <v>66</v>
      </c>
      <c r="U974" s="6">
        <v>3</v>
      </c>
      <c r="V974" s="6">
        <f>IF(ISERROR(VLOOKUP($S$974,'TAR FIN'!$A$1:$O$108,15,0)),0,VLOOKUP($S$974,'TAR FIN'!$A$1:$O$108,15,0))</f>
        <v>0</v>
      </c>
      <c r="W974" s="6">
        <f>IF(ISERROR(VLOOKUP($T$974,'TAR FIN'!$A$1:$O$108,15,0)),0,VLOOKUP($T$974,'TAR FIN'!$A$1:$O$108,15,0))</f>
        <v>432.02</v>
      </c>
      <c r="X974" s="6">
        <f>IF(ISERROR(VLOOKUP($U$974,'TAR FIN'!$A$1:$O$108,15,0)),0,VLOOKUP($U$974,'TAR FIN'!$A$1:$O$108,15,0))</f>
        <v>107.79</v>
      </c>
      <c r="Y974" s="6"/>
      <c r="Z974" s="6">
        <f ca="1">('TUSD BE'!$AM$64+'TUSD BF'!$AM$64+'TUSD CVA'!$AM$64)*1</f>
        <v>497.19204594021971</v>
      </c>
      <c r="AA974" s="6">
        <f>('TE BE'!$AB$44+'TE BF'!$AB$44+'TE CVA'!$AB$44)*1</f>
        <v>224.47961306175614</v>
      </c>
      <c r="AB974" s="6">
        <f>$K$974*$V$974</f>
        <v>0</v>
      </c>
      <c r="AC974" s="6">
        <f>$M$974*$W$974</f>
        <v>-10717.552159999999</v>
      </c>
      <c r="AD974" s="6">
        <f>$O$974*$X$974</f>
        <v>-2674.0543200000002</v>
      </c>
      <c r="AE974" s="6">
        <f>$K$974*$Y$974</f>
        <v>0</v>
      </c>
      <c r="AF974" s="6">
        <f ca="1">$M$974*$Z$974</f>
        <v>-12334.34027568497</v>
      </c>
      <c r="AG974" s="6">
        <f>$O$974*$AA$974</f>
        <v>-5568.8902408360464</v>
      </c>
    </row>
    <row r="975" spans="1:33" ht="11.25" customHeight="1" x14ac:dyDescent="0.25">
      <c r="A975" s="4" t="s">
        <v>28</v>
      </c>
      <c r="B975" s="4" t="s">
        <v>37</v>
      </c>
      <c r="C975" s="4" t="s">
        <v>23</v>
      </c>
      <c r="D975" s="4" t="s">
        <v>47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44531</v>
      </c>
      <c r="J975" s="6">
        <v>0</v>
      </c>
      <c r="K975" s="6">
        <v>0</v>
      </c>
      <c r="L975" s="6">
        <v>8.1449999999999996</v>
      </c>
      <c r="M975" s="6">
        <v>8.1449999999999996</v>
      </c>
      <c r="N975" s="6">
        <v>8.1449999999999996</v>
      </c>
      <c r="O975" s="6">
        <v>8.1449999999999996</v>
      </c>
      <c r="P975" s="6">
        <v>9</v>
      </c>
      <c r="Q975" s="4" t="s">
        <v>26</v>
      </c>
      <c r="R975" s="4">
        <v>0</v>
      </c>
      <c r="S975" s="6">
        <v>0</v>
      </c>
      <c r="T975" s="6">
        <v>66</v>
      </c>
      <c r="U975" s="6">
        <v>3</v>
      </c>
      <c r="V975" s="6">
        <f>IF(ISERROR(VLOOKUP($S$975,'TAR FIN'!$A$1:$O$108,15,0)),0,VLOOKUP($S$975,'TAR FIN'!$A$1:$O$108,15,0))</f>
        <v>0</v>
      </c>
      <c r="W975" s="6">
        <f>IF(ISERROR(VLOOKUP($T$975,'TAR FIN'!$A$1:$O$108,15,0)),0,VLOOKUP($T$975,'TAR FIN'!$A$1:$O$108,15,0))</f>
        <v>432.02</v>
      </c>
      <c r="X975" s="6">
        <f>IF(ISERROR(VLOOKUP($U$975,'TAR FIN'!$A$1:$O$108,15,0)),0,VLOOKUP($U$975,'TAR FIN'!$A$1:$O$108,15,0))</f>
        <v>107.79</v>
      </c>
      <c r="Y975" s="6"/>
      <c r="Z975" s="6">
        <f ca="1">('TUSD BE'!$AM$64+'TUSD BF'!$AM$64+'TUSD CVA'!$AM$64)*1</f>
        <v>497.19204594021971</v>
      </c>
      <c r="AA975" s="6">
        <f>('TE BE'!$AB$44+'TE BF'!$AB$44+'TE CVA'!$AB$44)*1</f>
        <v>224.47961306175614</v>
      </c>
      <c r="AB975" s="6">
        <f>$K$975*$V$975</f>
        <v>0</v>
      </c>
      <c r="AC975" s="6">
        <f>$M$975*$W$975</f>
        <v>3518.8028999999997</v>
      </c>
      <c r="AD975" s="6">
        <f>$O$975*$X$975</f>
        <v>877.94955000000004</v>
      </c>
      <c r="AE975" s="6">
        <f>$K$975*$Y$975</f>
        <v>0</v>
      </c>
      <c r="AF975" s="6">
        <f ca="1">$M$975*$Z$975</f>
        <v>4049.6292141830895</v>
      </c>
      <c r="AG975" s="6">
        <f>$O$975*$AA$975</f>
        <v>1828.3864483880036</v>
      </c>
    </row>
    <row r="976" spans="1:33" ht="11.25" customHeight="1" x14ac:dyDescent="0.25">
      <c r="A976" s="4" t="s">
        <v>21</v>
      </c>
      <c r="B976" s="4" t="s">
        <v>37</v>
      </c>
      <c r="C976" s="4" t="s">
        <v>23</v>
      </c>
      <c r="D976" s="4" t="s">
        <v>47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44562</v>
      </c>
      <c r="J976" s="6">
        <v>0</v>
      </c>
      <c r="K976" s="6">
        <v>0</v>
      </c>
      <c r="L976" s="6">
        <v>2535.5030000000002</v>
      </c>
      <c r="M976" s="6">
        <v>2535.5030000000002</v>
      </c>
      <c r="N976" s="6">
        <v>2535.5030000000002</v>
      </c>
      <c r="O976" s="6">
        <v>2535.5030000000002</v>
      </c>
      <c r="P976" s="6">
        <v>1872</v>
      </c>
      <c r="Q976" s="4" t="s">
        <v>26</v>
      </c>
      <c r="R976" s="4">
        <v>0</v>
      </c>
      <c r="S976" s="6">
        <v>0</v>
      </c>
      <c r="T976" s="6">
        <v>66</v>
      </c>
      <c r="U976" s="6">
        <v>3</v>
      </c>
      <c r="V976" s="6">
        <f>IF(ISERROR(VLOOKUP($S$976,'TAR FIN'!$A$1:$O$108,15,0)),0,VLOOKUP($S$976,'TAR FIN'!$A$1:$O$108,15,0))</f>
        <v>0</v>
      </c>
      <c r="W976" s="6">
        <f>IF(ISERROR(VLOOKUP($T$976,'TAR FIN'!$A$1:$O$108,15,0)),0,VLOOKUP($T$976,'TAR FIN'!$A$1:$O$108,15,0))</f>
        <v>432.02</v>
      </c>
      <c r="X976" s="6">
        <f>IF(ISERROR(VLOOKUP($U$976,'TAR FIN'!$A$1:$O$108,15,0)),0,VLOOKUP($U$976,'TAR FIN'!$A$1:$O$108,15,0))</f>
        <v>107.79</v>
      </c>
      <c r="Y976" s="6"/>
      <c r="Z976" s="6">
        <f ca="1">('TUSD BE'!$AM$64+'TUSD BF'!$AM$64+'TUSD CVA'!$AM$64)*1</f>
        <v>497.19204594021971</v>
      </c>
      <c r="AA976" s="6">
        <f>('TE BE'!$AB$44+'TE BF'!$AB$44+'TE CVA'!$AB$44)*1</f>
        <v>224.47961306175614</v>
      </c>
      <c r="AB976" s="6">
        <f>$K$976*$V$976</f>
        <v>0</v>
      </c>
      <c r="AC976" s="6">
        <f>$M$976*$W$976</f>
        <v>1095388.00606</v>
      </c>
      <c r="AD976" s="6">
        <f>$O$976*$X$976</f>
        <v>273301.86837000004</v>
      </c>
      <c r="AE976" s="6">
        <f>$K$976*$Y$976</f>
        <v>0</v>
      </c>
      <c r="AF976" s="6">
        <f ca="1">$M$976*$Z$976</f>
        <v>1260631.9240575649</v>
      </c>
      <c r="AG976" s="6">
        <f>$O$976*$AA$976</f>
        <v>569168.73235692189</v>
      </c>
    </row>
    <row r="977" spans="1:33" ht="11.25" customHeight="1" x14ac:dyDescent="0.25">
      <c r="A977" s="4" t="s">
        <v>27</v>
      </c>
      <c r="B977" s="4" t="s">
        <v>37</v>
      </c>
      <c r="C977" s="4" t="s">
        <v>23</v>
      </c>
      <c r="D977" s="4" t="s">
        <v>47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44562</v>
      </c>
      <c r="J977" s="6">
        <v>0</v>
      </c>
      <c r="K977" s="6">
        <v>0</v>
      </c>
      <c r="L977" s="6">
        <v>0.20499999999999999</v>
      </c>
      <c r="M977" s="6">
        <v>0.20499999999999999</v>
      </c>
      <c r="N977" s="6">
        <v>0.20499999999999999</v>
      </c>
      <c r="O977" s="6">
        <v>0.20499999999999999</v>
      </c>
      <c r="P977" s="6">
        <v>1</v>
      </c>
      <c r="Q977" s="4" t="s">
        <v>26</v>
      </c>
      <c r="R977" s="4">
        <v>0</v>
      </c>
      <c r="S977" s="6">
        <v>0</v>
      </c>
      <c r="T977" s="6">
        <v>66</v>
      </c>
      <c r="U977" s="6">
        <v>3</v>
      </c>
      <c r="V977" s="6">
        <f>IF(ISERROR(VLOOKUP($S$977,'TAR FIN'!$A$1:$O$108,15,0)),0,VLOOKUP($S$977,'TAR FIN'!$A$1:$O$108,15,0))</f>
        <v>0</v>
      </c>
      <c r="W977" s="6">
        <f>IF(ISERROR(VLOOKUP($T$977,'TAR FIN'!$A$1:$O$108,15,0)),0,VLOOKUP($T$977,'TAR FIN'!$A$1:$O$108,15,0))</f>
        <v>432.02</v>
      </c>
      <c r="X977" s="6">
        <f>IF(ISERROR(VLOOKUP($U$977,'TAR FIN'!$A$1:$O$108,15,0)),0,VLOOKUP($U$977,'TAR FIN'!$A$1:$O$108,15,0))</f>
        <v>107.79</v>
      </c>
      <c r="Y977" s="6"/>
      <c r="Z977" s="6">
        <f ca="1">('TUSD BE'!$AM$64+'TUSD BF'!$AM$64+'TUSD CVA'!$AM$64)*1</f>
        <v>497.19204594021971</v>
      </c>
      <c r="AA977" s="6">
        <f>('TE BE'!$AB$44+'TE BF'!$AB$44+'TE CVA'!$AB$44)*1</f>
        <v>224.47961306175614</v>
      </c>
      <c r="AB977" s="6">
        <f>$K$977*$V$977</f>
        <v>0</v>
      </c>
      <c r="AC977" s="6">
        <f>$M$977*$W$977</f>
        <v>88.564099999999996</v>
      </c>
      <c r="AD977" s="6">
        <f>$O$977*$X$977</f>
        <v>22.09695</v>
      </c>
      <c r="AE977" s="6">
        <f>$K$977*$Y$977</f>
        <v>0</v>
      </c>
      <c r="AF977" s="6">
        <f ca="1">$M$977*$Z$977</f>
        <v>101.92436941774504</v>
      </c>
      <c r="AG977" s="6">
        <f>$O$977*$AA$977</f>
        <v>46.018320677660007</v>
      </c>
    </row>
    <row r="978" spans="1:33" ht="11.25" customHeight="1" x14ac:dyDescent="0.25">
      <c r="A978" s="4" t="s">
        <v>28</v>
      </c>
      <c r="B978" s="4" t="s">
        <v>37</v>
      </c>
      <c r="C978" s="4" t="s">
        <v>23</v>
      </c>
      <c r="D978" s="4" t="s">
        <v>47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44562</v>
      </c>
      <c r="J978" s="6">
        <v>0</v>
      </c>
      <c r="K978" s="6">
        <v>0</v>
      </c>
      <c r="L978" s="6">
        <v>4.8109999999999999</v>
      </c>
      <c r="M978" s="6">
        <v>4.8109999999999999</v>
      </c>
      <c r="N978" s="6">
        <v>4.8109999999999999</v>
      </c>
      <c r="O978" s="6">
        <v>4.8109999999999999</v>
      </c>
      <c r="P978" s="6">
        <v>9</v>
      </c>
      <c r="Q978" s="4" t="s">
        <v>26</v>
      </c>
      <c r="R978" s="4">
        <v>0</v>
      </c>
      <c r="S978" s="6">
        <v>0</v>
      </c>
      <c r="T978" s="6">
        <v>66</v>
      </c>
      <c r="U978" s="6">
        <v>3</v>
      </c>
      <c r="V978" s="6">
        <f>IF(ISERROR(VLOOKUP($S$978,'TAR FIN'!$A$1:$O$108,15,0)),0,VLOOKUP($S$978,'TAR FIN'!$A$1:$O$108,15,0))</f>
        <v>0</v>
      </c>
      <c r="W978" s="6">
        <f>IF(ISERROR(VLOOKUP($T$978,'TAR FIN'!$A$1:$O$108,15,0)),0,VLOOKUP($T$978,'TAR FIN'!$A$1:$O$108,15,0))</f>
        <v>432.02</v>
      </c>
      <c r="X978" s="6">
        <f>IF(ISERROR(VLOOKUP($U$978,'TAR FIN'!$A$1:$O$108,15,0)),0,VLOOKUP($U$978,'TAR FIN'!$A$1:$O$108,15,0))</f>
        <v>107.79</v>
      </c>
      <c r="Y978" s="6"/>
      <c r="Z978" s="6">
        <f ca="1">('TUSD BE'!$AM$64+'TUSD BF'!$AM$64+'TUSD CVA'!$AM$64)*1</f>
        <v>497.19204594021971</v>
      </c>
      <c r="AA978" s="6">
        <f>('TE BE'!$AB$44+'TE BF'!$AB$44+'TE CVA'!$AB$44)*1</f>
        <v>224.47961306175614</v>
      </c>
      <c r="AB978" s="6">
        <f>$K$978*$V$978</f>
        <v>0</v>
      </c>
      <c r="AC978" s="6">
        <f>$M$978*$W$978</f>
        <v>2078.4482199999998</v>
      </c>
      <c r="AD978" s="6">
        <f>$O$978*$X$978</f>
        <v>518.57769000000008</v>
      </c>
      <c r="AE978" s="6">
        <f>$K$978*$Y$978</f>
        <v>0</v>
      </c>
      <c r="AF978" s="6">
        <f ca="1">$M$978*$Z$978</f>
        <v>2391.9909330183968</v>
      </c>
      <c r="AG978" s="6">
        <f>$O$978*$AA$978</f>
        <v>1079.9714184401089</v>
      </c>
    </row>
    <row r="979" spans="1:33" ht="11.25" customHeight="1" x14ac:dyDescent="0.25">
      <c r="A979" s="4" t="s">
        <v>21</v>
      </c>
      <c r="B979" s="4" t="s">
        <v>37</v>
      </c>
      <c r="C979" s="4" t="s">
        <v>23</v>
      </c>
      <c r="D979" s="4" t="s">
        <v>47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44593</v>
      </c>
      <c r="J979" s="6">
        <v>0</v>
      </c>
      <c r="K979" s="6">
        <v>0</v>
      </c>
      <c r="L979" s="6">
        <v>2085.9789999999998</v>
      </c>
      <c r="M979" s="6">
        <v>2085.9789999999998</v>
      </c>
      <c r="N979" s="6">
        <v>2085.9789999999998</v>
      </c>
      <c r="O979" s="6">
        <v>2085.9789999999998</v>
      </c>
      <c r="P979" s="6">
        <v>1834</v>
      </c>
      <c r="Q979" s="4" t="s">
        <v>26</v>
      </c>
      <c r="R979" s="4">
        <v>0</v>
      </c>
      <c r="S979" s="6">
        <v>0</v>
      </c>
      <c r="T979" s="6">
        <v>66</v>
      </c>
      <c r="U979" s="6">
        <v>3</v>
      </c>
      <c r="V979" s="6">
        <f>IF(ISERROR(VLOOKUP($S$979,'TAR FIN'!$A$1:$O$108,15,0)),0,VLOOKUP($S$979,'TAR FIN'!$A$1:$O$108,15,0))</f>
        <v>0</v>
      </c>
      <c r="W979" s="6">
        <f>IF(ISERROR(VLOOKUP($T$979,'TAR FIN'!$A$1:$O$108,15,0)),0,VLOOKUP($T$979,'TAR FIN'!$A$1:$O$108,15,0))</f>
        <v>432.02</v>
      </c>
      <c r="X979" s="6">
        <f>IF(ISERROR(VLOOKUP($U$979,'TAR FIN'!$A$1:$O$108,15,0)),0,VLOOKUP($U$979,'TAR FIN'!$A$1:$O$108,15,0))</f>
        <v>107.79</v>
      </c>
      <c r="Y979" s="6"/>
      <c r="Z979" s="6">
        <f ca="1">('TUSD BE'!$AM$64+'TUSD BF'!$AM$64+'TUSD CVA'!$AM$64)*1</f>
        <v>497.19204594021971</v>
      </c>
      <c r="AA979" s="6">
        <f>('TE BE'!$AB$44+'TE BF'!$AB$44+'TE CVA'!$AB$44)*1</f>
        <v>224.47961306175614</v>
      </c>
      <c r="AB979" s="6">
        <f>$K$979*$V$979</f>
        <v>0</v>
      </c>
      <c r="AC979" s="6">
        <f>$M$979*$W$979</f>
        <v>901184.64757999987</v>
      </c>
      <c r="AD979" s="6">
        <f>$O$979*$X$979</f>
        <v>224847.67640999999</v>
      </c>
      <c r="AE979" s="6">
        <f>$K$979*$Y$979</f>
        <v>0</v>
      </c>
      <c r="AF979" s="6">
        <f ca="1">$M$979*$Z$979</f>
        <v>1037132.1667983335</v>
      </c>
      <c r="AG979" s="6">
        <f>$O$979*$AA$979</f>
        <v>468259.75877494895</v>
      </c>
    </row>
    <row r="980" spans="1:33" ht="11.25" customHeight="1" x14ac:dyDescent="0.25">
      <c r="A980" s="4" t="s">
        <v>27</v>
      </c>
      <c r="B980" s="4" t="s">
        <v>37</v>
      </c>
      <c r="C980" s="4" t="s">
        <v>23</v>
      </c>
      <c r="D980" s="4" t="s">
        <v>47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44593</v>
      </c>
      <c r="J980" s="6">
        <v>0</v>
      </c>
      <c r="K980" s="6">
        <v>0</v>
      </c>
      <c r="L980" s="6">
        <v>-18.402999999999999</v>
      </c>
      <c r="M980" s="6">
        <v>-18.402999999999999</v>
      </c>
      <c r="N980" s="6">
        <v>-18.402999999999999</v>
      </c>
      <c r="O980" s="6">
        <v>-18.402999999999999</v>
      </c>
      <c r="P980" s="6">
        <v>19</v>
      </c>
      <c r="Q980" s="4" t="s">
        <v>26</v>
      </c>
      <c r="R980" s="4">
        <v>0</v>
      </c>
      <c r="S980" s="6">
        <v>0</v>
      </c>
      <c r="T980" s="6">
        <v>66</v>
      </c>
      <c r="U980" s="6">
        <v>3</v>
      </c>
      <c r="V980" s="6">
        <f>IF(ISERROR(VLOOKUP($S$980,'TAR FIN'!$A$1:$O$108,15,0)),0,VLOOKUP($S$980,'TAR FIN'!$A$1:$O$108,15,0))</f>
        <v>0</v>
      </c>
      <c r="W980" s="6">
        <f>IF(ISERROR(VLOOKUP($T$980,'TAR FIN'!$A$1:$O$108,15,0)),0,VLOOKUP($T$980,'TAR FIN'!$A$1:$O$108,15,0))</f>
        <v>432.02</v>
      </c>
      <c r="X980" s="6">
        <f>IF(ISERROR(VLOOKUP($U$980,'TAR FIN'!$A$1:$O$108,15,0)),0,VLOOKUP($U$980,'TAR FIN'!$A$1:$O$108,15,0))</f>
        <v>107.79</v>
      </c>
      <c r="Y980" s="6"/>
      <c r="Z980" s="6">
        <f ca="1">('TUSD BE'!$AM$64+'TUSD BF'!$AM$64+'TUSD CVA'!$AM$64)*1</f>
        <v>497.19204594021971</v>
      </c>
      <c r="AA980" s="6">
        <f>('TE BE'!$AB$44+'TE BF'!$AB$44+'TE CVA'!$AB$44)*1</f>
        <v>224.47961306175614</v>
      </c>
      <c r="AB980" s="6">
        <f>$K$980*$V$980</f>
        <v>0</v>
      </c>
      <c r="AC980" s="6">
        <f>$M$980*$W$980</f>
        <v>-7950.4640599999993</v>
      </c>
      <c r="AD980" s="6">
        <f>$O$980*$X$980</f>
        <v>-1983.6593700000001</v>
      </c>
      <c r="AE980" s="6">
        <f>$K$980*$Y$980</f>
        <v>0</v>
      </c>
      <c r="AF980" s="6">
        <f ca="1">$M$980*$Z$980</f>
        <v>-9149.8252214378626</v>
      </c>
      <c r="AG980" s="6">
        <f>$O$980*$AA$980</f>
        <v>-4131.0983191754976</v>
      </c>
    </row>
    <row r="981" spans="1:33" ht="11.25" customHeight="1" x14ac:dyDescent="0.25">
      <c r="A981" s="4" t="s">
        <v>28</v>
      </c>
      <c r="B981" s="4" t="s">
        <v>37</v>
      </c>
      <c r="C981" s="4" t="s">
        <v>23</v>
      </c>
      <c r="D981" s="4" t="s">
        <v>47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44593</v>
      </c>
      <c r="J981" s="6">
        <v>0</v>
      </c>
      <c r="K981" s="6">
        <v>0</v>
      </c>
      <c r="L981" s="6">
        <v>7.6559999999999997</v>
      </c>
      <c r="M981" s="6">
        <v>7.6559999999999997</v>
      </c>
      <c r="N981" s="6">
        <v>7.6559999999999997</v>
      </c>
      <c r="O981" s="6">
        <v>7.6559999999999997</v>
      </c>
      <c r="P981" s="6">
        <v>9</v>
      </c>
      <c r="Q981" s="4" t="s">
        <v>26</v>
      </c>
      <c r="R981" s="4">
        <v>0</v>
      </c>
      <c r="S981" s="6">
        <v>0</v>
      </c>
      <c r="T981" s="6">
        <v>66</v>
      </c>
      <c r="U981" s="6">
        <v>3</v>
      </c>
      <c r="V981" s="6">
        <f>IF(ISERROR(VLOOKUP($S$981,'TAR FIN'!$A$1:$O$108,15,0)),0,VLOOKUP($S$981,'TAR FIN'!$A$1:$O$108,15,0))</f>
        <v>0</v>
      </c>
      <c r="W981" s="6">
        <f>IF(ISERROR(VLOOKUP($T$981,'TAR FIN'!$A$1:$O$108,15,0)),0,VLOOKUP($T$981,'TAR FIN'!$A$1:$O$108,15,0))</f>
        <v>432.02</v>
      </c>
      <c r="X981" s="6">
        <f>IF(ISERROR(VLOOKUP($U$981,'TAR FIN'!$A$1:$O$108,15,0)),0,VLOOKUP($U$981,'TAR FIN'!$A$1:$O$108,15,0))</f>
        <v>107.79</v>
      </c>
      <c r="Y981" s="6"/>
      <c r="Z981" s="6">
        <f ca="1">('TUSD BE'!$AM$64+'TUSD BF'!$AM$64+'TUSD CVA'!$AM$64)*1</f>
        <v>497.19204594021971</v>
      </c>
      <c r="AA981" s="6">
        <f>('TE BE'!$AB$44+'TE BF'!$AB$44+'TE CVA'!$AB$44)*1</f>
        <v>224.47961306175614</v>
      </c>
      <c r="AB981" s="6">
        <f>$K$981*$V$981</f>
        <v>0</v>
      </c>
      <c r="AC981" s="6">
        <f>$M$981*$W$981</f>
        <v>3307.5451199999998</v>
      </c>
      <c r="AD981" s="6">
        <f>$O$981*$X$981</f>
        <v>825.24023999999997</v>
      </c>
      <c r="AE981" s="6">
        <f>$K$981*$Y$981</f>
        <v>0</v>
      </c>
      <c r="AF981" s="6">
        <f ca="1">$M$981*$Z$981</f>
        <v>3806.5023037183219</v>
      </c>
      <c r="AG981" s="6">
        <f>$O$981*$AA$981</f>
        <v>1718.615917600805</v>
      </c>
    </row>
    <row r="982" spans="1:33" ht="11.25" customHeight="1" x14ac:dyDescent="0.25">
      <c r="A982" s="4" t="s">
        <v>21</v>
      </c>
      <c r="B982" s="4" t="s">
        <v>37</v>
      </c>
      <c r="C982" s="4" t="s">
        <v>23</v>
      </c>
      <c r="D982" s="4" t="s">
        <v>47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44621</v>
      </c>
      <c r="J982" s="6">
        <v>0</v>
      </c>
      <c r="K982" s="6">
        <v>0</v>
      </c>
      <c r="L982" s="6">
        <v>2498.623</v>
      </c>
      <c r="M982" s="6">
        <v>2498.623</v>
      </c>
      <c r="N982" s="6">
        <v>2498.623</v>
      </c>
      <c r="O982" s="6">
        <v>2498.623</v>
      </c>
      <c r="P982" s="6">
        <v>1874</v>
      </c>
      <c r="Q982" s="4" t="s">
        <v>26</v>
      </c>
      <c r="R982" s="4">
        <v>0</v>
      </c>
      <c r="S982" s="6">
        <v>0</v>
      </c>
      <c r="T982" s="6">
        <v>66</v>
      </c>
      <c r="U982" s="6">
        <v>3</v>
      </c>
      <c r="V982" s="6">
        <f>IF(ISERROR(VLOOKUP($S$982,'TAR FIN'!$A$1:$O$108,15,0)),0,VLOOKUP($S$982,'TAR FIN'!$A$1:$O$108,15,0))</f>
        <v>0</v>
      </c>
      <c r="W982" s="6">
        <f>IF(ISERROR(VLOOKUP($T$982,'TAR FIN'!$A$1:$O$108,15,0)),0,VLOOKUP($T$982,'TAR FIN'!$A$1:$O$108,15,0))</f>
        <v>432.02</v>
      </c>
      <c r="X982" s="6">
        <f>IF(ISERROR(VLOOKUP($U$982,'TAR FIN'!$A$1:$O$108,15,0)),0,VLOOKUP($U$982,'TAR FIN'!$A$1:$O$108,15,0))</f>
        <v>107.79</v>
      </c>
      <c r="Y982" s="6"/>
      <c r="Z982" s="6">
        <f ca="1">('TUSD BE'!$AM$64+'TUSD BF'!$AM$64+'TUSD CVA'!$AM$64)*1</f>
        <v>497.19204594021971</v>
      </c>
      <c r="AA982" s="6">
        <f>('TE BE'!$AB$44+'TE BF'!$AB$44+'TE CVA'!$AB$44)*1</f>
        <v>224.47961306175614</v>
      </c>
      <c r="AB982" s="6">
        <f>$K$982*$V$982</f>
        <v>0</v>
      </c>
      <c r="AC982" s="6">
        <f>$M$982*$W$982</f>
        <v>1079455.10846</v>
      </c>
      <c r="AD982" s="6">
        <f>$O$982*$X$982</f>
        <v>269326.57317000005</v>
      </c>
      <c r="AE982" s="6">
        <f>$K$982*$Y$982</f>
        <v>0</v>
      </c>
      <c r="AF982" s="6">
        <f ca="1">$M$982*$Z$982</f>
        <v>1242295.4814032896</v>
      </c>
      <c r="AG982" s="6">
        <f>$O$982*$AA$982</f>
        <v>560889.92422720429</v>
      </c>
    </row>
    <row r="983" spans="1:33" ht="11.25" customHeight="1" x14ac:dyDescent="0.25">
      <c r="A983" s="4" t="s">
        <v>27</v>
      </c>
      <c r="B983" s="4" t="s">
        <v>37</v>
      </c>
      <c r="C983" s="4" t="s">
        <v>23</v>
      </c>
      <c r="D983" s="4" t="s">
        <v>47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44621</v>
      </c>
      <c r="J983" s="6">
        <v>0</v>
      </c>
      <c r="K983" s="6">
        <v>0</v>
      </c>
      <c r="L983" s="6">
        <v>90.575000000000003</v>
      </c>
      <c r="M983" s="6">
        <v>90.575000000000003</v>
      </c>
      <c r="N983" s="6">
        <v>90.575000000000003</v>
      </c>
      <c r="O983" s="6">
        <v>90.575000000000003</v>
      </c>
      <c r="P983" s="6">
        <v>32</v>
      </c>
      <c r="Q983" s="4" t="s">
        <v>26</v>
      </c>
      <c r="R983" s="4">
        <v>0</v>
      </c>
      <c r="S983" s="6">
        <v>0</v>
      </c>
      <c r="T983" s="6">
        <v>66</v>
      </c>
      <c r="U983" s="6">
        <v>3</v>
      </c>
      <c r="V983" s="6">
        <f>IF(ISERROR(VLOOKUP($S$983,'TAR FIN'!$A$1:$O$108,15,0)),0,VLOOKUP($S$983,'TAR FIN'!$A$1:$O$108,15,0))</f>
        <v>0</v>
      </c>
      <c r="W983" s="6">
        <f>IF(ISERROR(VLOOKUP($T$983,'TAR FIN'!$A$1:$O$108,15,0)),0,VLOOKUP($T$983,'TAR FIN'!$A$1:$O$108,15,0))</f>
        <v>432.02</v>
      </c>
      <c r="X983" s="6">
        <f>IF(ISERROR(VLOOKUP($U$983,'TAR FIN'!$A$1:$O$108,15,0)),0,VLOOKUP($U$983,'TAR FIN'!$A$1:$O$108,15,0))</f>
        <v>107.79</v>
      </c>
      <c r="Y983" s="6"/>
      <c r="Z983" s="6">
        <f ca="1">('TUSD BE'!$AM$64+'TUSD BF'!$AM$64+'TUSD CVA'!$AM$64)*1</f>
        <v>497.19204594021971</v>
      </c>
      <c r="AA983" s="6">
        <f>('TE BE'!$AB$44+'TE BF'!$AB$44+'TE CVA'!$AB$44)*1</f>
        <v>224.47961306175614</v>
      </c>
      <c r="AB983" s="6">
        <f>$K$983*$V$983</f>
        <v>0</v>
      </c>
      <c r="AC983" s="6">
        <f>$M$983*$W$983</f>
        <v>39130.211499999998</v>
      </c>
      <c r="AD983" s="6">
        <f>$O$983*$X$983</f>
        <v>9763.0792500000007</v>
      </c>
      <c r="AE983" s="6">
        <f>$K$983*$Y$983</f>
        <v>0</v>
      </c>
      <c r="AF983" s="6">
        <f ca="1">$M$983*$Z$983</f>
        <v>45033.1695610354</v>
      </c>
      <c r="AG983" s="6">
        <f>$O$983*$AA$983</f>
        <v>20332.240953068562</v>
      </c>
    </row>
    <row r="984" spans="1:33" ht="11.25" customHeight="1" x14ac:dyDescent="0.25">
      <c r="A984" s="4" t="s">
        <v>28</v>
      </c>
      <c r="B984" s="4" t="s">
        <v>37</v>
      </c>
      <c r="C984" s="4" t="s">
        <v>23</v>
      </c>
      <c r="D984" s="4" t="s">
        <v>47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44621</v>
      </c>
      <c r="J984" s="6">
        <v>0</v>
      </c>
      <c r="K984" s="6">
        <v>0</v>
      </c>
      <c r="L984" s="6">
        <v>7.0389999999999997</v>
      </c>
      <c r="M984" s="6">
        <v>7.0389999999999997</v>
      </c>
      <c r="N984" s="6">
        <v>7.0389999999999997</v>
      </c>
      <c r="O984" s="6">
        <v>7.0389999999999997</v>
      </c>
      <c r="P984" s="6">
        <v>9</v>
      </c>
      <c r="Q984" s="4" t="s">
        <v>26</v>
      </c>
      <c r="R984" s="4">
        <v>0</v>
      </c>
      <c r="S984" s="6">
        <v>0</v>
      </c>
      <c r="T984" s="6">
        <v>66</v>
      </c>
      <c r="U984" s="6">
        <v>3</v>
      </c>
      <c r="V984" s="6">
        <f>IF(ISERROR(VLOOKUP($S$984,'TAR FIN'!$A$1:$O$108,15,0)),0,VLOOKUP($S$984,'TAR FIN'!$A$1:$O$108,15,0))</f>
        <v>0</v>
      </c>
      <c r="W984" s="6">
        <f>IF(ISERROR(VLOOKUP($T$984,'TAR FIN'!$A$1:$O$108,15,0)),0,VLOOKUP($T$984,'TAR FIN'!$A$1:$O$108,15,0))</f>
        <v>432.02</v>
      </c>
      <c r="X984" s="6">
        <f>IF(ISERROR(VLOOKUP($U$984,'TAR FIN'!$A$1:$O$108,15,0)),0,VLOOKUP($U$984,'TAR FIN'!$A$1:$O$108,15,0))</f>
        <v>107.79</v>
      </c>
      <c r="Y984" s="6"/>
      <c r="Z984" s="6">
        <f ca="1">('TUSD BE'!$AM$64+'TUSD BF'!$AM$64+'TUSD CVA'!$AM$64)*1</f>
        <v>497.19204594021971</v>
      </c>
      <c r="AA984" s="6">
        <f>('TE BE'!$AB$44+'TE BF'!$AB$44+'TE CVA'!$AB$44)*1</f>
        <v>224.47961306175614</v>
      </c>
      <c r="AB984" s="6">
        <f>$K$984*$V$984</f>
        <v>0</v>
      </c>
      <c r="AC984" s="6">
        <f>$M$984*$W$984</f>
        <v>3040.9887799999997</v>
      </c>
      <c r="AD984" s="6">
        <f>$O$984*$X$984</f>
        <v>758.73381000000006</v>
      </c>
      <c r="AE984" s="6">
        <f>$K$984*$Y$984</f>
        <v>0</v>
      </c>
      <c r="AF984" s="6">
        <f ca="1">$M$984*$Z$984</f>
        <v>3499.7348113732064</v>
      </c>
      <c r="AG984" s="6">
        <f>$O$984*$AA$984</f>
        <v>1580.1119963417013</v>
      </c>
    </row>
    <row r="985" spans="1:33" ht="11.25" customHeight="1" x14ac:dyDescent="0.25">
      <c r="A985" s="4" t="s">
        <v>21</v>
      </c>
      <c r="B985" s="4" t="s">
        <v>37</v>
      </c>
      <c r="C985" s="4" t="s">
        <v>23</v>
      </c>
      <c r="D985" s="4" t="s">
        <v>47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44652</v>
      </c>
      <c r="J985" s="6">
        <v>0</v>
      </c>
      <c r="K985" s="6">
        <v>0</v>
      </c>
      <c r="L985" s="6">
        <v>2695.93</v>
      </c>
      <c r="M985" s="6">
        <v>2695.93</v>
      </c>
      <c r="N985" s="6">
        <v>2695.93</v>
      </c>
      <c r="O985" s="6">
        <v>2695.93</v>
      </c>
      <c r="P985" s="6">
        <v>1842</v>
      </c>
      <c r="Q985" s="4" t="s">
        <v>26</v>
      </c>
      <c r="R985" s="4">
        <v>0</v>
      </c>
      <c r="S985" s="6">
        <v>0</v>
      </c>
      <c r="T985" s="6">
        <v>66</v>
      </c>
      <c r="U985" s="6">
        <v>3</v>
      </c>
      <c r="V985" s="6">
        <f>IF(ISERROR(VLOOKUP($S$985,'TAR FIN'!$A$1:$O$108,15,0)),0,VLOOKUP($S$985,'TAR FIN'!$A$1:$O$108,15,0))</f>
        <v>0</v>
      </c>
      <c r="W985" s="6">
        <f>IF(ISERROR(VLOOKUP($T$985,'TAR FIN'!$A$1:$O$108,15,0)),0,VLOOKUP($T$985,'TAR FIN'!$A$1:$O$108,15,0))</f>
        <v>432.02</v>
      </c>
      <c r="X985" s="6">
        <f>IF(ISERROR(VLOOKUP($U$985,'TAR FIN'!$A$1:$O$108,15,0)),0,VLOOKUP($U$985,'TAR FIN'!$A$1:$O$108,15,0))</f>
        <v>107.79</v>
      </c>
      <c r="Y985" s="6"/>
      <c r="Z985" s="6">
        <f ca="1">('TUSD BE'!$AM$64+'TUSD BF'!$AM$64+'TUSD CVA'!$AM$64)*1</f>
        <v>497.19204594021971</v>
      </c>
      <c r="AA985" s="6">
        <f>('TE BE'!$AB$44+'TE BF'!$AB$44+'TE CVA'!$AB$44)*1</f>
        <v>224.47961306175614</v>
      </c>
      <c r="AB985" s="6">
        <f>$K$985*$V$985</f>
        <v>0</v>
      </c>
      <c r="AC985" s="6">
        <f>$M$985*$W$985</f>
        <v>1164695.6786</v>
      </c>
      <c r="AD985" s="6">
        <f>$O$985*$X$985</f>
        <v>290594.29470000003</v>
      </c>
      <c r="AE985" s="6">
        <f>$K$985*$Y$985</f>
        <v>0</v>
      </c>
      <c r="AF985" s="6">
        <f ca="1">$M$985*$Z$985</f>
        <v>1340394.9524116165</v>
      </c>
      <c r="AG985" s="6">
        <f>$O$985*$AA$985</f>
        <v>605181.32324158016</v>
      </c>
    </row>
    <row r="986" spans="1:33" ht="11.25" customHeight="1" x14ac:dyDescent="0.25">
      <c r="A986" s="4" t="s">
        <v>27</v>
      </c>
      <c r="B986" s="4" t="s">
        <v>37</v>
      </c>
      <c r="C986" s="4" t="s">
        <v>23</v>
      </c>
      <c r="D986" s="4" t="s">
        <v>47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-164.83699999999999</v>
      </c>
      <c r="M986" s="6">
        <v>-164.83699999999999</v>
      </c>
      <c r="N986" s="6">
        <v>-164.83699999999999</v>
      </c>
      <c r="O986" s="6">
        <v>-164.83699999999999</v>
      </c>
      <c r="P986" s="6">
        <v>-37</v>
      </c>
      <c r="Q986" s="4" t="s">
        <v>26</v>
      </c>
      <c r="R986" s="4">
        <v>0</v>
      </c>
      <c r="S986" s="6">
        <v>0</v>
      </c>
      <c r="T986" s="6">
        <v>66</v>
      </c>
      <c r="U986" s="6">
        <v>3</v>
      </c>
      <c r="V986" s="6">
        <f>IF(ISERROR(VLOOKUP($S$986,'TAR FIN'!$A$1:$O$108,15,0)),0,VLOOKUP($S$986,'TAR FIN'!$A$1:$O$108,15,0))</f>
        <v>0</v>
      </c>
      <c r="W986" s="6">
        <f>IF(ISERROR(VLOOKUP($T$986,'TAR FIN'!$A$1:$O$108,15,0)),0,VLOOKUP($T$986,'TAR FIN'!$A$1:$O$108,15,0))</f>
        <v>432.02</v>
      </c>
      <c r="X986" s="6">
        <f>IF(ISERROR(VLOOKUP($U$986,'TAR FIN'!$A$1:$O$108,15,0)),0,VLOOKUP($U$986,'TAR FIN'!$A$1:$O$108,15,0))</f>
        <v>107.79</v>
      </c>
      <c r="Y986" s="6"/>
      <c r="Z986" s="6">
        <f ca="1">('TUSD BE'!$AM$64+'TUSD BF'!$AM$64+'TUSD CVA'!$AM$64)*1</f>
        <v>497.19204594021971</v>
      </c>
      <c r="AA986" s="6">
        <f>('TE BE'!$AB$44+'TE BF'!$AB$44+'TE CVA'!$AB$44)*1</f>
        <v>224.47961306175614</v>
      </c>
      <c r="AB986" s="6">
        <f>$K$986*$V$986</f>
        <v>0</v>
      </c>
      <c r="AC986" s="6">
        <f>$M$986*$W$986</f>
        <v>-71212.880739999993</v>
      </c>
      <c r="AD986" s="6">
        <f>$O$986*$X$986</f>
        <v>-17767.78023</v>
      </c>
      <c r="AE986" s="6">
        <f>$K$986*$Y$986</f>
        <v>0</v>
      </c>
      <c r="AF986" s="6">
        <f ca="1">$M$986*$Z$986</f>
        <v>-81955.645276647992</v>
      </c>
      <c r="AG986" s="6">
        <f>$O$986*$AA$986</f>
        <v>-37002.545978260692</v>
      </c>
    </row>
    <row r="987" spans="1:33" ht="11.25" customHeight="1" x14ac:dyDescent="0.25">
      <c r="A987" s="4" t="s">
        <v>28</v>
      </c>
      <c r="B987" s="4" t="s">
        <v>37</v>
      </c>
      <c r="C987" s="4" t="s">
        <v>23</v>
      </c>
      <c r="D987" s="4" t="s">
        <v>47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44652</v>
      </c>
      <c r="J987" s="6">
        <v>0</v>
      </c>
      <c r="K987" s="6">
        <v>0</v>
      </c>
      <c r="L987" s="6">
        <v>4.6139999999999999</v>
      </c>
      <c r="M987" s="6">
        <v>4.6139999999999999</v>
      </c>
      <c r="N987" s="6">
        <v>4.6139999999999999</v>
      </c>
      <c r="O987" s="6">
        <v>4.6139999999999999</v>
      </c>
      <c r="P987" s="6">
        <v>9</v>
      </c>
      <c r="Q987" s="4" t="s">
        <v>26</v>
      </c>
      <c r="R987" s="4">
        <v>0</v>
      </c>
      <c r="S987" s="6">
        <v>0</v>
      </c>
      <c r="T987" s="6">
        <v>66</v>
      </c>
      <c r="U987" s="6">
        <v>3</v>
      </c>
      <c r="V987" s="6">
        <f>IF(ISERROR(VLOOKUP($S$987,'TAR FIN'!$A$1:$O$108,15,0)),0,VLOOKUP($S$987,'TAR FIN'!$A$1:$O$108,15,0))</f>
        <v>0</v>
      </c>
      <c r="W987" s="6">
        <f>IF(ISERROR(VLOOKUP($T$987,'TAR FIN'!$A$1:$O$108,15,0)),0,VLOOKUP($T$987,'TAR FIN'!$A$1:$O$108,15,0))</f>
        <v>432.02</v>
      </c>
      <c r="X987" s="6">
        <f>IF(ISERROR(VLOOKUP($U$987,'TAR FIN'!$A$1:$O$108,15,0)),0,VLOOKUP($U$987,'TAR FIN'!$A$1:$O$108,15,0))</f>
        <v>107.79</v>
      </c>
      <c r="Y987" s="6"/>
      <c r="Z987" s="6">
        <f ca="1">('TUSD BE'!$AM$64+'TUSD BF'!$AM$64+'TUSD CVA'!$AM$64)*1</f>
        <v>497.19204594021971</v>
      </c>
      <c r="AA987" s="6">
        <f>('TE BE'!$AB$44+'TE BF'!$AB$44+'TE CVA'!$AB$44)*1</f>
        <v>224.47961306175614</v>
      </c>
      <c r="AB987" s="6">
        <f>$K$987*$V$987</f>
        <v>0</v>
      </c>
      <c r="AC987" s="6">
        <f>$M$987*$W$987</f>
        <v>1993.3402799999999</v>
      </c>
      <c r="AD987" s="6">
        <f>$O$987*$X$987</f>
        <v>497.34306000000004</v>
      </c>
      <c r="AE987" s="6">
        <f>$K$987*$Y$987</f>
        <v>0</v>
      </c>
      <c r="AF987" s="6">
        <f ca="1">$M$987*$Z$987</f>
        <v>2294.0440999681737</v>
      </c>
      <c r="AG987" s="6">
        <f>$O$987*$AA$987</f>
        <v>1035.7489346669429</v>
      </c>
    </row>
    <row r="988" spans="1:33" ht="11.25" customHeight="1" x14ac:dyDescent="0.25">
      <c r="A988" s="4" t="s">
        <v>21</v>
      </c>
      <c r="B988" s="4" t="s">
        <v>37</v>
      </c>
      <c r="C988" s="4" t="s">
        <v>23</v>
      </c>
      <c r="D988" s="4" t="s">
        <v>47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44682</v>
      </c>
      <c r="J988" s="6">
        <v>0</v>
      </c>
      <c r="K988" s="6">
        <v>0</v>
      </c>
      <c r="L988" s="6">
        <v>2962.3449999999998</v>
      </c>
      <c r="M988" s="6">
        <v>2962.3449999999998</v>
      </c>
      <c r="N988" s="6">
        <v>2962.3449999999998</v>
      </c>
      <c r="O988" s="6">
        <v>2962.3449999999998</v>
      </c>
      <c r="P988" s="6">
        <v>1871</v>
      </c>
      <c r="Q988" s="4" t="s">
        <v>26</v>
      </c>
      <c r="R988" s="4">
        <v>0</v>
      </c>
      <c r="S988" s="6">
        <v>0</v>
      </c>
      <c r="T988" s="6">
        <v>66</v>
      </c>
      <c r="U988" s="6">
        <v>3</v>
      </c>
      <c r="V988" s="6">
        <f>IF(ISERROR(VLOOKUP($S$988,'TAR FIN'!$A$1:$O$108,15,0)),0,VLOOKUP($S$988,'TAR FIN'!$A$1:$O$108,15,0))</f>
        <v>0</v>
      </c>
      <c r="W988" s="6">
        <f>IF(ISERROR(VLOOKUP($T$988,'TAR FIN'!$A$1:$O$108,15,0)),0,VLOOKUP($T$988,'TAR FIN'!$A$1:$O$108,15,0))</f>
        <v>432.02</v>
      </c>
      <c r="X988" s="6">
        <f>IF(ISERROR(VLOOKUP($U$988,'TAR FIN'!$A$1:$O$108,15,0)),0,VLOOKUP($U$988,'TAR FIN'!$A$1:$O$108,15,0))</f>
        <v>107.79</v>
      </c>
      <c r="Y988" s="6"/>
      <c r="Z988" s="6">
        <f ca="1">('TUSD BE'!$AM$64+'TUSD BF'!$AM$64+'TUSD CVA'!$AM$64)*1</f>
        <v>497.19204594021971</v>
      </c>
      <c r="AA988" s="6">
        <f>('TE BE'!$AB$44+'TE BF'!$AB$44+'TE CVA'!$AB$44)*1</f>
        <v>224.47961306175614</v>
      </c>
      <c r="AB988" s="6">
        <f>$K$988*$V$988</f>
        <v>0</v>
      </c>
      <c r="AC988" s="6">
        <f>$M$988*$W$988</f>
        <v>1279792.2868999999</v>
      </c>
      <c r="AD988" s="6">
        <f>$O$988*$X$988</f>
        <v>319311.16755000001</v>
      </c>
      <c r="AE988" s="6">
        <f>$K$988*$Y$988</f>
        <v>0</v>
      </c>
      <c r="AF988" s="6">
        <f ca="1">$M$988*$Z$988</f>
        <v>1472854.37133078</v>
      </c>
      <c r="AG988" s="6">
        <f>$O$988*$AA$988</f>
        <v>664986.05935542798</v>
      </c>
    </row>
    <row r="989" spans="1:33" ht="11.25" customHeight="1" x14ac:dyDescent="0.25">
      <c r="A989" s="4" t="s">
        <v>27</v>
      </c>
      <c r="B989" s="4" t="s">
        <v>37</v>
      </c>
      <c r="C989" s="4" t="s">
        <v>23</v>
      </c>
      <c r="D989" s="4" t="s">
        <v>47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44682</v>
      </c>
      <c r="J989" s="6">
        <v>0</v>
      </c>
      <c r="K989" s="6">
        <v>0</v>
      </c>
      <c r="L989" s="6">
        <v>8.19</v>
      </c>
      <c r="M989" s="6">
        <v>8.19</v>
      </c>
      <c r="N989" s="6">
        <v>8.19</v>
      </c>
      <c r="O989" s="6">
        <v>8.19</v>
      </c>
      <c r="P989" s="6">
        <v>4</v>
      </c>
      <c r="Q989" s="4" t="s">
        <v>26</v>
      </c>
      <c r="R989" s="4">
        <v>0</v>
      </c>
      <c r="S989" s="6">
        <v>0</v>
      </c>
      <c r="T989" s="6">
        <v>66</v>
      </c>
      <c r="U989" s="6">
        <v>3</v>
      </c>
      <c r="V989" s="6">
        <f>IF(ISERROR(VLOOKUP($S$989,'TAR FIN'!$A$1:$O$108,15,0)),0,VLOOKUP($S$989,'TAR FIN'!$A$1:$O$108,15,0))</f>
        <v>0</v>
      </c>
      <c r="W989" s="6">
        <f>IF(ISERROR(VLOOKUP($T$989,'TAR FIN'!$A$1:$O$108,15,0)),0,VLOOKUP($T$989,'TAR FIN'!$A$1:$O$108,15,0))</f>
        <v>432.02</v>
      </c>
      <c r="X989" s="6">
        <f>IF(ISERROR(VLOOKUP($U$989,'TAR FIN'!$A$1:$O$108,15,0)),0,VLOOKUP($U$989,'TAR FIN'!$A$1:$O$108,15,0))</f>
        <v>107.79</v>
      </c>
      <c r="Y989" s="6"/>
      <c r="Z989" s="6">
        <f ca="1">('TUSD BE'!$AM$64+'TUSD BF'!$AM$64+'TUSD CVA'!$AM$64)*1</f>
        <v>497.19204594021971</v>
      </c>
      <c r="AA989" s="6">
        <f>('TE BE'!$AB$44+'TE BF'!$AB$44+'TE CVA'!$AB$44)*1</f>
        <v>224.47961306175614</v>
      </c>
      <c r="AB989" s="6">
        <f>$K$989*$V$989</f>
        <v>0</v>
      </c>
      <c r="AC989" s="6">
        <f>$M$989*$W$989</f>
        <v>3538.2437999999997</v>
      </c>
      <c r="AD989" s="6">
        <f>$O$989*$X$989</f>
        <v>882.80010000000004</v>
      </c>
      <c r="AE989" s="6">
        <f>$K$989*$Y$989</f>
        <v>0</v>
      </c>
      <c r="AF989" s="6">
        <f ca="1">$M$989*$Z$989</f>
        <v>4072.0028562503994</v>
      </c>
      <c r="AG989" s="6">
        <f>$O$989*$AA$989</f>
        <v>1838.4880309757827</v>
      </c>
    </row>
    <row r="990" spans="1:33" ht="11.25" customHeight="1" x14ac:dyDescent="0.25">
      <c r="A990" s="4" t="s">
        <v>28</v>
      </c>
      <c r="B990" s="4" t="s">
        <v>37</v>
      </c>
      <c r="C990" s="4" t="s">
        <v>23</v>
      </c>
      <c r="D990" s="4" t="s">
        <v>47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44682</v>
      </c>
      <c r="J990" s="6">
        <v>0</v>
      </c>
      <c r="K990" s="6">
        <v>0</v>
      </c>
      <c r="L990" s="6">
        <v>6.5419999999999998</v>
      </c>
      <c r="M990" s="6">
        <v>6.5419999999999998</v>
      </c>
      <c r="N990" s="6">
        <v>6.5419999999999998</v>
      </c>
      <c r="O990" s="6">
        <v>6.5419999999999998</v>
      </c>
      <c r="P990" s="6">
        <v>9</v>
      </c>
      <c r="Q990" s="4" t="s">
        <v>26</v>
      </c>
      <c r="R990" s="4">
        <v>0</v>
      </c>
      <c r="S990" s="6">
        <v>0</v>
      </c>
      <c r="T990" s="6">
        <v>66</v>
      </c>
      <c r="U990" s="6">
        <v>3</v>
      </c>
      <c r="V990" s="6">
        <f>IF(ISERROR(VLOOKUP($S$990,'TAR FIN'!$A$1:$O$108,15,0)),0,VLOOKUP($S$990,'TAR FIN'!$A$1:$O$108,15,0))</f>
        <v>0</v>
      </c>
      <c r="W990" s="6">
        <f>IF(ISERROR(VLOOKUP($T$990,'TAR FIN'!$A$1:$O$108,15,0)),0,VLOOKUP($T$990,'TAR FIN'!$A$1:$O$108,15,0))</f>
        <v>432.02</v>
      </c>
      <c r="X990" s="6">
        <f>IF(ISERROR(VLOOKUP($U$990,'TAR FIN'!$A$1:$O$108,15,0)),0,VLOOKUP($U$990,'TAR FIN'!$A$1:$O$108,15,0))</f>
        <v>107.79</v>
      </c>
      <c r="Y990" s="6"/>
      <c r="Z990" s="6">
        <f ca="1">('TUSD BE'!$AM$64+'TUSD BF'!$AM$64+'TUSD CVA'!$AM$64)*1</f>
        <v>497.19204594021971</v>
      </c>
      <c r="AA990" s="6">
        <f>('TE BE'!$AB$44+'TE BF'!$AB$44+'TE CVA'!$AB$44)*1</f>
        <v>224.47961306175614</v>
      </c>
      <c r="AB990" s="6">
        <f>$K$990*$V$990</f>
        <v>0</v>
      </c>
      <c r="AC990" s="6">
        <f>$M$990*$W$990</f>
        <v>2826.2748399999996</v>
      </c>
      <c r="AD990" s="6">
        <f>$O$990*$X$990</f>
        <v>705.16218000000003</v>
      </c>
      <c r="AE990" s="6">
        <f>$K$990*$Y$990</f>
        <v>0</v>
      </c>
      <c r="AF990" s="6">
        <f ca="1">$M$990*$Z$990</f>
        <v>3252.6303645409171</v>
      </c>
      <c r="AG990" s="6">
        <f>$O$990*$AA$990</f>
        <v>1468.5456286500087</v>
      </c>
    </row>
    <row r="991" spans="1:33" ht="11.25" customHeight="1" x14ac:dyDescent="0.25">
      <c r="A991" s="4" t="s">
        <v>21</v>
      </c>
      <c r="B991" s="4" t="s">
        <v>37</v>
      </c>
      <c r="C991" s="4" t="s">
        <v>23</v>
      </c>
      <c r="D991" s="4" t="s">
        <v>47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44713</v>
      </c>
      <c r="J991" s="6">
        <v>0</v>
      </c>
      <c r="K991" s="6">
        <v>0</v>
      </c>
      <c r="L991" s="6">
        <v>3183.72</v>
      </c>
      <c r="M991" s="6">
        <v>3183.72</v>
      </c>
      <c r="N991" s="6">
        <v>3183.72</v>
      </c>
      <c r="O991" s="6">
        <v>3183.72</v>
      </c>
      <c r="P991" s="6">
        <v>1878</v>
      </c>
      <c r="Q991" s="4" t="s">
        <v>26</v>
      </c>
      <c r="R991" s="4">
        <v>0</v>
      </c>
      <c r="S991" s="6">
        <v>0</v>
      </c>
      <c r="T991" s="6">
        <v>66</v>
      </c>
      <c r="U991" s="6">
        <v>3</v>
      </c>
      <c r="V991" s="6">
        <f>IF(ISERROR(VLOOKUP($S$991,'TAR FIN'!$A$1:$O$108,15,0)),0,VLOOKUP($S$991,'TAR FIN'!$A$1:$O$108,15,0))</f>
        <v>0</v>
      </c>
      <c r="W991" s="6">
        <f>IF(ISERROR(VLOOKUP($T$991,'TAR FIN'!$A$1:$O$108,15,0)),0,VLOOKUP($T$991,'TAR FIN'!$A$1:$O$108,15,0))</f>
        <v>432.02</v>
      </c>
      <c r="X991" s="6">
        <f>IF(ISERROR(VLOOKUP($U$991,'TAR FIN'!$A$1:$O$108,15,0)),0,VLOOKUP($U$991,'TAR FIN'!$A$1:$O$108,15,0))</f>
        <v>107.79</v>
      </c>
      <c r="Y991" s="6"/>
      <c r="Z991" s="6">
        <f ca="1">('TUSD BE'!$AM$64+'TUSD BF'!$AM$64+'TUSD CVA'!$AM$64)*1</f>
        <v>497.19204594021971</v>
      </c>
      <c r="AA991" s="6">
        <f>('TE BE'!$AB$44+'TE BF'!$AB$44+'TE CVA'!$AB$44)*1</f>
        <v>224.47961306175614</v>
      </c>
      <c r="AB991" s="6">
        <f>$K$991*$V$991</f>
        <v>0</v>
      </c>
      <c r="AC991" s="6">
        <f>$M$991*$W$991</f>
        <v>1375430.7143999999</v>
      </c>
      <c r="AD991" s="6">
        <f>$O$991*$X$991</f>
        <v>343173.17879999999</v>
      </c>
      <c r="AE991" s="6">
        <f>$K$991*$Y$991</f>
        <v>0</v>
      </c>
      <c r="AF991" s="6">
        <f ca="1">$M$991*$Z$991</f>
        <v>1582920.2605007961</v>
      </c>
      <c r="AG991" s="6">
        <f>$O$991*$AA$991</f>
        <v>714680.23369697423</v>
      </c>
    </row>
    <row r="992" spans="1:33" ht="11.25" customHeight="1" x14ac:dyDescent="0.25">
      <c r="A992" s="4" t="s">
        <v>27</v>
      </c>
      <c r="B992" s="4" t="s">
        <v>37</v>
      </c>
      <c r="C992" s="4" t="s">
        <v>23</v>
      </c>
      <c r="D992" s="4" t="s">
        <v>47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44713</v>
      </c>
      <c r="J992" s="6">
        <v>0</v>
      </c>
      <c r="K992" s="6">
        <v>0</v>
      </c>
      <c r="L992" s="6">
        <v>-9.2460000000000004</v>
      </c>
      <c r="M992" s="6">
        <v>-9.2460000000000004</v>
      </c>
      <c r="N992" s="6">
        <v>-9.2460000000000004</v>
      </c>
      <c r="O992" s="6">
        <v>-9.2460000000000004</v>
      </c>
      <c r="P992" s="6">
        <v>2</v>
      </c>
      <c r="Q992" s="4" t="s">
        <v>26</v>
      </c>
      <c r="R992" s="4">
        <v>0</v>
      </c>
      <c r="S992" s="6">
        <v>0</v>
      </c>
      <c r="T992" s="6">
        <v>66</v>
      </c>
      <c r="U992" s="6">
        <v>3</v>
      </c>
      <c r="V992" s="6">
        <f>IF(ISERROR(VLOOKUP($S$992,'TAR FIN'!$A$1:$O$108,15,0)),0,VLOOKUP($S$992,'TAR FIN'!$A$1:$O$108,15,0))</f>
        <v>0</v>
      </c>
      <c r="W992" s="6">
        <f>IF(ISERROR(VLOOKUP($T$992,'TAR FIN'!$A$1:$O$108,15,0)),0,VLOOKUP($T$992,'TAR FIN'!$A$1:$O$108,15,0))</f>
        <v>432.02</v>
      </c>
      <c r="X992" s="6">
        <f>IF(ISERROR(VLOOKUP($U$992,'TAR FIN'!$A$1:$O$108,15,0)),0,VLOOKUP($U$992,'TAR FIN'!$A$1:$O$108,15,0))</f>
        <v>107.79</v>
      </c>
      <c r="Y992" s="6"/>
      <c r="Z992" s="6">
        <f ca="1">('TUSD BE'!$AM$64+'TUSD BF'!$AM$64+'TUSD CVA'!$AM$64)*1</f>
        <v>497.19204594021971</v>
      </c>
      <c r="AA992" s="6">
        <f>('TE BE'!$AB$44+'TE BF'!$AB$44+'TE CVA'!$AB$44)*1</f>
        <v>224.47961306175614</v>
      </c>
      <c r="AB992" s="6">
        <f>$K$992*$V$992</f>
        <v>0</v>
      </c>
      <c r="AC992" s="6">
        <f>$M$992*$W$992</f>
        <v>-3994.4569200000001</v>
      </c>
      <c r="AD992" s="6">
        <f>$O$992*$X$992</f>
        <v>-996.62634000000014</v>
      </c>
      <c r="AE992" s="6">
        <f>$K$992*$Y$992</f>
        <v>0</v>
      </c>
      <c r="AF992" s="6">
        <f ca="1">$M$992*$Z$992</f>
        <v>-4597.037656763272</v>
      </c>
      <c r="AG992" s="6">
        <f>$O$992*$AA$992</f>
        <v>-2075.5385023689973</v>
      </c>
    </row>
    <row r="993" spans="1:33" ht="11.25" customHeight="1" x14ac:dyDescent="0.25">
      <c r="A993" s="4" t="s">
        <v>28</v>
      </c>
      <c r="B993" s="4" t="s">
        <v>37</v>
      </c>
      <c r="C993" s="4" t="s">
        <v>23</v>
      </c>
      <c r="D993" s="4" t="s">
        <v>47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44713</v>
      </c>
      <c r="J993" s="6">
        <v>0</v>
      </c>
      <c r="K993" s="6">
        <v>0</v>
      </c>
      <c r="L993" s="6">
        <v>8.3290000000000006</v>
      </c>
      <c r="M993" s="6">
        <v>8.3290000000000006</v>
      </c>
      <c r="N993" s="6">
        <v>8.3290000000000006</v>
      </c>
      <c r="O993" s="6">
        <v>8.3290000000000006</v>
      </c>
      <c r="P993" s="6">
        <v>9</v>
      </c>
      <c r="Q993" s="4" t="s">
        <v>26</v>
      </c>
      <c r="R993" s="4">
        <v>0</v>
      </c>
      <c r="S993" s="6">
        <v>0</v>
      </c>
      <c r="T993" s="6">
        <v>66</v>
      </c>
      <c r="U993" s="6">
        <v>3</v>
      </c>
      <c r="V993" s="6">
        <f>IF(ISERROR(VLOOKUP($S$993,'TAR FIN'!$A$1:$O$108,15,0)),0,VLOOKUP($S$993,'TAR FIN'!$A$1:$O$108,15,0))</f>
        <v>0</v>
      </c>
      <c r="W993" s="6">
        <f>IF(ISERROR(VLOOKUP($T$993,'TAR FIN'!$A$1:$O$108,15,0)),0,VLOOKUP($T$993,'TAR FIN'!$A$1:$O$108,15,0))</f>
        <v>432.02</v>
      </c>
      <c r="X993" s="6">
        <f>IF(ISERROR(VLOOKUP($U$993,'TAR FIN'!$A$1:$O$108,15,0)),0,VLOOKUP($U$993,'TAR FIN'!$A$1:$O$108,15,0))</f>
        <v>107.79</v>
      </c>
      <c r="Y993" s="6"/>
      <c r="Z993" s="6">
        <f ca="1">('TUSD BE'!$AM$64+'TUSD BF'!$AM$64+'TUSD CVA'!$AM$64)*1</f>
        <v>497.19204594021971</v>
      </c>
      <c r="AA993" s="6">
        <f>('TE BE'!$AB$44+'TE BF'!$AB$44+'TE CVA'!$AB$44)*1</f>
        <v>224.47961306175614</v>
      </c>
      <c r="AB993" s="6">
        <f>$K$993*$V$993</f>
        <v>0</v>
      </c>
      <c r="AC993" s="6">
        <f>$M$993*$W$993</f>
        <v>3598.2945800000002</v>
      </c>
      <c r="AD993" s="6">
        <f>$O$993*$X$993</f>
        <v>897.78291000000013</v>
      </c>
      <c r="AE993" s="6">
        <f>$K$993*$Y$993</f>
        <v>0</v>
      </c>
      <c r="AF993" s="6">
        <f ca="1">$M$993*$Z$993</f>
        <v>4141.1125506360904</v>
      </c>
      <c r="AG993" s="6">
        <f>$O$993*$AA$993</f>
        <v>1869.690697191367</v>
      </c>
    </row>
    <row r="994" spans="1:33" ht="11.25" customHeight="1" x14ac:dyDescent="0.25">
      <c r="A994" s="4" t="s">
        <v>21</v>
      </c>
      <c r="B994" s="4" t="s">
        <v>37</v>
      </c>
      <c r="C994" s="4" t="s">
        <v>23</v>
      </c>
      <c r="D994" s="4" t="s">
        <v>47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44743</v>
      </c>
      <c r="J994" s="6">
        <v>0</v>
      </c>
      <c r="K994" s="6">
        <v>0</v>
      </c>
      <c r="L994" s="6">
        <v>2502.7530000000002</v>
      </c>
      <c r="M994" s="6">
        <v>2502.7530000000002</v>
      </c>
      <c r="N994" s="6">
        <v>2502.7530000000002</v>
      </c>
      <c r="O994" s="6">
        <v>2502.7530000000002</v>
      </c>
      <c r="P994" s="6">
        <v>1865</v>
      </c>
      <c r="Q994" s="4" t="s">
        <v>26</v>
      </c>
      <c r="R994" s="4">
        <v>0</v>
      </c>
      <c r="S994" s="6">
        <v>0</v>
      </c>
      <c r="T994" s="6">
        <v>66</v>
      </c>
      <c r="U994" s="6">
        <v>3</v>
      </c>
      <c r="V994" s="6">
        <f>IF(ISERROR(VLOOKUP($S$994,'TAR FIN'!$A$1:$O$108,15,0)),0,VLOOKUP($S$994,'TAR FIN'!$A$1:$O$108,15,0))</f>
        <v>0</v>
      </c>
      <c r="W994" s="6">
        <f>IF(ISERROR(VLOOKUP($T$994,'TAR FIN'!$A$1:$O$108,15,0)),0,VLOOKUP($T$994,'TAR FIN'!$A$1:$O$108,15,0))</f>
        <v>432.02</v>
      </c>
      <c r="X994" s="6">
        <f>IF(ISERROR(VLOOKUP($U$994,'TAR FIN'!$A$1:$O$108,15,0)),0,VLOOKUP($U$994,'TAR FIN'!$A$1:$O$108,15,0))</f>
        <v>107.79</v>
      </c>
      <c r="Y994" s="6"/>
      <c r="Z994" s="6">
        <f ca="1">('TUSD BE'!$AM$64+'TUSD BF'!$AM$64+'TUSD CVA'!$AM$64)*1</f>
        <v>497.19204594021971</v>
      </c>
      <c r="AA994" s="6">
        <f>('TE BE'!$AB$44+'TE BF'!$AB$44+'TE CVA'!$AB$44)*1</f>
        <v>224.47961306175614</v>
      </c>
      <c r="AB994" s="6">
        <f>$K$994*$V$994</f>
        <v>0</v>
      </c>
      <c r="AC994" s="6">
        <f>$M$994*$W$994</f>
        <v>1081239.35106</v>
      </c>
      <c r="AD994" s="6">
        <f>$O$994*$X$994</f>
        <v>269771.74587000004</v>
      </c>
      <c r="AE994" s="6">
        <f>$K$994*$Y$994</f>
        <v>0</v>
      </c>
      <c r="AF994" s="6">
        <f ca="1">$M$994*$Z$994</f>
        <v>1244348.8845530227</v>
      </c>
      <c r="AG994" s="6">
        <f>$O$994*$AA$994</f>
        <v>561817.02502914937</v>
      </c>
    </row>
    <row r="995" spans="1:33" ht="11.25" customHeight="1" x14ac:dyDescent="0.25">
      <c r="A995" s="4" t="s">
        <v>27</v>
      </c>
      <c r="B995" s="4" t="s">
        <v>37</v>
      </c>
      <c r="C995" s="4" t="s">
        <v>23</v>
      </c>
      <c r="D995" s="4" t="s">
        <v>47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44743</v>
      </c>
      <c r="J995" s="6">
        <v>0</v>
      </c>
      <c r="K995" s="6">
        <v>0</v>
      </c>
      <c r="L995" s="6">
        <v>4.6120000000000001</v>
      </c>
      <c r="M995" s="6">
        <v>4.6120000000000001</v>
      </c>
      <c r="N995" s="6">
        <v>4.6120000000000001</v>
      </c>
      <c r="O995" s="6">
        <v>4.6120000000000001</v>
      </c>
      <c r="P995" s="6">
        <v>1</v>
      </c>
      <c r="Q995" s="4" t="s">
        <v>26</v>
      </c>
      <c r="R995" s="4">
        <v>0</v>
      </c>
      <c r="S995" s="6">
        <v>0</v>
      </c>
      <c r="T995" s="6">
        <v>66</v>
      </c>
      <c r="U995" s="6">
        <v>3</v>
      </c>
      <c r="V995" s="6">
        <f>IF(ISERROR(VLOOKUP($S$995,'TAR FIN'!$A$1:$O$108,15,0)),0,VLOOKUP($S$995,'TAR FIN'!$A$1:$O$108,15,0))</f>
        <v>0</v>
      </c>
      <c r="W995" s="6">
        <f>IF(ISERROR(VLOOKUP($T$995,'TAR FIN'!$A$1:$O$108,15,0)),0,VLOOKUP($T$995,'TAR FIN'!$A$1:$O$108,15,0))</f>
        <v>432.02</v>
      </c>
      <c r="X995" s="6">
        <f>IF(ISERROR(VLOOKUP($U$995,'TAR FIN'!$A$1:$O$108,15,0)),0,VLOOKUP($U$995,'TAR FIN'!$A$1:$O$108,15,0))</f>
        <v>107.79</v>
      </c>
      <c r="Y995" s="6"/>
      <c r="Z995" s="6">
        <f ca="1">('TUSD BE'!$AM$64+'TUSD BF'!$AM$64+'TUSD CVA'!$AM$64)*1</f>
        <v>497.19204594021971</v>
      </c>
      <c r="AA995" s="6">
        <f>('TE BE'!$AB$44+'TE BF'!$AB$44+'TE CVA'!$AB$44)*1</f>
        <v>224.47961306175614</v>
      </c>
      <c r="AB995" s="6">
        <f>$K$995*$V$995</f>
        <v>0</v>
      </c>
      <c r="AC995" s="6">
        <f>$M$995*$W$995</f>
        <v>1992.47624</v>
      </c>
      <c r="AD995" s="6">
        <f>$O$995*$X$995</f>
        <v>497.12748000000005</v>
      </c>
      <c r="AE995" s="6">
        <f>$K$995*$Y$995</f>
        <v>0</v>
      </c>
      <c r="AF995" s="6">
        <f ca="1">$M$995*$Z$995</f>
        <v>2293.0497158762932</v>
      </c>
      <c r="AG995" s="6">
        <f>$O$995*$AA$995</f>
        <v>1035.2999754408193</v>
      </c>
    </row>
    <row r="996" spans="1:33" ht="11.25" customHeight="1" x14ac:dyDescent="0.25">
      <c r="A996" s="4" t="s">
        <v>28</v>
      </c>
      <c r="B996" s="4" t="s">
        <v>37</v>
      </c>
      <c r="C996" s="4" t="s">
        <v>23</v>
      </c>
      <c r="D996" s="4" t="s">
        <v>47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44743</v>
      </c>
      <c r="J996" s="6">
        <v>0</v>
      </c>
      <c r="K996" s="6">
        <v>0</v>
      </c>
      <c r="L996" s="6">
        <v>8.2140000000000004</v>
      </c>
      <c r="M996" s="6">
        <v>8.2140000000000004</v>
      </c>
      <c r="N996" s="6">
        <v>8.2140000000000004</v>
      </c>
      <c r="O996" s="6">
        <v>8.2140000000000004</v>
      </c>
      <c r="P996" s="6">
        <v>9</v>
      </c>
      <c r="Q996" s="4" t="s">
        <v>26</v>
      </c>
      <c r="R996" s="4">
        <v>0</v>
      </c>
      <c r="S996" s="6">
        <v>0</v>
      </c>
      <c r="T996" s="6">
        <v>66</v>
      </c>
      <c r="U996" s="6">
        <v>3</v>
      </c>
      <c r="V996" s="6">
        <f>IF(ISERROR(VLOOKUP($S$996,'TAR FIN'!$A$1:$O$108,15,0)),0,VLOOKUP($S$996,'TAR FIN'!$A$1:$O$108,15,0))</f>
        <v>0</v>
      </c>
      <c r="W996" s="6">
        <f>IF(ISERROR(VLOOKUP($T$996,'TAR FIN'!$A$1:$O$108,15,0)),0,VLOOKUP($T$996,'TAR FIN'!$A$1:$O$108,15,0))</f>
        <v>432.02</v>
      </c>
      <c r="X996" s="6">
        <f>IF(ISERROR(VLOOKUP($U$996,'TAR FIN'!$A$1:$O$108,15,0)),0,VLOOKUP($U$996,'TAR FIN'!$A$1:$O$108,15,0))</f>
        <v>107.79</v>
      </c>
      <c r="Y996" s="6"/>
      <c r="Z996" s="6">
        <f ca="1">('TUSD BE'!$AM$64+'TUSD BF'!$AM$64+'TUSD CVA'!$AM$64)*1</f>
        <v>497.19204594021971</v>
      </c>
      <c r="AA996" s="6">
        <f>('TE BE'!$AB$44+'TE BF'!$AB$44+'TE CVA'!$AB$44)*1</f>
        <v>224.47961306175614</v>
      </c>
      <c r="AB996" s="6">
        <f>$K$996*$V$996</f>
        <v>0</v>
      </c>
      <c r="AC996" s="6">
        <f>$M$996*$W$996</f>
        <v>3548.6122799999998</v>
      </c>
      <c r="AD996" s="6">
        <f>$O$996*$X$996</f>
        <v>885.38706000000013</v>
      </c>
      <c r="AE996" s="6">
        <f>$K$996*$Y$996</f>
        <v>0</v>
      </c>
      <c r="AF996" s="6">
        <f ca="1">$M$996*$Z$996</f>
        <v>4083.9354653529649</v>
      </c>
      <c r="AG996" s="6">
        <f>$O$996*$AA$996</f>
        <v>1843.875541689265</v>
      </c>
    </row>
    <row r="997" spans="1:33" ht="11.25" customHeight="1" x14ac:dyDescent="0.25">
      <c r="A997" s="4" t="s">
        <v>21</v>
      </c>
      <c r="B997" s="4" t="s">
        <v>37</v>
      </c>
      <c r="C997" s="4" t="s">
        <v>23</v>
      </c>
      <c r="D997" s="4" t="s">
        <v>47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44774</v>
      </c>
      <c r="J997" s="6">
        <v>0</v>
      </c>
      <c r="K997" s="6">
        <v>0</v>
      </c>
      <c r="L997" s="6">
        <v>3074.973</v>
      </c>
      <c r="M997" s="6">
        <v>3074.973</v>
      </c>
      <c r="N997" s="6">
        <v>3074.973</v>
      </c>
      <c r="O997" s="6">
        <v>3074.973</v>
      </c>
      <c r="P997" s="6">
        <v>1839</v>
      </c>
      <c r="Q997" s="4" t="s">
        <v>26</v>
      </c>
      <c r="R997" s="4">
        <v>0</v>
      </c>
      <c r="S997" s="6">
        <v>0</v>
      </c>
      <c r="T997" s="6">
        <v>66</v>
      </c>
      <c r="U997" s="6">
        <v>3</v>
      </c>
      <c r="V997" s="6">
        <f>IF(ISERROR(VLOOKUP($S$997,'TAR FIN'!$A$1:$O$108,15,0)),0,VLOOKUP($S$997,'TAR FIN'!$A$1:$O$108,15,0))</f>
        <v>0</v>
      </c>
      <c r="W997" s="6">
        <f>IF(ISERROR(VLOOKUP($T$997,'TAR FIN'!$A$1:$O$108,15,0)),0,VLOOKUP($T$997,'TAR FIN'!$A$1:$O$108,15,0))</f>
        <v>432.02</v>
      </c>
      <c r="X997" s="6">
        <f>IF(ISERROR(VLOOKUP($U$997,'TAR FIN'!$A$1:$O$108,15,0)),0,VLOOKUP($U$997,'TAR FIN'!$A$1:$O$108,15,0))</f>
        <v>107.79</v>
      </c>
      <c r="Y997" s="6"/>
      <c r="Z997" s="6">
        <f ca="1">('TUSD BE'!$AM$64+'TUSD BF'!$AM$64+'TUSD CVA'!$AM$64)*1</f>
        <v>497.19204594021971</v>
      </c>
      <c r="AA997" s="6">
        <f>('TE BE'!$AB$44+'TE BF'!$AB$44+'TE CVA'!$AB$44)*1</f>
        <v>224.47961306175614</v>
      </c>
      <c r="AB997" s="6">
        <f>$K$997*$V$997</f>
        <v>0</v>
      </c>
      <c r="AC997" s="6">
        <f>$M$997*$W$997</f>
        <v>1328449.83546</v>
      </c>
      <c r="AD997" s="6">
        <f>$O$997*$X$997</f>
        <v>331451.33967000002</v>
      </c>
      <c r="AE997" s="6">
        <f>$K$997*$Y$997</f>
        <v>0</v>
      </c>
      <c r="AF997" s="6">
        <f ca="1">$M$997*$Z$997</f>
        <v>1528852.1170809353</v>
      </c>
      <c r="AG997" s="6">
        <f>$O$997*$AA$997</f>
        <v>690268.74921534746</v>
      </c>
    </row>
    <row r="998" spans="1:33" ht="11.25" customHeight="1" x14ac:dyDescent="0.25">
      <c r="A998" s="4" t="s">
        <v>27</v>
      </c>
      <c r="B998" s="4" t="s">
        <v>37</v>
      </c>
      <c r="C998" s="4" t="s">
        <v>23</v>
      </c>
      <c r="D998" s="4" t="s">
        <v>47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44774</v>
      </c>
      <c r="J998" s="6">
        <v>0</v>
      </c>
      <c r="K998" s="6">
        <v>0</v>
      </c>
      <c r="L998" s="6">
        <v>10.625</v>
      </c>
      <c r="M998" s="6">
        <v>10.625</v>
      </c>
      <c r="N998" s="6">
        <v>10.625</v>
      </c>
      <c r="O998" s="6">
        <v>10.625</v>
      </c>
      <c r="P998" s="6">
        <v>2</v>
      </c>
      <c r="Q998" s="4" t="s">
        <v>26</v>
      </c>
      <c r="R998" s="4">
        <v>0</v>
      </c>
      <c r="S998" s="6">
        <v>0</v>
      </c>
      <c r="T998" s="6">
        <v>66</v>
      </c>
      <c r="U998" s="6">
        <v>3</v>
      </c>
      <c r="V998" s="6">
        <f>IF(ISERROR(VLOOKUP($S$998,'TAR FIN'!$A$1:$O$108,15,0)),0,VLOOKUP($S$998,'TAR FIN'!$A$1:$O$108,15,0))</f>
        <v>0</v>
      </c>
      <c r="W998" s="6">
        <f>IF(ISERROR(VLOOKUP($T$998,'TAR FIN'!$A$1:$O$108,15,0)),0,VLOOKUP($T$998,'TAR FIN'!$A$1:$O$108,15,0))</f>
        <v>432.02</v>
      </c>
      <c r="X998" s="6">
        <f>IF(ISERROR(VLOOKUP($U$998,'TAR FIN'!$A$1:$O$108,15,0)),0,VLOOKUP($U$998,'TAR FIN'!$A$1:$O$108,15,0))</f>
        <v>107.79</v>
      </c>
      <c r="Y998" s="6"/>
      <c r="Z998" s="6">
        <f ca="1">('TUSD BE'!$AM$64+'TUSD BF'!$AM$64+'TUSD CVA'!$AM$64)*1</f>
        <v>497.19204594021971</v>
      </c>
      <c r="AA998" s="6">
        <f>('TE BE'!$AB$44+'TE BF'!$AB$44+'TE CVA'!$AB$44)*1</f>
        <v>224.47961306175614</v>
      </c>
      <c r="AB998" s="6">
        <f>$K$998*$V$998</f>
        <v>0</v>
      </c>
      <c r="AC998" s="6">
        <f>$M$998*$W$998</f>
        <v>4590.2124999999996</v>
      </c>
      <c r="AD998" s="6">
        <f>$O$998*$X$998</f>
        <v>1145.26875</v>
      </c>
      <c r="AE998" s="6">
        <f>$K$998*$Y$998</f>
        <v>0</v>
      </c>
      <c r="AF998" s="6">
        <f ca="1">$M$998*$Z$998</f>
        <v>5282.6654881148343</v>
      </c>
      <c r="AG998" s="6">
        <f>$O$998*$AA$998</f>
        <v>2385.0958887811589</v>
      </c>
    </row>
    <row r="999" spans="1:33" ht="11.25" customHeight="1" x14ac:dyDescent="0.25">
      <c r="A999" s="4" t="s">
        <v>28</v>
      </c>
      <c r="B999" s="4" t="s">
        <v>37</v>
      </c>
      <c r="C999" s="4" t="s">
        <v>23</v>
      </c>
      <c r="D999" s="4" t="s">
        <v>47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44774</v>
      </c>
      <c r="J999" s="6">
        <v>0</v>
      </c>
      <c r="K999" s="6">
        <v>0</v>
      </c>
      <c r="L999" s="6">
        <v>12.186999999999999</v>
      </c>
      <c r="M999" s="6">
        <v>12.186999999999999</v>
      </c>
      <c r="N999" s="6">
        <v>12.186999999999999</v>
      </c>
      <c r="O999" s="6">
        <v>12.186999999999999</v>
      </c>
      <c r="P999" s="6">
        <v>9</v>
      </c>
      <c r="Q999" s="4" t="s">
        <v>26</v>
      </c>
      <c r="R999" s="4">
        <v>0</v>
      </c>
      <c r="S999" s="6">
        <v>0</v>
      </c>
      <c r="T999" s="6">
        <v>66</v>
      </c>
      <c r="U999" s="6">
        <v>3</v>
      </c>
      <c r="V999" s="6">
        <f>IF(ISERROR(VLOOKUP($S$999,'TAR FIN'!$A$1:$O$108,15,0)),0,VLOOKUP($S$999,'TAR FIN'!$A$1:$O$108,15,0))</f>
        <v>0</v>
      </c>
      <c r="W999" s="6">
        <f>IF(ISERROR(VLOOKUP($T$999,'TAR FIN'!$A$1:$O$108,15,0)),0,VLOOKUP($T$999,'TAR FIN'!$A$1:$O$108,15,0))</f>
        <v>432.02</v>
      </c>
      <c r="X999" s="6">
        <f>IF(ISERROR(VLOOKUP($U$999,'TAR FIN'!$A$1:$O$108,15,0)),0,VLOOKUP($U$999,'TAR FIN'!$A$1:$O$108,15,0))</f>
        <v>107.79</v>
      </c>
      <c r="Y999" s="6"/>
      <c r="Z999" s="6">
        <f ca="1">('TUSD BE'!$AM$64+'TUSD BF'!$AM$64+'TUSD CVA'!$AM$64)*1</f>
        <v>497.19204594021971</v>
      </c>
      <c r="AA999" s="6">
        <f>('TE BE'!$AB$44+'TE BF'!$AB$44+'TE CVA'!$AB$44)*1</f>
        <v>224.47961306175614</v>
      </c>
      <c r="AB999" s="6">
        <f>$K$999*$V$999</f>
        <v>0</v>
      </c>
      <c r="AC999" s="6">
        <f>$M$999*$W$999</f>
        <v>5265.0277399999995</v>
      </c>
      <c r="AD999" s="6">
        <f>$O$999*$X$999</f>
        <v>1313.6367299999999</v>
      </c>
      <c r="AE999" s="6">
        <f>$K$999*$Y$999</f>
        <v>0</v>
      </c>
      <c r="AF999" s="6">
        <f ca="1">$M$999*$Z$999</f>
        <v>6059.2794638734576</v>
      </c>
      <c r="AG999" s="6">
        <f>$O$999*$AA$999</f>
        <v>2735.7330443836217</v>
      </c>
    </row>
    <row r="1000" spans="1:33" ht="11.25" customHeight="1" x14ac:dyDescent="0.25">
      <c r="A1000" s="4" t="s">
        <v>21</v>
      </c>
      <c r="B1000" s="4" t="s">
        <v>37</v>
      </c>
      <c r="C1000" s="4" t="s">
        <v>23</v>
      </c>
      <c r="D1000" s="4" t="s">
        <v>47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44805</v>
      </c>
      <c r="J1000" s="6">
        <v>0</v>
      </c>
      <c r="K1000" s="6">
        <v>0</v>
      </c>
      <c r="L1000" s="6">
        <v>3740.067</v>
      </c>
      <c r="M1000" s="6">
        <v>3740.067</v>
      </c>
      <c r="N1000" s="6">
        <v>3740.067</v>
      </c>
      <c r="O1000" s="6">
        <v>3740.067</v>
      </c>
      <c r="P1000" s="6">
        <v>1834</v>
      </c>
      <c r="Q1000" s="4" t="s">
        <v>26</v>
      </c>
      <c r="R1000" s="4">
        <v>0</v>
      </c>
      <c r="S1000" s="6">
        <v>0</v>
      </c>
      <c r="T1000" s="6">
        <v>66</v>
      </c>
      <c r="U1000" s="6">
        <v>3</v>
      </c>
      <c r="V1000" s="6">
        <f>IF(ISERROR(VLOOKUP($S$1000,'TAR FIN'!$A$1:$O$108,15,0)),0,VLOOKUP($S$1000,'TAR FIN'!$A$1:$O$108,15,0))</f>
        <v>0</v>
      </c>
      <c r="W1000" s="6">
        <f>IF(ISERROR(VLOOKUP($T$1000,'TAR FIN'!$A$1:$O$108,15,0)),0,VLOOKUP($T$1000,'TAR FIN'!$A$1:$O$108,15,0))</f>
        <v>432.02</v>
      </c>
      <c r="X1000" s="6">
        <f>IF(ISERROR(VLOOKUP($U$1000,'TAR FIN'!$A$1:$O$108,15,0)),0,VLOOKUP($U$1000,'TAR FIN'!$A$1:$O$108,15,0))</f>
        <v>107.79</v>
      </c>
      <c r="Y1000" s="6"/>
      <c r="Z1000" s="6">
        <f ca="1">('TUSD BE'!$AM$64+'TUSD BF'!$AM$64+'TUSD CVA'!$AM$64)*1</f>
        <v>497.19204594021971</v>
      </c>
      <c r="AA1000" s="6">
        <f>('TE BE'!$AB$44+'TE BF'!$AB$44+'TE CVA'!$AB$44)*1</f>
        <v>224.47961306175614</v>
      </c>
      <c r="AB1000" s="6">
        <f>$K$1000*$V$1000</f>
        <v>0</v>
      </c>
      <c r="AC1000" s="6">
        <f>$M$1000*$W$1000</f>
        <v>1615783.7453399999</v>
      </c>
      <c r="AD1000" s="6">
        <f>$O$1000*$X$1000</f>
        <v>403141.82193000003</v>
      </c>
      <c r="AE1000" s="6">
        <f>$K$1000*$Y$1000</f>
        <v>0</v>
      </c>
      <c r="AF1000" s="6">
        <f ca="1">$M$1000*$Z$1000</f>
        <v>1859531.5636834998</v>
      </c>
      <c r="AG1000" s="6">
        <f>$O$1000*$AA$1000</f>
        <v>839568.79298504314</v>
      </c>
    </row>
    <row r="1001" spans="1:33" ht="11.25" customHeight="1" x14ac:dyDescent="0.25">
      <c r="A1001" s="4" t="s">
        <v>27</v>
      </c>
      <c r="B1001" s="4" t="s">
        <v>37</v>
      </c>
      <c r="C1001" s="4" t="s">
        <v>23</v>
      </c>
      <c r="D1001" s="4" t="s">
        <v>47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44805</v>
      </c>
      <c r="J1001" s="6">
        <v>0</v>
      </c>
      <c r="K1001" s="6">
        <v>0</v>
      </c>
      <c r="L1001" s="6">
        <v>-304.98700000000002</v>
      </c>
      <c r="M1001" s="6">
        <v>-304.98700000000002</v>
      </c>
      <c r="N1001" s="6">
        <v>-304.98700000000002</v>
      </c>
      <c r="O1001" s="6">
        <v>-304.98700000000002</v>
      </c>
      <c r="P1001" s="6">
        <v>-3</v>
      </c>
      <c r="Q1001" s="4" t="s">
        <v>26</v>
      </c>
      <c r="R1001" s="4">
        <v>0</v>
      </c>
      <c r="S1001" s="6">
        <v>0</v>
      </c>
      <c r="T1001" s="6">
        <v>66</v>
      </c>
      <c r="U1001" s="6">
        <v>3</v>
      </c>
      <c r="V1001" s="6">
        <f>IF(ISERROR(VLOOKUP($S$1001,'TAR FIN'!$A$1:$O$108,15,0)),0,VLOOKUP($S$1001,'TAR FIN'!$A$1:$O$108,15,0))</f>
        <v>0</v>
      </c>
      <c r="W1001" s="6">
        <f>IF(ISERROR(VLOOKUP($T$1001,'TAR FIN'!$A$1:$O$108,15,0)),0,VLOOKUP($T$1001,'TAR FIN'!$A$1:$O$108,15,0))</f>
        <v>432.02</v>
      </c>
      <c r="X1001" s="6">
        <f>IF(ISERROR(VLOOKUP($U$1001,'TAR FIN'!$A$1:$O$108,15,0)),0,VLOOKUP($U$1001,'TAR FIN'!$A$1:$O$108,15,0))</f>
        <v>107.79</v>
      </c>
      <c r="Y1001" s="6"/>
      <c r="Z1001" s="6">
        <f ca="1">('TUSD BE'!$AM$64+'TUSD BF'!$AM$64+'TUSD CVA'!$AM$64)*1</f>
        <v>497.19204594021971</v>
      </c>
      <c r="AA1001" s="6">
        <f>('TE BE'!$AB$44+'TE BF'!$AB$44+'TE CVA'!$AB$44)*1</f>
        <v>224.47961306175614</v>
      </c>
      <c r="AB1001" s="6">
        <f>$K$1001*$V$1001</f>
        <v>0</v>
      </c>
      <c r="AC1001" s="6">
        <f>$M$1001*$W$1001</f>
        <v>-131760.48374</v>
      </c>
      <c r="AD1001" s="6">
        <f>$O$1001*$X$1001</f>
        <v>-32874.548730000002</v>
      </c>
      <c r="AE1001" s="6">
        <f>$K$1001*$Y$1001</f>
        <v>0</v>
      </c>
      <c r="AF1001" s="6">
        <f ca="1">$M$1001*$Z$1001</f>
        <v>-151637.1105151698</v>
      </c>
      <c r="AG1001" s="6">
        <f>$O$1001*$AA$1001</f>
        <v>-68463.363748865828</v>
      </c>
    </row>
    <row r="1002" spans="1:33" ht="11.25" customHeight="1" x14ac:dyDescent="0.25">
      <c r="A1002" s="4" t="s">
        <v>28</v>
      </c>
      <c r="B1002" s="4" t="s">
        <v>37</v>
      </c>
      <c r="C1002" s="4" t="s">
        <v>23</v>
      </c>
      <c r="D1002" s="4" t="s">
        <v>47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44805</v>
      </c>
      <c r="J1002" s="6">
        <v>0</v>
      </c>
      <c r="K1002" s="6">
        <v>0</v>
      </c>
      <c r="L1002" s="6">
        <v>17.782</v>
      </c>
      <c r="M1002" s="6">
        <v>17.782</v>
      </c>
      <c r="N1002" s="6">
        <v>17.782</v>
      </c>
      <c r="O1002" s="6">
        <v>17.782</v>
      </c>
      <c r="P1002" s="6">
        <v>9</v>
      </c>
      <c r="Q1002" s="4" t="s">
        <v>26</v>
      </c>
      <c r="R1002" s="4">
        <v>0</v>
      </c>
      <c r="S1002" s="6">
        <v>0</v>
      </c>
      <c r="T1002" s="6">
        <v>66</v>
      </c>
      <c r="U1002" s="6">
        <v>3</v>
      </c>
      <c r="V1002" s="6">
        <f>IF(ISERROR(VLOOKUP($S$1002,'TAR FIN'!$A$1:$O$108,15,0)),0,VLOOKUP($S$1002,'TAR FIN'!$A$1:$O$108,15,0))</f>
        <v>0</v>
      </c>
      <c r="W1002" s="6">
        <f>IF(ISERROR(VLOOKUP($T$1002,'TAR FIN'!$A$1:$O$108,15,0)),0,VLOOKUP($T$1002,'TAR FIN'!$A$1:$O$108,15,0))</f>
        <v>432.02</v>
      </c>
      <c r="X1002" s="6">
        <f>IF(ISERROR(VLOOKUP($U$1002,'TAR FIN'!$A$1:$O$108,15,0)),0,VLOOKUP($U$1002,'TAR FIN'!$A$1:$O$108,15,0))</f>
        <v>107.79</v>
      </c>
      <c r="Y1002" s="6"/>
      <c r="Z1002" s="6">
        <f ca="1">('TUSD BE'!$AM$64+'TUSD BF'!$AM$64+'TUSD CVA'!$AM$64)*1</f>
        <v>497.19204594021971</v>
      </c>
      <c r="AA1002" s="6">
        <f>('TE BE'!$AB$44+'TE BF'!$AB$44+'TE CVA'!$AB$44)*1</f>
        <v>224.47961306175614</v>
      </c>
      <c r="AB1002" s="6">
        <f>$K$1002*$V$1002</f>
        <v>0</v>
      </c>
      <c r="AC1002" s="6">
        <f>$M$1002*$W$1002</f>
        <v>7682.1796399999994</v>
      </c>
      <c r="AD1002" s="6">
        <f>$O$1002*$X$1002</f>
        <v>1916.7217800000001</v>
      </c>
      <c r="AE1002" s="6">
        <f>$K$1002*$Y$1002</f>
        <v>0</v>
      </c>
      <c r="AF1002" s="6">
        <f ca="1">$M$1002*$Z$1002</f>
        <v>8841.0689609089877</v>
      </c>
      <c r="AG1002" s="6">
        <f>$O$1002*$AA$1002</f>
        <v>3991.6964794641476</v>
      </c>
    </row>
    <row r="1003" spans="1:33" ht="11.25" customHeight="1" x14ac:dyDescent="0.25">
      <c r="A1003" s="4" t="s">
        <v>21</v>
      </c>
      <c r="B1003" s="4" t="s">
        <v>37</v>
      </c>
      <c r="C1003" s="4" t="s">
        <v>23</v>
      </c>
      <c r="D1003" s="4" t="s">
        <v>47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44835</v>
      </c>
      <c r="J1003" s="6">
        <v>0</v>
      </c>
      <c r="K1003" s="6">
        <v>0</v>
      </c>
      <c r="L1003" s="6">
        <v>4127.8090000000002</v>
      </c>
      <c r="M1003" s="6">
        <v>4127.8090000000002</v>
      </c>
      <c r="N1003" s="6">
        <v>4127.8090000000002</v>
      </c>
      <c r="O1003" s="6">
        <v>4127.8090000000002</v>
      </c>
      <c r="P1003" s="6">
        <v>1887</v>
      </c>
      <c r="Q1003" s="4" t="s">
        <v>26</v>
      </c>
      <c r="R1003" s="4">
        <v>0</v>
      </c>
      <c r="S1003" s="6">
        <v>0</v>
      </c>
      <c r="T1003" s="6">
        <v>66</v>
      </c>
      <c r="U1003" s="6">
        <v>3</v>
      </c>
      <c r="V1003" s="6">
        <f>IF(ISERROR(VLOOKUP($S$1003,'TAR FIN'!$A$1:$O$108,15,0)),0,VLOOKUP($S$1003,'TAR FIN'!$A$1:$O$108,15,0))</f>
        <v>0</v>
      </c>
      <c r="W1003" s="6">
        <f>IF(ISERROR(VLOOKUP($T$1003,'TAR FIN'!$A$1:$O$108,15,0)),0,VLOOKUP($T$1003,'TAR FIN'!$A$1:$O$108,15,0))</f>
        <v>432.02</v>
      </c>
      <c r="X1003" s="6">
        <f>IF(ISERROR(VLOOKUP($U$1003,'TAR FIN'!$A$1:$O$108,15,0)),0,VLOOKUP($U$1003,'TAR FIN'!$A$1:$O$108,15,0))</f>
        <v>107.79</v>
      </c>
      <c r="Y1003" s="6"/>
      <c r="Z1003" s="6">
        <f ca="1">('TUSD BE'!$AM$64+'TUSD BF'!$AM$64+'TUSD CVA'!$AM$64)*1</f>
        <v>497.19204594021971</v>
      </c>
      <c r="AA1003" s="6">
        <f>('TE BE'!$AB$44+'TE BF'!$AB$44+'TE CVA'!$AB$44)*1</f>
        <v>224.47961306175614</v>
      </c>
      <c r="AB1003" s="6">
        <f>$K$1003*$V$1003</f>
        <v>0</v>
      </c>
      <c r="AC1003" s="6">
        <f>$M$1003*$W$1003</f>
        <v>1783296.04418</v>
      </c>
      <c r="AD1003" s="6">
        <f>$O$1003*$X$1003</f>
        <v>444936.53211000003</v>
      </c>
      <c r="AE1003" s="6">
        <f>$K$1003*$Y$1003</f>
        <v>0</v>
      </c>
      <c r="AF1003" s="6">
        <f ca="1">$M$1003*$Z$1003</f>
        <v>2052313.8019604525</v>
      </c>
      <c r="AG1003" s="6">
        <f>$O$1003*$AA$1003</f>
        <v>926608.96711283457</v>
      </c>
    </row>
    <row r="1004" spans="1:33" ht="11.25" customHeight="1" x14ac:dyDescent="0.25">
      <c r="A1004" s="4" t="s">
        <v>27</v>
      </c>
      <c r="B1004" s="4" t="s">
        <v>37</v>
      </c>
      <c r="C1004" s="4" t="s">
        <v>23</v>
      </c>
      <c r="D1004" s="4" t="s">
        <v>47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44835</v>
      </c>
      <c r="J1004" s="6">
        <v>0</v>
      </c>
      <c r="K1004" s="6">
        <v>0</v>
      </c>
      <c r="L1004" s="6">
        <v>-5.6749999999999998</v>
      </c>
      <c r="M1004" s="6">
        <v>-5.6749999999999998</v>
      </c>
      <c r="N1004" s="6">
        <v>-5.6749999999999998</v>
      </c>
      <c r="O1004" s="6">
        <v>-5.6749999999999998</v>
      </c>
      <c r="P1004" s="6">
        <v>2</v>
      </c>
      <c r="Q1004" s="4" t="s">
        <v>26</v>
      </c>
      <c r="R1004" s="4">
        <v>0</v>
      </c>
      <c r="S1004" s="6">
        <v>0</v>
      </c>
      <c r="T1004" s="6">
        <v>66</v>
      </c>
      <c r="U1004" s="6">
        <v>3</v>
      </c>
      <c r="V1004" s="6">
        <f>IF(ISERROR(VLOOKUP($S$1004,'TAR FIN'!$A$1:$O$108,15,0)),0,VLOOKUP($S$1004,'TAR FIN'!$A$1:$O$108,15,0))</f>
        <v>0</v>
      </c>
      <c r="W1004" s="6">
        <f>IF(ISERROR(VLOOKUP($T$1004,'TAR FIN'!$A$1:$O$108,15,0)),0,VLOOKUP($T$1004,'TAR FIN'!$A$1:$O$108,15,0))</f>
        <v>432.02</v>
      </c>
      <c r="X1004" s="6">
        <f>IF(ISERROR(VLOOKUP($U$1004,'TAR FIN'!$A$1:$O$108,15,0)),0,VLOOKUP($U$1004,'TAR FIN'!$A$1:$O$108,15,0))</f>
        <v>107.79</v>
      </c>
      <c r="Y1004" s="6"/>
      <c r="Z1004" s="6">
        <f ca="1">('TUSD BE'!$AM$64+'TUSD BF'!$AM$64+'TUSD CVA'!$AM$64)*1</f>
        <v>497.19204594021971</v>
      </c>
      <c r="AA1004" s="6">
        <f>('TE BE'!$AB$44+'TE BF'!$AB$44+'TE CVA'!$AB$44)*1</f>
        <v>224.47961306175614</v>
      </c>
      <c r="AB1004" s="6">
        <f>$K$1004*$V$1004</f>
        <v>0</v>
      </c>
      <c r="AC1004" s="6">
        <f>$M$1004*$W$1004</f>
        <v>-2451.7134999999998</v>
      </c>
      <c r="AD1004" s="6">
        <f>$O$1004*$X$1004</f>
        <v>-611.70825000000002</v>
      </c>
      <c r="AE1004" s="6">
        <f>$K$1004*$Y$1004</f>
        <v>0</v>
      </c>
      <c r="AF1004" s="6">
        <f ca="1">$M$1004*$Z$1004</f>
        <v>-2821.5648607107469</v>
      </c>
      <c r="AG1004" s="6">
        <f>$O$1004*$AA$1004</f>
        <v>-1273.921804125466</v>
      </c>
    </row>
    <row r="1005" spans="1:33" ht="11.25" customHeight="1" x14ac:dyDescent="0.25">
      <c r="A1005" s="4" t="s">
        <v>28</v>
      </c>
      <c r="B1005" s="4" t="s">
        <v>37</v>
      </c>
      <c r="C1005" s="4" t="s">
        <v>23</v>
      </c>
      <c r="D1005" s="4" t="s">
        <v>47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44835</v>
      </c>
      <c r="J1005" s="6">
        <v>0</v>
      </c>
      <c r="K1005" s="6">
        <v>0</v>
      </c>
      <c r="L1005" s="6">
        <v>19.748999999999999</v>
      </c>
      <c r="M1005" s="6">
        <v>19.748999999999999</v>
      </c>
      <c r="N1005" s="6">
        <v>19.748999999999999</v>
      </c>
      <c r="O1005" s="6">
        <v>19.748999999999999</v>
      </c>
      <c r="P1005" s="6">
        <v>9</v>
      </c>
      <c r="Q1005" s="4" t="s">
        <v>26</v>
      </c>
      <c r="R1005" s="4">
        <v>0</v>
      </c>
      <c r="S1005" s="6">
        <v>0</v>
      </c>
      <c r="T1005" s="6">
        <v>66</v>
      </c>
      <c r="U1005" s="6">
        <v>3</v>
      </c>
      <c r="V1005" s="6">
        <f>IF(ISERROR(VLOOKUP($S$1005,'TAR FIN'!$A$1:$O$108,15,0)),0,VLOOKUP($S$1005,'TAR FIN'!$A$1:$O$108,15,0))</f>
        <v>0</v>
      </c>
      <c r="W1005" s="6">
        <f>IF(ISERROR(VLOOKUP($T$1005,'TAR FIN'!$A$1:$O$108,15,0)),0,VLOOKUP($T$1005,'TAR FIN'!$A$1:$O$108,15,0))</f>
        <v>432.02</v>
      </c>
      <c r="X1005" s="6">
        <f>IF(ISERROR(VLOOKUP($U$1005,'TAR FIN'!$A$1:$O$108,15,0)),0,VLOOKUP($U$1005,'TAR FIN'!$A$1:$O$108,15,0))</f>
        <v>107.79</v>
      </c>
      <c r="Y1005" s="6"/>
      <c r="Z1005" s="6">
        <f ca="1">('TUSD BE'!$AM$64+'TUSD BF'!$AM$64+'TUSD CVA'!$AM$64)*1</f>
        <v>497.19204594021971</v>
      </c>
      <c r="AA1005" s="6">
        <f>('TE BE'!$AB$44+'TE BF'!$AB$44+'TE CVA'!$AB$44)*1</f>
        <v>224.47961306175614</v>
      </c>
      <c r="AB1005" s="6">
        <f>$K$1005*$V$1005</f>
        <v>0</v>
      </c>
      <c r="AC1005" s="6">
        <f>$M$1005*$W$1005</f>
        <v>8531.9629799999984</v>
      </c>
      <c r="AD1005" s="6">
        <f>$O$1005*$X$1005</f>
        <v>2128.7447099999999</v>
      </c>
      <c r="AE1005" s="6">
        <f>$K$1005*$Y$1005</f>
        <v>0</v>
      </c>
      <c r="AF1005" s="6">
        <f ca="1">$M$1005*$Z$1005</f>
        <v>9819.0457152733979</v>
      </c>
      <c r="AG1005" s="6">
        <f>$O$1005*$AA$1005</f>
        <v>4433.2478783566221</v>
      </c>
    </row>
    <row r="1006" spans="1:33" ht="11.25" customHeight="1" x14ac:dyDescent="0.25">
      <c r="A1006" s="4" t="s">
        <v>54</v>
      </c>
      <c r="B1006" s="4" t="s">
        <v>37</v>
      </c>
      <c r="C1006" s="4" t="s">
        <v>23</v>
      </c>
      <c r="D1006" s="4" t="s">
        <v>47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44866</v>
      </c>
      <c r="J1006" s="6">
        <v>0</v>
      </c>
      <c r="K1006" s="6">
        <v>0</v>
      </c>
      <c r="L1006" s="6">
        <v>4127.8090000000002</v>
      </c>
      <c r="M1006" s="6">
        <v>4127.8090000000002</v>
      </c>
      <c r="N1006" s="6">
        <v>4127.8090000000002</v>
      </c>
      <c r="O1006" s="6">
        <v>4127.8090000000002</v>
      </c>
      <c r="P1006" s="6">
        <v>1887</v>
      </c>
      <c r="Q1006" s="4" t="s">
        <v>26</v>
      </c>
      <c r="R1006" s="4">
        <v>0</v>
      </c>
      <c r="S1006" s="6">
        <v>0</v>
      </c>
      <c r="T1006" s="6">
        <v>66</v>
      </c>
      <c r="U1006" s="6">
        <v>3</v>
      </c>
      <c r="V1006" s="6">
        <f>IF(ISERROR(VLOOKUP($S$1006,'TAR FIN'!$A$1:$O$108,15,0)),0,VLOOKUP($S$1006,'TAR FIN'!$A$1:$O$108,15,0))</f>
        <v>0</v>
      </c>
      <c r="W1006" s="6">
        <f>IF(ISERROR(VLOOKUP($T$1006,'TAR FIN'!$A$1:$O$108,15,0)),0,VLOOKUP($T$1006,'TAR FIN'!$A$1:$O$108,15,0))</f>
        <v>432.02</v>
      </c>
      <c r="X1006" s="6">
        <f>IF(ISERROR(VLOOKUP($U$1006,'TAR FIN'!$A$1:$O$108,15,0)),0,VLOOKUP($U$1006,'TAR FIN'!$A$1:$O$108,15,0))</f>
        <v>107.79</v>
      </c>
      <c r="Y1006" s="6"/>
      <c r="Z1006" s="6">
        <f ca="1">('TUSD BE'!$AM$64+'TUSD BF'!$AM$64+'TUSD CVA'!$AM$64)*1</f>
        <v>497.19204594021971</v>
      </c>
      <c r="AA1006" s="6">
        <f>('TE BE'!$AB$44+'TE BF'!$AB$44+'TE CVA'!$AB$44)*1</f>
        <v>224.47961306175614</v>
      </c>
      <c r="AB1006" s="6">
        <f>$K$1006*$V$1006</f>
        <v>0</v>
      </c>
      <c r="AC1006" s="6">
        <f>$M$1006*$W$1006</f>
        <v>1783296.04418</v>
      </c>
      <c r="AD1006" s="6">
        <f>$O$1006*$X$1006</f>
        <v>444936.53211000003</v>
      </c>
      <c r="AE1006" s="6">
        <f>$K$1006*$Y$1006</f>
        <v>0</v>
      </c>
      <c r="AF1006" s="6">
        <f ca="1">$M$1006*$Z$1006</f>
        <v>2052313.8019604525</v>
      </c>
      <c r="AG1006" s="6">
        <f>$O$1006*$AA$1006</f>
        <v>926608.96711283457</v>
      </c>
    </row>
    <row r="1007" spans="1:33" ht="11.25" customHeight="1" x14ac:dyDescent="0.25">
      <c r="A1007" s="4" t="s">
        <v>54</v>
      </c>
      <c r="B1007" s="4" t="s">
        <v>37</v>
      </c>
      <c r="C1007" s="4" t="s">
        <v>23</v>
      </c>
      <c r="D1007" s="4" t="s">
        <v>47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44866</v>
      </c>
      <c r="J1007" s="6">
        <v>0</v>
      </c>
      <c r="K1007" s="6">
        <v>0</v>
      </c>
      <c r="L1007" s="6">
        <v>-5.6749999999999998</v>
      </c>
      <c r="M1007" s="6">
        <v>-5.6749999999999998</v>
      </c>
      <c r="N1007" s="6">
        <v>-5.6749999999999998</v>
      </c>
      <c r="O1007" s="6">
        <v>-5.6749999999999998</v>
      </c>
      <c r="P1007" s="6">
        <v>2</v>
      </c>
      <c r="Q1007" s="4" t="s">
        <v>26</v>
      </c>
      <c r="R1007" s="4">
        <v>0</v>
      </c>
      <c r="S1007" s="6">
        <v>0</v>
      </c>
      <c r="T1007" s="6">
        <v>66</v>
      </c>
      <c r="U1007" s="6">
        <v>3</v>
      </c>
      <c r="V1007" s="6">
        <f>IF(ISERROR(VLOOKUP($S$1007,'TAR FIN'!$A$1:$O$108,15,0)),0,VLOOKUP($S$1007,'TAR FIN'!$A$1:$O$108,15,0))</f>
        <v>0</v>
      </c>
      <c r="W1007" s="6">
        <f>IF(ISERROR(VLOOKUP($T$1007,'TAR FIN'!$A$1:$O$108,15,0)),0,VLOOKUP($T$1007,'TAR FIN'!$A$1:$O$108,15,0))</f>
        <v>432.02</v>
      </c>
      <c r="X1007" s="6">
        <f>IF(ISERROR(VLOOKUP($U$1007,'TAR FIN'!$A$1:$O$108,15,0)),0,VLOOKUP($U$1007,'TAR FIN'!$A$1:$O$108,15,0))</f>
        <v>107.79</v>
      </c>
      <c r="Y1007" s="6"/>
      <c r="Z1007" s="6">
        <f ca="1">('TUSD BE'!$AM$64+'TUSD BF'!$AM$64+'TUSD CVA'!$AM$64)*1</f>
        <v>497.19204594021971</v>
      </c>
      <c r="AA1007" s="6">
        <f>('TE BE'!$AB$44+'TE BF'!$AB$44+'TE CVA'!$AB$44)*1</f>
        <v>224.47961306175614</v>
      </c>
      <c r="AB1007" s="6">
        <f>$K$1007*$V$1007</f>
        <v>0</v>
      </c>
      <c r="AC1007" s="6">
        <f>$M$1007*$W$1007</f>
        <v>-2451.7134999999998</v>
      </c>
      <c r="AD1007" s="6">
        <f>$O$1007*$X$1007</f>
        <v>-611.70825000000002</v>
      </c>
      <c r="AE1007" s="6">
        <f>$K$1007*$Y$1007</f>
        <v>0</v>
      </c>
      <c r="AF1007" s="6">
        <f ca="1">$M$1007*$Z$1007</f>
        <v>-2821.5648607107469</v>
      </c>
      <c r="AG1007" s="6">
        <f>$O$1007*$AA$1007</f>
        <v>-1273.921804125466</v>
      </c>
    </row>
    <row r="1008" spans="1:33" ht="11.25" customHeight="1" x14ac:dyDescent="0.25">
      <c r="A1008" s="4" t="s">
        <v>54</v>
      </c>
      <c r="B1008" s="4" t="s">
        <v>37</v>
      </c>
      <c r="C1008" s="4" t="s">
        <v>23</v>
      </c>
      <c r="D1008" s="4" t="s">
        <v>47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44866</v>
      </c>
      <c r="J1008" s="6">
        <v>0</v>
      </c>
      <c r="K1008" s="6">
        <v>0</v>
      </c>
      <c r="L1008" s="6">
        <v>19.748999999999999</v>
      </c>
      <c r="M1008" s="6">
        <v>19.748999999999999</v>
      </c>
      <c r="N1008" s="6">
        <v>19.748999999999999</v>
      </c>
      <c r="O1008" s="6">
        <v>19.748999999999999</v>
      </c>
      <c r="P1008" s="6">
        <v>9</v>
      </c>
      <c r="Q1008" s="4" t="s">
        <v>26</v>
      </c>
      <c r="R1008" s="4">
        <v>0</v>
      </c>
      <c r="S1008" s="6">
        <v>0</v>
      </c>
      <c r="T1008" s="6">
        <v>66</v>
      </c>
      <c r="U1008" s="6">
        <v>3</v>
      </c>
      <c r="V1008" s="6">
        <f>IF(ISERROR(VLOOKUP($S$1008,'TAR FIN'!$A$1:$O$108,15,0)),0,VLOOKUP($S$1008,'TAR FIN'!$A$1:$O$108,15,0))</f>
        <v>0</v>
      </c>
      <c r="W1008" s="6">
        <f>IF(ISERROR(VLOOKUP($T$1008,'TAR FIN'!$A$1:$O$108,15,0)),0,VLOOKUP($T$1008,'TAR FIN'!$A$1:$O$108,15,0))</f>
        <v>432.02</v>
      </c>
      <c r="X1008" s="6">
        <f>IF(ISERROR(VLOOKUP($U$1008,'TAR FIN'!$A$1:$O$108,15,0)),0,VLOOKUP($U$1008,'TAR FIN'!$A$1:$O$108,15,0))</f>
        <v>107.79</v>
      </c>
      <c r="Y1008" s="6"/>
      <c r="Z1008" s="6">
        <f ca="1">('TUSD BE'!$AM$64+'TUSD BF'!$AM$64+'TUSD CVA'!$AM$64)*1</f>
        <v>497.19204594021971</v>
      </c>
      <c r="AA1008" s="6">
        <f>('TE BE'!$AB$44+'TE BF'!$AB$44+'TE CVA'!$AB$44)*1</f>
        <v>224.47961306175614</v>
      </c>
      <c r="AB1008" s="6">
        <f>$K$1008*$V$1008</f>
        <v>0</v>
      </c>
      <c r="AC1008" s="6">
        <f>$M$1008*$W$1008</f>
        <v>8531.9629799999984</v>
      </c>
      <c r="AD1008" s="6">
        <f>$O$1008*$X$1008</f>
        <v>2128.7447099999999</v>
      </c>
      <c r="AE1008" s="6">
        <f>$K$1008*$Y$1008</f>
        <v>0</v>
      </c>
      <c r="AF1008" s="6">
        <f ca="1">$M$1008*$Z$1008</f>
        <v>9819.0457152733979</v>
      </c>
      <c r="AG1008" s="6">
        <f>$O$1008*$AA$1008</f>
        <v>4433.2478783566221</v>
      </c>
    </row>
    <row r="1009" spans="1:33" ht="11.25" customHeight="1" x14ac:dyDescent="0.25">
      <c r="A1009" s="4" t="s">
        <v>21</v>
      </c>
      <c r="B1009" s="4" t="s">
        <v>37</v>
      </c>
      <c r="C1009" s="4" t="s">
        <v>23</v>
      </c>
      <c r="D1009" s="4" t="s">
        <v>51</v>
      </c>
      <c r="E1009" s="4" t="s">
        <v>52</v>
      </c>
      <c r="F1009" s="4" t="s">
        <v>25</v>
      </c>
      <c r="G1009" s="4" t="s">
        <v>25</v>
      </c>
      <c r="H1009" s="4" t="s">
        <v>25</v>
      </c>
      <c r="I1009" s="5">
        <v>44531</v>
      </c>
      <c r="J1009" s="6">
        <v>0</v>
      </c>
      <c r="K1009" s="71">
        <v>0</v>
      </c>
      <c r="L1009" s="6">
        <v>328.87</v>
      </c>
      <c r="M1009" s="71">
        <v>328.87</v>
      </c>
      <c r="N1009" s="6">
        <v>328.87</v>
      </c>
      <c r="O1009" s="71">
        <v>328.87</v>
      </c>
      <c r="P1009" s="6">
        <v>87</v>
      </c>
      <c r="Q1009" s="4" t="s">
        <v>26</v>
      </c>
      <c r="R1009" s="4">
        <v>0</v>
      </c>
      <c r="S1009" s="6">
        <v>0</v>
      </c>
      <c r="T1009" s="6">
        <v>66</v>
      </c>
      <c r="U1009" s="6">
        <v>3</v>
      </c>
      <c r="V1009" s="71">
        <f>IF(ISERROR(VLOOKUP($S$1009,'TAR FIN'!$A$1:$O$108,15,0)),0,VLOOKUP($S$1009,'TAR FIN'!$A$1:$O$108,15,0))</f>
        <v>0</v>
      </c>
      <c r="W1009" s="71">
        <f>IF(ISERROR(VLOOKUP($T$1009,'TAR FIN'!$A$1:$O$108,15,0)),0,VLOOKUP($T$1009,'TAR FIN'!$A$1:$O$108,15,0))*(1-0.06)</f>
        <v>406.09879999999998</v>
      </c>
      <c r="X1009" s="71">
        <f>IF(ISERROR(VLOOKUP($U$1009,'TAR FIN'!$A$1:$O$108,15,0)),0,VLOOKUP($U$1009,'TAR FIN'!$A$1:$O$108,15,0))*(1-0.06)</f>
        <v>101.32259999999999</v>
      </c>
      <c r="Y1009" s="71"/>
      <c r="Z1009" s="71">
        <f ca="1">('TUSD BE'!$AM$64+'TUSD BF'!$AM$64+'TUSD CVA'!$AM$64)*1*(1-0.03)</f>
        <v>482.27628456201313</v>
      </c>
      <c r="AA1009" s="71">
        <f>('TE BE'!$AB$44+'TE BF'!$AB$44+'TE CVA'!$AB$44)*1*(1-0.03)</f>
        <v>217.74522466990345</v>
      </c>
      <c r="AB1009" s="6">
        <f>$K$1009*$V$1009</f>
        <v>0</v>
      </c>
      <c r="AC1009" s="6">
        <f>$M$1009*$W$1009</f>
        <v>133553.712356</v>
      </c>
      <c r="AD1009" s="6">
        <f>$O$1009*$X$1009</f>
        <v>33321.963462</v>
      </c>
      <c r="AE1009" s="6">
        <f>$K$1009*$Y$1009</f>
        <v>0</v>
      </c>
      <c r="AF1009" s="6">
        <f ca="1">$M$1009*$Z$1009</f>
        <v>158606.20170390926</v>
      </c>
      <c r="AG1009" s="6">
        <f>$O$1009*$AA$1009</f>
        <v>71609.872037191148</v>
      </c>
    </row>
    <row r="1010" spans="1:33" ht="11.25" customHeight="1" x14ac:dyDescent="0.25">
      <c r="A1010" s="4" t="s">
        <v>27</v>
      </c>
      <c r="B1010" s="4" t="s">
        <v>37</v>
      </c>
      <c r="C1010" s="4" t="s">
        <v>23</v>
      </c>
      <c r="D1010" s="4" t="s">
        <v>51</v>
      </c>
      <c r="E1010" s="4" t="s">
        <v>52</v>
      </c>
      <c r="F1010" s="4" t="s">
        <v>25</v>
      </c>
      <c r="G1010" s="4" t="s">
        <v>25</v>
      </c>
      <c r="H1010" s="4" t="s">
        <v>25</v>
      </c>
      <c r="I1010" s="5">
        <v>44531</v>
      </c>
      <c r="J1010" s="6">
        <v>0</v>
      </c>
      <c r="K1010" s="71">
        <v>0</v>
      </c>
      <c r="L1010" s="6">
        <v>-81.617999999999995</v>
      </c>
      <c r="M1010" s="71">
        <v>-81.617999999999995</v>
      </c>
      <c r="N1010" s="6">
        <v>-81.617999999999995</v>
      </c>
      <c r="O1010" s="71">
        <v>-81.617999999999995</v>
      </c>
      <c r="P1010" s="6">
        <v>-15</v>
      </c>
      <c r="Q1010" s="4" t="s">
        <v>26</v>
      </c>
      <c r="R1010" s="4">
        <v>0</v>
      </c>
      <c r="S1010" s="6">
        <v>0</v>
      </c>
      <c r="T1010" s="6">
        <v>66</v>
      </c>
      <c r="U1010" s="6">
        <v>3</v>
      </c>
      <c r="V1010" s="71">
        <f>IF(ISERROR(VLOOKUP($S$1010,'TAR FIN'!$A$1:$O$108,15,0)),0,VLOOKUP($S$1010,'TAR FIN'!$A$1:$O$108,15,0))</f>
        <v>0</v>
      </c>
      <c r="W1010" s="71">
        <f>IF(ISERROR(VLOOKUP($T$1010,'TAR FIN'!$A$1:$O$108,15,0)),0,VLOOKUP($T$1010,'TAR FIN'!$A$1:$O$108,15,0))*(1-0.06)</f>
        <v>406.09879999999998</v>
      </c>
      <c r="X1010" s="71">
        <f>IF(ISERROR(VLOOKUP($U$1010,'TAR FIN'!$A$1:$O$108,15,0)),0,VLOOKUP($U$1010,'TAR FIN'!$A$1:$O$108,15,0))*(1-0.06)</f>
        <v>101.32259999999999</v>
      </c>
      <c r="Y1010" s="71"/>
      <c r="Z1010" s="71">
        <f ca="1">('TUSD BE'!$AM$64+'TUSD BF'!$AM$64+'TUSD CVA'!$AM$64)*1*(1-0.03)</f>
        <v>482.27628456201313</v>
      </c>
      <c r="AA1010" s="71">
        <f>('TE BE'!$AB$44+'TE BF'!$AB$44+'TE CVA'!$AB$44)*1*(1-0.03)</f>
        <v>217.74522466990345</v>
      </c>
      <c r="AB1010" s="6">
        <f>$K$1010*$V$1010</f>
        <v>0</v>
      </c>
      <c r="AC1010" s="6">
        <f>$M$1010*$W$1010</f>
        <v>-33144.9718584</v>
      </c>
      <c r="AD1010" s="6">
        <f>$O$1010*$X$1010</f>
        <v>-8269.7479667999996</v>
      </c>
      <c r="AE1010" s="6">
        <f>$K$1010*$Y$1010</f>
        <v>0</v>
      </c>
      <c r="AF1010" s="6">
        <f ca="1">$M$1010*$Z$1010</f>
        <v>-39362.425793382383</v>
      </c>
      <c r="AG1010" s="6">
        <f>$O$1010*$AA$1010</f>
        <v>-17771.929747108177</v>
      </c>
    </row>
    <row r="1011" spans="1:33" ht="11.25" customHeight="1" x14ac:dyDescent="0.25">
      <c r="A1011" s="4" t="s">
        <v>21</v>
      </c>
      <c r="B1011" s="4" t="s">
        <v>37</v>
      </c>
      <c r="C1011" s="4" t="s">
        <v>23</v>
      </c>
      <c r="D1011" s="4" t="s">
        <v>51</v>
      </c>
      <c r="E1011" s="4" t="s">
        <v>52</v>
      </c>
      <c r="F1011" s="4" t="s">
        <v>25</v>
      </c>
      <c r="G1011" s="4" t="s">
        <v>25</v>
      </c>
      <c r="H1011" s="4" t="s">
        <v>25</v>
      </c>
      <c r="I1011" s="5">
        <v>44562</v>
      </c>
      <c r="J1011" s="6">
        <v>0</v>
      </c>
      <c r="K1011" s="71">
        <v>0</v>
      </c>
      <c r="L1011" s="6">
        <v>317.13900000000001</v>
      </c>
      <c r="M1011" s="71">
        <v>317.13900000000001</v>
      </c>
      <c r="N1011" s="6">
        <v>317.13900000000001</v>
      </c>
      <c r="O1011" s="71">
        <v>317.13900000000001</v>
      </c>
      <c r="P1011" s="6">
        <v>87</v>
      </c>
      <c r="Q1011" s="4" t="s">
        <v>26</v>
      </c>
      <c r="R1011" s="4">
        <v>0</v>
      </c>
      <c r="S1011" s="6">
        <v>0</v>
      </c>
      <c r="T1011" s="6">
        <v>66</v>
      </c>
      <c r="U1011" s="6">
        <v>3</v>
      </c>
      <c r="V1011" s="71">
        <f>IF(ISERROR(VLOOKUP($S$1011,'TAR FIN'!$A$1:$O$108,15,0)),0,VLOOKUP($S$1011,'TAR FIN'!$A$1:$O$108,15,0))</f>
        <v>0</v>
      </c>
      <c r="W1011" s="71">
        <f>IF(ISERROR(VLOOKUP($T$1011,'TAR FIN'!$A$1:$O$108,15,0)),0,VLOOKUP($T$1011,'TAR FIN'!$A$1:$O$108,15,0))*(1-0.06)</f>
        <v>406.09879999999998</v>
      </c>
      <c r="X1011" s="71">
        <f>IF(ISERROR(VLOOKUP($U$1011,'TAR FIN'!$A$1:$O$108,15,0)),0,VLOOKUP($U$1011,'TAR FIN'!$A$1:$O$108,15,0))*(1-0.06)</f>
        <v>101.32259999999999</v>
      </c>
      <c r="Y1011" s="71"/>
      <c r="Z1011" s="71">
        <f ca="1">('TUSD BE'!$AM$64+'TUSD BF'!$AM$64+'TUSD CVA'!$AM$64)*1*(1-0.03)</f>
        <v>482.27628456201313</v>
      </c>
      <c r="AA1011" s="71">
        <f>('TE BE'!$AB$44+'TE BF'!$AB$44+'TE CVA'!$AB$44)*1*(1-0.03)</f>
        <v>217.74522466990345</v>
      </c>
      <c r="AB1011" s="6">
        <f>$K$1011*$V$1011</f>
        <v>0</v>
      </c>
      <c r="AC1011" s="6">
        <f>$M$1011*$W$1011</f>
        <v>128789.7673332</v>
      </c>
      <c r="AD1011" s="6">
        <f>$O$1011*$X$1011</f>
        <v>32133.348041400001</v>
      </c>
      <c r="AE1011" s="6">
        <f>$K$1011*$Y$1011</f>
        <v>0</v>
      </c>
      <c r="AF1011" s="6">
        <f ca="1">$M$1011*$Z$1011</f>
        <v>152948.61860971228</v>
      </c>
      <c r="AG1011" s="6">
        <f>$O$1011*$AA$1011</f>
        <v>69055.502806588513</v>
      </c>
    </row>
    <row r="1012" spans="1:33" ht="11.25" customHeight="1" x14ac:dyDescent="0.25">
      <c r="A1012" s="4" t="s">
        <v>21</v>
      </c>
      <c r="B1012" s="4" t="s">
        <v>37</v>
      </c>
      <c r="C1012" s="4" t="s">
        <v>23</v>
      </c>
      <c r="D1012" s="4" t="s">
        <v>51</v>
      </c>
      <c r="E1012" s="4" t="s">
        <v>52</v>
      </c>
      <c r="F1012" s="4" t="s">
        <v>25</v>
      </c>
      <c r="G1012" s="4" t="s">
        <v>25</v>
      </c>
      <c r="H1012" s="4" t="s">
        <v>25</v>
      </c>
      <c r="I1012" s="5">
        <v>44593</v>
      </c>
      <c r="J1012" s="6">
        <v>0</v>
      </c>
      <c r="K1012" s="71">
        <v>0</v>
      </c>
      <c r="L1012" s="6">
        <v>295.197</v>
      </c>
      <c r="M1012" s="71">
        <v>295.197</v>
      </c>
      <c r="N1012" s="6">
        <v>295.197</v>
      </c>
      <c r="O1012" s="71">
        <v>295.197</v>
      </c>
      <c r="P1012" s="6">
        <v>90</v>
      </c>
      <c r="Q1012" s="4" t="s">
        <v>26</v>
      </c>
      <c r="R1012" s="4">
        <v>0</v>
      </c>
      <c r="S1012" s="6">
        <v>0</v>
      </c>
      <c r="T1012" s="6">
        <v>66</v>
      </c>
      <c r="U1012" s="6">
        <v>3</v>
      </c>
      <c r="V1012" s="71">
        <f>IF(ISERROR(VLOOKUP($S$1012,'TAR FIN'!$A$1:$O$108,15,0)),0,VLOOKUP($S$1012,'TAR FIN'!$A$1:$O$108,15,0))</f>
        <v>0</v>
      </c>
      <c r="W1012" s="71">
        <f>IF(ISERROR(VLOOKUP($T$1012,'TAR FIN'!$A$1:$O$108,15,0)),0,VLOOKUP($T$1012,'TAR FIN'!$A$1:$O$108,15,0))*(1-0.06)</f>
        <v>406.09879999999998</v>
      </c>
      <c r="X1012" s="71">
        <f>IF(ISERROR(VLOOKUP($U$1012,'TAR FIN'!$A$1:$O$108,15,0)),0,VLOOKUP($U$1012,'TAR FIN'!$A$1:$O$108,15,0))*(1-0.06)</f>
        <v>101.32259999999999</v>
      </c>
      <c r="Y1012" s="71"/>
      <c r="Z1012" s="71">
        <f ca="1">('TUSD BE'!$AM$64+'TUSD BF'!$AM$64+'TUSD CVA'!$AM$64)*1*(1-0.03)</f>
        <v>482.27628456201313</v>
      </c>
      <c r="AA1012" s="71">
        <f>('TE BE'!$AB$44+'TE BF'!$AB$44+'TE CVA'!$AB$44)*1*(1-0.03)</f>
        <v>217.74522466990345</v>
      </c>
      <c r="AB1012" s="6">
        <f>$K$1012*$V$1012</f>
        <v>0</v>
      </c>
      <c r="AC1012" s="6">
        <f>$M$1012*$W$1012</f>
        <v>119879.14746359999</v>
      </c>
      <c r="AD1012" s="6">
        <f>$O$1012*$X$1012</f>
        <v>29910.1275522</v>
      </c>
      <c r="AE1012" s="6">
        <f>$K$1012*$Y$1012</f>
        <v>0</v>
      </c>
      <c r="AF1012" s="6">
        <f ca="1">$M$1012*$Z$1012</f>
        <v>142366.5123738526</v>
      </c>
      <c r="AG1012" s="6">
        <f>$O$1012*$AA$1012</f>
        <v>64277.737086881491</v>
      </c>
    </row>
    <row r="1013" spans="1:33" ht="11.25" customHeight="1" x14ac:dyDescent="0.25">
      <c r="A1013" s="4" t="s">
        <v>21</v>
      </c>
      <c r="B1013" s="4" t="s">
        <v>37</v>
      </c>
      <c r="C1013" s="4" t="s">
        <v>23</v>
      </c>
      <c r="D1013" s="4" t="s">
        <v>51</v>
      </c>
      <c r="E1013" s="4" t="s">
        <v>52</v>
      </c>
      <c r="F1013" s="4" t="s">
        <v>25</v>
      </c>
      <c r="G1013" s="4" t="s">
        <v>25</v>
      </c>
      <c r="H1013" s="4" t="s">
        <v>25</v>
      </c>
      <c r="I1013" s="5">
        <v>44621</v>
      </c>
      <c r="J1013" s="6">
        <v>0</v>
      </c>
      <c r="K1013" s="71">
        <v>0</v>
      </c>
      <c r="L1013" s="6">
        <v>341.46100000000001</v>
      </c>
      <c r="M1013" s="71">
        <v>341.46100000000001</v>
      </c>
      <c r="N1013" s="6">
        <v>341.46100000000001</v>
      </c>
      <c r="O1013" s="71">
        <v>341.46100000000001</v>
      </c>
      <c r="P1013" s="6">
        <v>92</v>
      </c>
      <c r="Q1013" s="4" t="s">
        <v>26</v>
      </c>
      <c r="R1013" s="4">
        <v>0</v>
      </c>
      <c r="S1013" s="6">
        <v>0</v>
      </c>
      <c r="T1013" s="6">
        <v>66</v>
      </c>
      <c r="U1013" s="6">
        <v>3</v>
      </c>
      <c r="V1013" s="71">
        <f>IF(ISERROR(VLOOKUP($S$1013,'TAR FIN'!$A$1:$O$108,15,0)),0,VLOOKUP($S$1013,'TAR FIN'!$A$1:$O$108,15,0))</f>
        <v>0</v>
      </c>
      <c r="W1013" s="71">
        <f>IF(ISERROR(VLOOKUP($T$1013,'TAR FIN'!$A$1:$O$108,15,0)),0,VLOOKUP($T$1013,'TAR FIN'!$A$1:$O$108,15,0))*(1-0.06)</f>
        <v>406.09879999999998</v>
      </c>
      <c r="X1013" s="71">
        <f>IF(ISERROR(VLOOKUP($U$1013,'TAR FIN'!$A$1:$O$108,15,0)),0,VLOOKUP($U$1013,'TAR FIN'!$A$1:$O$108,15,0))*(1-0.06)</f>
        <v>101.32259999999999</v>
      </c>
      <c r="Y1013" s="71"/>
      <c r="Z1013" s="71">
        <f ca="1">('TUSD BE'!$AM$64+'TUSD BF'!$AM$64+'TUSD CVA'!$AM$64)*1*(1-0.03)</f>
        <v>482.27628456201313</v>
      </c>
      <c r="AA1013" s="71">
        <f>('TE BE'!$AB$44+'TE BF'!$AB$44+'TE CVA'!$AB$44)*1*(1-0.03)</f>
        <v>217.74522466990345</v>
      </c>
      <c r="AB1013" s="6">
        <f>$K$1013*$V$1013</f>
        <v>0</v>
      </c>
      <c r="AC1013" s="6">
        <f>$M$1013*$W$1013</f>
        <v>138666.90234679999</v>
      </c>
      <c r="AD1013" s="6">
        <f>$O$1013*$X$1013</f>
        <v>34597.716318599996</v>
      </c>
      <c r="AE1013" s="6">
        <f>$K$1013*$Y$1013</f>
        <v>0</v>
      </c>
      <c r="AF1013" s="6">
        <f ca="1">$M$1013*$Z$1013</f>
        <v>164678.54240282957</v>
      </c>
      <c r="AG1013" s="6">
        <f>$O$1013*$AA$1013</f>
        <v>74351.502161009907</v>
      </c>
    </row>
    <row r="1014" spans="1:33" ht="11.25" customHeight="1" x14ac:dyDescent="0.25">
      <c r="A1014" s="4" t="s">
        <v>21</v>
      </c>
      <c r="B1014" s="4" t="s">
        <v>37</v>
      </c>
      <c r="C1014" s="4" t="s">
        <v>23</v>
      </c>
      <c r="D1014" s="4" t="s">
        <v>51</v>
      </c>
      <c r="E1014" s="4" t="s">
        <v>52</v>
      </c>
      <c r="F1014" s="4" t="s">
        <v>25</v>
      </c>
      <c r="G1014" s="4" t="s">
        <v>25</v>
      </c>
      <c r="H1014" s="4" t="s">
        <v>25</v>
      </c>
      <c r="I1014" s="5">
        <v>44652</v>
      </c>
      <c r="J1014" s="6">
        <v>0</v>
      </c>
      <c r="K1014" s="71">
        <v>0</v>
      </c>
      <c r="L1014" s="6">
        <v>628.62199999999996</v>
      </c>
      <c r="M1014" s="71">
        <v>628.62199999999996</v>
      </c>
      <c r="N1014" s="6">
        <v>628.62199999999996</v>
      </c>
      <c r="O1014" s="71">
        <v>628.62199999999996</v>
      </c>
      <c r="P1014" s="6">
        <v>93</v>
      </c>
      <c r="Q1014" s="4" t="s">
        <v>26</v>
      </c>
      <c r="R1014" s="4">
        <v>0</v>
      </c>
      <c r="S1014" s="6">
        <v>0</v>
      </c>
      <c r="T1014" s="6">
        <v>66</v>
      </c>
      <c r="U1014" s="6">
        <v>3</v>
      </c>
      <c r="V1014" s="71">
        <f>IF(ISERROR(VLOOKUP($S$1014,'TAR FIN'!$A$1:$O$108,15,0)),0,VLOOKUP($S$1014,'TAR FIN'!$A$1:$O$108,15,0))</f>
        <v>0</v>
      </c>
      <c r="W1014" s="71">
        <f>IF(ISERROR(VLOOKUP($T$1014,'TAR FIN'!$A$1:$O$108,15,0)),0,VLOOKUP($T$1014,'TAR FIN'!$A$1:$O$108,15,0))*(1-0.06)</f>
        <v>406.09879999999998</v>
      </c>
      <c r="X1014" s="71">
        <f>IF(ISERROR(VLOOKUP($U$1014,'TAR FIN'!$A$1:$O$108,15,0)),0,VLOOKUP($U$1014,'TAR FIN'!$A$1:$O$108,15,0))*(1-0.06)</f>
        <v>101.32259999999999</v>
      </c>
      <c r="Y1014" s="71"/>
      <c r="Z1014" s="71">
        <f ca="1">('TUSD BE'!$AM$64+'TUSD BF'!$AM$64+'TUSD CVA'!$AM$64)*1*(1-0.03)</f>
        <v>482.27628456201313</v>
      </c>
      <c r="AA1014" s="71">
        <f>('TE BE'!$AB$44+'TE BF'!$AB$44+'TE CVA'!$AB$44)*1*(1-0.03)</f>
        <v>217.74522466990345</v>
      </c>
      <c r="AB1014" s="6">
        <f>$K$1014*$V$1014</f>
        <v>0</v>
      </c>
      <c r="AC1014" s="6">
        <f>$M$1014*$W$1014</f>
        <v>255282.63985359998</v>
      </c>
      <c r="AD1014" s="6">
        <f>$O$1014*$X$1014</f>
        <v>63693.615457199994</v>
      </c>
      <c r="AE1014" s="6">
        <f>$K$1014*$Y$1014</f>
        <v>0</v>
      </c>
      <c r="AF1014" s="6">
        <f ca="1">$M$1014*$Z$1014</f>
        <v>303169.48255394178</v>
      </c>
      <c r="AG1014" s="6">
        <f>$O$1014*$AA$1014</f>
        <v>136879.43862244402</v>
      </c>
    </row>
    <row r="1015" spans="1:33" ht="11.25" customHeight="1" x14ac:dyDescent="0.25">
      <c r="A1015" s="4" t="s">
        <v>21</v>
      </c>
      <c r="B1015" s="4" t="s">
        <v>37</v>
      </c>
      <c r="C1015" s="4" t="s">
        <v>23</v>
      </c>
      <c r="D1015" s="4" t="s">
        <v>51</v>
      </c>
      <c r="E1015" s="4" t="s">
        <v>52</v>
      </c>
      <c r="F1015" s="4" t="s">
        <v>25</v>
      </c>
      <c r="G1015" s="4" t="s">
        <v>25</v>
      </c>
      <c r="H1015" s="4" t="s">
        <v>25</v>
      </c>
      <c r="I1015" s="5">
        <v>44682</v>
      </c>
      <c r="J1015" s="6">
        <v>0</v>
      </c>
      <c r="K1015" s="71">
        <v>0</v>
      </c>
      <c r="L1015" s="6">
        <v>398.37599999999998</v>
      </c>
      <c r="M1015" s="71">
        <v>398.37599999999998</v>
      </c>
      <c r="N1015" s="6">
        <v>398.37599999999998</v>
      </c>
      <c r="O1015" s="71">
        <v>398.37599999999998</v>
      </c>
      <c r="P1015" s="6">
        <v>91</v>
      </c>
      <c r="Q1015" s="4" t="s">
        <v>26</v>
      </c>
      <c r="R1015" s="4">
        <v>0</v>
      </c>
      <c r="S1015" s="6">
        <v>0</v>
      </c>
      <c r="T1015" s="6">
        <v>66</v>
      </c>
      <c r="U1015" s="6">
        <v>3</v>
      </c>
      <c r="V1015" s="71">
        <f>IF(ISERROR(VLOOKUP($S$1015,'TAR FIN'!$A$1:$O$108,15,0)),0,VLOOKUP($S$1015,'TAR FIN'!$A$1:$O$108,15,0))</f>
        <v>0</v>
      </c>
      <c r="W1015" s="71">
        <f>IF(ISERROR(VLOOKUP($T$1015,'TAR FIN'!$A$1:$O$108,15,0)),0,VLOOKUP($T$1015,'TAR FIN'!$A$1:$O$108,15,0))*(1-0.06)</f>
        <v>406.09879999999998</v>
      </c>
      <c r="X1015" s="71">
        <f>IF(ISERROR(VLOOKUP($U$1015,'TAR FIN'!$A$1:$O$108,15,0)),0,VLOOKUP($U$1015,'TAR FIN'!$A$1:$O$108,15,0))*(1-0.06)</f>
        <v>101.32259999999999</v>
      </c>
      <c r="Y1015" s="71"/>
      <c r="Z1015" s="71">
        <f ca="1">('TUSD BE'!$AM$64+'TUSD BF'!$AM$64+'TUSD CVA'!$AM$64)*1*(1-0.03)</f>
        <v>482.27628456201313</v>
      </c>
      <c r="AA1015" s="71">
        <f>('TE BE'!$AB$44+'TE BF'!$AB$44+'TE CVA'!$AB$44)*1*(1-0.03)</f>
        <v>217.74522466990345</v>
      </c>
      <c r="AB1015" s="6">
        <f>$K$1015*$V$1015</f>
        <v>0</v>
      </c>
      <c r="AC1015" s="6">
        <f>$M$1015*$W$1015</f>
        <v>161780.01554879997</v>
      </c>
      <c r="AD1015" s="6">
        <f>$O$1015*$X$1015</f>
        <v>40364.492097599992</v>
      </c>
      <c r="AE1015" s="6">
        <f>$K$1015*$Y$1015</f>
        <v>0</v>
      </c>
      <c r="AF1015" s="6">
        <f ca="1">$M$1015*$Z$1015</f>
        <v>192127.29713867654</v>
      </c>
      <c r="AG1015" s="6">
        <f>$O$1015*$AA$1015</f>
        <v>86744.471623097445</v>
      </c>
    </row>
    <row r="1016" spans="1:33" ht="11.25" customHeight="1" x14ac:dyDescent="0.25">
      <c r="A1016" s="4" t="s">
        <v>27</v>
      </c>
      <c r="B1016" s="4" t="s">
        <v>37</v>
      </c>
      <c r="C1016" s="4" t="s">
        <v>23</v>
      </c>
      <c r="D1016" s="4" t="s">
        <v>51</v>
      </c>
      <c r="E1016" s="4" t="s">
        <v>52</v>
      </c>
      <c r="F1016" s="4" t="s">
        <v>25</v>
      </c>
      <c r="G1016" s="4" t="s">
        <v>25</v>
      </c>
      <c r="H1016" s="4" t="s">
        <v>25</v>
      </c>
      <c r="I1016" s="5">
        <v>44682</v>
      </c>
      <c r="J1016" s="6">
        <v>0</v>
      </c>
      <c r="K1016" s="71">
        <v>0</v>
      </c>
      <c r="L1016" s="6">
        <v>9.8970000000000002</v>
      </c>
      <c r="M1016" s="71">
        <v>9.8970000000000002</v>
      </c>
      <c r="N1016" s="6">
        <v>9.8970000000000002</v>
      </c>
      <c r="O1016" s="71">
        <v>9.8970000000000002</v>
      </c>
      <c r="P1016" s="6">
        <v>0</v>
      </c>
      <c r="Q1016" s="4" t="s">
        <v>26</v>
      </c>
      <c r="R1016" s="4">
        <v>0</v>
      </c>
      <c r="S1016" s="6">
        <v>0</v>
      </c>
      <c r="T1016" s="6">
        <v>66</v>
      </c>
      <c r="U1016" s="6">
        <v>3</v>
      </c>
      <c r="V1016" s="71">
        <f>IF(ISERROR(VLOOKUP($S$1016,'TAR FIN'!$A$1:$O$108,15,0)),0,VLOOKUP($S$1016,'TAR FIN'!$A$1:$O$108,15,0))</f>
        <v>0</v>
      </c>
      <c r="W1016" s="71">
        <f>IF(ISERROR(VLOOKUP($T$1016,'TAR FIN'!$A$1:$O$108,15,0)),0,VLOOKUP($T$1016,'TAR FIN'!$A$1:$O$108,15,0))*(1-0.06)</f>
        <v>406.09879999999998</v>
      </c>
      <c r="X1016" s="71">
        <f>IF(ISERROR(VLOOKUP($U$1016,'TAR FIN'!$A$1:$O$108,15,0)),0,VLOOKUP($U$1016,'TAR FIN'!$A$1:$O$108,15,0))*(1-0.06)</f>
        <v>101.32259999999999</v>
      </c>
      <c r="Y1016" s="71"/>
      <c r="Z1016" s="71">
        <f ca="1">('TUSD BE'!$AM$64+'TUSD BF'!$AM$64+'TUSD CVA'!$AM$64)*1*(1-0.03)</f>
        <v>482.27628456201313</v>
      </c>
      <c r="AA1016" s="71">
        <f>('TE BE'!$AB$44+'TE BF'!$AB$44+'TE CVA'!$AB$44)*1*(1-0.03)</f>
        <v>217.74522466990345</v>
      </c>
      <c r="AB1016" s="6">
        <f>$K$1016*$V$1016</f>
        <v>0</v>
      </c>
      <c r="AC1016" s="6">
        <f>$M$1016*$W$1016</f>
        <v>4019.1598236</v>
      </c>
      <c r="AD1016" s="6">
        <f>$O$1016*$X$1016</f>
        <v>1002.7897722</v>
      </c>
      <c r="AE1016" s="6">
        <f>$K$1016*$Y$1016</f>
        <v>0</v>
      </c>
      <c r="AF1016" s="6">
        <f ca="1">$M$1016*$Z$1016</f>
        <v>4773.0883883102442</v>
      </c>
      <c r="AG1016" s="6">
        <f>$O$1016*$AA$1016</f>
        <v>2155.0244885580346</v>
      </c>
    </row>
    <row r="1017" spans="1:33" ht="11.25" customHeight="1" x14ac:dyDescent="0.25">
      <c r="A1017" s="4" t="s">
        <v>21</v>
      </c>
      <c r="B1017" s="4" t="s">
        <v>37</v>
      </c>
      <c r="C1017" s="4" t="s">
        <v>23</v>
      </c>
      <c r="D1017" s="4" t="s">
        <v>51</v>
      </c>
      <c r="E1017" s="4" t="s">
        <v>52</v>
      </c>
      <c r="F1017" s="4" t="s">
        <v>25</v>
      </c>
      <c r="G1017" s="4" t="s">
        <v>25</v>
      </c>
      <c r="H1017" s="4" t="s">
        <v>25</v>
      </c>
      <c r="I1017" s="5">
        <v>44713</v>
      </c>
      <c r="J1017" s="6">
        <v>0</v>
      </c>
      <c r="K1017" s="71">
        <v>0</v>
      </c>
      <c r="L1017" s="6">
        <v>470.43299999999999</v>
      </c>
      <c r="M1017" s="71">
        <v>470.43299999999999</v>
      </c>
      <c r="N1017" s="6">
        <v>470.43299999999999</v>
      </c>
      <c r="O1017" s="71">
        <v>470.43299999999999</v>
      </c>
      <c r="P1017" s="6">
        <v>95</v>
      </c>
      <c r="Q1017" s="4" t="s">
        <v>26</v>
      </c>
      <c r="R1017" s="4">
        <v>0</v>
      </c>
      <c r="S1017" s="6">
        <v>0</v>
      </c>
      <c r="T1017" s="6">
        <v>66</v>
      </c>
      <c r="U1017" s="6">
        <v>3</v>
      </c>
      <c r="V1017" s="71">
        <f>IF(ISERROR(VLOOKUP($S$1017,'TAR FIN'!$A$1:$O$108,15,0)),0,VLOOKUP($S$1017,'TAR FIN'!$A$1:$O$108,15,0))</f>
        <v>0</v>
      </c>
      <c r="W1017" s="71">
        <f>IF(ISERROR(VLOOKUP($T$1017,'TAR FIN'!$A$1:$O$108,15,0)),0,VLOOKUP($T$1017,'TAR FIN'!$A$1:$O$108,15,0))*(1-0.06)</f>
        <v>406.09879999999998</v>
      </c>
      <c r="X1017" s="71">
        <f>IF(ISERROR(VLOOKUP($U$1017,'TAR FIN'!$A$1:$O$108,15,0)),0,VLOOKUP($U$1017,'TAR FIN'!$A$1:$O$108,15,0))*(1-0.06)</f>
        <v>101.32259999999999</v>
      </c>
      <c r="Y1017" s="71"/>
      <c r="Z1017" s="71">
        <f ca="1">('TUSD BE'!$AM$64+'TUSD BF'!$AM$64+'TUSD CVA'!$AM$64)*1*(1-0.03)</f>
        <v>482.27628456201313</v>
      </c>
      <c r="AA1017" s="71">
        <f>('TE BE'!$AB$44+'TE BF'!$AB$44+'TE CVA'!$AB$44)*1*(1-0.03)</f>
        <v>217.74522466990345</v>
      </c>
      <c r="AB1017" s="6">
        <f>$K$1017*$V$1017</f>
        <v>0</v>
      </c>
      <c r="AC1017" s="6">
        <f>$M$1017*$W$1017</f>
        <v>191042.27678039999</v>
      </c>
      <c r="AD1017" s="6">
        <f>$O$1017*$X$1017</f>
        <v>47665.494685799997</v>
      </c>
      <c r="AE1017" s="6">
        <f>$K$1017*$Y$1017</f>
        <v>0</v>
      </c>
      <c r="AF1017" s="6">
        <f ca="1">$M$1017*$Z$1017</f>
        <v>226878.67937536151</v>
      </c>
      <c r="AG1017" s="6">
        <f>$O$1017*$AA$1017</f>
        <v>102434.53927713669</v>
      </c>
    </row>
    <row r="1018" spans="1:33" ht="11.25" customHeight="1" x14ac:dyDescent="0.25">
      <c r="A1018" s="4" t="s">
        <v>27</v>
      </c>
      <c r="B1018" s="4" t="s">
        <v>37</v>
      </c>
      <c r="C1018" s="4" t="s">
        <v>23</v>
      </c>
      <c r="D1018" s="4" t="s">
        <v>51</v>
      </c>
      <c r="E1018" s="4" t="s">
        <v>52</v>
      </c>
      <c r="F1018" s="4" t="s">
        <v>25</v>
      </c>
      <c r="G1018" s="4" t="s">
        <v>25</v>
      </c>
      <c r="H1018" s="4" t="s">
        <v>25</v>
      </c>
      <c r="I1018" s="5">
        <v>44713</v>
      </c>
      <c r="J1018" s="6">
        <v>0</v>
      </c>
      <c r="K1018" s="71">
        <v>0</v>
      </c>
      <c r="L1018" s="6">
        <v>0.74299999999999999</v>
      </c>
      <c r="M1018" s="71">
        <v>0.74299999999999999</v>
      </c>
      <c r="N1018" s="6">
        <v>0.74299999999999999</v>
      </c>
      <c r="O1018" s="71">
        <v>0.74299999999999999</v>
      </c>
      <c r="P1018" s="6">
        <v>0</v>
      </c>
      <c r="Q1018" s="4" t="s">
        <v>26</v>
      </c>
      <c r="R1018" s="4">
        <v>0</v>
      </c>
      <c r="S1018" s="6">
        <v>0</v>
      </c>
      <c r="T1018" s="6">
        <v>66</v>
      </c>
      <c r="U1018" s="6">
        <v>3</v>
      </c>
      <c r="V1018" s="71">
        <f>IF(ISERROR(VLOOKUP($S$1018,'TAR FIN'!$A$1:$O$108,15,0)),0,VLOOKUP($S$1018,'TAR FIN'!$A$1:$O$108,15,0))</f>
        <v>0</v>
      </c>
      <c r="W1018" s="71">
        <f>IF(ISERROR(VLOOKUP($T$1018,'TAR FIN'!$A$1:$O$108,15,0)),0,VLOOKUP($T$1018,'TAR FIN'!$A$1:$O$108,15,0))*(1-0.06)</f>
        <v>406.09879999999998</v>
      </c>
      <c r="X1018" s="71">
        <f>IF(ISERROR(VLOOKUP($U$1018,'TAR FIN'!$A$1:$O$108,15,0)),0,VLOOKUP($U$1018,'TAR FIN'!$A$1:$O$108,15,0))*(1-0.06)</f>
        <v>101.32259999999999</v>
      </c>
      <c r="Y1018" s="71"/>
      <c r="Z1018" s="71">
        <f ca="1">('TUSD BE'!$AM$64+'TUSD BF'!$AM$64+'TUSD CVA'!$AM$64)*1*(1-0.03)</f>
        <v>482.27628456201313</v>
      </c>
      <c r="AA1018" s="71">
        <f>('TE BE'!$AB$44+'TE BF'!$AB$44+'TE CVA'!$AB$44)*1*(1-0.03)</f>
        <v>217.74522466990345</v>
      </c>
      <c r="AB1018" s="6">
        <f>$K$1018*$V$1018</f>
        <v>0</v>
      </c>
      <c r="AC1018" s="6">
        <f>$M$1018*$W$1018</f>
        <v>301.73140839999996</v>
      </c>
      <c r="AD1018" s="6">
        <f>$O$1018*$X$1018</f>
        <v>75.282691799999995</v>
      </c>
      <c r="AE1018" s="6">
        <f>$K$1018*$Y$1018</f>
        <v>0</v>
      </c>
      <c r="AF1018" s="6">
        <f ca="1">$M$1018*$Z$1018</f>
        <v>358.33127942957577</v>
      </c>
      <c r="AG1018" s="6">
        <f>$O$1018*$AA$1018</f>
        <v>161.78470192973828</v>
      </c>
    </row>
    <row r="1019" spans="1:33" ht="11.25" customHeight="1" x14ac:dyDescent="0.25">
      <c r="A1019" s="4" t="s">
        <v>21</v>
      </c>
      <c r="B1019" s="4" t="s">
        <v>37</v>
      </c>
      <c r="C1019" s="4" t="s">
        <v>23</v>
      </c>
      <c r="D1019" s="4" t="s">
        <v>51</v>
      </c>
      <c r="E1019" s="4" t="s">
        <v>52</v>
      </c>
      <c r="F1019" s="4" t="s">
        <v>25</v>
      </c>
      <c r="G1019" s="4" t="s">
        <v>25</v>
      </c>
      <c r="H1019" s="4" t="s">
        <v>25</v>
      </c>
      <c r="I1019" s="5">
        <v>44743</v>
      </c>
      <c r="J1019" s="6">
        <v>0</v>
      </c>
      <c r="K1019" s="71">
        <v>0</v>
      </c>
      <c r="L1019" s="6">
        <v>176.07900000000001</v>
      </c>
      <c r="M1019" s="71">
        <v>176.07900000000001</v>
      </c>
      <c r="N1019" s="6">
        <v>176.07900000000001</v>
      </c>
      <c r="O1019" s="71">
        <v>176.07900000000001</v>
      </c>
      <c r="P1019" s="6">
        <v>64</v>
      </c>
      <c r="Q1019" s="4" t="s">
        <v>26</v>
      </c>
      <c r="R1019" s="4">
        <v>0</v>
      </c>
      <c r="S1019" s="6">
        <v>0</v>
      </c>
      <c r="T1019" s="6">
        <v>66</v>
      </c>
      <c r="U1019" s="6">
        <v>3</v>
      </c>
      <c r="V1019" s="71">
        <f>IF(ISERROR(VLOOKUP($S$1019,'TAR FIN'!$A$1:$O$108,15,0)),0,VLOOKUP($S$1019,'TAR FIN'!$A$1:$O$108,15,0))</f>
        <v>0</v>
      </c>
      <c r="W1019" s="71">
        <f>IF(ISERROR(VLOOKUP($T$1019,'TAR FIN'!$A$1:$O$108,15,0)),0,VLOOKUP($T$1019,'TAR FIN'!$A$1:$O$108,15,0))*(1-0.06)</f>
        <v>406.09879999999998</v>
      </c>
      <c r="X1019" s="71">
        <f>IF(ISERROR(VLOOKUP($U$1019,'TAR FIN'!$A$1:$O$108,15,0)),0,VLOOKUP($U$1019,'TAR FIN'!$A$1:$O$108,15,0))*(1-0.06)</f>
        <v>101.32259999999999</v>
      </c>
      <c r="Y1019" s="71"/>
      <c r="Z1019" s="71">
        <f ca="1">('TUSD BE'!$AM$64+'TUSD BF'!$AM$64+'TUSD CVA'!$AM$64)*1*(1-0.03)</f>
        <v>482.27628456201313</v>
      </c>
      <c r="AA1019" s="71">
        <f>('TE BE'!$AB$44+'TE BF'!$AB$44+'TE CVA'!$AB$44)*1*(1-0.03)</f>
        <v>217.74522466990345</v>
      </c>
      <c r="AB1019" s="6">
        <f>$K$1019*$V$1019</f>
        <v>0</v>
      </c>
      <c r="AC1019" s="6">
        <f>$M$1019*$W$1019</f>
        <v>71505.470605199996</v>
      </c>
      <c r="AD1019" s="6">
        <f>$O$1019*$X$1019</f>
        <v>17840.782085399998</v>
      </c>
      <c r="AE1019" s="6">
        <f>$K$1019*$Y$1019</f>
        <v>0</v>
      </c>
      <c r="AF1019" s="6">
        <f ca="1">$M$1019*$Z$1019</f>
        <v>84918.725909394707</v>
      </c>
      <c r="AG1019" s="6">
        <f>$O$1019*$AA$1019</f>
        <v>38340.361414651932</v>
      </c>
    </row>
    <row r="1020" spans="1:33" ht="11.25" customHeight="1" x14ac:dyDescent="0.25">
      <c r="A1020" s="4" t="s">
        <v>27</v>
      </c>
      <c r="B1020" s="4" t="s">
        <v>37</v>
      </c>
      <c r="C1020" s="4" t="s">
        <v>23</v>
      </c>
      <c r="D1020" s="4" t="s">
        <v>51</v>
      </c>
      <c r="E1020" s="4" t="s">
        <v>52</v>
      </c>
      <c r="F1020" s="4" t="s">
        <v>25</v>
      </c>
      <c r="G1020" s="4" t="s">
        <v>25</v>
      </c>
      <c r="H1020" s="4" t="s">
        <v>25</v>
      </c>
      <c r="I1020" s="5">
        <v>44743</v>
      </c>
      <c r="J1020" s="6">
        <v>0</v>
      </c>
      <c r="K1020" s="71">
        <v>0</v>
      </c>
      <c r="L1020" s="6">
        <v>44.823999999999998</v>
      </c>
      <c r="M1020" s="71">
        <v>44.823999999999998</v>
      </c>
      <c r="N1020" s="6">
        <v>44.823999999999998</v>
      </c>
      <c r="O1020" s="71">
        <v>44.823999999999998</v>
      </c>
      <c r="P1020" s="6">
        <v>10</v>
      </c>
      <c r="Q1020" s="4" t="s">
        <v>26</v>
      </c>
      <c r="R1020" s="4">
        <v>0</v>
      </c>
      <c r="S1020" s="6">
        <v>0</v>
      </c>
      <c r="T1020" s="6">
        <v>66</v>
      </c>
      <c r="U1020" s="6">
        <v>3</v>
      </c>
      <c r="V1020" s="71">
        <f>IF(ISERROR(VLOOKUP($S$1020,'TAR FIN'!$A$1:$O$108,15,0)),0,VLOOKUP($S$1020,'TAR FIN'!$A$1:$O$108,15,0))</f>
        <v>0</v>
      </c>
      <c r="W1020" s="71">
        <f>IF(ISERROR(VLOOKUP($T$1020,'TAR FIN'!$A$1:$O$108,15,0)),0,VLOOKUP($T$1020,'TAR FIN'!$A$1:$O$108,15,0))*(1-0.06)</f>
        <v>406.09879999999998</v>
      </c>
      <c r="X1020" s="71">
        <f>IF(ISERROR(VLOOKUP($U$1020,'TAR FIN'!$A$1:$O$108,15,0)),0,VLOOKUP($U$1020,'TAR FIN'!$A$1:$O$108,15,0))*(1-0.06)</f>
        <v>101.32259999999999</v>
      </c>
      <c r="Y1020" s="71"/>
      <c r="Z1020" s="71">
        <f ca="1">('TUSD BE'!$AM$64+'TUSD BF'!$AM$64+'TUSD CVA'!$AM$64)*1*(1-0.03)</f>
        <v>482.27628456201313</v>
      </c>
      <c r="AA1020" s="71">
        <f>('TE BE'!$AB$44+'TE BF'!$AB$44+'TE CVA'!$AB$44)*1*(1-0.03)</f>
        <v>217.74522466990345</v>
      </c>
      <c r="AB1020" s="6">
        <f>$K$1020*$V$1020</f>
        <v>0</v>
      </c>
      <c r="AC1020" s="6">
        <f>$M$1020*$W$1020</f>
        <v>18202.972611199999</v>
      </c>
      <c r="AD1020" s="6">
        <f>$O$1020*$X$1020</f>
        <v>4541.6842223999993</v>
      </c>
      <c r="AE1020" s="6">
        <f>$K$1020*$Y$1020</f>
        <v>0</v>
      </c>
      <c r="AF1020" s="6">
        <f ca="1">$M$1020*$Z$1020</f>
        <v>21617.552179207676</v>
      </c>
      <c r="AG1020" s="6">
        <f>$O$1020*$AA$1020</f>
        <v>9760.2119506037525</v>
      </c>
    </row>
    <row r="1021" spans="1:33" ht="11.25" customHeight="1" x14ac:dyDescent="0.25">
      <c r="A1021" s="4" t="s">
        <v>21</v>
      </c>
      <c r="B1021" s="4" t="s">
        <v>37</v>
      </c>
      <c r="C1021" s="4" t="s">
        <v>23</v>
      </c>
      <c r="D1021" s="4" t="s">
        <v>51</v>
      </c>
      <c r="E1021" s="4" t="s">
        <v>52</v>
      </c>
      <c r="F1021" s="4" t="s">
        <v>25</v>
      </c>
      <c r="G1021" s="4" t="s">
        <v>25</v>
      </c>
      <c r="H1021" s="4" t="s">
        <v>25</v>
      </c>
      <c r="I1021" s="5">
        <v>44774</v>
      </c>
      <c r="J1021" s="6">
        <v>0</v>
      </c>
      <c r="K1021" s="71">
        <v>0</v>
      </c>
      <c r="L1021" s="6">
        <v>595.03399999999999</v>
      </c>
      <c r="M1021" s="71">
        <v>595.03399999999999</v>
      </c>
      <c r="N1021" s="6">
        <v>595.03399999999999</v>
      </c>
      <c r="O1021" s="71">
        <v>595.03399999999999</v>
      </c>
      <c r="P1021" s="6">
        <v>98</v>
      </c>
      <c r="Q1021" s="4" t="s">
        <v>26</v>
      </c>
      <c r="R1021" s="4">
        <v>0</v>
      </c>
      <c r="S1021" s="6">
        <v>0</v>
      </c>
      <c r="T1021" s="6">
        <v>66</v>
      </c>
      <c r="U1021" s="6">
        <v>3</v>
      </c>
      <c r="V1021" s="71">
        <f>IF(ISERROR(VLOOKUP($S$1021,'TAR FIN'!$A$1:$O$108,15,0)),0,VLOOKUP($S$1021,'TAR FIN'!$A$1:$O$108,15,0))</f>
        <v>0</v>
      </c>
      <c r="W1021" s="71">
        <f>IF(ISERROR(VLOOKUP($T$1021,'TAR FIN'!$A$1:$O$108,15,0)),0,VLOOKUP($T$1021,'TAR FIN'!$A$1:$O$108,15,0))*(1-0.06)</f>
        <v>406.09879999999998</v>
      </c>
      <c r="X1021" s="71">
        <f>IF(ISERROR(VLOOKUP($U$1021,'TAR FIN'!$A$1:$O$108,15,0)),0,VLOOKUP($U$1021,'TAR FIN'!$A$1:$O$108,15,0))*(1-0.06)</f>
        <v>101.32259999999999</v>
      </c>
      <c r="Y1021" s="71"/>
      <c r="Z1021" s="71">
        <f ca="1">('TUSD BE'!$AM$64+'TUSD BF'!$AM$64+'TUSD CVA'!$AM$64)*1*(1-0.03)</f>
        <v>482.27628456201313</v>
      </c>
      <c r="AA1021" s="71">
        <f>('TE BE'!$AB$44+'TE BF'!$AB$44+'TE CVA'!$AB$44)*1*(1-0.03)</f>
        <v>217.74522466990345</v>
      </c>
      <c r="AB1021" s="6">
        <f>$K$1021*$V$1021</f>
        <v>0</v>
      </c>
      <c r="AC1021" s="6">
        <f>$M$1021*$W$1021</f>
        <v>241642.59335919999</v>
      </c>
      <c r="AD1021" s="6">
        <f>$O$1021*$X$1021</f>
        <v>60290.391968399999</v>
      </c>
      <c r="AE1021" s="6">
        <f>$K$1021*$Y$1021</f>
        <v>0</v>
      </c>
      <c r="AF1021" s="6">
        <f ca="1">$M$1021*$Z$1021</f>
        <v>286970.78670807293</v>
      </c>
      <c r="AG1021" s="6">
        <f>$O$1021*$AA$1021</f>
        <v>129565.81201623133</v>
      </c>
    </row>
    <row r="1022" spans="1:33" ht="11.25" customHeight="1" x14ac:dyDescent="0.25">
      <c r="A1022" s="4" t="s">
        <v>21</v>
      </c>
      <c r="B1022" s="4" t="s">
        <v>37</v>
      </c>
      <c r="C1022" s="4" t="s">
        <v>23</v>
      </c>
      <c r="D1022" s="4" t="s">
        <v>51</v>
      </c>
      <c r="E1022" s="4" t="s">
        <v>52</v>
      </c>
      <c r="F1022" s="4" t="s">
        <v>25</v>
      </c>
      <c r="G1022" s="4" t="s">
        <v>25</v>
      </c>
      <c r="H1022" s="4" t="s">
        <v>25</v>
      </c>
      <c r="I1022" s="5">
        <v>44805</v>
      </c>
      <c r="J1022" s="6">
        <v>0</v>
      </c>
      <c r="K1022" s="71">
        <v>0</v>
      </c>
      <c r="L1022" s="6">
        <v>467.83499999999998</v>
      </c>
      <c r="M1022" s="71">
        <v>467.83499999999998</v>
      </c>
      <c r="N1022" s="6">
        <v>467.83499999999998</v>
      </c>
      <c r="O1022" s="71">
        <v>467.83499999999998</v>
      </c>
      <c r="P1022" s="6">
        <v>116</v>
      </c>
      <c r="Q1022" s="4" t="s">
        <v>26</v>
      </c>
      <c r="R1022" s="4">
        <v>0</v>
      </c>
      <c r="S1022" s="6">
        <v>0</v>
      </c>
      <c r="T1022" s="6">
        <v>66</v>
      </c>
      <c r="U1022" s="6">
        <v>3</v>
      </c>
      <c r="V1022" s="71">
        <f>IF(ISERROR(VLOOKUP($S$1022,'TAR FIN'!$A$1:$O$108,15,0)),0,VLOOKUP($S$1022,'TAR FIN'!$A$1:$O$108,15,0))</f>
        <v>0</v>
      </c>
      <c r="W1022" s="71">
        <f>IF(ISERROR(VLOOKUP($T$1022,'TAR FIN'!$A$1:$O$108,15,0)),0,VLOOKUP($T$1022,'TAR FIN'!$A$1:$O$108,15,0))*(1-0.06)</f>
        <v>406.09879999999998</v>
      </c>
      <c r="X1022" s="71">
        <f>IF(ISERROR(VLOOKUP($U$1022,'TAR FIN'!$A$1:$O$108,15,0)),0,VLOOKUP($U$1022,'TAR FIN'!$A$1:$O$108,15,0))*(1-0.06)</f>
        <v>101.32259999999999</v>
      </c>
      <c r="Y1022" s="71"/>
      <c r="Z1022" s="71">
        <f ca="1">('TUSD BE'!$AM$64+'TUSD BF'!$AM$64+'TUSD CVA'!$AM$64)*1*(1-0.03)</f>
        <v>482.27628456201313</v>
      </c>
      <c r="AA1022" s="71">
        <f>('TE BE'!$AB$44+'TE BF'!$AB$44+'TE CVA'!$AB$44)*1*(1-0.03)</f>
        <v>217.74522466990345</v>
      </c>
      <c r="AB1022" s="6">
        <f>$K$1022*$V$1022</f>
        <v>0</v>
      </c>
      <c r="AC1022" s="6">
        <f>$M$1022*$W$1022</f>
        <v>189987.23209799998</v>
      </c>
      <c r="AD1022" s="6">
        <f>$O$1022*$X$1022</f>
        <v>47402.258570999998</v>
      </c>
      <c r="AE1022" s="6">
        <f>$K$1022*$Y$1022</f>
        <v>0</v>
      </c>
      <c r="AF1022" s="6">
        <f ca="1">$M$1022*$Z$1022</f>
        <v>225625.72558806941</v>
      </c>
      <c r="AG1022" s="6">
        <f>$O$1022*$AA$1022</f>
        <v>101868.83718344428</v>
      </c>
    </row>
    <row r="1023" spans="1:33" ht="11.25" customHeight="1" x14ac:dyDescent="0.25">
      <c r="A1023" s="4" t="s">
        <v>21</v>
      </c>
      <c r="B1023" s="4" t="s">
        <v>37</v>
      </c>
      <c r="C1023" s="4" t="s">
        <v>23</v>
      </c>
      <c r="D1023" s="4" t="s">
        <v>51</v>
      </c>
      <c r="E1023" s="4" t="s">
        <v>52</v>
      </c>
      <c r="F1023" s="4" t="s">
        <v>25</v>
      </c>
      <c r="G1023" s="4" t="s">
        <v>25</v>
      </c>
      <c r="H1023" s="4" t="s">
        <v>25</v>
      </c>
      <c r="I1023" s="5">
        <v>44835</v>
      </c>
      <c r="J1023" s="6">
        <v>0</v>
      </c>
      <c r="K1023" s="71">
        <v>0</v>
      </c>
      <c r="L1023" s="6">
        <v>510.91500000000002</v>
      </c>
      <c r="M1023" s="71">
        <v>510.91500000000002</v>
      </c>
      <c r="N1023" s="6">
        <v>510.91500000000002</v>
      </c>
      <c r="O1023" s="71">
        <v>510.91500000000002</v>
      </c>
      <c r="P1023" s="6">
        <v>119</v>
      </c>
      <c r="Q1023" s="4" t="s">
        <v>26</v>
      </c>
      <c r="R1023" s="4">
        <v>0</v>
      </c>
      <c r="S1023" s="6">
        <v>0</v>
      </c>
      <c r="T1023" s="6">
        <v>66</v>
      </c>
      <c r="U1023" s="6">
        <v>3</v>
      </c>
      <c r="V1023" s="71">
        <f>IF(ISERROR(VLOOKUP($S$1023,'TAR FIN'!$A$1:$O$108,15,0)),0,VLOOKUP($S$1023,'TAR FIN'!$A$1:$O$108,15,0))</f>
        <v>0</v>
      </c>
      <c r="W1023" s="71">
        <f>IF(ISERROR(VLOOKUP($T$1023,'TAR FIN'!$A$1:$O$108,15,0)),0,VLOOKUP($T$1023,'TAR FIN'!$A$1:$O$108,15,0))*(1-0.06)</f>
        <v>406.09879999999998</v>
      </c>
      <c r="X1023" s="71">
        <f>IF(ISERROR(VLOOKUP($U$1023,'TAR FIN'!$A$1:$O$108,15,0)),0,VLOOKUP($U$1023,'TAR FIN'!$A$1:$O$108,15,0))*(1-0.06)</f>
        <v>101.32259999999999</v>
      </c>
      <c r="Y1023" s="71"/>
      <c r="Z1023" s="71">
        <f ca="1">('TUSD BE'!$AM$64+'TUSD BF'!$AM$64+'TUSD CVA'!$AM$64)*1*(1-0.03)</f>
        <v>482.27628456201313</v>
      </c>
      <c r="AA1023" s="71">
        <f>('TE BE'!$AB$44+'TE BF'!$AB$44+'TE CVA'!$AB$44)*1*(1-0.03)</f>
        <v>217.74522466990345</v>
      </c>
      <c r="AB1023" s="6">
        <f>$K$1023*$V$1023</f>
        <v>0</v>
      </c>
      <c r="AC1023" s="6">
        <f>$M$1023*$W$1023</f>
        <v>207481.968402</v>
      </c>
      <c r="AD1023" s="6">
        <f>$O$1023*$X$1023</f>
        <v>51767.236179</v>
      </c>
      <c r="AE1023" s="6">
        <f>$K$1023*$Y$1023</f>
        <v>0</v>
      </c>
      <c r="AF1023" s="6">
        <f ca="1">$M$1023*$Z$1023</f>
        <v>246402.18792700095</v>
      </c>
      <c r="AG1023" s="6">
        <f>$O$1023*$AA$1023</f>
        <v>111249.30146222372</v>
      </c>
    </row>
    <row r="1024" spans="1:33" ht="11.25" customHeight="1" x14ac:dyDescent="0.25">
      <c r="A1024" s="4" t="s">
        <v>54</v>
      </c>
      <c r="B1024" s="4" t="s">
        <v>37</v>
      </c>
      <c r="C1024" s="4" t="s">
        <v>23</v>
      </c>
      <c r="D1024" s="4" t="s">
        <v>51</v>
      </c>
      <c r="E1024" s="4" t="s">
        <v>52</v>
      </c>
      <c r="F1024" s="4" t="s">
        <v>25</v>
      </c>
      <c r="G1024" s="4" t="s">
        <v>25</v>
      </c>
      <c r="H1024" s="4" t="s">
        <v>25</v>
      </c>
      <c r="I1024" s="5">
        <v>44866</v>
      </c>
      <c r="J1024" s="6">
        <v>0</v>
      </c>
      <c r="K1024" s="71">
        <v>0</v>
      </c>
      <c r="L1024" s="6">
        <v>510.91500000000002</v>
      </c>
      <c r="M1024" s="71">
        <v>510.91500000000002</v>
      </c>
      <c r="N1024" s="6">
        <v>510.91500000000002</v>
      </c>
      <c r="O1024" s="71">
        <v>510.91500000000002</v>
      </c>
      <c r="P1024" s="6">
        <v>119</v>
      </c>
      <c r="Q1024" s="4" t="s">
        <v>26</v>
      </c>
      <c r="R1024" s="4">
        <v>0</v>
      </c>
      <c r="S1024" s="6">
        <v>0</v>
      </c>
      <c r="T1024" s="6">
        <v>66</v>
      </c>
      <c r="U1024" s="6">
        <v>3</v>
      </c>
      <c r="V1024" s="71">
        <f>IF(ISERROR(VLOOKUP($S$1024,'TAR FIN'!$A$1:$O$108,15,0)),0,VLOOKUP($S$1024,'TAR FIN'!$A$1:$O$108,15,0))</f>
        <v>0</v>
      </c>
      <c r="W1024" s="71">
        <f>IF(ISERROR(VLOOKUP($T$1024,'TAR FIN'!$A$1:$O$108,15,0)),0,VLOOKUP($T$1024,'TAR FIN'!$A$1:$O$108,15,0))*(1-0.06)</f>
        <v>406.09879999999998</v>
      </c>
      <c r="X1024" s="71">
        <f>IF(ISERROR(VLOOKUP($U$1024,'TAR FIN'!$A$1:$O$108,15,0)),0,VLOOKUP($U$1024,'TAR FIN'!$A$1:$O$108,15,0))*(1-0.06)</f>
        <v>101.32259999999999</v>
      </c>
      <c r="Y1024" s="71"/>
      <c r="Z1024" s="71">
        <f ca="1">('TUSD BE'!$AM$64+'TUSD BF'!$AM$64+'TUSD CVA'!$AM$64)*1*(1-0.03)</f>
        <v>482.27628456201313</v>
      </c>
      <c r="AA1024" s="71">
        <f>('TE BE'!$AB$44+'TE BF'!$AB$44+'TE CVA'!$AB$44)*1*(1-0.03)</f>
        <v>217.74522466990345</v>
      </c>
      <c r="AB1024" s="6">
        <f>$K$1024*$V$1024</f>
        <v>0</v>
      </c>
      <c r="AC1024" s="6">
        <f>$M$1024*$W$1024</f>
        <v>207481.968402</v>
      </c>
      <c r="AD1024" s="6">
        <f>$O$1024*$X$1024</f>
        <v>51767.236179</v>
      </c>
      <c r="AE1024" s="6">
        <f>$K$1024*$Y$1024</f>
        <v>0</v>
      </c>
      <c r="AF1024" s="6">
        <f ca="1">$M$1024*$Z$1024</f>
        <v>246402.18792700095</v>
      </c>
      <c r="AG1024" s="6">
        <f>$O$1024*$AA$1024</f>
        <v>111249.30146222372</v>
      </c>
    </row>
    <row r="1025" spans="1:33" ht="11.25" customHeight="1" x14ac:dyDescent="0.25">
      <c r="A1025" s="4" t="s">
        <v>21</v>
      </c>
      <c r="B1025" s="4" t="s">
        <v>48</v>
      </c>
      <c r="C1025" s="4" t="s">
        <v>23</v>
      </c>
      <c r="D1025" s="4" t="s">
        <v>49</v>
      </c>
      <c r="E1025" s="4" t="s">
        <v>50</v>
      </c>
      <c r="F1025" s="4" t="s">
        <v>25</v>
      </c>
      <c r="G1025" s="4" t="s">
        <v>25</v>
      </c>
      <c r="H1025" s="4" t="s">
        <v>25</v>
      </c>
      <c r="I1025" s="5">
        <v>44531</v>
      </c>
      <c r="J1025" s="6">
        <v>0</v>
      </c>
      <c r="K1025" s="6">
        <v>0</v>
      </c>
      <c r="L1025" s="6">
        <v>2874.451</v>
      </c>
      <c r="M1025" s="6">
        <v>2874.451</v>
      </c>
      <c r="N1025" s="6">
        <v>2874.451</v>
      </c>
      <c r="O1025" s="6">
        <v>2874.451</v>
      </c>
      <c r="P1025" s="6">
        <v>95</v>
      </c>
      <c r="Q1025" s="4" t="s">
        <v>26</v>
      </c>
      <c r="R1025" s="4">
        <v>0</v>
      </c>
      <c r="S1025" s="6">
        <v>0</v>
      </c>
      <c r="T1025" s="6">
        <v>68</v>
      </c>
      <c r="U1025" s="6">
        <v>8</v>
      </c>
      <c r="V1025" s="6">
        <f>IF(ISERROR(VLOOKUP($S$1025,'TAR FIN'!$A$1:$O$108,15,0)),0,VLOOKUP($S$1025,'TAR FIN'!$A$1:$O$108,15,0))</f>
        <v>0</v>
      </c>
      <c r="W1025" s="6">
        <f>IF(ISERROR(VLOOKUP($T$1025,'TAR FIN'!$A$1:$O$108,15,0)),0,VLOOKUP($T$1025,'TAR FIN'!$A$1:$O$108,15,0))</f>
        <v>237.61</v>
      </c>
      <c r="X1025" s="6">
        <f>IF(ISERROR(VLOOKUP($U$1025,'TAR FIN'!$A$1:$O$108,15,0)),0,VLOOKUP($U$1025,'TAR FIN'!$A$1:$O$108,15,0))</f>
        <v>59.28</v>
      </c>
      <c r="Y1025" s="6"/>
      <c r="Z1025" s="6">
        <f ca="1">('TUSD BE'!$AM$66+'TUSD BF'!$AM$66+'TUSD CVA'!$AM$66)*1</f>
        <v>273.45562526712087</v>
      </c>
      <c r="AA1025" s="6">
        <f>('TE BE'!$AB$46+'TE BF'!$AB$46+'TE CVA'!$AB$46)*1</f>
        <v>123.46378718396588</v>
      </c>
      <c r="AB1025" s="6">
        <f>$K$1025*$V$1025</f>
        <v>0</v>
      </c>
      <c r="AC1025" s="6">
        <f>$M$1025*$W$1025</f>
        <v>682998.30211000005</v>
      </c>
      <c r="AD1025" s="6">
        <f>$O$1025*$X$1025</f>
        <v>170397.45527999999</v>
      </c>
      <c r="AE1025" s="6">
        <f>$K$1025*$Y$1025</f>
        <v>0</v>
      </c>
      <c r="AF1025" s="6">
        <f ca="1">$M$1025*$Z$1025</f>
        <v>786034.79550470086</v>
      </c>
      <c r="AG1025" s="6">
        <f>$O$1025*$AA$1025</f>
        <v>354890.60653473792</v>
      </c>
    </row>
    <row r="1026" spans="1:33" ht="11.25" customHeight="1" x14ac:dyDescent="0.25">
      <c r="A1026" s="4" t="s">
        <v>21</v>
      </c>
      <c r="B1026" s="4" t="s">
        <v>48</v>
      </c>
      <c r="C1026" s="4" t="s">
        <v>23</v>
      </c>
      <c r="D1026" s="4" t="s">
        <v>49</v>
      </c>
      <c r="E1026" s="4" t="s">
        <v>50</v>
      </c>
      <c r="F1026" s="4" t="s">
        <v>25</v>
      </c>
      <c r="G1026" s="4" t="s">
        <v>25</v>
      </c>
      <c r="H1026" s="4" t="s">
        <v>25</v>
      </c>
      <c r="I1026" s="5">
        <v>44562</v>
      </c>
      <c r="J1026" s="6">
        <v>0</v>
      </c>
      <c r="K1026" s="6">
        <v>0</v>
      </c>
      <c r="L1026" s="6">
        <v>2871.97</v>
      </c>
      <c r="M1026" s="6">
        <v>2871.97</v>
      </c>
      <c r="N1026" s="6">
        <v>2871.97</v>
      </c>
      <c r="O1026" s="6">
        <v>2871.97</v>
      </c>
      <c r="P1026" s="6">
        <v>95</v>
      </c>
      <c r="Q1026" s="4" t="s">
        <v>26</v>
      </c>
      <c r="R1026" s="4">
        <v>0</v>
      </c>
      <c r="S1026" s="6">
        <v>0</v>
      </c>
      <c r="T1026" s="6">
        <v>68</v>
      </c>
      <c r="U1026" s="6">
        <v>8</v>
      </c>
      <c r="V1026" s="6">
        <f>IF(ISERROR(VLOOKUP($S$1026,'TAR FIN'!$A$1:$O$108,15,0)),0,VLOOKUP($S$1026,'TAR FIN'!$A$1:$O$108,15,0))</f>
        <v>0</v>
      </c>
      <c r="W1026" s="6">
        <f>IF(ISERROR(VLOOKUP($T$1026,'TAR FIN'!$A$1:$O$108,15,0)),0,VLOOKUP($T$1026,'TAR FIN'!$A$1:$O$108,15,0))</f>
        <v>237.61</v>
      </c>
      <c r="X1026" s="6">
        <f>IF(ISERROR(VLOOKUP($U$1026,'TAR FIN'!$A$1:$O$108,15,0)),0,VLOOKUP($U$1026,'TAR FIN'!$A$1:$O$108,15,0))</f>
        <v>59.28</v>
      </c>
      <c r="Y1026" s="6"/>
      <c r="Z1026" s="6">
        <f ca="1">('TUSD BE'!$AM$66+'TUSD BF'!$AM$66+'TUSD CVA'!$AM$66)*1</f>
        <v>273.45562526712087</v>
      </c>
      <c r="AA1026" s="6">
        <f>('TE BE'!$AB$46+'TE BF'!$AB$46+'TE CVA'!$AB$46)*1</f>
        <v>123.46378718396588</v>
      </c>
      <c r="AB1026" s="6">
        <f>$K$1026*$V$1026</f>
        <v>0</v>
      </c>
      <c r="AC1026" s="6">
        <f>$M$1026*$W$1026</f>
        <v>682408.79169999994</v>
      </c>
      <c r="AD1026" s="6">
        <f>$O$1026*$X$1026</f>
        <v>170250.38159999999</v>
      </c>
      <c r="AE1026" s="6">
        <f>$K$1026*$Y$1026</f>
        <v>0</v>
      </c>
      <c r="AF1026" s="6">
        <f ca="1">$M$1026*$Z$1026</f>
        <v>785356.35209841304</v>
      </c>
      <c r="AG1026" s="6">
        <f>$O$1026*$AA$1026</f>
        <v>354584.29287873447</v>
      </c>
    </row>
    <row r="1027" spans="1:33" ht="11.25" customHeight="1" x14ac:dyDescent="0.25">
      <c r="A1027" s="4" t="s">
        <v>21</v>
      </c>
      <c r="B1027" s="4" t="s">
        <v>48</v>
      </c>
      <c r="C1027" s="4" t="s">
        <v>23</v>
      </c>
      <c r="D1027" s="4" t="s">
        <v>49</v>
      </c>
      <c r="E1027" s="4" t="s">
        <v>50</v>
      </c>
      <c r="F1027" s="4" t="s">
        <v>25</v>
      </c>
      <c r="G1027" s="4" t="s">
        <v>25</v>
      </c>
      <c r="H1027" s="4" t="s">
        <v>25</v>
      </c>
      <c r="I1027" s="5">
        <v>44593</v>
      </c>
      <c r="J1027" s="6">
        <v>0</v>
      </c>
      <c r="K1027" s="6">
        <v>0</v>
      </c>
      <c r="L1027" s="6">
        <v>2586.9229999999998</v>
      </c>
      <c r="M1027" s="6">
        <v>2586.9229999999998</v>
      </c>
      <c r="N1027" s="6">
        <v>2586.9229999999998</v>
      </c>
      <c r="O1027" s="6">
        <v>2586.9229999999998</v>
      </c>
      <c r="P1027" s="6">
        <v>94</v>
      </c>
      <c r="Q1027" s="4" t="s">
        <v>26</v>
      </c>
      <c r="R1027" s="4">
        <v>0</v>
      </c>
      <c r="S1027" s="6">
        <v>0</v>
      </c>
      <c r="T1027" s="6">
        <v>68</v>
      </c>
      <c r="U1027" s="6">
        <v>8</v>
      </c>
      <c r="V1027" s="6">
        <f>IF(ISERROR(VLOOKUP($S$1027,'TAR FIN'!$A$1:$O$108,15,0)),0,VLOOKUP($S$1027,'TAR FIN'!$A$1:$O$108,15,0))</f>
        <v>0</v>
      </c>
      <c r="W1027" s="6">
        <f>IF(ISERROR(VLOOKUP($T$1027,'TAR FIN'!$A$1:$O$108,15,0)),0,VLOOKUP($T$1027,'TAR FIN'!$A$1:$O$108,15,0))</f>
        <v>237.61</v>
      </c>
      <c r="X1027" s="6">
        <f>IF(ISERROR(VLOOKUP($U$1027,'TAR FIN'!$A$1:$O$108,15,0)),0,VLOOKUP($U$1027,'TAR FIN'!$A$1:$O$108,15,0))</f>
        <v>59.28</v>
      </c>
      <c r="Y1027" s="6"/>
      <c r="Z1027" s="6">
        <f ca="1">('TUSD BE'!$AM$66+'TUSD BF'!$AM$66+'TUSD CVA'!$AM$66)*1</f>
        <v>273.45562526712087</v>
      </c>
      <c r="AA1027" s="6">
        <f>('TE BE'!$AB$46+'TE BF'!$AB$46+'TE CVA'!$AB$46)*1</f>
        <v>123.46378718396588</v>
      </c>
      <c r="AB1027" s="6">
        <f>$K$1027*$V$1027</f>
        <v>0</v>
      </c>
      <c r="AC1027" s="6">
        <f>$M$1027*$W$1027</f>
        <v>614678.77402999997</v>
      </c>
      <c r="AD1027" s="6">
        <f>$O$1027*$X$1027</f>
        <v>153352.79543999999</v>
      </c>
      <c r="AE1027" s="6">
        <f>$K$1027*$Y$1027</f>
        <v>0</v>
      </c>
      <c r="AF1027" s="6">
        <f ca="1">$M$1027*$Z$1027</f>
        <v>707408.64648289606</v>
      </c>
      <c r="AG1027" s="6">
        <f>$O$1027*$AA$1027</f>
        <v>319391.31073330651</v>
      </c>
    </row>
    <row r="1028" spans="1:33" ht="11.25" customHeight="1" x14ac:dyDescent="0.25">
      <c r="A1028" s="4" t="s">
        <v>21</v>
      </c>
      <c r="B1028" s="4" t="s">
        <v>48</v>
      </c>
      <c r="C1028" s="4" t="s">
        <v>23</v>
      </c>
      <c r="D1028" s="4" t="s">
        <v>49</v>
      </c>
      <c r="E1028" s="4" t="s">
        <v>50</v>
      </c>
      <c r="F1028" s="4" t="s">
        <v>25</v>
      </c>
      <c r="G1028" s="4" t="s">
        <v>25</v>
      </c>
      <c r="H1028" s="4" t="s">
        <v>25</v>
      </c>
      <c r="I1028" s="5">
        <v>44621</v>
      </c>
      <c r="J1028" s="6">
        <v>0</v>
      </c>
      <c r="K1028" s="6">
        <v>0</v>
      </c>
      <c r="L1028" s="6">
        <v>2763.259</v>
      </c>
      <c r="M1028" s="6">
        <v>2763.259</v>
      </c>
      <c r="N1028" s="6">
        <v>2763.259</v>
      </c>
      <c r="O1028" s="6">
        <v>2763.259</v>
      </c>
      <c r="P1028" s="6">
        <v>82</v>
      </c>
      <c r="Q1028" s="4" t="s">
        <v>26</v>
      </c>
      <c r="R1028" s="4">
        <v>0</v>
      </c>
      <c r="S1028" s="6">
        <v>0</v>
      </c>
      <c r="T1028" s="6">
        <v>68</v>
      </c>
      <c r="U1028" s="6">
        <v>8</v>
      </c>
      <c r="V1028" s="6">
        <f>IF(ISERROR(VLOOKUP($S$1028,'TAR FIN'!$A$1:$O$108,15,0)),0,VLOOKUP($S$1028,'TAR FIN'!$A$1:$O$108,15,0))</f>
        <v>0</v>
      </c>
      <c r="W1028" s="6">
        <f>IF(ISERROR(VLOOKUP($T$1028,'TAR FIN'!$A$1:$O$108,15,0)),0,VLOOKUP($T$1028,'TAR FIN'!$A$1:$O$108,15,0))</f>
        <v>237.61</v>
      </c>
      <c r="X1028" s="6">
        <f>IF(ISERROR(VLOOKUP($U$1028,'TAR FIN'!$A$1:$O$108,15,0)),0,VLOOKUP($U$1028,'TAR FIN'!$A$1:$O$108,15,0))</f>
        <v>59.28</v>
      </c>
      <c r="Y1028" s="6"/>
      <c r="Z1028" s="6">
        <f ca="1">('TUSD BE'!$AM$66+'TUSD BF'!$AM$66+'TUSD CVA'!$AM$66)*1</f>
        <v>273.45562526712087</v>
      </c>
      <c r="AA1028" s="6">
        <f>('TE BE'!$AB$46+'TE BF'!$AB$46+'TE CVA'!$AB$46)*1</f>
        <v>123.46378718396588</v>
      </c>
      <c r="AB1028" s="6">
        <f>$K$1028*$V$1028</f>
        <v>0</v>
      </c>
      <c r="AC1028" s="6">
        <f>$M$1028*$W$1028</f>
        <v>656577.97099000006</v>
      </c>
      <c r="AD1028" s="6">
        <f>$O$1028*$X$1028</f>
        <v>163805.99352000002</v>
      </c>
      <c r="AE1028" s="6">
        <f>$K$1028*$Y$1028</f>
        <v>0</v>
      </c>
      <c r="AF1028" s="6">
        <f ca="1">$M$1028*$Z$1028</f>
        <v>755628.7176199992</v>
      </c>
      <c r="AG1028" s="6">
        <f>$O$1028*$AA$1028</f>
        <v>341162.42111017834</v>
      </c>
    </row>
    <row r="1029" spans="1:33" ht="11.25" customHeight="1" x14ac:dyDescent="0.25">
      <c r="A1029" s="4" t="s">
        <v>21</v>
      </c>
      <c r="B1029" s="4" t="s">
        <v>48</v>
      </c>
      <c r="C1029" s="4" t="s">
        <v>23</v>
      </c>
      <c r="D1029" s="4" t="s">
        <v>49</v>
      </c>
      <c r="E1029" s="4" t="s">
        <v>50</v>
      </c>
      <c r="F1029" s="4" t="s">
        <v>25</v>
      </c>
      <c r="G1029" s="4" t="s">
        <v>25</v>
      </c>
      <c r="H1029" s="4" t="s">
        <v>25</v>
      </c>
      <c r="I1029" s="5">
        <v>44652</v>
      </c>
      <c r="J1029" s="6">
        <v>0</v>
      </c>
      <c r="K1029" s="6">
        <v>0</v>
      </c>
      <c r="L1029" s="6">
        <v>2732.0239999999999</v>
      </c>
      <c r="M1029" s="6">
        <v>2732.0239999999999</v>
      </c>
      <c r="N1029" s="6">
        <v>2732.0239999999999</v>
      </c>
      <c r="O1029" s="6">
        <v>2732.0239999999999</v>
      </c>
      <c r="P1029" s="6">
        <v>66</v>
      </c>
      <c r="Q1029" s="4" t="s">
        <v>26</v>
      </c>
      <c r="R1029" s="4">
        <v>0</v>
      </c>
      <c r="S1029" s="6">
        <v>0</v>
      </c>
      <c r="T1029" s="6">
        <v>68</v>
      </c>
      <c r="U1029" s="6">
        <v>8</v>
      </c>
      <c r="V1029" s="6">
        <f>IF(ISERROR(VLOOKUP($S$1029,'TAR FIN'!$A$1:$O$108,15,0)),0,VLOOKUP($S$1029,'TAR FIN'!$A$1:$O$108,15,0))</f>
        <v>0</v>
      </c>
      <c r="W1029" s="6">
        <f>IF(ISERROR(VLOOKUP($T$1029,'TAR FIN'!$A$1:$O$108,15,0)),0,VLOOKUP($T$1029,'TAR FIN'!$A$1:$O$108,15,0))</f>
        <v>237.61</v>
      </c>
      <c r="X1029" s="6">
        <f>IF(ISERROR(VLOOKUP($U$1029,'TAR FIN'!$A$1:$O$108,15,0)),0,VLOOKUP($U$1029,'TAR FIN'!$A$1:$O$108,15,0))</f>
        <v>59.28</v>
      </c>
      <c r="Y1029" s="6"/>
      <c r="Z1029" s="6">
        <f ca="1">('TUSD BE'!$AM$66+'TUSD BF'!$AM$66+'TUSD CVA'!$AM$66)*1</f>
        <v>273.45562526712087</v>
      </c>
      <c r="AA1029" s="6">
        <f>('TE BE'!$AB$46+'TE BF'!$AB$46+'TE CVA'!$AB$46)*1</f>
        <v>123.46378718396588</v>
      </c>
      <c r="AB1029" s="6">
        <f>$K$1029*$V$1029</f>
        <v>0</v>
      </c>
      <c r="AC1029" s="6">
        <f>$M$1029*$W$1029</f>
        <v>649156.22264000005</v>
      </c>
      <c r="AD1029" s="6">
        <f>$O$1029*$X$1029</f>
        <v>161954.38271999999</v>
      </c>
      <c r="AE1029" s="6">
        <f>$K$1029*$Y$1029</f>
        <v>0</v>
      </c>
      <c r="AF1029" s="6">
        <f ca="1">$M$1029*$Z$1029</f>
        <v>747087.33116478054</v>
      </c>
      <c r="AG1029" s="6">
        <f>$O$1029*$AA$1029</f>
        <v>337306.02971748717</v>
      </c>
    </row>
    <row r="1030" spans="1:33" ht="11.25" customHeight="1" x14ac:dyDescent="0.25">
      <c r="A1030" s="4" t="s">
        <v>21</v>
      </c>
      <c r="B1030" s="4" t="s">
        <v>48</v>
      </c>
      <c r="C1030" s="4" t="s">
        <v>23</v>
      </c>
      <c r="D1030" s="4" t="s">
        <v>49</v>
      </c>
      <c r="E1030" s="4" t="s">
        <v>50</v>
      </c>
      <c r="F1030" s="4" t="s">
        <v>25</v>
      </c>
      <c r="G1030" s="4" t="s">
        <v>25</v>
      </c>
      <c r="H1030" s="4" t="s">
        <v>25</v>
      </c>
      <c r="I1030" s="5">
        <v>44682</v>
      </c>
      <c r="J1030" s="6">
        <v>0</v>
      </c>
      <c r="K1030" s="6">
        <v>0</v>
      </c>
      <c r="L1030" s="6">
        <v>2803.7130000000002</v>
      </c>
      <c r="M1030" s="6">
        <v>2803.7130000000002</v>
      </c>
      <c r="N1030" s="6">
        <v>2803.7130000000002</v>
      </c>
      <c r="O1030" s="6">
        <v>2803.7130000000002</v>
      </c>
      <c r="P1030" s="6">
        <v>47</v>
      </c>
      <c r="Q1030" s="4" t="s">
        <v>26</v>
      </c>
      <c r="R1030" s="4">
        <v>0</v>
      </c>
      <c r="S1030" s="6">
        <v>0</v>
      </c>
      <c r="T1030" s="6">
        <v>68</v>
      </c>
      <c r="U1030" s="6">
        <v>8</v>
      </c>
      <c r="V1030" s="6">
        <f>IF(ISERROR(VLOOKUP($S$1030,'TAR FIN'!$A$1:$O$108,15,0)),0,VLOOKUP($S$1030,'TAR FIN'!$A$1:$O$108,15,0))</f>
        <v>0</v>
      </c>
      <c r="W1030" s="6">
        <f>IF(ISERROR(VLOOKUP($T$1030,'TAR FIN'!$A$1:$O$108,15,0)),0,VLOOKUP($T$1030,'TAR FIN'!$A$1:$O$108,15,0))</f>
        <v>237.61</v>
      </c>
      <c r="X1030" s="6">
        <f>IF(ISERROR(VLOOKUP($U$1030,'TAR FIN'!$A$1:$O$108,15,0)),0,VLOOKUP($U$1030,'TAR FIN'!$A$1:$O$108,15,0))</f>
        <v>59.28</v>
      </c>
      <c r="Y1030" s="6"/>
      <c r="Z1030" s="6">
        <f ca="1">('TUSD BE'!$AM$66+'TUSD BF'!$AM$66+'TUSD CVA'!$AM$66)*1</f>
        <v>273.45562526712087</v>
      </c>
      <c r="AA1030" s="6">
        <f>('TE BE'!$AB$46+'TE BF'!$AB$46+'TE CVA'!$AB$46)*1</f>
        <v>123.46378718396588</v>
      </c>
      <c r="AB1030" s="6">
        <f>$K$1030*$V$1030</f>
        <v>0</v>
      </c>
      <c r="AC1030" s="6">
        <f>$M$1030*$W$1030</f>
        <v>666190.24593000009</v>
      </c>
      <c r="AD1030" s="6">
        <f>$O$1030*$X$1030</f>
        <v>166204.10664000001</v>
      </c>
      <c r="AE1030" s="6">
        <f>$K$1030*$Y$1030</f>
        <v>0</v>
      </c>
      <c r="AF1030" s="6">
        <f ca="1">$M$1030*$Z$1030</f>
        <v>766691.09148455528</v>
      </c>
      <c r="AG1030" s="6">
        <f>$O$1030*$AA$1030</f>
        <v>346157.02515691856</v>
      </c>
    </row>
    <row r="1031" spans="1:33" ht="11.25" customHeight="1" x14ac:dyDescent="0.25">
      <c r="A1031" s="4" t="s">
        <v>27</v>
      </c>
      <c r="B1031" s="4" t="s">
        <v>48</v>
      </c>
      <c r="C1031" s="4" t="s">
        <v>23</v>
      </c>
      <c r="D1031" s="4" t="s">
        <v>49</v>
      </c>
      <c r="E1031" s="4" t="s">
        <v>50</v>
      </c>
      <c r="F1031" s="4" t="s">
        <v>25</v>
      </c>
      <c r="G1031" s="4" t="s">
        <v>25</v>
      </c>
      <c r="H1031" s="4" t="s">
        <v>25</v>
      </c>
      <c r="I1031" s="5">
        <v>44682</v>
      </c>
      <c r="J1031" s="6">
        <v>0</v>
      </c>
      <c r="K1031" s="6">
        <v>0</v>
      </c>
      <c r="L1031" s="6">
        <v>23.556000000000001</v>
      </c>
      <c r="M1031" s="6">
        <v>23.556000000000001</v>
      </c>
      <c r="N1031" s="6">
        <v>23.556000000000001</v>
      </c>
      <c r="O1031" s="6">
        <v>23.556000000000001</v>
      </c>
      <c r="P1031" s="6">
        <v>0</v>
      </c>
      <c r="Q1031" s="4" t="s">
        <v>26</v>
      </c>
      <c r="R1031" s="4">
        <v>0</v>
      </c>
      <c r="S1031" s="6">
        <v>0</v>
      </c>
      <c r="T1031" s="6">
        <v>68</v>
      </c>
      <c r="U1031" s="6">
        <v>8</v>
      </c>
      <c r="V1031" s="6">
        <f>IF(ISERROR(VLOOKUP($S$1031,'TAR FIN'!$A$1:$O$108,15,0)),0,VLOOKUP($S$1031,'TAR FIN'!$A$1:$O$108,15,0))</f>
        <v>0</v>
      </c>
      <c r="W1031" s="6">
        <f>IF(ISERROR(VLOOKUP($T$1031,'TAR FIN'!$A$1:$O$108,15,0)),0,VLOOKUP($T$1031,'TAR FIN'!$A$1:$O$108,15,0))</f>
        <v>237.61</v>
      </c>
      <c r="X1031" s="6">
        <f>IF(ISERROR(VLOOKUP($U$1031,'TAR FIN'!$A$1:$O$108,15,0)),0,VLOOKUP($U$1031,'TAR FIN'!$A$1:$O$108,15,0))</f>
        <v>59.28</v>
      </c>
      <c r="Y1031" s="6"/>
      <c r="Z1031" s="6">
        <f ca="1">('TUSD BE'!$AM$66+'TUSD BF'!$AM$66+'TUSD CVA'!$AM$66)*1</f>
        <v>273.45562526712087</v>
      </c>
      <c r="AA1031" s="6">
        <f>('TE BE'!$AB$46+'TE BF'!$AB$46+'TE CVA'!$AB$46)*1</f>
        <v>123.46378718396588</v>
      </c>
      <c r="AB1031" s="6">
        <f>$K$1031*$V$1031</f>
        <v>0</v>
      </c>
      <c r="AC1031" s="6">
        <f>$M$1031*$W$1031</f>
        <v>5597.1411600000001</v>
      </c>
      <c r="AD1031" s="6">
        <f>$O$1031*$X$1031</f>
        <v>1396.39968</v>
      </c>
      <c r="AE1031" s="6">
        <f>$K$1031*$Y$1031</f>
        <v>0</v>
      </c>
      <c r="AF1031" s="6">
        <f ca="1">$M$1031*$Z$1031</f>
        <v>6441.520708792299</v>
      </c>
      <c r="AG1031" s="6">
        <f>$O$1031*$AA$1031</f>
        <v>2908.3129709055002</v>
      </c>
    </row>
    <row r="1032" spans="1:33" ht="11.25" customHeight="1" x14ac:dyDescent="0.25">
      <c r="A1032" s="4" t="s">
        <v>21</v>
      </c>
      <c r="B1032" s="4" t="s">
        <v>48</v>
      </c>
      <c r="C1032" s="4" t="s">
        <v>23</v>
      </c>
      <c r="D1032" s="4" t="s">
        <v>49</v>
      </c>
      <c r="E1032" s="4" t="s">
        <v>50</v>
      </c>
      <c r="F1032" s="4" t="s">
        <v>25</v>
      </c>
      <c r="G1032" s="4" t="s">
        <v>25</v>
      </c>
      <c r="H1032" s="4" t="s">
        <v>25</v>
      </c>
      <c r="I1032" s="5">
        <v>44713</v>
      </c>
      <c r="J1032" s="6">
        <v>0</v>
      </c>
      <c r="K1032" s="6">
        <v>0</v>
      </c>
      <c r="L1032" s="6">
        <v>3943.5160000000001</v>
      </c>
      <c r="M1032" s="6">
        <v>3943.5160000000001</v>
      </c>
      <c r="N1032" s="6">
        <v>3943.5160000000001</v>
      </c>
      <c r="O1032" s="6">
        <v>3943.5160000000001</v>
      </c>
      <c r="P1032" s="6">
        <v>46</v>
      </c>
      <c r="Q1032" s="4" t="s">
        <v>26</v>
      </c>
      <c r="R1032" s="4">
        <v>0</v>
      </c>
      <c r="S1032" s="6">
        <v>0</v>
      </c>
      <c r="T1032" s="6">
        <v>68</v>
      </c>
      <c r="U1032" s="6">
        <v>8</v>
      </c>
      <c r="V1032" s="6">
        <f>IF(ISERROR(VLOOKUP($S$1032,'TAR FIN'!$A$1:$O$108,15,0)),0,VLOOKUP($S$1032,'TAR FIN'!$A$1:$O$108,15,0))</f>
        <v>0</v>
      </c>
      <c r="W1032" s="6">
        <f>IF(ISERROR(VLOOKUP($T$1032,'TAR FIN'!$A$1:$O$108,15,0)),0,VLOOKUP($T$1032,'TAR FIN'!$A$1:$O$108,15,0))</f>
        <v>237.61</v>
      </c>
      <c r="X1032" s="6">
        <f>IF(ISERROR(VLOOKUP($U$1032,'TAR FIN'!$A$1:$O$108,15,0)),0,VLOOKUP($U$1032,'TAR FIN'!$A$1:$O$108,15,0))</f>
        <v>59.28</v>
      </c>
      <c r="Y1032" s="6"/>
      <c r="Z1032" s="6">
        <f ca="1">('TUSD BE'!$AM$66+'TUSD BF'!$AM$66+'TUSD CVA'!$AM$66)*1</f>
        <v>273.45562526712087</v>
      </c>
      <c r="AA1032" s="6">
        <f>('TE BE'!$AB$46+'TE BF'!$AB$46+'TE CVA'!$AB$46)*1</f>
        <v>123.46378718396588</v>
      </c>
      <c r="AB1032" s="6">
        <f>$K$1032*$V$1032</f>
        <v>0</v>
      </c>
      <c r="AC1032" s="6">
        <f>$M$1032*$W$1032</f>
        <v>937018.83676000009</v>
      </c>
      <c r="AD1032" s="6">
        <f>$O$1032*$X$1032</f>
        <v>233771.62848000001</v>
      </c>
      <c r="AE1032" s="6">
        <f>$K$1032*$Y$1032</f>
        <v>0</v>
      </c>
      <c r="AF1032" s="6">
        <f ca="1">$M$1032*$Z$1032</f>
        <v>1078376.6335308955</v>
      </c>
      <c r="AG1032" s="6">
        <f>$O$1032*$AA$1032</f>
        <v>486881.4201805644</v>
      </c>
    </row>
    <row r="1033" spans="1:33" ht="11.25" customHeight="1" x14ac:dyDescent="0.25">
      <c r="A1033" s="4" t="s">
        <v>21</v>
      </c>
      <c r="B1033" s="4" t="s">
        <v>48</v>
      </c>
      <c r="C1033" s="4" t="s">
        <v>23</v>
      </c>
      <c r="D1033" s="4" t="s">
        <v>49</v>
      </c>
      <c r="E1033" s="4" t="s">
        <v>50</v>
      </c>
      <c r="F1033" s="4" t="s">
        <v>25</v>
      </c>
      <c r="G1033" s="4" t="s">
        <v>25</v>
      </c>
      <c r="H1033" s="4" t="s">
        <v>25</v>
      </c>
      <c r="I1033" s="5">
        <v>44743</v>
      </c>
      <c r="J1033" s="6">
        <v>0</v>
      </c>
      <c r="K1033" s="6">
        <v>0</v>
      </c>
      <c r="L1033" s="6">
        <v>2955.9229999999998</v>
      </c>
      <c r="M1033" s="6">
        <v>2955.9229999999998</v>
      </c>
      <c r="N1033" s="6">
        <v>2955.9229999999998</v>
      </c>
      <c r="O1033" s="6">
        <v>2955.9229999999998</v>
      </c>
      <c r="P1033" s="6">
        <v>46</v>
      </c>
      <c r="Q1033" s="4" t="s">
        <v>26</v>
      </c>
      <c r="R1033" s="4">
        <v>0</v>
      </c>
      <c r="S1033" s="6">
        <v>0</v>
      </c>
      <c r="T1033" s="6">
        <v>68</v>
      </c>
      <c r="U1033" s="6">
        <v>8</v>
      </c>
      <c r="V1033" s="6">
        <f>IF(ISERROR(VLOOKUP($S$1033,'TAR FIN'!$A$1:$O$108,15,0)),0,VLOOKUP($S$1033,'TAR FIN'!$A$1:$O$108,15,0))</f>
        <v>0</v>
      </c>
      <c r="W1033" s="6">
        <f>IF(ISERROR(VLOOKUP($T$1033,'TAR FIN'!$A$1:$O$108,15,0)),0,VLOOKUP($T$1033,'TAR FIN'!$A$1:$O$108,15,0))</f>
        <v>237.61</v>
      </c>
      <c r="X1033" s="6">
        <f>IF(ISERROR(VLOOKUP($U$1033,'TAR FIN'!$A$1:$O$108,15,0)),0,VLOOKUP($U$1033,'TAR FIN'!$A$1:$O$108,15,0))</f>
        <v>59.28</v>
      </c>
      <c r="Y1033" s="6"/>
      <c r="Z1033" s="6">
        <f ca="1">('TUSD BE'!$AM$66+'TUSD BF'!$AM$66+'TUSD CVA'!$AM$66)*1</f>
        <v>273.45562526712087</v>
      </c>
      <c r="AA1033" s="6">
        <f>('TE BE'!$AB$46+'TE BF'!$AB$46+'TE CVA'!$AB$46)*1</f>
        <v>123.46378718396588</v>
      </c>
      <c r="AB1033" s="6">
        <f>$K$1033*$V$1033</f>
        <v>0</v>
      </c>
      <c r="AC1033" s="6">
        <f>$M$1033*$W$1033</f>
        <v>702356.86402999994</v>
      </c>
      <c r="AD1033" s="6">
        <f>$O$1033*$X$1033</f>
        <v>175227.11543999999</v>
      </c>
      <c r="AE1033" s="6">
        <f>$K$1033*$Y$1033</f>
        <v>0</v>
      </c>
      <c r="AF1033" s="6">
        <f ca="1">$M$1033*$Z$1033</f>
        <v>808313.77220646362</v>
      </c>
      <c r="AG1033" s="6">
        <f>$O$1033*$AA$1033</f>
        <v>364949.44820418995</v>
      </c>
    </row>
    <row r="1034" spans="1:33" ht="11.25" customHeight="1" x14ac:dyDescent="0.25">
      <c r="A1034" s="4" t="s">
        <v>27</v>
      </c>
      <c r="B1034" s="4" t="s">
        <v>48</v>
      </c>
      <c r="C1034" s="4" t="s">
        <v>23</v>
      </c>
      <c r="D1034" s="4" t="s">
        <v>49</v>
      </c>
      <c r="E1034" s="4" t="s">
        <v>50</v>
      </c>
      <c r="F1034" s="4" t="s">
        <v>25</v>
      </c>
      <c r="G1034" s="4" t="s">
        <v>25</v>
      </c>
      <c r="H1034" s="4" t="s">
        <v>25</v>
      </c>
      <c r="I1034" s="5">
        <v>44743</v>
      </c>
      <c r="J1034" s="6">
        <v>0</v>
      </c>
      <c r="K1034" s="6">
        <v>0</v>
      </c>
      <c r="L1034" s="6">
        <v>35.521999999999998</v>
      </c>
      <c r="M1034" s="6">
        <v>35.521999999999998</v>
      </c>
      <c r="N1034" s="6">
        <v>35.521999999999998</v>
      </c>
      <c r="O1034" s="6">
        <v>35.521999999999998</v>
      </c>
      <c r="P1034" s="6">
        <v>0</v>
      </c>
      <c r="Q1034" s="4" t="s">
        <v>26</v>
      </c>
      <c r="R1034" s="4">
        <v>0</v>
      </c>
      <c r="S1034" s="6">
        <v>0</v>
      </c>
      <c r="T1034" s="6">
        <v>68</v>
      </c>
      <c r="U1034" s="6">
        <v>8</v>
      </c>
      <c r="V1034" s="6">
        <f>IF(ISERROR(VLOOKUP($S$1034,'TAR FIN'!$A$1:$O$108,15,0)),0,VLOOKUP($S$1034,'TAR FIN'!$A$1:$O$108,15,0))</f>
        <v>0</v>
      </c>
      <c r="W1034" s="6">
        <f>IF(ISERROR(VLOOKUP($T$1034,'TAR FIN'!$A$1:$O$108,15,0)),0,VLOOKUP($T$1034,'TAR FIN'!$A$1:$O$108,15,0))</f>
        <v>237.61</v>
      </c>
      <c r="X1034" s="6">
        <f>IF(ISERROR(VLOOKUP($U$1034,'TAR FIN'!$A$1:$O$108,15,0)),0,VLOOKUP($U$1034,'TAR FIN'!$A$1:$O$108,15,0))</f>
        <v>59.28</v>
      </c>
      <c r="Y1034" s="6"/>
      <c r="Z1034" s="6">
        <f ca="1">('TUSD BE'!$AM$66+'TUSD BF'!$AM$66+'TUSD CVA'!$AM$66)*1</f>
        <v>273.45562526712087</v>
      </c>
      <c r="AA1034" s="6">
        <f>('TE BE'!$AB$46+'TE BF'!$AB$46+'TE CVA'!$AB$46)*1</f>
        <v>123.46378718396588</v>
      </c>
      <c r="AB1034" s="6">
        <f>$K$1034*$V$1034</f>
        <v>0</v>
      </c>
      <c r="AC1034" s="6">
        <f>$M$1034*$W$1034</f>
        <v>8440.3824199999999</v>
      </c>
      <c r="AD1034" s="6">
        <f>$O$1034*$X$1034</f>
        <v>2105.7441599999997</v>
      </c>
      <c r="AE1034" s="6">
        <f>$K$1034*$Y$1034</f>
        <v>0</v>
      </c>
      <c r="AF1034" s="6">
        <f ca="1">$M$1034*$Z$1034</f>
        <v>9713.6907207386666</v>
      </c>
      <c r="AG1034" s="6">
        <f>$O$1034*$AA$1034</f>
        <v>4385.6806483488353</v>
      </c>
    </row>
    <row r="1035" spans="1:33" ht="11.25" customHeight="1" x14ac:dyDescent="0.25">
      <c r="A1035" s="4" t="s">
        <v>21</v>
      </c>
      <c r="B1035" s="4" t="s">
        <v>48</v>
      </c>
      <c r="C1035" s="4" t="s">
        <v>23</v>
      </c>
      <c r="D1035" s="4" t="s">
        <v>49</v>
      </c>
      <c r="E1035" s="4" t="s">
        <v>50</v>
      </c>
      <c r="F1035" s="4" t="s">
        <v>25</v>
      </c>
      <c r="G1035" s="4" t="s">
        <v>25</v>
      </c>
      <c r="H1035" s="4" t="s">
        <v>25</v>
      </c>
      <c r="I1035" s="5">
        <v>44774</v>
      </c>
      <c r="J1035" s="6">
        <v>0</v>
      </c>
      <c r="K1035" s="6">
        <v>0</v>
      </c>
      <c r="L1035" s="6">
        <v>4028.8229999999999</v>
      </c>
      <c r="M1035" s="6">
        <v>4028.8229999999999</v>
      </c>
      <c r="N1035" s="6">
        <v>4028.8229999999999</v>
      </c>
      <c r="O1035" s="6">
        <v>4028.8229999999999</v>
      </c>
      <c r="P1035" s="6">
        <v>47</v>
      </c>
      <c r="Q1035" s="4" t="s">
        <v>26</v>
      </c>
      <c r="R1035" s="4">
        <v>0</v>
      </c>
      <c r="S1035" s="6">
        <v>0</v>
      </c>
      <c r="T1035" s="6">
        <v>68</v>
      </c>
      <c r="U1035" s="6">
        <v>8</v>
      </c>
      <c r="V1035" s="6">
        <f>IF(ISERROR(VLOOKUP($S$1035,'TAR FIN'!$A$1:$O$108,15,0)),0,VLOOKUP($S$1035,'TAR FIN'!$A$1:$O$108,15,0))</f>
        <v>0</v>
      </c>
      <c r="W1035" s="6">
        <f>IF(ISERROR(VLOOKUP($T$1035,'TAR FIN'!$A$1:$O$108,15,0)),0,VLOOKUP($T$1035,'TAR FIN'!$A$1:$O$108,15,0))</f>
        <v>237.61</v>
      </c>
      <c r="X1035" s="6">
        <f>IF(ISERROR(VLOOKUP($U$1035,'TAR FIN'!$A$1:$O$108,15,0)),0,VLOOKUP($U$1035,'TAR FIN'!$A$1:$O$108,15,0))</f>
        <v>59.28</v>
      </c>
      <c r="Y1035" s="6"/>
      <c r="Z1035" s="6">
        <f ca="1">('TUSD BE'!$AM$66+'TUSD BF'!$AM$66+'TUSD CVA'!$AM$66)*1</f>
        <v>273.45562526712087</v>
      </c>
      <c r="AA1035" s="6">
        <f>('TE BE'!$AB$46+'TE BF'!$AB$46+'TE CVA'!$AB$46)*1</f>
        <v>123.46378718396588</v>
      </c>
      <c r="AB1035" s="6">
        <f>$K$1035*$V$1035</f>
        <v>0</v>
      </c>
      <c r="AC1035" s="6">
        <f>$M$1035*$W$1035</f>
        <v>957288.63303000003</v>
      </c>
      <c r="AD1035" s="6">
        <f>$O$1035*$X$1035</f>
        <v>238828.62744000001</v>
      </c>
      <c r="AE1035" s="6">
        <f>$K$1035*$Y$1035</f>
        <v>0</v>
      </c>
      <c r="AF1035" s="6">
        <f ca="1">$M$1035*$Z$1035</f>
        <v>1101704.3125555576</v>
      </c>
      <c r="AG1035" s="6">
        <f>$O$1035*$AA$1035</f>
        <v>497413.74547386693</v>
      </c>
    </row>
    <row r="1036" spans="1:33" ht="11.25" customHeight="1" x14ac:dyDescent="0.25">
      <c r="A1036" s="4" t="s">
        <v>21</v>
      </c>
      <c r="B1036" s="4" t="s">
        <v>48</v>
      </c>
      <c r="C1036" s="4" t="s">
        <v>23</v>
      </c>
      <c r="D1036" s="4" t="s">
        <v>49</v>
      </c>
      <c r="E1036" s="4" t="s">
        <v>50</v>
      </c>
      <c r="F1036" s="4" t="s">
        <v>25</v>
      </c>
      <c r="G1036" s="4" t="s">
        <v>25</v>
      </c>
      <c r="H1036" s="4" t="s">
        <v>25</v>
      </c>
      <c r="I1036" s="5">
        <v>44805</v>
      </c>
      <c r="J1036" s="6">
        <v>0</v>
      </c>
      <c r="K1036" s="6">
        <v>0</v>
      </c>
      <c r="L1036" s="6">
        <v>3755.174</v>
      </c>
      <c r="M1036" s="6">
        <v>3755.174</v>
      </c>
      <c r="N1036" s="6">
        <v>3755.174</v>
      </c>
      <c r="O1036" s="6">
        <v>3755.174</v>
      </c>
      <c r="P1036" s="6">
        <v>46</v>
      </c>
      <c r="Q1036" s="4" t="s">
        <v>26</v>
      </c>
      <c r="R1036" s="4">
        <v>0</v>
      </c>
      <c r="S1036" s="6">
        <v>0</v>
      </c>
      <c r="T1036" s="6">
        <v>68</v>
      </c>
      <c r="U1036" s="6">
        <v>8</v>
      </c>
      <c r="V1036" s="6">
        <f>IF(ISERROR(VLOOKUP($S$1036,'TAR FIN'!$A$1:$O$108,15,0)),0,VLOOKUP($S$1036,'TAR FIN'!$A$1:$O$108,15,0))</f>
        <v>0</v>
      </c>
      <c r="W1036" s="6">
        <f>IF(ISERROR(VLOOKUP($T$1036,'TAR FIN'!$A$1:$O$108,15,0)),0,VLOOKUP($T$1036,'TAR FIN'!$A$1:$O$108,15,0))</f>
        <v>237.61</v>
      </c>
      <c r="X1036" s="6">
        <f>IF(ISERROR(VLOOKUP($U$1036,'TAR FIN'!$A$1:$O$108,15,0)),0,VLOOKUP($U$1036,'TAR FIN'!$A$1:$O$108,15,0))</f>
        <v>59.28</v>
      </c>
      <c r="Y1036" s="6"/>
      <c r="Z1036" s="6">
        <f ca="1">('TUSD BE'!$AM$66+'TUSD BF'!$AM$66+'TUSD CVA'!$AM$66)*1</f>
        <v>273.45562526712087</v>
      </c>
      <c r="AA1036" s="6">
        <f>('TE BE'!$AB$46+'TE BF'!$AB$46+'TE CVA'!$AB$46)*1</f>
        <v>123.46378718396588</v>
      </c>
      <c r="AB1036" s="6">
        <f>$K$1036*$V$1036</f>
        <v>0</v>
      </c>
      <c r="AC1036" s="6">
        <f>$M$1036*$W$1036</f>
        <v>892266.89413999999</v>
      </c>
      <c r="AD1036" s="6">
        <f>$O$1036*$X$1036</f>
        <v>222606.71471999999</v>
      </c>
      <c r="AE1036" s="6">
        <f>$K$1036*$Y$1036</f>
        <v>0</v>
      </c>
      <c r="AF1036" s="6">
        <f ca="1">$M$1036*$Z$1036</f>
        <v>1026873.4541568353</v>
      </c>
      <c r="AG1036" s="6">
        <f>$O$1036*$AA$1036</f>
        <v>463628.00357476185</v>
      </c>
    </row>
    <row r="1037" spans="1:33" ht="11.25" customHeight="1" x14ac:dyDescent="0.25">
      <c r="A1037" s="4" t="s">
        <v>27</v>
      </c>
      <c r="B1037" s="4" t="s">
        <v>48</v>
      </c>
      <c r="C1037" s="4" t="s">
        <v>23</v>
      </c>
      <c r="D1037" s="4" t="s">
        <v>49</v>
      </c>
      <c r="E1037" s="4" t="s">
        <v>50</v>
      </c>
      <c r="F1037" s="4" t="s">
        <v>25</v>
      </c>
      <c r="G1037" s="4" t="s">
        <v>25</v>
      </c>
      <c r="H1037" s="4" t="s">
        <v>25</v>
      </c>
      <c r="I1037" s="5">
        <v>44805</v>
      </c>
      <c r="J1037" s="6">
        <v>0</v>
      </c>
      <c r="K1037" s="6">
        <v>0</v>
      </c>
      <c r="L1037" s="6">
        <v>-33.250999999999998</v>
      </c>
      <c r="M1037" s="6">
        <v>-33.250999999999998</v>
      </c>
      <c r="N1037" s="6">
        <v>-33.250999999999998</v>
      </c>
      <c r="O1037" s="6">
        <v>-33.250999999999998</v>
      </c>
      <c r="P1037" s="6">
        <v>0</v>
      </c>
      <c r="Q1037" s="4" t="s">
        <v>26</v>
      </c>
      <c r="R1037" s="4">
        <v>0</v>
      </c>
      <c r="S1037" s="6">
        <v>0</v>
      </c>
      <c r="T1037" s="6">
        <v>68</v>
      </c>
      <c r="U1037" s="6">
        <v>8</v>
      </c>
      <c r="V1037" s="6">
        <f>IF(ISERROR(VLOOKUP($S$1037,'TAR FIN'!$A$1:$O$108,15,0)),0,VLOOKUP($S$1037,'TAR FIN'!$A$1:$O$108,15,0))</f>
        <v>0</v>
      </c>
      <c r="W1037" s="6">
        <f>IF(ISERROR(VLOOKUP($T$1037,'TAR FIN'!$A$1:$O$108,15,0)),0,VLOOKUP($T$1037,'TAR FIN'!$A$1:$O$108,15,0))</f>
        <v>237.61</v>
      </c>
      <c r="X1037" s="6">
        <f>IF(ISERROR(VLOOKUP($U$1037,'TAR FIN'!$A$1:$O$108,15,0)),0,VLOOKUP($U$1037,'TAR FIN'!$A$1:$O$108,15,0))</f>
        <v>59.28</v>
      </c>
      <c r="Y1037" s="6"/>
      <c r="Z1037" s="6">
        <f ca="1">('TUSD BE'!$AM$66+'TUSD BF'!$AM$66+'TUSD CVA'!$AM$66)*1</f>
        <v>273.45562526712087</v>
      </c>
      <c r="AA1037" s="6">
        <f>('TE BE'!$AB$46+'TE BF'!$AB$46+'TE CVA'!$AB$46)*1</f>
        <v>123.46378718396588</v>
      </c>
      <c r="AB1037" s="6">
        <f>$K$1037*$V$1037</f>
        <v>0</v>
      </c>
      <c r="AC1037" s="6">
        <f>$M$1037*$W$1037</f>
        <v>-7900.7701099999995</v>
      </c>
      <c r="AD1037" s="6">
        <f>$O$1037*$X$1037</f>
        <v>-1971.1192799999999</v>
      </c>
      <c r="AE1037" s="6">
        <f>$K$1037*$Y$1037</f>
        <v>0</v>
      </c>
      <c r="AF1037" s="6">
        <f ca="1">$M$1037*$Z$1037</f>
        <v>-9092.6729957570351</v>
      </c>
      <c r="AG1037" s="6">
        <f>$O$1037*$AA$1037</f>
        <v>-4105.2943876540494</v>
      </c>
    </row>
    <row r="1038" spans="1:33" ht="11.25" customHeight="1" x14ac:dyDescent="0.25">
      <c r="A1038" s="4" t="s">
        <v>21</v>
      </c>
      <c r="B1038" s="4" t="s">
        <v>48</v>
      </c>
      <c r="C1038" s="4" t="s">
        <v>23</v>
      </c>
      <c r="D1038" s="4" t="s">
        <v>49</v>
      </c>
      <c r="E1038" s="4" t="s">
        <v>50</v>
      </c>
      <c r="F1038" s="4" t="s">
        <v>25</v>
      </c>
      <c r="G1038" s="4" t="s">
        <v>25</v>
      </c>
      <c r="H1038" s="4" t="s">
        <v>25</v>
      </c>
      <c r="I1038" s="5">
        <v>44835</v>
      </c>
      <c r="J1038" s="6">
        <v>0</v>
      </c>
      <c r="K1038" s="6">
        <v>0</v>
      </c>
      <c r="L1038" s="6">
        <v>4071.0349999999999</v>
      </c>
      <c r="M1038" s="6">
        <v>4071.0349999999999</v>
      </c>
      <c r="N1038" s="6">
        <v>4071.0349999999999</v>
      </c>
      <c r="O1038" s="6">
        <v>4071.0349999999999</v>
      </c>
      <c r="P1038" s="6">
        <v>48</v>
      </c>
      <c r="Q1038" s="4" t="s">
        <v>26</v>
      </c>
      <c r="R1038" s="4">
        <v>0</v>
      </c>
      <c r="S1038" s="6">
        <v>0</v>
      </c>
      <c r="T1038" s="6">
        <v>68</v>
      </c>
      <c r="U1038" s="6">
        <v>8</v>
      </c>
      <c r="V1038" s="6">
        <f>IF(ISERROR(VLOOKUP($S$1038,'TAR FIN'!$A$1:$O$108,15,0)),0,VLOOKUP($S$1038,'TAR FIN'!$A$1:$O$108,15,0))</f>
        <v>0</v>
      </c>
      <c r="W1038" s="6">
        <f>IF(ISERROR(VLOOKUP($T$1038,'TAR FIN'!$A$1:$O$108,15,0)),0,VLOOKUP($T$1038,'TAR FIN'!$A$1:$O$108,15,0))</f>
        <v>237.61</v>
      </c>
      <c r="X1038" s="6">
        <f>IF(ISERROR(VLOOKUP($U$1038,'TAR FIN'!$A$1:$O$108,15,0)),0,VLOOKUP($U$1038,'TAR FIN'!$A$1:$O$108,15,0))</f>
        <v>59.28</v>
      </c>
      <c r="Y1038" s="6"/>
      <c r="Z1038" s="6">
        <f ca="1">('TUSD BE'!$AM$66+'TUSD BF'!$AM$66+'TUSD CVA'!$AM$66)*1</f>
        <v>273.45562526712087</v>
      </c>
      <c r="AA1038" s="6">
        <f>('TE BE'!$AB$46+'TE BF'!$AB$46+'TE CVA'!$AB$46)*1</f>
        <v>123.46378718396588</v>
      </c>
      <c r="AB1038" s="6">
        <f>$K$1038*$V$1038</f>
        <v>0</v>
      </c>
      <c r="AC1038" s="6">
        <f>$M$1038*$W$1038</f>
        <v>967318.62635000004</v>
      </c>
      <c r="AD1038" s="6">
        <f>$O$1038*$X$1038</f>
        <v>241330.95480000001</v>
      </c>
      <c r="AE1038" s="6">
        <f>$K$1038*$Y$1038</f>
        <v>0</v>
      </c>
      <c r="AF1038" s="6">
        <f ca="1">$M$1038*$Z$1038</f>
        <v>1113247.4214093334</v>
      </c>
      <c r="AG1038" s="6">
        <f>$O$1038*$AA$1038</f>
        <v>502625.39885847649</v>
      </c>
    </row>
    <row r="1039" spans="1:33" ht="11.25" customHeight="1" x14ac:dyDescent="0.25">
      <c r="A1039" s="4" t="s">
        <v>54</v>
      </c>
      <c r="B1039" s="4" t="s">
        <v>48</v>
      </c>
      <c r="C1039" s="4" t="s">
        <v>23</v>
      </c>
      <c r="D1039" s="4" t="s">
        <v>49</v>
      </c>
      <c r="E1039" s="4" t="s">
        <v>50</v>
      </c>
      <c r="F1039" s="4" t="s">
        <v>25</v>
      </c>
      <c r="G1039" s="4" t="s">
        <v>25</v>
      </c>
      <c r="H1039" s="4" t="s">
        <v>25</v>
      </c>
      <c r="I1039" s="5">
        <v>44866</v>
      </c>
      <c r="J1039" s="6">
        <v>0</v>
      </c>
      <c r="K1039" s="6">
        <v>0</v>
      </c>
      <c r="L1039" s="6">
        <v>4071.0349999999999</v>
      </c>
      <c r="M1039" s="6">
        <v>4071.0349999999999</v>
      </c>
      <c r="N1039" s="6">
        <v>4071.0349999999999</v>
      </c>
      <c r="O1039" s="6">
        <v>4071.0349999999999</v>
      </c>
      <c r="P1039" s="6">
        <v>48</v>
      </c>
      <c r="Q1039" s="4" t="s">
        <v>26</v>
      </c>
      <c r="R1039" s="4">
        <v>0</v>
      </c>
      <c r="S1039" s="6">
        <v>0</v>
      </c>
      <c r="T1039" s="6">
        <v>68</v>
      </c>
      <c r="U1039" s="6">
        <v>8</v>
      </c>
      <c r="V1039" s="6">
        <f>IF(ISERROR(VLOOKUP($S$1039,'TAR FIN'!$A$1:$O$108,15,0)),0,VLOOKUP($S$1039,'TAR FIN'!$A$1:$O$108,15,0))</f>
        <v>0</v>
      </c>
      <c r="W1039" s="6">
        <f>IF(ISERROR(VLOOKUP($T$1039,'TAR FIN'!$A$1:$O$108,15,0)),0,VLOOKUP($T$1039,'TAR FIN'!$A$1:$O$108,15,0))</f>
        <v>237.61</v>
      </c>
      <c r="X1039" s="6">
        <f>IF(ISERROR(VLOOKUP($U$1039,'TAR FIN'!$A$1:$O$108,15,0)),0,VLOOKUP($U$1039,'TAR FIN'!$A$1:$O$108,15,0))</f>
        <v>59.28</v>
      </c>
      <c r="Y1039" s="6"/>
      <c r="Z1039" s="6">
        <f ca="1">('TUSD BE'!$AM$66+'TUSD BF'!$AM$66+'TUSD CVA'!$AM$66)*1</f>
        <v>273.45562526712087</v>
      </c>
      <c r="AA1039" s="6">
        <f>('TE BE'!$AB$46+'TE BF'!$AB$46+'TE CVA'!$AB$46)*1</f>
        <v>123.46378718396588</v>
      </c>
      <c r="AB1039" s="6">
        <f>$K$1039*$V$1039</f>
        <v>0</v>
      </c>
      <c r="AC1039" s="6">
        <f>$M$1039*$W$1039</f>
        <v>967318.62635000004</v>
      </c>
      <c r="AD1039" s="6">
        <f>$O$1039*$X$1039</f>
        <v>241330.95480000001</v>
      </c>
      <c r="AE1039" s="6">
        <f>$K$1039*$Y$1039</f>
        <v>0</v>
      </c>
      <c r="AF1039" s="6">
        <f ca="1">$M$1039*$Z$1039</f>
        <v>1113247.4214093334</v>
      </c>
      <c r="AG1039" s="6">
        <f>$O$1039*$AA$1039</f>
        <v>502625.39885847649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EF637-B92C-4663-AC39-3E86FD8E1616}">
  <sheetPr codeName="Planilha17"/>
  <dimension ref="A1:AJ1040"/>
  <sheetViews>
    <sheetView showGridLines="0" topLeftCell="AF1" workbookViewId="0">
      <selection sqref="A1:AF268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7.425781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789</v>
      </c>
      <c r="W1" s="1" t="s">
        <v>790</v>
      </c>
      <c r="X1" s="1" t="s">
        <v>791</v>
      </c>
      <c r="Y1" s="1" t="s">
        <v>792</v>
      </c>
      <c r="Z1" s="1" t="s">
        <v>793</v>
      </c>
      <c r="AA1" s="1" t="s">
        <v>794</v>
      </c>
      <c r="AB1" s="1" t="s">
        <v>836</v>
      </c>
      <c r="AC1" s="1" t="s">
        <v>837</v>
      </c>
      <c r="AD1" s="1" t="s">
        <v>838</v>
      </c>
      <c r="AE1" s="1" t="s">
        <v>839</v>
      </c>
      <c r="AF1" s="1" t="s">
        <v>840</v>
      </c>
      <c r="AH1" s="52" t="s">
        <v>840</v>
      </c>
      <c r="AI1" s="52" t="s">
        <v>846</v>
      </c>
      <c r="AJ1" s="52" t="s">
        <v>847</v>
      </c>
    </row>
    <row r="2" spans="1:36" ht="11.25" customHeight="1" x14ac:dyDescent="0.25">
      <c r="A2" s="4" t="s">
        <v>21</v>
      </c>
      <c r="B2" s="4" t="s">
        <v>57</v>
      </c>
      <c r="C2" s="4" t="s">
        <v>58</v>
      </c>
      <c r="D2" s="4" t="s">
        <v>25</v>
      </c>
      <c r="E2" s="4" t="s">
        <v>25</v>
      </c>
      <c r="F2" s="4" t="s">
        <v>25</v>
      </c>
      <c r="G2" s="4" t="s">
        <v>59</v>
      </c>
      <c r="H2" s="4" t="s">
        <v>25</v>
      </c>
      <c r="I2" s="5">
        <v>44531</v>
      </c>
      <c r="J2" s="6">
        <v>77720</v>
      </c>
      <c r="K2" s="6">
        <v>77720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783</v>
      </c>
      <c r="S2" s="4">
        <v>1</v>
      </c>
      <c r="T2" s="4">
        <v>0</v>
      </c>
      <c r="U2" s="4">
        <v>0</v>
      </c>
      <c r="V2" s="6">
        <f>IF(ISERROR(VLOOKUP($S$2,'TAR FIN'!$A$1:$O$108,15,0)),0,VLOOKUP($S$2,'TAR FIN'!$A$1:$O$108,15,0))</f>
        <v>6.92</v>
      </c>
      <c r="W2" s="6">
        <f>IF(ISERROR(VLOOKUP($T$2,'TAR FIN'!$A$1:$O$108,15,0)),0,VLOOKUP($T$2,'TAR FIN'!$A$1:$O$108,15,0))</f>
        <v>0</v>
      </c>
      <c r="X2" s="6">
        <f>IF(ISERROR(VLOOKUP($U$2,'TAR FIN'!$A$1:$O$108,15,0)),0,VLOOKUP($U$2,'TAR FIN'!$A$1:$O$108,15,0))</f>
        <v>0</v>
      </c>
      <c r="Y2" s="6">
        <f ca="1">('TUSD BE'!$AM$5+'TUSD BF'!$AM$5+'TUSD CVA'!$AM$5)*1</f>
        <v>6.4715135626767397</v>
      </c>
      <c r="Z2" s="6"/>
      <c r="AA2" s="6"/>
      <c r="AB2" s="6">
        <f t="shared" ref="AB2:AB65" si="0">(J2-K2)*V2</f>
        <v>0</v>
      </c>
      <c r="AC2" s="6">
        <f t="shared" ref="AC2:AC13" si="1">(L2-M2)*W2+(N2-O2)*X2</f>
        <v>0</v>
      </c>
      <c r="AD2" s="6">
        <f t="shared" ref="AD2:AD65" ca="1" si="2">(J2-K2)*Y2</f>
        <v>0</v>
      </c>
      <c r="AE2" s="6">
        <f t="shared" ref="AE2:AE13" si="3">(L2-M2)*Z2+(N2-O2)*AA2</f>
        <v>0</v>
      </c>
      <c r="AF2" s="4" t="s">
        <v>841</v>
      </c>
      <c r="AH2" s="53" t="s">
        <v>843</v>
      </c>
      <c r="AI2" s="54">
        <f t="shared" ref="AI2:AI9" si="4">SUMIF($AF$2:$AF$1040,AH2,$AB$2:$AB$1040)+SUMIF($AF$2:$AF$1040,AH2,$AC$2:$AC$1040)</f>
        <v>16881952.248299941</v>
      </c>
      <c r="AJ2" s="54">
        <f t="shared" ref="AJ2:AJ9" ca="1" si="5">SUMIF($AF$2:$AF$1040,AH2,$AD$2:$AD$1040)+SUMIF($AF$2:$AF$1040,AH2,$AE$2:$AE$1040)</f>
        <v>17360464.732574135</v>
      </c>
    </row>
    <row r="3" spans="1:36" ht="11.25" customHeight="1" x14ac:dyDescent="0.25">
      <c r="A3" s="4" t="s">
        <v>21</v>
      </c>
      <c r="B3" s="4" t="s">
        <v>57</v>
      </c>
      <c r="C3" s="4" t="s">
        <v>58</v>
      </c>
      <c r="D3" s="4" t="s">
        <v>25</v>
      </c>
      <c r="E3" s="4" t="s">
        <v>25</v>
      </c>
      <c r="F3" s="4" t="s">
        <v>25</v>
      </c>
      <c r="G3" s="4" t="s">
        <v>59</v>
      </c>
      <c r="H3" s="4" t="s">
        <v>25</v>
      </c>
      <c r="I3" s="5">
        <v>44562</v>
      </c>
      <c r="J3" s="6">
        <v>77720</v>
      </c>
      <c r="K3" s="6">
        <v>77720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783</v>
      </c>
      <c r="S3" s="4">
        <v>1</v>
      </c>
      <c r="T3" s="4">
        <v>0</v>
      </c>
      <c r="U3" s="4">
        <v>0</v>
      </c>
      <c r="V3" s="6">
        <f>IF(ISERROR(VLOOKUP($S$3,'TAR FIN'!$A$1:$O$108,15,0)),0,VLOOKUP($S$3,'TAR FIN'!$A$1:$O$108,15,0))</f>
        <v>6.92</v>
      </c>
      <c r="W3" s="6">
        <f>IF(ISERROR(VLOOKUP($T$3,'TAR FIN'!$A$1:$O$108,15,0)),0,VLOOKUP($T$3,'TAR FIN'!$A$1:$O$108,15,0))</f>
        <v>0</v>
      </c>
      <c r="X3" s="6">
        <f>IF(ISERROR(VLOOKUP($U$3,'TAR FIN'!$A$1:$O$108,15,0)),0,VLOOKUP($U$3,'TAR FIN'!$A$1:$O$108,15,0))</f>
        <v>0</v>
      </c>
      <c r="Y3" s="6">
        <f ca="1">('TUSD BE'!$AM$5+'TUSD BF'!$AM$5+'TUSD CVA'!$AM$5)*1</f>
        <v>6.4715135626767397</v>
      </c>
      <c r="Z3" s="6"/>
      <c r="AA3" s="6"/>
      <c r="AB3" s="6">
        <f t="shared" si="0"/>
        <v>0</v>
      </c>
      <c r="AC3" s="6">
        <f t="shared" si="1"/>
        <v>0</v>
      </c>
      <c r="AD3" s="6">
        <f t="shared" ca="1" si="2"/>
        <v>0</v>
      </c>
      <c r="AE3" s="6">
        <f t="shared" si="3"/>
        <v>0</v>
      </c>
      <c r="AF3" s="4" t="s">
        <v>841</v>
      </c>
      <c r="AH3" s="53" t="s">
        <v>841</v>
      </c>
      <c r="AI3" s="54">
        <f t="shared" si="4"/>
        <v>0</v>
      </c>
      <c r="AJ3" s="54">
        <f t="shared" ca="1" si="5"/>
        <v>0</v>
      </c>
    </row>
    <row r="4" spans="1:36" ht="11.25" customHeight="1" x14ac:dyDescent="0.25">
      <c r="A4" s="4" t="s">
        <v>21</v>
      </c>
      <c r="B4" s="4" t="s">
        <v>57</v>
      </c>
      <c r="C4" s="4" t="s">
        <v>58</v>
      </c>
      <c r="D4" s="4" t="s">
        <v>25</v>
      </c>
      <c r="E4" s="4" t="s">
        <v>25</v>
      </c>
      <c r="F4" s="4" t="s">
        <v>25</v>
      </c>
      <c r="G4" s="4" t="s">
        <v>59</v>
      </c>
      <c r="H4" s="4" t="s">
        <v>25</v>
      </c>
      <c r="I4" s="5">
        <v>44593</v>
      </c>
      <c r="J4" s="6">
        <v>77720</v>
      </c>
      <c r="K4" s="6">
        <v>77720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783</v>
      </c>
      <c r="S4" s="4">
        <v>1</v>
      </c>
      <c r="T4" s="4">
        <v>0</v>
      </c>
      <c r="U4" s="4">
        <v>0</v>
      </c>
      <c r="V4" s="6">
        <f>IF(ISERROR(VLOOKUP($S$4,'TAR FIN'!$A$1:$O$108,15,0)),0,VLOOKUP($S$4,'TAR FIN'!$A$1:$O$108,15,0))</f>
        <v>6.92</v>
      </c>
      <c r="W4" s="6">
        <f>IF(ISERROR(VLOOKUP($T$4,'TAR FIN'!$A$1:$O$108,15,0)),0,VLOOKUP($T$4,'TAR FIN'!$A$1:$O$108,15,0))</f>
        <v>0</v>
      </c>
      <c r="X4" s="6">
        <f>IF(ISERROR(VLOOKUP($U$4,'TAR FIN'!$A$1:$O$108,15,0)),0,VLOOKUP($U$4,'TAR FIN'!$A$1:$O$108,15,0))</f>
        <v>0</v>
      </c>
      <c r="Y4" s="6">
        <f ca="1">('TUSD BE'!$AM$5+'TUSD BF'!$AM$5+'TUSD CVA'!$AM$5)*1</f>
        <v>6.4715135626767397</v>
      </c>
      <c r="Z4" s="6"/>
      <c r="AA4" s="6"/>
      <c r="AB4" s="6">
        <f t="shared" si="0"/>
        <v>0</v>
      </c>
      <c r="AC4" s="6">
        <f t="shared" si="1"/>
        <v>0</v>
      </c>
      <c r="AD4" s="6">
        <f t="shared" ca="1" si="2"/>
        <v>0</v>
      </c>
      <c r="AE4" s="6">
        <f t="shared" si="3"/>
        <v>0</v>
      </c>
      <c r="AF4" s="4" t="s">
        <v>841</v>
      </c>
      <c r="AH4" s="53" t="s">
        <v>848</v>
      </c>
      <c r="AI4" s="54">
        <f t="shared" si="4"/>
        <v>0</v>
      </c>
      <c r="AJ4" s="54">
        <f t="shared" si="5"/>
        <v>0</v>
      </c>
    </row>
    <row r="5" spans="1:36" ht="11.25" customHeight="1" x14ac:dyDescent="0.25">
      <c r="A5" s="4" t="s">
        <v>21</v>
      </c>
      <c r="B5" s="4" t="s">
        <v>57</v>
      </c>
      <c r="C5" s="4" t="s">
        <v>58</v>
      </c>
      <c r="D5" s="4" t="s">
        <v>25</v>
      </c>
      <c r="E5" s="4" t="s">
        <v>25</v>
      </c>
      <c r="F5" s="4" t="s">
        <v>25</v>
      </c>
      <c r="G5" s="4" t="s">
        <v>59</v>
      </c>
      <c r="H5" s="4" t="s">
        <v>25</v>
      </c>
      <c r="I5" s="5">
        <v>44621</v>
      </c>
      <c r="J5" s="6">
        <v>77720</v>
      </c>
      <c r="K5" s="6">
        <v>77720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783</v>
      </c>
      <c r="S5" s="4">
        <v>1</v>
      </c>
      <c r="T5" s="4">
        <v>0</v>
      </c>
      <c r="U5" s="4">
        <v>0</v>
      </c>
      <c r="V5" s="6">
        <f>IF(ISERROR(VLOOKUP($S$5,'TAR FIN'!$A$1:$O$108,15,0)),0,VLOOKUP($S$5,'TAR FIN'!$A$1:$O$108,15,0))</f>
        <v>6.92</v>
      </c>
      <c r="W5" s="6">
        <f>IF(ISERROR(VLOOKUP($T$5,'TAR FIN'!$A$1:$O$108,15,0)),0,VLOOKUP($T$5,'TAR FIN'!$A$1:$O$108,15,0))</f>
        <v>0</v>
      </c>
      <c r="X5" s="6">
        <f>IF(ISERROR(VLOOKUP($U$5,'TAR FIN'!$A$1:$O$108,15,0)),0,VLOOKUP($U$5,'TAR FIN'!$A$1:$O$108,15,0))</f>
        <v>0</v>
      </c>
      <c r="Y5" s="6">
        <f ca="1">('TUSD BE'!$AM$5+'TUSD BF'!$AM$5+'TUSD CVA'!$AM$5)*1</f>
        <v>6.4715135626767397</v>
      </c>
      <c r="Z5" s="6"/>
      <c r="AA5" s="6"/>
      <c r="AB5" s="6">
        <f t="shared" si="0"/>
        <v>0</v>
      </c>
      <c r="AC5" s="6">
        <f t="shared" si="1"/>
        <v>0</v>
      </c>
      <c r="AD5" s="6">
        <f t="shared" ca="1" si="2"/>
        <v>0</v>
      </c>
      <c r="AE5" s="6">
        <f t="shared" si="3"/>
        <v>0</v>
      </c>
      <c r="AF5" s="4" t="s">
        <v>841</v>
      </c>
      <c r="AH5" s="53" t="s">
        <v>842</v>
      </c>
      <c r="AI5" s="54">
        <f t="shared" si="4"/>
        <v>509656.91527380014</v>
      </c>
      <c r="AJ5" s="54">
        <f t="shared" ca="1" si="5"/>
        <v>375611.05416799319</v>
      </c>
    </row>
    <row r="6" spans="1:36" ht="11.25" customHeight="1" x14ac:dyDescent="0.25">
      <c r="A6" s="4" t="s">
        <v>21</v>
      </c>
      <c r="B6" s="4" t="s">
        <v>57</v>
      </c>
      <c r="C6" s="4" t="s">
        <v>58</v>
      </c>
      <c r="D6" s="4" t="s">
        <v>25</v>
      </c>
      <c r="E6" s="4" t="s">
        <v>25</v>
      </c>
      <c r="F6" s="4" t="s">
        <v>25</v>
      </c>
      <c r="G6" s="4" t="s">
        <v>59</v>
      </c>
      <c r="H6" s="4" t="s">
        <v>25</v>
      </c>
      <c r="I6" s="5">
        <v>44652</v>
      </c>
      <c r="J6" s="6">
        <v>77720</v>
      </c>
      <c r="K6" s="6">
        <v>77720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783</v>
      </c>
      <c r="S6" s="4">
        <v>1</v>
      </c>
      <c r="T6" s="4">
        <v>0</v>
      </c>
      <c r="U6" s="4">
        <v>0</v>
      </c>
      <c r="V6" s="6">
        <f>IF(ISERROR(VLOOKUP($S$6,'TAR FIN'!$A$1:$O$108,15,0)),0,VLOOKUP($S$6,'TAR FIN'!$A$1:$O$108,15,0))</f>
        <v>6.92</v>
      </c>
      <c r="W6" s="6">
        <f>IF(ISERROR(VLOOKUP($T$6,'TAR FIN'!$A$1:$O$108,15,0)),0,VLOOKUP($T$6,'TAR FIN'!$A$1:$O$108,15,0))</f>
        <v>0</v>
      </c>
      <c r="X6" s="6">
        <f>IF(ISERROR(VLOOKUP($U$6,'TAR FIN'!$A$1:$O$108,15,0)),0,VLOOKUP($U$6,'TAR FIN'!$A$1:$O$108,15,0))</f>
        <v>0</v>
      </c>
      <c r="Y6" s="6">
        <f ca="1">('TUSD BE'!$AM$5+'TUSD BF'!$AM$5+'TUSD CVA'!$AM$5)*1</f>
        <v>6.4715135626767397</v>
      </c>
      <c r="Z6" s="6"/>
      <c r="AA6" s="6"/>
      <c r="AB6" s="6">
        <f t="shared" si="0"/>
        <v>0</v>
      </c>
      <c r="AC6" s="6">
        <f t="shared" si="1"/>
        <v>0</v>
      </c>
      <c r="AD6" s="6">
        <f t="shared" ca="1" si="2"/>
        <v>0</v>
      </c>
      <c r="AE6" s="6">
        <f t="shared" si="3"/>
        <v>0</v>
      </c>
      <c r="AF6" s="4" t="s">
        <v>841</v>
      </c>
      <c r="AH6" s="53" t="s">
        <v>845</v>
      </c>
      <c r="AI6" s="54">
        <f t="shared" si="4"/>
        <v>268543.22084999981</v>
      </c>
      <c r="AJ6" s="54">
        <f t="shared" ca="1" si="5"/>
        <v>179527.58842478343</v>
      </c>
    </row>
    <row r="7" spans="1:36" ht="11.25" customHeight="1" x14ac:dyDescent="0.25">
      <c r="A7" s="4" t="s">
        <v>21</v>
      </c>
      <c r="B7" s="4" t="s">
        <v>57</v>
      </c>
      <c r="C7" s="4" t="s">
        <v>58</v>
      </c>
      <c r="D7" s="4" t="s">
        <v>25</v>
      </c>
      <c r="E7" s="4" t="s">
        <v>25</v>
      </c>
      <c r="F7" s="4" t="s">
        <v>25</v>
      </c>
      <c r="G7" s="4" t="s">
        <v>59</v>
      </c>
      <c r="H7" s="4" t="s">
        <v>25</v>
      </c>
      <c r="I7" s="5">
        <v>44682</v>
      </c>
      <c r="J7" s="6">
        <v>77720</v>
      </c>
      <c r="K7" s="6">
        <v>77720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783</v>
      </c>
      <c r="S7" s="4">
        <v>1</v>
      </c>
      <c r="T7" s="4">
        <v>0</v>
      </c>
      <c r="U7" s="4">
        <v>0</v>
      </c>
      <c r="V7" s="6">
        <f>IF(ISERROR(VLOOKUP($S$7,'TAR FIN'!$A$1:$O$108,15,0)),0,VLOOKUP($S$7,'TAR FIN'!$A$1:$O$108,15,0))</f>
        <v>6.92</v>
      </c>
      <c r="W7" s="6">
        <f>IF(ISERROR(VLOOKUP($T$7,'TAR FIN'!$A$1:$O$108,15,0)),0,VLOOKUP($T$7,'TAR FIN'!$A$1:$O$108,15,0))</f>
        <v>0</v>
      </c>
      <c r="X7" s="6">
        <f>IF(ISERROR(VLOOKUP($U$7,'TAR FIN'!$A$1:$O$108,15,0)),0,VLOOKUP($U$7,'TAR FIN'!$A$1:$O$108,15,0))</f>
        <v>0</v>
      </c>
      <c r="Y7" s="6">
        <f ca="1">('TUSD BE'!$AM$5+'TUSD BF'!$AM$5+'TUSD CVA'!$AM$5)*1</f>
        <v>6.4715135626767397</v>
      </c>
      <c r="Z7" s="6"/>
      <c r="AA7" s="6"/>
      <c r="AB7" s="6">
        <f t="shared" si="0"/>
        <v>0</v>
      </c>
      <c r="AC7" s="6">
        <f t="shared" si="1"/>
        <v>0</v>
      </c>
      <c r="AD7" s="6">
        <f t="shared" ca="1" si="2"/>
        <v>0</v>
      </c>
      <c r="AE7" s="6">
        <f t="shared" si="3"/>
        <v>0</v>
      </c>
      <c r="AF7" s="4" t="s">
        <v>841</v>
      </c>
      <c r="AH7" s="53" t="s">
        <v>849</v>
      </c>
      <c r="AI7" s="54">
        <f t="shared" si="4"/>
        <v>0</v>
      </c>
      <c r="AJ7" s="54">
        <f t="shared" si="5"/>
        <v>0</v>
      </c>
    </row>
    <row r="8" spans="1:36" ht="11.25" customHeight="1" x14ac:dyDescent="0.25">
      <c r="A8" s="4" t="s">
        <v>21</v>
      </c>
      <c r="B8" s="4" t="s">
        <v>57</v>
      </c>
      <c r="C8" s="4" t="s">
        <v>58</v>
      </c>
      <c r="D8" s="4" t="s">
        <v>25</v>
      </c>
      <c r="E8" s="4" t="s">
        <v>25</v>
      </c>
      <c r="F8" s="4" t="s">
        <v>25</v>
      </c>
      <c r="G8" s="4" t="s">
        <v>59</v>
      </c>
      <c r="H8" s="4" t="s">
        <v>25</v>
      </c>
      <c r="I8" s="5">
        <v>44713</v>
      </c>
      <c r="J8" s="6">
        <v>77720</v>
      </c>
      <c r="K8" s="6">
        <v>77720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783</v>
      </c>
      <c r="S8" s="4">
        <v>1</v>
      </c>
      <c r="T8" s="4">
        <v>0</v>
      </c>
      <c r="U8" s="4">
        <v>0</v>
      </c>
      <c r="V8" s="6">
        <f>IF(ISERROR(VLOOKUP($S$8,'TAR FIN'!$A$1:$O$108,15,0)),0,VLOOKUP($S$8,'TAR FIN'!$A$1:$O$108,15,0))</f>
        <v>6.92</v>
      </c>
      <c r="W8" s="6">
        <f>IF(ISERROR(VLOOKUP($T$8,'TAR FIN'!$A$1:$O$108,15,0)),0,VLOOKUP($T$8,'TAR FIN'!$A$1:$O$108,15,0))</f>
        <v>0</v>
      </c>
      <c r="X8" s="6">
        <f>IF(ISERROR(VLOOKUP($U$8,'TAR FIN'!$A$1:$O$108,15,0)),0,VLOOKUP($U$8,'TAR FIN'!$A$1:$O$108,15,0))</f>
        <v>0</v>
      </c>
      <c r="Y8" s="6">
        <f ca="1">('TUSD BE'!$AM$5+'TUSD BF'!$AM$5+'TUSD CVA'!$AM$5)*1</f>
        <v>6.4715135626767397</v>
      </c>
      <c r="Z8" s="6"/>
      <c r="AA8" s="6"/>
      <c r="AB8" s="6">
        <f t="shared" si="0"/>
        <v>0</v>
      </c>
      <c r="AC8" s="6">
        <f t="shared" si="1"/>
        <v>0</v>
      </c>
      <c r="AD8" s="6">
        <f t="shared" ca="1" si="2"/>
        <v>0</v>
      </c>
      <c r="AE8" s="6">
        <f t="shared" si="3"/>
        <v>0</v>
      </c>
      <c r="AF8" s="4" t="s">
        <v>841</v>
      </c>
      <c r="AH8" s="53" t="s">
        <v>844</v>
      </c>
      <c r="AI8" s="54">
        <f t="shared" si="4"/>
        <v>10245697.592760002</v>
      </c>
      <c r="AJ8" s="54">
        <f t="shared" ca="1" si="5"/>
        <v>13138504.233215386</v>
      </c>
    </row>
    <row r="9" spans="1:36" ht="11.25" customHeight="1" x14ac:dyDescent="0.25">
      <c r="A9" s="4" t="s">
        <v>21</v>
      </c>
      <c r="B9" s="4" t="s">
        <v>57</v>
      </c>
      <c r="C9" s="4" t="s">
        <v>58</v>
      </c>
      <c r="D9" s="4" t="s">
        <v>25</v>
      </c>
      <c r="E9" s="4" t="s">
        <v>25</v>
      </c>
      <c r="F9" s="4" t="s">
        <v>25</v>
      </c>
      <c r="G9" s="4" t="s">
        <v>59</v>
      </c>
      <c r="H9" s="4" t="s">
        <v>25</v>
      </c>
      <c r="I9" s="5">
        <v>44743</v>
      </c>
      <c r="J9" s="6">
        <v>77720</v>
      </c>
      <c r="K9" s="6">
        <v>77720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783</v>
      </c>
      <c r="S9" s="4">
        <v>1</v>
      </c>
      <c r="T9" s="4">
        <v>0</v>
      </c>
      <c r="U9" s="4">
        <v>0</v>
      </c>
      <c r="V9" s="6">
        <f>IF(ISERROR(VLOOKUP($S$9,'TAR FIN'!$A$1:$O$108,15,0)),0,VLOOKUP($S$9,'TAR FIN'!$A$1:$O$108,15,0))</f>
        <v>6.92</v>
      </c>
      <c r="W9" s="6">
        <f>IF(ISERROR(VLOOKUP($T$9,'TAR FIN'!$A$1:$O$108,15,0)),0,VLOOKUP($T$9,'TAR FIN'!$A$1:$O$108,15,0))</f>
        <v>0</v>
      </c>
      <c r="X9" s="6">
        <f>IF(ISERROR(VLOOKUP($U$9,'TAR FIN'!$A$1:$O$108,15,0)),0,VLOOKUP($U$9,'TAR FIN'!$A$1:$O$108,15,0))</f>
        <v>0</v>
      </c>
      <c r="Y9" s="6">
        <f ca="1">('TUSD BE'!$AM$5+'TUSD BF'!$AM$5+'TUSD CVA'!$AM$5)*1</f>
        <v>6.4715135626767397</v>
      </c>
      <c r="Z9" s="6"/>
      <c r="AA9" s="6"/>
      <c r="AB9" s="6">
        <f t="shared" si="0"/>
        <v>0</v>
      </c>
      <c r="AC9" s="6">
        <f t="shared" si="1"/>
        <v>0</v>
      </c>
      <c r="AD9" s="6">
        <f t="shared" ca="1" si="2"/>
        <v>0</v>
      </c>
      <c r="AE9" s="6">
        <f t="shared" si="3"/>
        <v>0</v>
      </c>
      <c r="AF9" s="4" t="s">
        <v>841</v>
      </c>
      <c r="AH9" s="53" t="s">
        <v>850</v>
      </c>
      <c r="AI9" s="54">
        <f t="shared" si="4"/>
        <v>0</v>
      </c>
      <c r="AJ9" s="54">
        <f t="shared" si="5"/>
        <v>0</v>
      </c>
    </row>
    <row r="10" spans="1:36" ht="11.25" customHeight="1" x14ac:dyDescent="0.25">
      <c r="A10" s="4" t="s">
        <v>21</v>
      </c>
      <c r="B10" s="4" t="s">
        <v>57</v>
      </c>
      <c r="C10" s="4" t="s">
        <v>58</v>
      </c>
      <c r="D10" s="4" t="s">
        <v>25</v>
      </c>
      <c r="E10" s="4" t="s">
        <v>25</v>
      </c>
      <c r="F10" s="4" t="s">
        <v>25</v>
      </c>
      <c r="G10" s="4" t="s">
        <v>59</v>
      </c>
      <c r="H10" s="4" t="s">
        <v>25</v>
      </c>
      <c r="I10" s="5">
        <v>44774</v>
      </c>
      <c r="J10" s="6">
        <v>77720</v>
      </c>
      <c r="K10" s="6">
        <v>77720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783</v>
      </c>
      <c r="S10" s="4">
        <v>1</v>
      </c>
      <c r="T10" s="4">
        <v>0</v>
      </c>
      <c r="U10" s="4">
        <v>0</v>
      </c>
      <c r="V10" s="6">
        <f>IF(ISERROR(VLOOKUP($S$10,'TAR FIN'!$A$1:$O$108,15,0)),0,VLOOKUP($S$10,'TAR FIN'!$A$1:$O$108,15,0))</f>
        <v>6.92</v>
      </c>
      <c r="W10" s="6">
        <f>IF(ISERROR(VLOOKUP($T$10,'TAR FIN'!$A$1:$O$108,15,0)),0,VLOOKUP($T$10,'TAR FIN'!$A$1:$O$108,15,0))</f>
        <v>0</v>
      </c>
      <c r="X10" s="6">
        <f>IF(ISERROR(VLOOKUP($U$10,'TAR FIN'!$A$1:$O$108,15,0)),0,VLOOKUP($U$10,'TAR FIN'!$A$1:$O$108,15,0))</f>
        <v>0</v>
      </c>
      <c r="Y10" s="6">
        <f ca="1">('TUSD BE'!$AM$5+'TUSD BF'!$AM$5+'TUSD CVA'!$AM$5)*1</f>
        <v>6.4715135626767397</v>
      </c>
      <c r="Z10" s="6"/>
      <c r="AA10" s="6"/>
      <c r="AB10" s="6">
        <f t="shared" si="0"/>
        <v>0</v>
      </c>
      <c r="AC10" s="6">
        <f t="shared" si="1"/>
        <v>0</v>
      </c>
      <c r="AD10" s="6">
        <f t="shared" ca="1" si="2"/>
        <v>0</v>
      </c>
      <c r="AE10" s="6">
        <f t="shared" si="3"/>
        <v>0</v>
      </c>
      <c r="AF10" s="4" t="s">
        <v>841</v>
      </c>
    </row>
    <row r="11" spans="1:36" ht="11.25" customHeight="1" x14ac:dyDescent="0.25">
      <c r="A11" s="4" t="s">
        <v>21</v>
      </c>
      <c r="B11" s="4" t="s">
        <v>57</v>
      </c>
      <c r="C11" s="4" t="s">
        <v>58</v>
      </c>
      <c r="D11" s="4" t="s">
        <v>25</v>
      </c>
      <c r="E11" s="4" t="s">
        <v>25</v>
      </c>
      <c r="F11" s="4" t="s">
        <v>25</v>
      </c>
      <c r="G11" s="4" t="s">
        <v>59</v>
      </c>
      <c r="H11" s="4" t="s">
        <v>25</v>
      </c>
      <c r="I11" s="5">
        <v>44805</v>
      </c>
      <c r="J11" s="6">
        <v>77720</v>
      </c>
      <c r="K11" s="6">
        <v>77720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783</v>
      </c>
      <c r="S11" s="4">
        <v>1</v>
      </c>
      <c r="T11" s="4">
        <v>0</v>
      </c>
      <c r="U11" s="4">
        <v>0</v>
      </c>
      <c r="V11" s="6">
        <f>IF(ISERROR(VLOOKUP($S$11,'TAR FIN'!$A$1:$O$108,15,0)),0,VLOOKUP($S$11,'TAR FIN'!$A$1:$O$108,15,0))</f>
        <v>6.92</v>
      </c>
      <c r="W11" s="6">
        <f>IF(ISERROR(VLOOKUP($T$11,'TAR FIN'!$A$1:$O$108,15,0)),0,VLOOKUP($T$11,'TAR FIN'!$A$1:$O$108,15,0))</f>
        <v>0</v>
      </c>
      <c r="X11" s="6">
        <f>IF(ISERROR(VLOOKUP($U$11,'TAR FIN'!$A$1:$O$108,15,0)),0,VLOOKUP($U$11,'TAR FIN'!$A$1:$O$108,15,0))</f>
        <v>0</v>
      </c>
      <c r="Y11" s="6">
        <f ca="1">('TUSD BE'!$AM$5+'TUSD BF'!$AM$5+'TUSD CVA'!$AM$5)*1</f>
        <v>6.4715135626767397</v>
      </c>
      <c r="Z11" s="6"/>
      <c r="AA11" s="6"/>
      <c r="AB11" s="6">
        <f t="shared" si="0"/>
        <v>0</v>
      </c>
      <c r="AC11" s="6">
        <f t="shared" si="1"/>
        <v>0</v>
      </c>
      <c r="AD11" s="6">
        <f t="shared" ca="1" si="2"/>
        <v>0</v>
      </c>
      <c r="AE11" s="6">
        <f t="shared" si="3"/>
        <v>0</v>
      </c>
      <c r="AF11" s="4" t="s">
        <v>841</v>
      </c>
    </row>
    <row r="12" spans="1:36" ht="11.25" customHeight="1" x14ac:dyDescent="0.25">
      <c r="A12" s="4" t="s">
        <v>21</v>
      </c>
      <c r="B12" s="4" t="s">
        <v>57</v>
      </c>
      <c r="C12" s="4" t="s">
        <v>58</v>
      </c>
      <c r="D12" s="4" t="s">
        <v>25</v>
      </c>
      <c r="E12" s="4" t="s">
        <v>25</v>
      </c>
      <c r="F12" s="4" t="s">
        <v>25</v>
      </c>
      <c r="G12" s="4" t="s">
        <v>59</v>
      </c>
      <c r="H12" s="4" t="s">
        <v>25</v>
      </c>
      <c r="I12" s="5">
        <v>44835</v>
      </c>
      <c r="J12" s="6">
        <v>77720</v>
      </c>
      <c r="K12" s="6">
        <v>77720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783</v>
      </c>
      <c r="S12" s="4">
        <v>1</v>
      </c>
      <c r="T12" s="4">
        <v>0</v>
      </c>
      <c r="U12" s="4">
        <v>0</v>
      </c>
      <c r="V12" s="6">
        <f>IF(ISERROR(VLOOKUP($S$12,'TAR FIN'!$A$1:$O$108,15,0)),0,VLOOKUP($S$12,'TAR FIN'!$A$1:$O$108,15,0))</f>
        <v>6.92</v>
      </c>
      <c r="W12" s="6">
        <f>IF(ISERROR(VLOOKUP($T$12,'TAR FIN'!$A$1:$O$108,15,0)),0,VLOOKUP($T$12,'TAR FIN'!$A$1:$O$108,15,0))</f>
        <v>0</v>
      </c>
      <c r="X12" s="6">
        <f>IF(ISERROR(VLOOKUP($U$12,'TAR FIN'!$A$1:$O$108,15,0)),0,VLOOKUP($U$12,'TAR FIN'!$A$1:$O$108,15,0))</f>
        <v>0</v>
      </c>
      <c r="Y12" s="6">
        <f ca="1">('TUSD BE'!$AM$5+'TUSD BF'!$AM$5+'TUSD CVA'!$AM$5)*1</f>
        <v>6.4715135626767397</v>
      </c>
      <c r="Z12" s="6"/>
      <c r="AA12" s="6"/>
      <c r="AB12" s="6">
        <f t="shared" si="0"/>
        <v>0</v>
      </c>
      <c r="AC12" s="6">
        <f t="shared" si="1"/>
        <v>0</v>
      </c>
      <c r="AD12" s="6">
        <f t="shared" ca="1" si="2"/>
        <v>0</v>
      </c>
      <c r="AE12" s="6">
        <f t="shared" si="3"/>
        <v>0</v>
      </c>
      <c r="AF12" s="4" t="s">
        <v>841</v>
      </c>
    </row>
    <row r="13" spans="1:36" ht="11.25" customHeight="1" x14ac:dyDescent="0.25">
      <c r="A13" s="4" t="s">
        <v>54</v>
      </c>
      <c r="B13" s="4" t="s">
        <v>57</v>
      </c>
      <c r="C13" s="4" t="s">
        <v>58</v>
      </c>
      <c r="D13" s="4" t="s">
        <v>25</v>
      </c>
      <c r="E13" s="4" t="s">
        <v>25</v>
      </c>
      <c r="F13" s="4" t="s">
        <v>25</v>
      </c>
      <c r="G13" s="4" t="s">
        <v>59</v>
      </c>
      <c r="H13" s="4" t="s">
        <v>25</v>
      </c>
      <c r="I13" s="5">
        <v>44866</v>
      </c>
      <c r="J13" s="6">
        <v>77720</v>
      </c>
      <c r="K13" s="6">
        <v>77720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783</v>
      </c>
      <c r="S13" s="4">
        <v>1</v>
      </c>
      <c r="T13" s="4">
        <v>0</v>
      </c>
      <c r="U13" s="4">
        <v>0</v>
      </c>
      <c r="V13" s="6">
        <f>IF(ISERROR(VLOOKUP($S$13,'TAR FIN'!$A$1:$O$108,15,0)),0,VLOOKUP($S$13,'TAR FIN'!$A$1:$O$108,15,0))</f>
        <v>6.92</v>
      </c>
      <c r="W13" s="6">
        <f>IF(ISERROR(VLOOKUP($T$13,'TAR FIN'!$A$1:$O$108,15,0)),0,VLOOKUP($T$13,'TAR FIN'!$A$1:$O$108,15,0))</f>
        <v>0</v>
      </c>
      <c r="X13" s="6">
        <f>IF(ISERROR(VLOOKUP($U$13,'TAR FIN'!$A$1:$O$108,15,0)),0,VLOOKUP($U$13,'TAR FIN'!$A$1:$O$108,15,0))</f>
        <v>0</v>
      </c>
      <c r="Y13" s="6">
        <f ca="1">('TUSD BE'!$AM$5+'TUSD BF'!$AM$5+'TUSD CVA'!$AM$5)*1</f>
        <v>6.4715135626767397</v>
      </c>
      <c r="Z13" s="6"/>
      <c r="AA13" s="6"/>
      <c r="AB13" s="6">
        <f t="shared" si="0"/>
        <v>0</v>
      </c>
      <c r="AC13" s="6">
        <f t="shared" si="1"/>
        <v>0</v>
      </c>
      <c r="AD13" s="6">
        <f t="shared" ca="1" si="2"/>
        <v>0</v>
      </c>
      <c r="AE13" s="6">
        <f t="shared" si="3"/>
        <v>0</v>
      </c>
      <c r="AF13" s="4" t="s">
        <v>841</v>
      </c>
    </row>
    <row r="14" spans="1:36" ht="11.25" customHeight="1" x14ac:dyDescent="0.25">
      <c r="A14" s="4" t="s">
        <v>21</v>
      </c>
      <c r="B14" s="4" t="s">
        <v>41</v>
      </c>
      <c r="C14" s="4" t="s">
        <v>40</v>
      </c>
      <c r="D14" s="4" t="s">
        <v>51</v>
      </c>
      <c r="E14" s="4" t="s">
        <v>52</v>
      </c>
      <c r="F14" s="4" t="s">
        <v>25</v>
      </c>
      <c r="G14" s="4" t="s">
        <v>25</v>
      </c>
      <c r="H14" s="4" t="s">
        <v>35</v>
      </c>
      <c r="I14" s="5">
        <v>44531</v>
      </c>
      <c r="J14" s="6">
        <v>1440</v>
      </c>
      <c r="K14" s="70">
        <v>1440</v>
      </c>
      <c r="L14" s="6">
        <v>758.4</v>
      </c>
      <c r="M14" s="71">
        <v>758.4</v>
      </c>
      <c r="N14" s="6">
        <v>758.4</v>
      </c>
      <c r="O14" s="71">
        <v>758.4</v>
      </c>
      <c r="P14" s="6">
        <v>0</v>
      </c>
      <c r="Q14" s="4" t="s">
        <v>26</v>
      </c>
      <c r="R14" s="4">
        <v>0</v>
      </c>
      <c r="S14" s="4">
        <v>43</v>
      </c>
      <c r="T14" s="4">
        <v>46</v>
      </c>
      <c r="U14" s="4">
        <v>76</v>
      </c>
      <c r="V14" s="71">
        <f>IF(ISERROR(VLOOKUP($S$14,'TAR FIN'!$A$1:$O$108,15,0)),0,VLOOKUP($S$14,'TAR FIN'!$A$1:$O$108,15,0))*(1-0.06)</f>
        <v>20.097199999999997</v>
      </c>
      <c r="W14" s="71">
        <f>IF(ISERROR(VLOOKUP($T$14,'TAR FIN'!$A$1:$O$108,15,0)),0,VLOOKUP($T$14,'TAR FIN'!$A$1:$O$108,15,0))*(1-0.06)</f>
        <v>96.462800000000001</v>
      </c>
      <c r="X14" s="71">
        <f>IF(ISERROR(VLOOKUP($U$14,'TAR FIN'!$A$1:$O$108,15,0)),0,VLOOKUP($U$14,'TAR FIN'!$A$1:$O$108,15,0))*(1-0.06)</f>
        <v>96.913999999999987</v>
      </c>
      <c r="Y14" s="71">
        <f ca="1">('TUSD BE'!$AM$22+'TUSD BF'!$AM$22+'TUSD CVA'!$AM$22)*1*(1-0.03)</f>
        <v>20.553709090093861</v>
      </c>
      <c r="Z14" s="71">
        <f ca="1">('TUSD BE'!$AM$23+'TUSD BF'!$AM$23+'TUSD CVA'!$AM$23)*1*(1-0.03)</f>
        <v>176.03212128696998</v>
      </c>
      <c r="AA14" s="71">
        <f>('TE BE'!$AB$11+'TE BF'!$AB$11+'TE CVA'!$AB$11)*1*(1-0.03)</f>
        <v>209.13469685121515</v>
      </c>
      <c r="AB14" s="71">
        <f>(SUBSIDIO!$J$14*SUBSIDIO!$V$14)*(0.06)/(1-0.06)</f>
        <v>1847.2319999999997</v>
      </c>
      <c r="AC14" s="71">
        <f>((SUBSIDIO!$L$14*SUBSIDIO!$W$14)+(SUBSIDIO!$N$14*SUBSIDIO!$X$14))*(0.06)/(1-0.06)</f>
        <v>9361.0828800000018</v>
      </c>
      <c r="AD14" s="71">
        <f ca="1">(SUBSIDIO!$J$14*SUBSIDIO!$Y$14)*(0.03)/(1-0.03)</f>
        <v>915.38168318768544</v>
      </c>
      <c r="AE14" s="71">
        <f ca="1">((SUBSIDIO!$L$14*SUBSIDIO!$Z$14)+(SUBSIDIO!$N$14*SUBSIDIO!$AA$14))*(0.03)/(1-0.03)</f>
        <v>9034.3458209072032</v>
      </c>
      <c r="AF14" s="4" t="s">
        <v>842</v>
      </c>
    </row>
    <row r="15" spans="1:36" ht="11.25" customHeight="1" x14ac:dyDescent="0.25">
      <c r="A15" s="4" t="s">
        <v>21</v>
      </c>
      <c r="B15" s="4" t="s">
        <v>41</v>
      </c>
      <c r="C15" s="4" t="s">
        <v>40</v>
      </c>
      <c r="D15" s="4" t="s">
        <v>51</v>
      </c>
      <c r="E15" s="4" t="s">
        <v>52</v>
      </c>
      <c r="F15" s="4" t="s">
        <v>25</v>
      </c>
      <c r="G15" s="4" t="s">
        <v>25</v>
      </c>
      <c r="H15" s="4" t="s">
        <v>35</v>
      </c>
      <c r="I15" s="5">
        <v>44562</v>
      </c>
      <c r="J15" s="6">
        <v>1440</v>
      </c>
      <c r="K15" s="70">
        <v>1440</v>
      </c>
      <c r="L15" s="6">
        <v>745.9</v>
      </c>
      <c r="M15" s="71">
        <v>745.9</v>
      </c>
      <c r="N15" s="6">
        <v>745.9</v>
      </c>
      <c r="O15" s="71">
        <v>745.9</v>
      </c>
      <c r="P15" s="6">
        <v>0</v>
      </c>
      <c r="Q15" s="4" t="s">
        <v>26</v>
      </c>
      <c r="R15" s="4">
        <v>0</v>
      </c>
      <c r="S15" s="4">
        <v>43</v>
      </c>
      <c r="T15" s="4">
        <v>46</v>
      </c>
      <c r="U15" s="4">
        <v>76</v>
      </c>
      <c r="V15" s="71">
        <f>IF(ISERROR(VLOOKUP($S$15,'TAR FIN'!$A$1:$O$108,15,0)),0,VLOOKUP($S$15,'TAR FIN'!$A$1:$O$108,15,0))*(1-0.06)</f>
        <v>20.097199999999997</v>
      </c>
      <c r="W15" s="71">
        <f>IF(ISERROR(VLOOKUP($T$15,'TAR FIN'!$A$1:$O$108,15,0)),0,VLOOKUP($T$15,'TAR FIN'!$A$1:$O$108,15,0))*(1-0.06)</f>
        <v>96.462800000000001</v>
      </c>
      <c r="X15" s="71">
        <f>IF(ISERROR(VLOOKUP($U$15,'TAR FIN'!$A$1:$O$108,15,0)),0,VLOOKUP($U$15,'TAR FIN'!$A$1:$O$108,15,0))*(1-0.06)</f>
        <v>96.913999999999987</v>
      </c>
      <c r="Y15" s="71">
        <f ca="1">('TUSD BE'!$AM$22+'TUSD BF'!$AM$22+'TUSD CVA'!$AM$22)*1*(1-0.03)</f>
        <v>20.553709090093861</v>
      </c>
      <c r="Z15" s="71">
        <f ca="1">('TUSD BE'!$AM$23+'TUSD BF'!$AM$23+'TUSD CVA'!$AM$23)*1*(1-0.03)</f>
        <v>176.03212128696998</v>
      </c>
      <c r="AA15" s="71">
        <f>('TE BE'!$AB$11+'TE BF'!$AB$11+'TE CVA'!$AB$11)*1*(1-0.03)</f>
        <v>209.13469685121515</v>
      </c>
      <c r="AB15" s="71">
        <f>(SUBSIDIO!$J$15*SUBSIDIO!$V$15)*(0.06)/(1-0.06)</f>
        <v>1847.2319999999997</v>
      </c>
      <c r="AC15" s="71">
        <f>((SUBSIDIO!$L$15*SUBSIDIO!$W$15)+(SUBSIDIO!$N$15*SUBSIDIO!$X$15))*(0.06)/(1-0.06)</f>
        <v>9206.7928799999991</v>
      </c>
      <c r="AD15" s="71">
        <f ca="1">(SUBSIDIO!$J$15*SUBSIDIO!$Y$15)*(0.03)/(1-0.03)</f>
        <v>915.38168318768544</v>
      </c>
      <c r="AE15" s="71">
        <f ca="1">((SUBSIDIO!$L$15*SUBSIDIO!$Z$15)+(SUBSIDIO!$N$15*SUBSIDIO!$AA$15))*(0.03)/(1-0.03)</f>
        <v>8885.4411231733702</v>
      </c>
      <c r="AF15" s="4" t="s">
        <v>842</v>
      </c>
    </row>
    <row r="16" spans="1:36" ht="11.25" customHeight="1" x14ac:dyDescent="0.25">
      <c r="A16" s="4" t="s">
        <v>21</v>
      </c>
      <c r="B16" s="4" t="s">
        <v>41</v>
      </c>
      <c r="C16" s="4" t="s">
        <v>40</v>
      </c>
      <c r="D16" s="4" t="s">
        <v>51</v>
      </c>
      <c r="E16" s="4" t="s">
        <v>52</v>
      </c>
      <c r="F16" s="4" t="s">
        <v>25</v>
      </c>
      <c r="G16" s="4" t="s">
        <v>25</v>
      </c>
      <c r="H16" s="4" t="s">
        <v>35</v>
      </c>
      <c r="I16" s="5">
        <v>44593</v>
      </c>
      <c r="J16" s="6">
        <v>1440</v>
      </c>
      <c r="K16" s="70">
        <v>1440</v>
      </c>
      <c r="L16" s="6">
        <v>805.87199999999996</v>
      </c>
      <c r="M16" s="71">
        <v>805.87199999999996</v>
      </c>
      <c r="N16" s="6">
        <v>805.87199999999996</v>
      </c>
      <c r="O16" s="71">
        <v>805.87199999999996</v>
      </c>
      <c r="P16" s="6">
        <v>0</v>
      </c>
      <c r="Q16" s="4" t="s">
        <v>26</v>
      </c>
      <c r="R16" s="4">
        <v>0</v>
      </c>
      <c r="S16" s="4">
        <v>43</v>
      </c>
      <c r="T16" s="4">
        <v>46</v>
      </c>
      <c r="U16" s="4">
        <v>76</v>
      </c>
      <c r="V16" s="71">
        <f>IF(ISERROR(VLOOKUP($S$16,'TAR FIN'!$A$1:$O$108,15,0)),0,VLOOKUP($S$16,'TAR FIN'!$A$1:$O$108,15,0))*(1-0.06)</f>
        <v>20.097199999999997</v>
      </c>
      <c r="W16" s="71">
        <f>IF(ISERROR(VLOOKUP($T$16,'TAR FIN'!$A$1:$O$108,15,0)),0,VLOOKUP($T$16,'TAR FIN'!$A$1:$O$108,15,0))*(1-0.06)</f>
        <v>96.462800000000001</v>
      </c>
      <c r="X16" s="71">
        <f>IF(ISERROR(VLOOKUP($U$16,'TAR FIN'!$A$1:$O$108,15,0)),0,VLOOKUP($U$16,'TAR FIN'!$A$1:$O$108,15,0))*(1-0.06)</f>
        <v>96.913999999999987</v>
      </c>
      <c r="Y16" s="71">
        <f ca="1">('TUSD BE'!$AM$22+'TUSD BF'!$AM$22+'TUSD CVA'!$AM$22)*1*(1-0.03)</f>
        <v>20.553709090093861</v>
      </c>
      <c r="Z16" s="71">
        <f ca="1">('TUSD BE'!$AM$23+'TUSD BF'!$AM$23+'TUSD CVA'!$AM$23)*1*(1-0.03)</f>
        <v>176.03212128696998</v>
      </c>
      <c r="AA16" s="71">
        <f>('TE BE'!$AB$11+'TE BF'!$AB$11+'TE CVA'!$AB$11)*1*(1-0.03)</f>
        <v>209.13469685121515</v>
      </c>
      <c r="AB16" s="71">
        <f>(SUBSIDIO!$J$16*SUBSIDIO!$V$16)*(0.06)/(1-0.06)</f>
        <v>1847.2319999999997</v>
      </c>
      <c r="AC16" s="71">
        <f>((SUBSIDIO!$L$16*SUBSIDIO!$W$16)+(SUBSIDIO!$N$16*SUBSIDIO!$X$16))*(0.06)/(1-0.06)</f>
        <v>9947.0392703999987</v>
      </c>
      <c r="AD16" s="71">
        <f ca="1">(SUBSIDIO!$J$16*SUBSIDIO!$Y$16)*(0.03)/(1-0.03)</f>
        <v>915.38168318768544</v>
      </c>
      <c r="AE16" s="71">
        <f ca="1">((SUBSIDIO!$L$16*SUBSIDIO!$Z$16)+(SUBSIDIO!$N$16*SUBSIDIO!$AA$16))*(0.03)/(1-0.03)</f>
        <v>9599.8501257728512</v>
      </c>
      <c r="AF16" s="4" t="s">
        <v>842</v>
      </c>
    </row>
    <row r="17" spans="1:32" ht="11.25" customHeight="1" x14ac:dyDescent="0.25">
      <c r="A17" s="4" t="s">
        <v>21</v>
      </c>
      <c r="B17" s="4" t="s">
        <v>41</v>
      </c>
      <c r="C17" s="4" t="s">
        <v>40</v>
      </c>
      <c r="D17" s="4" t="s">
        <v>51</v>
      </c>
      <c r="E17" s="4" t="s">
        <v>52</v>
      </c>
      <c r="F17" s="4" t="s">
        <v>25</v>
      </c>
      <c r="G17" s="4" t="s">
        <v>25</v>
      </c>
      <c r="H17" s="4" t="s">
        <v>35</v>
      </c>
      <c r="I17" s="5">
        <v>44621</v>
      </c>
      <c r="J17" s="6">
        <v>1440</v>
      </c>
      <c r="K17" s="70">
        <v>1440</v>
      </c>
      <c r="L17" s="6">
        <v>769.41099999999994</v>
      </c>
      <c r="M17" s="71">
        <v>769.41099999999994</v>
      </c>
      <c r="N17" s="6">
        <v>769.41099999999994</v>
      </c>
      <c r="O17" s="71">
        <v>769.41099999999994</v>
      </c>
      <c r="P17" s="6">
        <v>0</v>
      </c>
      <c r="Q17" s="4" t="s">
        <v>26</v>
      </c>
      <c r="R17" s="4">
        <v>0</v>
      </c>
      <c r="S17" s="4">
        <v>43</v>
      </c>
      <c r="T17" s="4">
        <v>46</v>
      </c>
      <c r="U17" s="4">
        <v>76</v>
      </c>
      <c r="V17" s="71">
        <f>IF(ISERROR(VLOOKUP($S$17,'TAR FIN'!$A$1:$O$108,15,0)),0,VLOOKUP($S$17,'TAR FIN'!$A$1:$O$108,15,0))*(1-0.06)</f>
        <v>20.097199999999997</v>
      </c>
      <c r="W17" s="71">
        <f>IF(ISERROR(VLOOKUP($T$17,'TAR FIN'!$A$1:$O$108,15,0)),0,VLOOKUP($T$17,'TAR FIN'!$A$1:$O$108,15,0))*(1-0.06)</f>
        <v>96.462800000000001</v>
      </c>
      <c r="X17" s="71">
        <f>IF(ISERROR(VLOOKUP($U$17,'TAR FIN'!$A$1:$O$108,15,0)),0,VLOOKUP($U$17,'TAR FIN'!$A$1:$O$108,15,0))*(1-0.06)</f>
        <v>96.913999999999987</v>
      </c>
      <c r="Y17" s="71">
        <f ca="1">('TUSD BE'!$AM$22+'TUSD BF'!$AM$22+'TUSD CVA'!$AM$22)*1*(1-0.03)</f>
        <v>20.553709090093861</v>
      </c>
      <c r="Z17" s="71">
        <f ca="1">('TUSD BE'!$AM$23+'TUSD BF'!$AM$23+'TUSD CVA'!$AM$23)*1*(1-0.03)</f>
        <v>176.03212128696998</v>
      </c>
      <c r="AA17" s="71">
        <f>('TE BE'!$AB$11+'TE BF'!$AB$11+'TE CVA'!$AB$11)*1*(1-0.03)</f>
        <v>209.13469685121515</v>
      </c>
      <c r="AB17" s="71">
        <f>(SUBSIDIO!$J$17*SUBSIDIO!$V$17)*(0.06)/(1-0.06)</f>
        <v>1847.2319999999997</v>
      </c>
      <c r="AC17" s="71">
        <f>((SUBSIDIO!$L$17*SUBSIDIO!$W$17)+(SUBSIDIO!$N$17*SUBSIDIO!$X$17))*(0.06)/(1-0.06)</f>
        <v>9496.9938552000003</v>
      </c>
      <c r="AD17" s="71">
        <f ca="1">(SUBSIDIO!$J$17*SUBSIDIO!$Y$17)*(0.03)/(1-0.03)</f>
        <v>915.38168318768544</v>
      </c>
      <c r="AE17" s="71">
        <f ca="1">((SUBSIDIO!$L$17*SUBSIDIO!$Z$17)+(SUBSIDIO!$N$17*SUBSIDIO!$AA$17))*(0.03)/(1-0.03)</f>
        <v>9165.5129910469841</v>
      </c>
      <c r="AF17" s="4" t="s">
        <v>842</v>
      </c>
    </row>
    <row r="18" spans="1:32" ht="11.25" customHeight="1" x14ac:dyDescent="0.25">
      <c r="A18" s="4" t="s">
        <v>21</v>
      </c>
      <c r="B18" s="4" t="s">
        <v>41</v>
      </c>
      <c r="C18" s="4" t="s">
        <v>40</v>
      </c>
      <c r="D18" s="4" t="s">
        <v>51</v>
      </c>
      <c r="E18" s="4" t="s">
        <v>52</v>
      </c>
      <c r="F18" s="4" t="s">
        <v>25</v>
      </c>
      <c r="G18" s="4" t="s">
        <v>25</v>
      </c>
      <c r="H18" s="4" t="s">
        <v>35</v>
      </c>
      <c r="I18" s="5">
        <v>44652</v>
      </c>
      <c r="J18" s="6">
        <v>1440</v>
      </c>
      <c r="K18" s="70">
        <v>1440</v>
      </c>
      <c r="L18" s="6">
        <v>755.971</v>
      </c>
      <c r="M18" s="71">
        <v>755.971</v>
      </c>
      <c r="N18" s="6">
        <v>755.971</v>
      </c>
      <c r="O18" s="71">
        <v>755.971</v>
      </c>
      <c r="P18" s="6">
        <v>0</v>
      </c>
      <c r="Q18" s="4" t="s">
        <v>26</v>
      </c>
      <c r="R18" s="4">
        <v>0</v>
      </c>
      <c r="S18" s="4">
        <v>43</v>
      </c>
      <c r="T18" s="4">
        <v>46</v>
      </c>
      <c r="U18" s="4">
        <v>76</v>
      </c>
      <c r="V18" s="71">
        <f>IF(ISERROR(VLOOKUP($S$18,'TAR FIN'!$A$1:$O$108,15,0)),0,VLOOKUP($S$18,'TAR FIN'!$A$1:$O$108,15,0))*(1-0.06)</f>
        <v>20.097199999999997</v>
      </c>
      <c r="W18" s="71">
        <f>IF(ISERROR(VLOOKUP($T$18,'TAR FIN'!$A$1:$O$108,15,0)),0,VLOOKUP($T$18,'TAR FIN'!$A$1:$O$108,15,0))*(1-0.06)</f>
        <v>96.462800000000001</v>
      </c>
      <c r="X18" s="71">
        <f>IF(ISERROR(VLOOKUP($U$18,'TAR FIN'!$A$1:$O$108,15,0)),0,VLOOKUP($U$18,'TAR FIN'!$A$1:$O$108,15,0))*(1-0.06)</f>
        <v>96.913999999999987</v>
      </c>
      <c r="Y18" s="71">
        <f ca="1">('TUSD BE'!$AM$22+'TUSD BF'!$AM$22+'TUSD CVA'!$AM$22)*1*(1-0.03)</f>
        <v>20.553709090093861</v>
      </c>
      <c r="Z18" s="71">
        <f ca="1">('TUSD BE'!$AM$23+'TUSD BF'!$AM$23+'TUSD CVA'!$AM$23)*1*(1-0.03)</f>
        <v>176.03212128696998</v>
      </c>
      <c r="AA18" s="71">
        <f>('TE BE'!$AB$11+'TE BF'!$AB$11+'TE CVA'!$AB$11)*1*(1-0.03)</f>
        <v>209.13469685121515</v>
      </c>
      <c r="AB18" s="71">
        <f>(SUBSIDIO!$J$18*SUBSIDIO!$V$18)*(0.06)/(1-0.06)</f>
        <v>1847.2319999999997</v>
      </c>
      <c r="AC18" s="71">
        <f>((SUBSIDIO!$L$18*SUBSIDIO!$W$18)+(SUBSIDIO!$N$18*SUBSIDIO!$X$18))*(0.06)/(1-0.06)</f>
        <v>9331.1012471999984</v>
      </c>
      <c r="AD18" s="71">
        <f ca="1">(SUBSIDIO!$J$18*SUBSIDIO!$Y$18)*(0.03)/(1-0.03)</f>
        <v>915.38168318768544</v>
      </c>
      <c r="AE18" s="71">
        <f ca="1">((SUBSIDIO!$L$18*SUBSIDIO!$Z$18)+(SUBSIDIO!$N$18*SUBSIDIO!$AA$18))*(0.03)/(1-0.03)</f>
        <v>9005.4106600435662</v>
      </c>
      <c r="AF18" s="4" t="s">
        <v>842</v>
      </c>
    </row>
    <row r="19" spans="1:32" ht="11.25" customHeight="1" x14ac:dyDescent="0.25">
      <c r="A19" s="4" t="s">
        <v>21</v>
      </c>
      <c r="B19" s="4" t="s">
        <v>41</v>
      </c>
      <c r="C19" s="4" t="s">
        <v>40</v>
      </c>
      <c r="D19" s="4" t="s">
        <v>51</v>
      </c>
      <c r="E19" s="4" t="s">
        <v>52</v>
      </c>
      <c r="F19" s="4" t="s">
        <v>25</v>
      </c>
      <c r="G19" s="4" t="s">
        <v>25</v>
      </c>
      <c r="H19" s="4" t="s">
        <v>35</v>
      </c>
      <c r="I19" s="5">
        <v>44682</v>
      </c>
      <c r="J19" s="6">
        <v>1440</v>
      </c>
      <c r="K19" s="70">
        <v>1440</v>
      </c>
      <c r="L19" s="6">
        <v>719.404</v>
      </c>
      <c r="M19" s="71">
        <v>719.404</v>
      </c>
      <c r="N19" s="6">
        <v>719.404</v>
      </c>
      <c r="O19" s="71">
        <v>719.404</v>
      </c>
      <c r="P19" s="6">
        <v>0</v>
      </c>
      <c r="Q19" s="4" t="s">
        <v>26</v>
      </c>
      <c r="R19" s="4">
        <v>0</v>
      </c>
      <c r="S19" s="4">
        <v>43</v>
      </c>
      <c r="T19" s="4">
        <v>46</v>
      </c>
      <c r="U19" s="4">
        <v>76</v>
      </c>
      <c r="V19" s="71">
        <f>IF(ISERROR(VLOOKUP($S$19,'TAR FIN'!$A$1:$O$108,15,0)),0,VLOOKUP($S$19,'TAR FIN'!$A$1:$O$108,15,0))*(1-0.06)</f>
        <v>20.097199999999997</v>
      </c>
      <c r="W19" s="71">
        <f>IF(ISERROR(VLOOKUP($T$19,'TAR FIN'!$A$1:$O$108,15,0)),0,VLOOKUP($T$19,'TAR FIN'!$A$1:$O$108,15,0))*(1-0.06)</f>
        <v>96.462800000000001</v>
      </c>
      <c r="X19" s="71">
        <f>IF(ISERROR(VLOOKUP($U$19,'TAR FIN'!$A$1:$O$108,15,0)),0,VLOOKUP($U$19,'TAR FIN'!$A$1:$O$108,15,0))*(1-0.06)</f>
        <v>96.913999999999987</v>
      </c>
      <c r="Y19" s="71">
        <f ca="1">('TUSD BE'!$AM$22+'TUSD BF'!$AM$22+'TUSD CVA'!$AM$22)*1*(1-0.03)</f>
        <v>20.553709090093861</v>
      </c>
      <c r="Z19" s="71">
        <f ca="1">('TUSD BE'!$AM$23+'TUSD BF'!$AM$23+'TUSD CVA'!$AM$23)*1*(1-0.03)</f>
        <v>176.03212128696998</v>
      </c>
      <c r="AA19" s="71">
        <f>('TE BE'!$AB$11+'TE BF'!$AB$11+'TE CVA'!$AB$11)*1*(1-0.03)</f>
        <v>209.13469685121515</v>
      </c>
      <c r="AB19" s="71">
        <f>(SUBSIDIO!$J$19*SUBSIDIO!$V$19)*(0.06)/(1-0.06)</f>
        <v>1847.2319999999997</v>
      </c>
      <c r="AC19" s="71">
        <f>((SUBSIDIO!$L$19*SUBSIDIO!$W$19)+(SUBSIDIO!$N$19*SUBSIDIO!$X$19))*(0.06)/(1-0.06)</f>
        <v>8879.7474528000002</v>
      </c>
      <c r="AD19" s="71">
        <f ca="1">(SUBSIDIO!$J$19*SUBSIDIO!$Y$19)*(0.03)/(1-0.03)</f>
        <v>915.38168318768544</v>
      </c>
      <c r="AE19" s="71">
        <f ca="1">((SUBSIDIO!$L$19*SUBSIDIO!$Z$19)+(SUBSIDIO!$N$19*SUBSIDIO!$AA$19))*(0.03)/(1-0.03)</f>
        <v>8569.8108134809172</v>
      </c>
      <c r="AF19" s="4" t="s">
        <v>842</v>
      </c>
    </row>
    <row r="20" spans="1:32" ht="11.25" customHeight="1" x14ac:dyDescent="0.25">
      <c r="A20" s="4" t="s">
        <v>21</v>
      </c>
      <c r="B20" s="4" t="s">
        <v>41</v>
      </c>
      <c r="C20" s="4" t="s">
        <v>40</v>
      </c>
      <c r="D20" s="4" t="s">
        <v>51</v>
      </c>
      <c r="E20" s="4" t="s">
        <v>52</v>
      </c>
      <c r="F20" s="4" t="s">
        <v>25</v>
      </c>
      <c r="G20" s="4" t="s">
        <v>25</v>
      </c>
      <c r="H20" s="4" t="s">
        <v>35</v>
      </c>
      <c r="I20" s="5">
        <v>44713</v>
      </c>
      <c r="J20" s="6">
        <v>1440</v>
      </c>
      <c r="K20" s="70">
        <v>1440</v>
      </c>
      <c r="L20" s="6">
        <v>664.29100000000005</v>
      </c>
      <c r="M20" s="71">
        <v>664.29100000000005</v>
      </c>
      <c r="N20" s="6">
        <v>664.29100000000005</v>
      </c>
      <c r="O20" s="71">
        <v>664.29100000000005</v>
      </c>
      <c r="P20" s="6">
        <v>0</v>
      </c>
      <c r="Q20" s="4" t="s">
        <v>26</v>
      </c>
      <c r="R20" s="4">
        <v>0</v>
      </c>
      <c r="S20" s="4">
        <v>43</v>
      </c>
      <c r="T20" s="4">
        <v>46</v>
      </c>
      <c r="U20" s="4">
        <v>76</v>
      </c>
      <c r="V20" s="71">
        <f>IF(ISERROR(VLOOKUP($S$20,'TAR FIN'!$A$1:$O$108,15,0)),0,VLOOKUP($S$20,'TAR FIN'!$A$1:$O$108,15,0))*(1-0.06)</f>
        <v>20.097199999999997</v>
      </c>
      <c r="W20" s="71">
        <f>IF(ISERROR(VLOOKUP($T$20,'TAR FIN'!$A$1:$O$108,15,0)),0,VLOOKUP($T$20,'TAR FIN'!$A$1:$O$108,15,0))*(1-0.06)</f>
        <v>96.462800000000001</v>
      </c>
      <c r="X20" s="71">
        <f>IF(ISERROR(VLOOKUP($U$20,'TAR FIN'!$A$1:$O$108,15,0)),0,VLOOKUP($U$20,'TAR FIN'!$A$1:$O$108,15,0))*(1-0.06)</f>
        <v>96.913999999999987</v>
      </c>
      <c r="Y20" s="71">
        <f ca="1">('TUSD BE'!$AM$22+'TUSD BF'!$AM$22+'TUSD CVA'!$AM$22)*1*(1-0.03)</f>
        <v>20.553709090093861</v>
      </c>
      <c r="Z20" s="71">
        <f ca="1">('TUSD BE'!$AM$23+'TUSD BF'!$AM$23+'TUSD CVA'!$AM$23)*1*(1-0.03)</f>
        <v>176.03212128696998</v>
      </c>
      <c r="AA20" s="71">
        <f>('TE BE'!$AB$11+'TE BF'!$AB$11+'TE CVA'!$AB$11)*1*(1-0.03)</f>
        <v>209.13469685121515</v>
      </c>
      <c r="AB20" s="71">
        <f>(SUBSIDIO!$J$20*SUBSIDIO!$V$20)*(0.06)/(1-0.06)</f>
        <v>1847.2319999999997</v>
      </c>
      <c r="AC20" s="71">
        <f>((SUBSIDIO!$L$20*SUBSIDIO!$W$20)+(SUBSIDIO!$N$20*SUBSIDIO!$X$20))*(0.06)/(1-0.06)</f>
        <v>8199.4766712000001</v>
      </c>
      <c r="AD20" s="71">
        <f ca="1">(SUBSIDIO!$J$20*SUBSIDIO!$Y$20)*(0.03)/(1-0.03)</f>
        <v>915.38168318768544</v>
      </c>
      <c r="AE20" s="71">
        <f ca="1">((SUBSIDIO!$L$20*SUBSIDIO!$Z$20)+(SUBSIDIO!$N$20*SUBSIDIO!$AA$20))*(0.03)/(1-0.03)</f>
        <v>7913.2840449845307</v>
      </c>
      <c r="AF20" s="4" t="s">
        <v>842</v>
      </c>
    </row>
    <row r="21" spans="1:32" ht="11.25" customHeight="1" x14ac:dyDescent="0.25">
      <c r="A21" s="4" t="s">
        <v>27</v>
      </c>
      <c r="B21" s="4" t="s">
        <v>41</v>
      </c>
      <c r="C21" s="4" t="s">
        <v>40</v>
      </c>
      <c r="D21" s="4" t="s">
        <v>51</v>
      </c>
      <c r="E21" s="4" t="s">
        <v>52</v>
      </c>
      <c r="F21" s="4" t="s">
        <v>25</v>
      </c>
      <c r="G21" s="4" t="s">
        <v>25</v>
      </c>
      <c r="H21" s="4" t="s">
        <v>35</v>
      </c>
      <c r="I21" s="5">
        <v>44743</v>
      </c>
      <c r="J21" s="6">
        <v>1440</v>
      </c>
      <c r="K21" s="70">
        <v>1440</v>
      </c>
      <c r="L21" s="6">
        <v>260.39999999999998</v>
      </c>
      <c r="M21" s="71">
        <v>260.39999999999998</v>
      </c>
      <c r="N21" s="6">
        <v>260.39999999999998</v>
      </c>
      <c r="O21" s="71">
        <v>260.39999999999998</v>
      </c>
      <c r="P21" s="6">
        <v>0</v>
      </c>
      <c r="Q21" s="4" t="s">
        <v>26</v>
      </c>
      <c r="R21" s="4">
        <v>0</v>
      </c>
      <c r="S21" s="4">
        <v>43</v>
      </c>
      <c r="T21" s="4">
        <v>46</v>
      </c>
      <c r="U21" s="4">
        <v>76</v>
      </c>
      <c r="V21" s="71">
        <f>IF(ISERROR(VLOOKUP($S$21,'TAR FIN'!$A$1:$O$108,15,0)),0,VLOOKUP($S$21,'TAR FIN'!$A$1:$O$108,15,0))*(1-0.06)</f>
        <v>20.097199999999997</v>
      </c>
      <c r="W21" s="71">
        <f>IF(ISERROR(VLOOKUP($T$21,'TAR FIN'!$A$1:$O$108,15,0)),0,VLOOKUP($T$21,'TAR FIN'!$A$1:$O$108,15,0))*(1-0.06)</f>
        <v>96.462800000000001</v>
      </c>
      <c r="X21" s="71">
        <f>IF(ISERROR(VLOOKUP($U$21,'TAR FIN'!$A$1:$O$108,15,0)),0,VLOOKUP($U$21,'TAR FIN'!$A$1:$O$108,15,0))*(1-0.06)</f>
        <v>96.913999999999987</v>
      </c>
      <c r="Y21" s="71">
        <f ca="1">('TUSD BE'!$AM$22+'TUSD BF'!$AM$22+'TUSD CVA'!$AM$22)*1*(1-0.03)</f>
        <v>20.553709090093861</v>
      </c>
      <c r="Z21" s="71">
        <f ca="1">('TUSD BE'!$AM$23+'TUSD BF'!$AM$23+'TUSD CVA'!$AM$23)*1*(1-0.03)</f>
        <v>176.03212128696998</v>
      </c>
      <c r="AA21" s="71">
        <f>('TE BE'!$AB$11+'TE BF'!$AB$11+'TE CVA'!$AB$11)*1*(1-0.03)</f>
        <v>209.13469685121515</v>
      </c>
      <c r="AB21" s="71">
        <f>(SUBSIDIO!$J$21*SUBSIDIO!$V$21)*(0.06)/(1-0.06)</f>
        <v>1847.2319999999997</v>
      </c>
      <c r="AC21" s="71">
        <f>((SUBSIDIO!$L$21*SUBSIDIO!$W$21)+(SUBSIDIO!$N$21*SUBSIDIO!$X$21))*(0.06)/(1-0.06)</f>
        <v>3214.1692799999996</v>
      </c>
      <c r="AD21" s="71">
        <f ca="1">(SUBSIDIO!$J$21*SUBSIDIO!$Y$21)*(0.03)/(1-0.03)</f>
        <v>915.38168318768544</v>
      </c>
      <c r="AE21" s="71">
        <f ca="1">((SUBSIDIO!$L$21*SUBSIDIO!$Z$21)+(SUBSIDIO!$N$21*SUBSIDIO!$AA$21))*(0.03)/(1-0.03)</f>
        <v>3101.9826631912388</v>
      </c>
      <c r="AF21" s="4" t="s">
        <v>842</v>
      </c>
    </row>
    <row r="22" spans="1:32" ht="11.25" customHeight="1" x14ac:dyDescent="0.25">
      <c r="A22" s="4" t="s">
        <v>21</v>
      </c>
      <c r="B22" s="4" t="s">
        <v>41</v>
      </c>
      <c r="C22" s="4" t="s">
        <v>40</v>
      </c>
      <c r="D22" s="4" t="s">
        <v>51</v>
      </c>
      <c r="E22" s="4" t="s">
        <v>52</v>
      </c>
      <c r="F22" s="4" t="s">
        <v>25</v>
      </c>
      <c r="G22" s="4" t="s">
        <v>25</v>
      </c>
      <c r="H22" s="4" t="s">
        <v>35</v>
      </c>
      <c r="I22" s="5">
        <v>44774</v>
      </c>
      <c r="J22" s="6">
        <v>1075</v>
      </c>
      <c r="K22" s="70">
        <v>1075</v>
      </c>
      <c r="L22" s="6">
        <v>579.24400000000003</v>
      </c>
      <c r="M22" s="71">
        <v>579.24400000000003</v>
      </c>
      <c r="N22" s="6">
        <v>579.24400000000003</v>
      </c>
      <c r="O22" s="71">
        <v>579.24400000000003</v>
      </c>
      <c r="P22" s="6">
        <v>0</v>
      </c>
      <c r="Q22" s="4" t="s">
        <v>26</v>
      </c>
      <c r="R22" s="4">
        <v>0</v>
      </c>
      <c r="S22" s="4">
        <v>43</v>
      </c>
      <c r="T22" s="4">
        <v>46</v>
      </c>
      <c r="U22" s="4">
        <v>76</v>
      </c>
      <c r="V22" s="71">
        <f>IF(ISERROR(VLOOKUP($S$22,'TAR FIN'!$A$1:$O$108,15,0)),0,VLOOKUP($S$22,'TAR FIN'!$A$1:$O$108,15,0))*(1-0.06)</f>
        <v>20.097199999999997</v>
      </c>
      <c r="W22" s="71">
        <f>IF(ISERROR(VLOOKUP($T$22,'TAR FIN'!$A$1:$O$108,15,0)),0,VLOOKUP($T$22,'TAR FIN'!$A$1:$O$108,15,0))*(1-0.06)</f>
        <v>96.462800000000001</v>
      </c>
      <c r="X22" s="71">
        <f>IF(ISERROR(VLOOKUP($U$22,'TAR FIN'!$A$1:$O$108,15,0)),0,VLOOKUP($U$22,'TAR FIN'!$A$1:$O$108,15,0))*(1-0.06)</f>
        <v>96.913999999999987</v>
      </c>
      <c r="Y22" s="71">
        <f ca="1">('TUSD BE'!$AM$22+'TUSD BF'!$AM$22+'TUSD CVA'!$AM$22)*1*(1-0.03)</f>
        <v>20.553709090093861</v>
      </c>
      <c r="Z22" s="71">
        <f ca="1">('TUSD BE'!$AM$23+'TUSD BF'!$AM$23+'TUSD CVA'!$AM$23)*1*(1-0.03)</f>
        <v>176.03212128696998</v>
      </c>
      <c r="AA22" s="71">
        <f>('TE BE'!$AB$11+'TE BF'!$AB$11+'TE CVA'!$AB$11)*1*(1-0.03)</f>
        <v>209.13469685121515</v>
      </c>
      <c r="AB22" s="71">
        <f>(SUBSIDIO!$J$22*SUBSIDIO!$V$22)*(0.06)/(1-0.06)</f>
        <v>1379.01</v>
      </c>
      <c r="AC22" s="71">
        <f>((SUBSIDIO!$L$22*SUBSIDIO!$W$22)+(SUBSIDIO!$N$22*SUBSIDIO!$X$22))*(0.06)/(1-0.06)</f>
        <v>7149.7245408000008</v>
      </c>
      <c r="AD22" s="71">
        <f ca="1">(SUBSIDIO!$J$22*SUBSIDIO!$Y$22)*(0.03)/(1-0.03)</f>
        <v>683.35785376858462</v>
      </c>
      <c r="AE22" s="71">
        <f ca="1">((SUBSIDIO!$L$22*SUBSIDIO!$Z$22)+(SUBSIDIO!$N$22*SUBSIDIO!$AA$22))*(0.03)/(1-0.03)</f>
        <v>6900.172218730977</v>
      </c>
      <c r="AF22" s="4" t="s">
        <v>842</v>
      </c>
    </row>
    <row r="23" spans="1:32" ht="11.25" customHeight="1" x14ac:dyDescent="0.25">
      <c r="A23" s="4" t="s">
        <v>27</v>
      </c>
      <c r="B23" s="4" t="s">
        <v>41</v>
      </c>
      <c r="C23" s="4" t="s">
        <v>40</v>
      </c>
      <c r="D23" s="4" t="s">
        <v>51</v>
      </c>
      <c r="E23" s="4" t="s">
        <v>52</v>
      </c>
      <c r="F23" s="4" t="s">
        <v>25</v>
      </c>
      <c r="G23" s="4" t="s">
        <v>25</v>
      </c>
      <c r="H23" s="4" t="s">
        <v>35</v>
      </c>
      <c r="I23" s="5">
        <v>44774</v>
      </c>
      <c r="J23" s="6">
        <v>0</v>
      </c>
      <c r="K23" s="71">
        <v>0</v>
      </c>
      <c r="L23" s="6">
        <v>414.90199999999999</v>
      </c>
      <c r="M23" s="71">
        <v>414.90199999999999</v>
      </c>
      <c r="N23" s="6">
        <v>414.90199999999999</v>
      </c>
      <c r="O23" s="71">
        <v>414.90199999999999</v>
      </c>
      <c r="P23" s="6">
        <v>0</v>
      </c>
      <c r="Q23" s="4" t="s">
        <v>26</v>
      </c>
      <c r="R23" s="4">
        <v>0</v>
      </c>
      <c r="S23" s="4">
        <v>0</v>
      </c>
      <c r="T23" s="4">
        <v>46</v>
      </c>
      <c r="U23" s="4">
        <v>76</v>
      </c>
      <c r="V23" s="71">
        <f>IF(ISERROR(VLOOKUP($S$23,'TAR FIN'!$A$1:$O$108,15,0)),0,VLOOKUP($S$23,'TAR FIN'!$A$1:$O$108,15,0))*(1-0.06)</f>
        <v>0</v>
      </c>
      <c r="W23" s="71">
        <f>IF(ISERROR(VLOOKUP($T$23,'TAR FIN'!$A$1:$O$108,15,0)),0,VLOOKUP($T$23,'TAR FIN'!$A$1:$O$108,15,0))*(1-0.06)</f>
        <v>96.462800000000001</v>
      </c>
      <c r="X23" s="71">
        <f>IF(ISERROR(VLOOKUP($U$23,'TAR FIN'!$A$1:$O$108,15,0)),0,VLOOKUP($U$23,'TAR FIN'!$A$1:$O$108,15,0))*(1-0.06)</f>
        <v>96.913999999999987</v>
      </c>
      <c r="Y23" s="71">
        <f ca="1">('TUSD BE'!$AM$22+'TUSD BF'!$AM$22+'TUSD CVA'!$AM$22)*1*(1-0.03)</f>
        <v>20.553709090093861</v>
      </c>
      <c r="Z23" s="71">
        <f ca="1">('TUSD BE'!$AM$23+'TUSD BF'!$AM$23+'TUSD CVA'!$AM$23)*1*(1-0.03)</f>
        <v>176.03212128696998</v>
      </c>
      <c r="AA23" s="71">
        <f>('TE BE'!$AB$11+'TE BF'!$AB$11+'TE CVA'!$AB$11)*1*(1-0.03)</f>
        <v>209.13469685121515</v>
      </c>
      <c r="AB23" s="71">
        <f>(SUBSIDIO!$J$23*SUBSIDIO!$V$23)*(0.06)/(1-0.06)</f>
        <v>0</v>
      </c>
      <c r="AC23" s="71">
        <f>((SUBSIDIO!$L$23*SUBSIDIO!$W$23)+(SUBSIDIO!$N$23*SUBSIDIO!$X$23))*(0.06)/(1-0.06)</f>
        <v>5121.2183663999986</v>
      </c>
      <c r="AD23" s="71">
        <f ca="1">(SUBSIDIO!$J$23*SUBSIDIO!$Y$23)*(0.03)/(1-0.03)</f>
        <v>0</v>
      </c>
      <c r="AE23" s="71">
        <f ca="1">((SUBSIDIO!$L$23*SUBSIDIO!$Z$23)+(SUBSIDIO!$N$23*SUBSIDIO!$AA$23))*(0.03)/(1-0.03)</f>
        <v>4942.4685519330715</v>
      </c>
      <c r="AF23" s="4" t="s">
        <v>842</v>
      </c>
    </row>
    <row r="24" spans="1:32" ht="11.25" customHeight="1" x14ac:dyDescent="0.25">
      <c r="A24" s="4" t="s">
        <v>21</v>
      </c>
      <c r="B24" s="4" t="s">
        <v>41</v>
      </c>
      <c r="C24" s="4" t="s">
        <v>40</v>
      </c>
      <c r="D24" s="4" t="s">
        <v>51</v>
      </c>
      <c r="E24" s="4" t="s">
        <v>52</v>
      </c>
      <c r="F24" s="4" t="s">
        <v>25</v>
      </c>
      <c r="G24" s="4" t="s">
        <v>25</v>
      </c>
      <c r="H24" s="4" t="s">
        <v>35</v>
      </c>
      <c r="I24" s="5">
        <v>44805</v>
      </c>
      <c r="J24" s="6">
        <v>1113</v>
      </c>
      <c r="K24" s="70">
        <v>1113</v>
      </c>
      <c r="L24" s="6">
        <v>551.00099999999998</v>
      </c>
      <c r="M24" s="71">
        <v>551.00099999999998</v>
      </c>
      <c r="N24" s="6">
        <v>551.00099999999998</v>
      </c>
      <c r="O24" s="71">
        <v>551.00099999999998</v>
      </c>
      <c r="P24" s="6">
        <v>0</v>
      </c>
      <c r="Q24" s="4" t="s">
        <v>26</v>
      </c>
      <c r="R24" s="4">
        <v>0</v>
      </c>
      <c r="S24" s="4">
        <v>43</v>
      </c>
      <c r="T24" s="4">
        <v>46</v>
      </c>
      <c r="U24" s="4">
        <v>76</v>
      </c>
      <c r="V24" s="71">
        <f>IF(ISERROR(VLOOKUP($S$24,'TAR FIN'!$A$1:$O$108,15,0)),0,VLOOKUP($S$24,'TAR FIN'!$A$1:$O$108,15,0))*(1-0.06)</f>
        <v>20.097199999999997</v>
      </c>
      <c r="W24" s="71">
        <f>IF(ISERROR(VLOOKUP($T$24,'TAR FIN'!$A$1:$O$108,15,0)),0,VLOOKUP($T$24,'TAR FIN'!$A$1:$O$108,15,0))*(1-0.06)</f>
        <v>96.462800000000001</v>
      </c>
      <c r="X24" s="71">
        <f>IF(ISERROR(VLOOKUP($U$24,'TAR FIN'!$A$1:$O$108,15,0)),0,VLOOKUP($U$24,'TAR FIN'!$A$1:$O$108,15,0))*(1-0.06)</f>
        <v>96.913999999999987</v>
      </c>
      <c r="Y24" s="71">
        <f ca="1">('TUSD BE'!$AM$22+'TUSD BF'!$AM$22+'TUSD CVA'!$AM$22)*1*(1-0.03)</f>
        <v>20.553709090093861</v>
      </c>
      <c r="Z24" s="71">
        <f ca="1">('TUSD BE'!$AM$23+'TUSD BF'!$AM$23+'TUSD CVA'!$AM$23)*1*(1-0.03)</f>
        <v>176.03212128696998</v>
      </c>
      <c r="AA24" s="71">
        <f>('TE BE'!$AB$11+'TE BF'!$AB$11+'TE CVA'!$AB$11)*1*(1-0.03)</f>
        <v>209.13469685121515</v>
      </c>
      <c r="AB24" s="71">
        <f>(SUBSIDIO!$J$24*SUBSIDIO!$V$24)*(0.06)/(1-0.06)</f>
        <v>1427.7564</v>
      </c>
      <c r="AC24" s="71">
        <f>((SUBSIDIO!$L$24*SUBSIDIO!$W$24)+(SUBSIDIO!$N$24*SUBSIDIO!$X$24))*(0.06)/(1-0.06)</f>
        <v>6801.1155431999978</v>
      </c>
      <c r="AD24" s="71">
        <f ca="1">(SUBSIDIO!$J$24*SUBSIDIO!$Y$24)*(0.03)/(1-0.03)</f>
        <v>707.51375929714845</v>
      </c>
      <c r="AE24" s="71">
        <f ca="1">((SUBSIDIO!$L$24*SUBSIDIO!$Z$24)+(SUBSIDIO!$N$24*SUBSIDIO!$AA$24))*(0.03)/(1-0.03)</f>
        <v>6563.7309884832421</v>
      </c>
      <c r="AF24" s="4" t="s">
        <v>842</v>
      </c>
    </row>
    <row r="25" spans="1:32" ht="11.25" customHeight="1" x14ac:dyDescent="0.25">
      <c r="A25" s="4" t="s">
        <v>21</v>
      </c>
      <c r="B25" s="4" t="s">
        <v>41</v>
      </c>
      <c r="C25" s="4" t="s">
        <v>40</v>
      </c>
      <c r="D25" s="4" t="s">
        <v>51</v>
      </c>
      <c r="E25" s="4" t="s">
        <v>52</v>
      </c>
      <c r="F25" s="4" t="s">
        <v>25</v>
      </c>
      <c r="G25" s="4" t="s">
        <v>25</v>
      </c>
      <c r="H25" s="4" t="s">
        <v>35</v>
      </c>
      <c r="I25" s="5">
        <v>44835</v>
      </c>
      <c r="J25" s="6">
        <v>1113</v>
      </c>
      <c r="K25" s="70">
        <v>1113</v>
      </c>
      <c r="L25" s="6">
        <v>617.971</v>
      </c>
      <c r="M25" s="71">
        <v>617.971</v>
      </c>
      <c r="N25" s="6">
        <v>617.971</v>
      </c>
      <c r="O25" s="71">
        <v>617.971</v>
      </c>
      <c r="P25" s="6">
        <v>0</v>
      </c>
      <c r="Q25" s="4" t="s">
        <v>26</v>
      </c>
      <c r="R25" s="4">
        <v>0</v>
      </c>
      <c r="S25" s="4">
        <v>43</v>
      </c>
      <c r="T25" s="4">
        <v>46</v>
      </c>
      <c r="U25" s="4">
        <v>76</v>
      </c>
      <c r="V25" s="71">
        <f>IF(ISERROR(VLOOKUP($S$25,'TAR FIN'!$A$1:$O$108,15,0)),0,VLOOKUP($S$25,'TAR FIN'!$A$1:$O$108,15,0))*(1-0.06)</f>
        <v>20.097199999999997</v>
      </c>
      <c r="W25" s="71">
        <f>IF(ISERROR(VLOOKUP($T$25,'TAR FIN'!$A$1:$O$108,15,0)),0,VLOOKUP($T$25,'TAR FIN'!$A$1:$O$108,15,0))*(1-0.06)</f>
        <v>96.462800000000001</v>
      </c>
      <c r="X25" s="71">
        <f>IF(ISERROR(VLOOKUP($U$25,'TAR FIN'!$A$1:$O$108,15,0)),0,VLOOKUP($U$25,'TAR FIN'!$A$1:$O$108,15,0))*(1-0.06)</f>
        <v>96.913999999999987</v>
      </c>
      <c r="Y25" s="71">
        <f ca="1">('TUSD BE'!$AM$22+'TUSD BF'!$AM$22+'TUSD CVA'!$AM$22)*1*(1-0.03)</f>
        <v>20.553709090093861</v>
      </c>
      <c r="Z25" s="71">
        <f ca="1">('TUSD BE'!$AM$23+'TUSD BF'!$AM$23+'TUSD CVA'!$AM$23)*1*(1-0.03)</f>
        <v>176.03212128696998</v>
      </c>
      <c r="AA25" s="71">
        <f>('TE BE'!$AB$11+'TE BF'!$AB$11+'TE CVA'!$AB$11)*1*(1-0.03)</f>
        <v>209.13469685121515</v>
      </c>
      <c r="AB25" s="71">
        <f>(SUBSIDIO!$J$25*SUBSIDIO!$V$25)*(0.06)/(1-0.06)</f>
        <v>1427.7564</v>
      </c>
      <c r="AC25" s="71">
        <f>((SUBSIDIO!$L$25*SUBSIDIO!$W$25)+(SUBSIDIO!$N$25*SUBSIDIO!$X$25))*(0.06)/(1-0.06)</f>
        <v>7627.7396472</v>
      </c>
      <c r="AD25" s="71">
        <f ca="1">(SUBSIDIO!$J$25*SUBSIDIO!$Y$25)*(0.03)/(1-0.03)</f>
        <v>707.51375929714845</v>
      </c>
      <c r="AE25" s="71">
        <f ca="1">((SUBSIDIO!$L$25*SUBSIDIO!$Z$25)+(SUBSIDIO!$N$25*SUBSIDIO!$AA$25))*(0.03)/(1-0.03)</f>
        <v>7361.502797062034</v>
      </c>
      <c r="AF25" s="4" t="s">
        <v>842</v>
      </c>
    </row>
    <row r="26" spans="1:32" ht="11.25" customHeight="1" x14ac:dyDescent="0.25">
      <c r="A26" s="4" t="s">
        <v>54</v>
      </c>
      <c r="B26" s="4" t="s">
        <v>41</v>
      </c>
      <c r="C26" s="4" t="s">
        <v>40</v>
      </c>
      <c r="D26" s="4" t="s">
        <v>51</v>
      </c>
      <c r="E26" s="4" t="s">
        <v>52</v>
      </c>
      <c r="F26" s="4" t="s">
        <v>25</v>
      </c>
      <c r="G26" s="4" t="s">
        <v>25</v>
      </c>
      <c r="H26" s="4" t="s">
        <v>35</v>
      </c>
      <c r="I26" s="5">
        <v>44866</v>
      </c>
      <c r="J26" s="6">
        <v>1113</v>
      </c>
      <c r="K26" s="70">
        <v>1113</v>
      </c>
      <c r="L26" s="6">
        <v>617.971</v>
      </c>
      <c r="M26" s="71">
        <v>617.971</v>
      </c>
      <c r="N26" s="6">
        <v>617.971</v>
      </c>
      <c r="O26" s="71">
        <v>617.971</v>
      </c>
      <c r="P26" s="6">
        <v>0</v>
      </c>
      <c r="Q26" s="4" t="s">
        <v>26</v>
      </c>
      <c r="R26" s="4">
        <v>0</v>
      </c>
      <c r="S26" s="4">
        <v>43</v>
      </c>
      <c r="T26" s="4">
        <v>46</v>
      </c>
      <c r="U26" s="4">
        <v>76</v>
      </c>
      <c r="V26" s="71">
        <f>IF(ISERROR(VLOOKUP($S$26,'TAR FIN'!$A$1:$O$108,15,0)),0,VLOOKUP($S$26,'TAR FIN'!$A$1:$O$108,15,0))*(1-0.06)</f>
        <v>20.097199999999997</v>
      </c>
      <c r="W26" s="71">
        <f>IF(ISERROR(VLOOKUP($T$26,'TAR FIN'!$A$1:$O$108,15,0)),0,VLOOKUP($T$26,'TAR FIN'!$A$1:$O$108,15,0))*(1-0.06)</f>
        <v>96.462800000000001</v>
      </c>
      <c r="X26" s="71">
        <f>IF(ISERROR(VLOOKUP($U$26,'TAR FIN'!$A$1:$O$108,15,0)),0,VLOOKUP($U$26,'TAR FIN'!$A$1:$O$108,15,0))*(1-0.06)</f>
        <v>96.913999999999987</v>
      </c>
      <c r="Y26" s="71">
        <f ca="1">('TUSD BE'!$AM$22+'TUSD BF'!$AM$22+'TUSD CVA'!$AM$22)*1*(1-0.03)</f>
        <v>20.553709090093861</v>
      </c>
      <c r="Z26" s="71">
        <f ca="1">('TUSD BE'!$AM$23+'TUSD BF'!$AM$23+'TUSD CVA'!$AM$23)*1*(1-0.03)</f>
        <v>176.03212128696998</v>
      </c>
      <c r="AA26" s="71">
        <f>('TE BE'!$AB$11+'TE BF'!$AB$11+'TE CVA'!$AB$11)*1*(1-0.03)</f>
        <v>209.13469685121515</v>
      </c>
      <c r="AB26" s="71">
        <f>(SUBSIDIO!$J$26*SUBSIDIO!$V$26)*(0.06)/(1-0.06)</f>
        <v>1427.7564</v>
      </c>
      <c r="AC26" s="71">
        <f>((SUBSIDIO!$L$26*SUBSIDIO!$W$26)+(SUBSIDIO!$N$26*SUBSIDIO!$X$26))*(0.06)/(1-0.06)</f>
        <v>7627.7396472</v>
      </c>
      <c r="AD26" s="71">
        <f ca="1">(SUBSIDIO!$J$26*SUBSIDIO!$Y$26)*(0.03)/(1-0.03)</f>
        <v>707.51375929714845</v>
      </c>
      <c r="AE26" s="71">
        <f ca="1">((SUBSIDIO!$L$26*SUBSIDIO!$Z$26)+(SUBSIDIO!$N$26*SUBSIDIO!$AA$26))*(0.03)/(1-0.03)</f>
        <v>7361.502797062034</v>
      </c>
      <c r="AF26" s="4" t="s">
        <v>842</v>
      </c>
    </row>
    <row r="27" spans="1:32" ht="11.25" customHeight="1" x14ac:dyDescent="0.25">
      <c r="A27" s="4" t="s">
        <v>21</v>
      </c>
      <c r="B27" s="4" t="s">
        <v>41</v>
      </c>
      <c r="C27" s="4" t="s">
        <v>40</v>
      </c>
      <c r="D27" s="4" t="s">
        <v>51</v>
      </c>
      <c r="E27" s="4" t="s">
        <v>52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1344</v>
      </c>
      <c r="K27" s="70">
        <v>1344</v>
      </c>
      <c r="L27" s="6">
        <v>76.8</v>
      </c>
      <c r="M27" s="71">
        <v>76.8</v>
      </c>
      <c r="N27" s="6">
        <v>76.8</v>
      </c>
      <c r="O27" s="71">
        <v>76.8</v>
      </c>
      <c r="P27" s="6">
        <v>0</v>
      </c>
      <c r="Q27" s="4" t="s">
        <v>26</v>
      </c>
      <c r="R27" s="4">
        <v>0</v>
      </c>
      <c r="S27" s="4">
        <v>42</v>
      </c>
      <c r="T27" s="4">
        <v>46</v>
      </c>
      <c r="U27" s="4">
        <v>75</v>
      </c>
      <c r="V27" s="71">
        <f>IF(ISERROR(VLOOKUP($S$27,'TAR FIN'!$A$1:$O$108,15,0)),0,VLOOKUP($S$27,'TAR FIN'!$A$1:$O$108,15,0))*(1-0.06)</f>
        <v>52.451999999999991</v>
      </c>
      <c r="W27" s="71">
        <f>IF(ISERROR(VLOOKUP($T$27,'TAR FIN'!$A$1:$O$108,15,0)),0,VLOOKUP($T$27,'TAR FIN'!$A$1:$O$108,15,0))*(1-0.06)</f>
        <v>96.462800000000001</v>
      </c>
      <c r="X27" s="71">
        <f>IF(ISERROR(VLOOKUP($U$27,'TAR FIN'!$A$1:$O$108,15,0)),0,VLOOKUP($U$27,'TAR FIN'!$A$1:$O$108,15,0))*(1-0.06)</f>
        <v>149.86420000000001</v>
      </c>
      <c r="Y27" s="71">
        <f ca="1">('TUSD BE'!$AM$21+'TUSD BF'!$AM$21+'TUSD CVA'!$AM$21)*1*(1-0.03)</f>
        <v>52.620968893838473</v>
      </c>
      <c r="Z27" s="71">
        <f ca="1">('TUSD BE'!$AM$23+'TUSD BF'!$AM$23+'TUSD CVA'!$AM$23)*1*(1-0.03)</f>
        <v>176.03212128696998</v>
      </c>
      <c r="AA27" s="71">
        <f>('TE BE'!$AB$10+'TE BF'!$AB$10+'TE CVA'!$AB$10)*1*(1-0.03)</f>
        <v>312.46103067547443</v>
      </c>
      <c r="AB27" s="71">
        <f>(SUBSIDIO!$J$27*SUBSIDIO!$V$27)*(0.06)/(1-0.06)</f>
        <v>4499.7119999999986</v>
      </c>
      <c r="AC27" s="71">
        <f>((SUBSIDIO!$L$27*SUBSIDIO!$W$27)+(SUBSIDIO!$N$27*SUBSIDIO!$X$27))*(0.06)/(1-0.06)</f>
        <v>1207.5264000000002</v>
      </c>
      <c r="AD27" s="71">
        <f ca="1">(SUBSIDIO!$J$27*SUBSIDIO!$Y$27)*(0.03)/(1-0.03)</f>
        <v>2187.2963564943993</v>
      </c>
      <c r="AE27" s="71">
        <f ca="1">((SUBSIDIO!$L$27*SUBSIDIO!$Z$27)+(SUBSIDIO!$N$27*SUBSIDIO!$AA$27))*(0.03)/(1-0.03)</f>
        <v>1160.297136207703</v>
      </c>
      <c r="AF27" s="4" t="s">
        <v>842</v>
      </c>
    </row>
    <row r="28" spans="1:32" ht="11.25" customHeight="1" x14ac:dyDescent="0.25">
      <c r="A28" s="4" t="s">
        <v>21</v>
      </c>
      <c r="B28" s="4" t="s">
        <v>41</v>
      </c>
      <c r="C28" s="4" t="s">
        <v>40</v>
      </c>
      <c r="D28" s="4" t="s">
        <v>51</v>
      </c>
      <c r="E28" s="4" t="s">
        <v>52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1344</v>
      </c>
      <c r="K28" s="70">
        <v>1344</v>
      </c>
      <c r="L28" s="6">
        <v>74.236000000000004</v>
      </c>
      <c r="M28" s="71">
        <v>74.236000000000004</v>
      </c>
      <c r="N28" s="6">
        <v>74.236000000000004</v>
      </c>
      <c r="O28" s="71">
        <v>74.236000000000004</v>
      </c>
      <c r="P28" s="6">
        <v>0</v>
      </c>
      <c r="Q28" s="4" t="s">
        <v>26</v>
      </c>
      <c r="R28" s="4">
        <v>0</v>
      </c>
      <c r="S28" s="4">
        <v>42</v>
      </c>
      <c r="T28" s="4">
        <v>46</v>
      </c>
      <c r="U28" s="4">
        <v>75</v>
      </c>
      <c r="V28" s="71">
        <f>IF(ISERROR(VLOOKUP($S$28,'TAR FIN'!$A$1:$O$108,15,0)),0,VLOOKUP($S$28,'TAR FIN'!$A$1:$O$108,15,0))*(1-0.06)</f>
        <v>52.451999999999991</v>
      </c>
      <c r="W28" s="71">
        <f>IF(ISERROR(VLOOKUP($T$28,'TAR FIN'!$A$1:$O$108,15,0)),0,VLOOKUP($T$28,'TAR FIN'!$A$1:$O$108,15,0))*(1-0.06)</f>
        <v>96.462800000000001</v>
      </c>
      <c r="X28" s="71">
        <f>IF(ISERROR(VLOOKUP($U$28,'TAR FIN'!$A$1:$O$108,15,0)),0,VLOOKUP($U$28,'TAR FIN'!$A$1:$O$108,15,0))*(1-0.06)</f>
        <v>149.86420000000001</v>
      </c>
      <c r="Y28" s="71">
        <f ca="1">('TUSD BE'!$AM$21+'TUSD BF'!$AM$21+'TUSD CVA'!$AM$21)*1*(1-0.03)</f>
        <v>52.620968893838473</v>
      </c>
      <c r="Z28" s="71">
        <f ca="1">('TUSD BE'!$AM$23+'TUSD BF'!$AM$23+'TUSD CVA'!$AM$23)*1*(1-0.03)</f>
        <v>176.03212128696998</v>
      </c>
      <c r="AA28" s="71">
        <f>('TE BE'!$AB$10+'TE BF'!$AB$10+'TE CVA'!$AB$10)*1*(1-0.03)</f>
        <v>312.46103067547443</v>
      </c>
      <c r="AB28" s="71">
        <f>(SUBSIDIO!$J$28*SUBSIDIO!$V$28)*(0.06)/(1-0.06)</f>
        <v>4499.7119999999986</v>
      </c>
      <c r="AC28" s="71">
        <f>((SUBSIDIO!$L$28*SUBSIDIO!$W$28)+(SUBSIDIO!$N$28*SUBSIDIO!$X$28))*(0.06)/(1-0.06)</f>
        <v>1167.2126280000002</v>
      </c>
      <c r="AD28" s="71">
        <f ca="1">(SUBSIDIO!$J$28*SUBSIDIO!$Y$28)*(0.03)/(1-0.03)</f>
        <v>2187.2963564943993</v>
      </c>
      <c r="AE28" s="71">
        <f ca="1">((SUBSIDIO!$L$28*SUBSIDIO!$Z$28)+(SUBSIDIO!$N$28*SUBSIDIO!$AA$28))*(0.03)/(1-0.03)</f>
        <v>1121.5601328582688</v>
      </c>
      <c r="AF28" s="4" t="s">
        <v>842</v>
      </c>
    </row>
    <row r="29" spans="1:32" ht="11.25" customHeight="1" x14ac:dyDescent="0.25">
      <c r="A29" s="4" t="s">
        <v>21</v>
      </c>
      <c r="B29" s="4" t="s">
        <v>41</v>
      </c>
      <c r="C29" s="4" t="s">
        <v>40</v>
      </c>
      <c r="D29" s="4" t="s">
        <v>51</v>
      </c>
      <c r="E29" s="4" t="s">
        <v>52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1344</v>
      </c>
      <c r="K29" s="70">
        <v>1344</v>
      </c>
      <c r="L29" s="6">
        <v>82.531000000000006</v>
      </c>
      <c r="M29" s="71">
        <v>82.531000000000006</v>
      </c>
      <c r="N29" s="6">
        <v>82.531000000000006</v>
      </c>
      <c r="O29" s="71">
        <v>82.531000000000006</v>
      </c>
      <c r="P29" s="6">
        <v>0</v>
      </c>
      <c r="Q29" s="4" t="s">
        <v>26</v>
      </c>
      <c r="R29" s="4">
        <v>0</v>
      </c>
      <c r="S29" s="4">
        <v>42</v>
      </c>
      <c r="T29" s="4">
        <v>46</v>
      </c>
      <c r="U29" s="4">
        <v>75</v>
      </c>
      <c r="V29" s="71">
        <f>IF(ISERROR(VLOOKUP($S$29,'TAR FIN'!$A$1:$O$108,15,0)),0,VLOOKUP($S$29,'TAR FIN'!$A$1:$O$108,15,0))*(1-0.06)</f>
        <v>52.451999999999991</v>
      </c>
      <c r="W29" s="71">
        <f>IF(ISERROR(VLOOKUP($T$29,'TAR FIN'!$A$1:$O$108,15,0)),0,VLOOKUP($T$29,'TAR FIN'!$A$1:$O$108,15,0))*(1-0.06)</f>
        <v>96.462800000000001</v>
      </c>
      <c r="X29" s="71">
        <f>IF(ISERROR(VLOOKUP($U$29,'TAR FIN'!$A$1:$O$108,15,0)),0,VLOOKUP($U$29,'TAR FIN'!$A$1:$O$108,15,0))*(1-0.06)</f>
        <v>149.86420000000001</v>
      </c>
      <c r="Y29" s="71">
        <f ca="1">('TUSD BE'!$AM$21+'TUSD BF'!$AM$21+'TUSD CVA'!$AM$21)*1*(1-0.03)</f>
        <v>52.620968893838473</v>
      </c>
      <c r="Z29" s="71">
        <f ca="1">('TUSD BE'!$AM$23+'TUSD BF'!$AM$23+'TUSD CVA'!$AM$23)*1*(1-0.03)</f>
        <v>176.03212128696998</v>
      </c>
      <c r="AA29" s="71">
        <f>('TE BE'!$AB$10+'TE BF'!$AB$10+'TE CVA'!$AB$10)*1*(1-0.03)</f>
        <v>312.46103067547443</v>
      </c>
      <c r="AB29" s="71">
        <f>(SUBSIDIO!$J$29*SUBSIDIO!$V$29)*(0.06)/(1-0.06)</f>
        <v>4499.7119999999986</v>
      </c>
      <c r="AC29" s="71">
        <f>((SUBSIDIO!$L$29*SUBSIDIO!$W$29)+(SUBSIDIO!$N$29*SUBSIDIO!$X$29))*(0.06)/(1-0.06)</f>
        <v>1297.6349130000001</v>
      </c>
      <c r="AD29" s="71">
        <f ca="1">(SUBSIDIO!$J$29*SUBSIDIO!$Y$29)*(0.03)/(1-0.03)</f>
        <v>2187.2963564943993</v>
      </c>
      <c r="AE29" s="71">
        <f ca="1">((SUBSIDIO!$L$29*SUBSIDIO!$Z$29)+(SUBSIDIO!$N$29*SUBSIDIO!$AA$29))*(0.03)/(1-0.03)</f>
        <v>1246.8812883900773</v>
      </c>
      <c r="AF29" s="4" t="s">
        <v>842</v>
      </c>
    </row>
    <row r="30" spans="1:32" ht="11.25" customHeight="1" x14ac:dyDescent="0.25">
      <c r="A30" s="4" t="s">
        <v>21</v>
      </c>
      <c r="B30" s="4" t="s">
        <v>41</v>
      </c>
      <c r="C30" s="4" t="s">
        <v>40</v>
      </c>
      <c r="D30" s="4" t="s">
        <v>51</v>
      </c>
      <c r="E30" s="4" t="s">
        <v>52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1344</v>
      </c>
      <c r="K30" s="70">
        <v>1344</v>
      </c>
      <c r="L30" s="6">
        <v>76.837999999999994</v>
      </c>
      <c r="M30" s="71">
        <v>76.837999999999994</v>
      </c>
      <c r="N30" s="6">
        <v>76.837999999999994</v>
      </c>
      <c r="O30" s="71">
        <v>76.837999999999994</v>
      </c>
      <c r="P30" s="6">
        <v>0</v>
      </c>
      <c r="Q30" s="4" t="s">
        <v>26</v>
      </c>
      <c r="R30" s="4">
        <v>0</v>
      </c>
      <c r="S30" s="4">
        <v>42</v>
      </c>
      <c r="T30" s="4">
        <v>46</v>
      </c>
      <c r="U30" s="4">
        <v>75</v>
      </c>
      <c r="V30" s="71">
        <f>IF(ISERROR(VLOOKUP($S$30,'TAR FIN'!$A$1:$O$108,15,0)),0,VLOOKUP($S$30,'TAR FIN'!$A$1:$O$108,15,0))*(1-0.06)</f>
        <v>52.451999999999991</v>
      </c>
      <c r="W30" s="71">
        <f>IF(ISERROR(VLOOKUP($T$30,'TAR FIN'!$A$1:$O$108,15,0)),0,VLOOKUP($T$30,'TAR FIN'!$A$1:$O$108,15,0))*(1-0.06)</f>
        <v>96.462800000000001</v>
      </c>
      <c r="X30" s="71">
        <f>IF(ISERROR(VLOOKUP($U$30,'TAR FIN'!$A$1:$O$108,15,0)),0,VLOOKUP($U$30,'TAR FIN'!$A$1:$O$108,15,0))*(1-0.06)</f>
        <v>149.86420000000001</v>
      </c>
      <c r="Y30" s="71">
        <f ca="1">('TUSD BE'!$AM$21+'TUSD BF'!$AM$21+'TUSD CVA'!$AM$21)*1*(1-0.03)</f>
        <v>52.620968893838473</v>
      </c>
      <c r="Z30" s="71">
        <f ca="1">('TUSD BE'!$AM$23+'TUSD BF'!$AM$23+'TUSD CVA'!$AM$23)*1*(1-0.03)</f>
        <v>176.03212128696998</v>
      </c>
      <c r="AA30" s="71">
        <f>('TE BE'!$AB$10+'TE BF'!$AB$10+'TE CVA'!$AB$10)*1*(1-0.03)</f>
        <v>312.46103067547443</v>
      </c>
      <c r="AB30" s="71">
        <f>(SUBSIDIO!$J$30*SUBSIDIO!$V$30)*(0.06)/(1-0.06)</f>
        <v>4499.7119999999986</v>
      </c>
      <c r="AC30" s="71">
        <f>((SUBSIDIO!$L$30*SUBSIDIO!$W$30)+(SUBSIDIO!$N$30*SUBSIDIO!$X$30))*(0.06)/(1-0.06)</f>
        <v>1208.1238739999999</v>
      </c>
      <c r="AD30" s="71">
        <f ca="1">(SUBSIDIO!$J$30*SUBSIDIO!$Y$30)*(0.03)/(1-0.03)</f>
        <v>2187.2963564943993</v>
      </c>
      <c r="AE30" s="71">
        <f ca="1">((SUBSIDIO!$L$30*SUBSIDIO!$Z$30)+(SUBSIDIO!$N$30*SUBSIDIO!$AA$30))*(0.03)/(1-0.03)</f>
        <v>1160.8712415615555</v>
      </c>
      <c r="AF30" s="4" t="s">
        <v>842</v>
      </c>
    </row>
    <row r="31" spans="1:32" ht="11.25" customHeight="1" x14ac:dyDescent="0.25">
      <c r="A31" s="4" t="s">
        <v>21</v>
      </c>
      <c r="B31" s="4" t="s">
        <v>41</v>
      </c>
      <c r="C31" s="4" t="s">
        <v>40</v>
      </c>
      <c r="D31" s="4" t="s">
        <v>51</v>
      </c>
      <c r="E31" s="4" t="s">
        <v>52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1344</v>
      </c>
      <c r="K31" s="70">
        <v>1344</v>
      </c>
      <c r="L31" s="6">
        <v>65.721000000000004</v>
      </c>
      <c r="M31" s="71">
        <v>65.721000000000004</v>
      </c>
      <c r="N31" s="6">
        <v>65.721000000000004</v>
      </c>
      <c r="O31" s="71">
        <v>65.721000000000004</v>
      </c>
      <c r="P31" s="6">
        <v>0</v>
      </c>
      <c r="Q31" s="4" t="s">
        <v>26</v>
      </c>
      <c r="R31" s="4">
        <v>0</v>
      </c>
      <c r="S31" s="4">
        <v>42</v>
      </c>
      <c r="T31" s="4">
        <v>46</v>
      </c>
      <c r="U31" s="4">
        <v>75</v>
      </c>
      <c r="V31" s="71">
        <f>IF(ISERROR(VLOOKUP($S$31,'TAR FIN'!$A$1:$O$108,15,0)),0,VLOOKUP($S$31,'TAR FIN'!$A$1:$O$108,15,0))*(1-0.06)</f>
        <v>52.451999999999991</v>
      </c>
      <c r="W31" s="71">
        <f>IF(ISERROR(VLOOKUP($T$31,'TAR FIN'!$A$1:$O$108,15,0)),0,VLOOKUP($T$31,'TAR FIN'!$A$1:$O$108,15,0))*(1-0.06)</f>
        <v>96.462800000000001</v>
      </c>
      <c r="X31" s="71">
        <f>IF(ISERROR(VLOOKUP($U$31,'TAR FIN'!$A$1:$O$108,15,0)),0,VLOOKUP($U$31,'TAR FIN'!$A$1:$O$108,15,0))*(1-0.06)</f>
        <v>149.86420000000001</v>
      </c>
      <c r="Y31" s="71">
        <f ca="1">('TUSD BE'!$AM$21+'TUSD BF'!$AM$21+'TUSD CVA'!$AM$21)*1*(1-0.03)</f>
        <v>52.620968893838473</v>
      </c>
      <c r="Z31" s="71">
        <f ca="1">('TUSD BE'!$AM$23+'TUSD BF'!$AM$23+'TUSD CVA'!$AM$23)*1*(1-0.03)</f>
        <v>176.03212128696998</v>
      </c>
      <c r="AA31" s="71">
        <f>('TE BE'!$AB$10+'TE BF'!$AB$10+'TE CVA'!$AB$10)*1*(1-0.03)</f>
        <v>312.46103067547443</v>
      </c>
      <c r="AB31" s="71">
        <f>(SUBSIDIO!$J$31*SUBSIDIO!$V$31)*(0.06)/(1-0.06)</f>
        <v>4499.7119999999986</v>
      </c>
      <c r="AC31" s="71">
        <f>((SUBSIDIO!$L$31*SUBSIDIO!$W$31)+(SUBSIDIO!$N$31*SUBSIDIO!$X$31))*(0.06)/(1-0.06)</f>
        <v>1033.331283</v>
      </c>
      <c r="AD31" s="71">
        <f ca="1">(SUBSIDIO!$J$31*SUBSIDIO!$Y$31)*(0.03)/(1-0.03)</f>
        <v>2187.2963564943993</v>
      </c>
      <c r="AE31" s="71">
        <f ca="1">((SUBSIDIO!$L$31*SUBSIDIO!$Z$31)+(SUBSIDIO!$N$31*SUBSIDIO!$AA$31))*(0.03)/(1-0.03)</f>
        <v>992.91520948836524</v>
      </c>
      <c r="AF31" s="4" t="s">
        <v>842</v>
      </c>
    </row>
    <row r="32" spans="1:32" ht="11.25" customHeight="1" x14ac:dyDescent="0.25">
      <c r="A32" s="4" t="s">
        <v>21</v>
      </c>
      <c r="B32" s="4" t="s">
        <v>41</v>
      </c>
      <c r="C32" s="4" t="s">
        <v>40</v>
      </c>
      <c r="D32" s="4" t="s">
        <v>51</v>
      </c>
      <c r="E32" s="4" t="s">
        <v>52</v>
      </c>
      <c r="F32" s="4" t="s">
        <v>25</v>
      </c>
      <c r="G32" s="4" t="s">
        <v>25</v>
      </c>
      <c r="H32" s="4" t="s">
        <v>34</v>
      </c>
      <c r="I32" s="5">
        <v>44682</v>
      </c>
      <c r="J32" s="6">
        <v>1344</v>
      </c>
      <c r="K32" s="70">
        <v>1344</v>
      </c>
      <c r="L32" s="6">
        <v>69.638000000000005</v>
      </c>
      <c r="M32" s="71">
        <v>69.638000000000005</v>
      </c>
      <c r="N32" s="6">
        <v>69.638000000000005</v>
      </c>
      <c r="O32" s="71">
        <v>69.638000000000005</v>
      </c>
      <c r="P32" s="6">
        <v>0</v>
      </c>
      <c r="Q32" s="4" t="s">
        <v>26</v>
      </c>
      <c r="R32" s="4">
        <v>0</v>
      </c>
      <c r="S32" s="4">
        <v>42</v>
      </c>
      <c r="T32" s="4">
        <v>46</v>
      </c>
      <c r="U32" s="4">
        <v>75</v>
      </c>
      <c r="V32" s="71">
        <f>IF(ISERROR(VLOOKUP($S$32,'TAR FIN'!$A$1:$O$108,15,0)),0,VLOOKUP($S$32,'TAR FIN'!$A$1:$O$108,15,0))*(1-0.06)</f>
        <v>52.451999999999991</v>
      </c>
      <c r="W32" s="71">
        <f>IF(ISERROR(VLOOKUP($T$32,'TAR FIN'!$A$1:$O$108,15,0)),0,VLOOKUP($T$32,'TAR FIN'!$A$1:$O$108,15,0))*(1-0.06)</f>
        <v>96.462800000000001</v>
      </c>
      <c r="X32" s="71">
        <f>IF(ISERROR(VLOOKUP($U$32,'TAR FIN'!$A$1:$O$108,15,0)),0,VLOOKUP($U$32,'TAR FIN'!$A$1:$O$108,15,0))*(1-0.06)</f>
        <v>149.86420000000001</v>
      </c>
      <c r="Y32" s="71">
        <f ca="1">('TUSD BE'!$AM$21+'TUSD BF'!$AM$21+'TUSD CVA'!$AM$21)*1*(1-0.03)</f>
        <v>52.620968893838473</v>
      </c>
      <c r="Z32" s="71">
        <f ca="1">('TUSD BE'!$AM$23+'TUSD BF'!$AM$23+'TUSD CVA'!$AM$23)*1*(1-0.03)</f>
        <v>176.03212128696998</v>
      </c>
      <c r="AA32" s="71">
        <f>('TE BE'!$AB$10+'TE BF'!$AB$10+'TE CVA'!$AB$10)*1*(1-0.03)</f>
        <v>312.46103067547443</v>
      </c>
      <c r="AB32" s="71">
        <f>(SUBSIDIO!$J$32*SUBSIDIO!$V$32)*(0.06)/(1-0.06)</f>
        <v>4499.7119999999986</v>
      </c>
      <c r="AC32" s="71">
        <f>((SUBSIDIO!$L$32*SUBSIDIO!$W$32)+(SUBSIDIO!$N$32*SUBSIDIO!$X$32))*(0.06)/(1-0.06)</f>
        <v>1094.9182740000001</v>
      </c>
      <c r="AD32" s="71">
        <f ca="1">(SUBSIDIO!$J$32*SUBSIDIO!$Y$32)*(0.03)/(1-0.03)</f>
        <v>2187.2963564943993</v>
      </c>
      <c r="AE32" s="71">
        <f ca="1">((SUBSIDIO!$L$32*SUBSIDIO!$Z$32)+(SUBSIDIO!$N$32*SUBSIDIO!$AA$32))*(0.03)/(1-0.03)</f>
        <v>1052.0933850420838</v>
      </c>
      <c r="AF32" s="4" t="s">
        <v>842</v>
      </c>
    </row>
    <row r="33" spans="1:32" ht="11.25" customHeight="1" x14ac:dyDescent="0.25">
      <c r="A33" s="4" t="s">
        <v>21</v>
      </c>
      <c r="B33" s="4" t="s">
        <v>41</v>
      </c>
      <c r="C33" s="4" t="s">
        <v>40</v>
      </c>
      <c r="D33" s="4" t="s">
        <v>51</v>
      </c>
      <c r="E33" s="4" t="s">
        <v>52</v>
      </c>
      <c r="F33" s="4" t="s">
        <v>25</v>
      </c>
      <c r="G33" s="4" t="s">
        <v>25</v>
      </c>
      <c r="H33" s="4" t="s">
        <v>34</v>
      </c>
      <c r="I33" s="5">
        <v>44713</v>
      </c>
      <c r="J33" s="6">
        <v>1344</v>
      </c>
      <c r="K33" s="70">
        <v>1344</v>
      </c>
      <c r="L33" s="6">
        <v>65.289000000000001</v>
      </c>
      <c r="M33" s="71">
        <v>65.289000000000001</v>
      </c>
      <c r="N33" s="6">
        <v>65.289000000000001</v>
      </c>
      <c r="O33" s="71">
        <v>65.289000000000001</v>
      </c>
      <c r="P33" s="6">
        <v>0</v>
      </c>
      <c r="Q33" s="4" t="s">
        <v>26</v>
      </c>
      <c r="R33" s="4">
        <v>0</v>
      </c>
      <c r="S33" s="4">
        <v>42</v>
      </c>
      <c r="T33" s="4">
        <v>46</v>
      </c>
      <c r="U33" s="4">
        <v>75</v>
      </c>
      <c r="V33" s="71">
        <f>IF(ISERROR(VLOOKUP($S$33,'TAR FIN'!$A$1:$O$108,15,0)),0,VLOOKUP($S$33,'TAR FIN'!$A$1:$O$108,15,0))*(1-0.06)</f>
        <v>52.451999999999991</v>
      </c>
      <c r="W33" s="71">
        <f>IF(ISERROR(VLOOKUP($T$33,'TAR FIN'!$A$1:$O$108,15,0)),0,VLOOKUP($T$33,'TAR FIN'!$A$1:$O$108,15,0))*(1-0.06)</f>
        <v>96.462800000000001</v>
      </c>
      <c r="X33" s="71">
        <f>IF(ISERROR(VLOOKUP($U$33,'TAR FIN'!$A$1:$O$108,15,0)),0,VLOOKUP($U$33,'TAR FIN'!$A$1:$O$108,15,0))*(1-0.06)</f>
        <v>149.86420000000001</v>
      </c>
      <c r="Y33" s="71">
        <f ca="1">('TUSD BE'!$AM$21+'TUSD BF'!$AM$21+'TUSD CVA'!$AM$21)*1*(1-0.03)</f>
        <v>52.620968893838473</v>
      </c>
      <c r="Z33" s="71">
        <f ca="1">('TUSD BE'!$AM$23+'TUSD BF'!$AM$23+'TUSD CVA'!$AM$23)*1*(1-0.03)</f>
        <v>176.03212128696998</v>
      </c>
      <c r="AA33" s="71">
        <f>('TE BE'!$AB$10+'TE BF'!$AB$10+'TE CVA'!$AB$10)*1*(1-0.03)</f>
        <v>312.46103067547443</v>
      </c>
      <c r="AB33" s="71">
        <f>(SUBSIDIO!$J$33*SUBSIDIO!$V$33)*(0.06)/(1-0.06)</f>
        <v>4499.7119999999986</v>
      </c>
      <c r="AC33" s="71">
        <f>((SUBSIDIO!$L$33*SUBSIDIO!$W$33)+(SUBSIDIO!$N$33*SUBSIDIO!$X$33))*(0.06)/(1-0.06)</f>
        <v>1026.5389470000002</v>
      </c>
      <c r="AD33" s="71">
        <f ca="1">(SUBSIDIO!$J$33*SUBSIDIO!$Y$33)*(0.03)/(1-0.03)</f>
        <v>2187.2963564943993</v>
      </c>
      <c r="AE33" s="71">
        <f ca="1">((SUBSIDIO!$L$33*SUBSIDIO!$Z$33)+(SUBSIDIO!$N$33*SUBSIDIO!$AA$33))*(0.03)/(1-0.03)</f>
        <v>986.38853809719683</v>
      </c>
      <c r="AF33" s="4" t="s">
        <v>842</v>
      </c>
    </row>
    <row r="34" spans="1:32" ht="11.25" customHeight="1" x14ac:dyDescent="0.25">
      <c r="A34" s="4" t="s">
        <v>27</v>
      </c>
      <c r="B34" s="4" t="s">
        <v>41</v>
      </c>
      <c r="C34" s="4" t="s">
        <v>40</v>
      </c>
      <c r="D34" s="4" t="s">
        <v>51</v>
      </c>
      <c r="E34" s="4" t="s">
        <v>52</v>
      </c>
      <c r="F34" s="4" t="s">
        <v>25</v>
      </c>
      <c r="G34" s="4" t="s">
        <v>25</v>
      </c>
      <c r="H34" s="4" t="s">
        <v>34</v>
      </c>
      <c r="I34" s="5">
        <v>44743</v>
      </c>
      <c r="J34" s="6">
        <v>1344</v>
      </c>
      <c r="K34" s="70">
        <v>1344</v>
      </c>
      <c r="L34" s="6">
        <v>23.366</v>
      </c>
      <c r="M34" s="71">
        <v>23.366</v>
      </c>
      <c r="N34" s="6">
        <v>23.366</v>
      </c>
      <c r="O34" s="71">
        <v>23.366</v>
      </c>
      <c r="P34" s="6">
        <v>0</v>
      </c>
      <c r="Q34" s="4" t="s">
        <v>26</v>
      </c>
      <c r="R34" s="4">
        <v>0</v>
      </c>
      <c r="S34" s="4">
        <v>42</v>
      </c>
      <c r="T34" s="4">
        <v>46</v>
      </c>
      <c r="U34" s="4">
        <v>75</v>
      </c>
      <c r="V34" s="71">
        <f>IF(ISERROR(VLOOKUP($S$34,'TAR FIN'!$A$1:$O$108,15,0)),0,VLOOKUP($S$34,'TAR FIN'!$A$1:$O$108,15,0))*(1-0.06)</f>
        <v>52.451999999999991</v>
      </c>
      <c r="W34" s="71">
        <f>IF(ISERROR(VLOOKUP($T$34,'TAR FIN'!$A$1:$O$108,15,0)),0,VLOOKUP($T$34,'TAR FIN'!$A$1:$O$108,15,0))*(1-0.06)</f>
        <v>96.462800000000001</v>
      </c>
      <c r="X34" s="71">
        <f>IF(ISERROR(VLOOKUP($U$34,'TAR FIN'!$A$1:$O$108,15,0)),0,VLOOKUP($U$34,'TAR FIN'!$A$1:$O$108,15,0))*(1-0.06)</f>
        <v>149.86420000000001</v>
      </c>
      <c r="Y34" s="71">
        <f ca="1">('TUSD BE'!$AM$21+'TUSD BF'!$AM$21+'TUSD CVA'!$AM$21)*1*(1-0.03)</f>
        <v>52.620968893838473</v>
      </c>
      <c r="Z34" s="71">
        <f ca="1">('TUSD BE'!$AM$23+'TUSD BF'!$AM$23+'TUSD CVA'!$AM$23)*1*(1-0.03)</f>
        <v>176.03212128696998</v>
      </c>
      <c r="AA34" s="71">
        <f>('TE BE'!$AB$10+'TE BF'!$AB$10+'TE CVA'!$AB$10)*1*(1-0.03)</f>
        <v>312.46103067547443</v>
      </c>
      <c r="AB34" s="71">
        <f>(SUBSIDIO!$J$34*SUBSIDIO!$V$34)*(0.06)/(1-0.06)</f>
        <v>4499.7119999999986</v>
      </c>
      <c r="AC34" s="71">
        <f>((SUBSIDIO!$L$34*SUBSIDIO!$W$34)+(SUBSIDIO!$N$34*SUBSIDIO!$X$34))*(0.06)/(1-0.06)</f>
        <v>367.38361800000001</v>
      </c>
      <c r="AD34" s="71">
        <f ca="1">(SUBSIDIO!$J$34*SUBSIDIO!$Y$34)*(0.03)/(1-0.03)</f>
        <v>2187.2963564943993</v>
      </c>
      <c r="AE34" s="71">
        <f ca="1">((SUBSIDIO!$L$34*SUBSIDIO!$Z$34)+(SUBSIDIO!$N$34*SUBSIDIO!$AA$34))*(0.03)/(1-0.03)</f>
        <v>353.0143604769425</v>
      </c>
      <c r="AF34" s="4" t="s">
        <v>842</v>
      </c>
    </row>
    <row r="35" spans="1:32" ht="11.25" customHeight="1" x14ac:dyDescent="0.25">
      <c r="A35" s="4" t="s">
        <v>21</v>
      </c>
      <c r="B35" s="4" t="s">
        <v>41</v>
      </c>
      <c r="C35" s="4" t="s">
        <v>40</v>
      </c>
      <c r="D35" s="4" t="s">
        <v>51</v>
      </c>
      <c r="E35" s="4" t="s">
        <v>52</v>
      </c>
      <c r="F35" s="4" t="s">
        <v>25</v>
      </c>
      <c r="G35" s="4" t="s">
        <v>25</v>
      </c>
      <c r="H35" s="4" t="s">
        <v>34</v>
      </c>
      <c r="I35" s="5">
        <v>44774</v>
      </c>
      <c r="J35" s="6">
        <v>1075</v>
      </c>
      <c r="K35" s="70">
        <v>1075</v>
      </c>
      <c r="L35" s="6">
        <v>62.908000000000001</v>
      </c>
      <c r="M35" s="71">
        <v>62.908000000000001</v>
      </c>
      <c r="N35" s="6">
        <v>62.908000000000001</v>
      </c>
      <c r="O35" s="71">
        <v>62.908000000000001</v>
      </c>
      <c r="P35" s="6">
        <v>0</v>
      </c>
      <c r="Q35" s="4" t="s">
        <v>26</v>
      </c>
      <c r="R35" s="4">
        <v>0</v>
      </c>
      <c r="S35" s="4">
        <v>42</v>
      </c>
      <c r="T35" s="4">
        <v>46</v>
      </c>
      <c r="U35" s="4">
        <v>75</v>
      </c>
      <c r="V35" s="71">
        <f>IF(ISERROR(VLOOKUP($S$35,'TAR FIN'!$A$1:$O$108,15,0)),0,VLOOKUP($S$35,'TAR FIN'!$A$1:$O$108,15,0))*(1-0.06)</f>
        <v>52.451999999999991</v>
      </c>
      <c r="W35" s="71">
        <f>IF(ISERROR(VLOOKUP($T$35,'TAR FIN'!$A$1:$O$108,15,0)),0,VLOOKUP($T$35,'TAR FIN'!$A$1:$O$108,15,0))*(1-0.06)</f>
        <v>96.462800000000001</v>
      </c>
      <c r="X35" s="71">
        <f>IF(ISERROR(VLOOKUP($U$35,'TAR FIN'!$A$1:$O$108,15,0)),0,VLOOKUP($U$35,'TAR FIN'!$A$1:$O$108,15,0))*(1-0.06)</f>
        <v>149.86420000000001</v>
      </c>
      <c r="Y35" s="71">
        <f ca="1">('TUSD BE'!$AM$21+'TUSD BF'!$AM$21+'TUSD CVA'!$AM$21)*1*(1-0.03)</f>
        <v>52.620968893838473</v>
      </c>
      <c r="Z35" s="71">
        <f ca="1">('TUSD BE'!$AM$23+'TUSD BF'!$AM$23+'TUSD CVA'!$AM$23)*1*(1-0.03)</f>
        <v>176.03212128696998</v>
      </c>
      <c r="AA35" s="71">
        <f>('TE BE'!$AB$10+'TE BF'!$AB$10+'TE CVA'!$AB$10)*1*(1-0.03)</f>
        <v>312.46103067547443</v>
      </c>
      <c r="AB35" s="71">
        <f>(SUBSIDIO!$J$35*SUBSIDIO!$V$35)*(0.06)/(1-0.06)</f>
        <v>3599.0999999999995</v>
      </c>
      <c r="AC35" s="71">
        <f>((SUBSIDIO!$L$35*SUBSIDIO!$W$35)+(SUBSIDIO!$N$35*SUBSIDIO!$X$35))*(0.06)/(1-0.06)</f>
        <v>989.102484</v>
      </c>
      <c r="AD35" s="71">
        <f ca="1">(SUBSIDIO!$J$35*SUBSIDIO!$Y$35)*(0.03)/(1-0.03)</f>
        <v>1749.5115946662791</v>
      </c>
      <c r="AE35" s="71">
        <f ca="1">((SUBSIDIO!$L$35*SUBSIDIO!$Z$35)+(SUBSIDIO!$N$35*SUBSIDIO!$AA$35))*(0.03)/(1-0.03)</f>
        <v>950.41630526763254</v>
      </c>
      <c r="AF35" s="4" t="s">
        <v>842</v>
      </c>
    </row>
    <row r="36" spans="1:32" ht="11.25" customHeight="1" x14ac:dyDescent="0.25">
      <c r="A36" s="4" t="s">
        <v>27</v>
      </c>
      <c r="B36" s="4" t="s">
        <v>41</v>
      </c>
      <c r="C36" s="4" t="s">
        <v>40</v>
      </c>
      <c r="D36" s="4" t="s">
        <v>51</v>
      </c>
      <c r="E36" s="4" t="s">
        <v>52</v>
      </c>
      <c r="F36" s="4" t="s">
        <v>25</v>
      </c>
      <c r="G36" s="4" t="s">
        <v>25</v>
      </c>
      <c r="H36" s="4" t="s">
        <v>34</v>
      </c>
      <c r="I36" s="5">
        <v>44774</v>
      </c>
      <c r="J36" s="6">
        <v>0</v>
      </c>
      <c r="K36" s="71">
        <v>0</v>
      </c>
      <c r="L36" s="6">
        <v>39.014000000000003</v>
      </c>
      <c r="M36" s="71">
        <v>39.014000000000003</v>
      </c>
      <c r="N36" s="6">
        <v>39.014000000000003</v>
      </c>
      <c r="O36" s="71">
        <v>39.014000000000003</v>
      </c>
      <c r="P36" s="6">
        <v>0</v>
      </c>
      <c r="Q36" s="4" t="s">
        <v>26</v>
      </c>
      <c r="R36" s="4">
        <v>0</v>
      </c>
      <c r="S36" s="4">
        <v>0</v>
      </c>
      <c r="T36" s="4">
        <v>46</v>
      </c>
      <c r="U36" s="4">
        <v>75</v>
      </c>
      <c r="V36" s="71">
        <f>IF(ISERROR(VLOOKUP($S$36,'TAR FIN'!$A$1:$O$108,15,0)),0,VLOOKUP($S$36,'TAR FIN'!$A$1:$O$108,15,0))*(1-0.06)</f>
        <v>0</v>
      </c>
      <c r="W36" s="71">
        <f>IF(ISERROR(VLOOKUP($T$36,'TAR FIN'!$A$1:$O$108,15,0)),0,VLOOKUP($T$36,'TAR FIN'!$A$1:$O$108,15,0))*(1-0.06)</f>
        <v>96.462800000000001</v>
      </c>
      <c r="X36" s="71">
        <f>IF(ISERROR(VLOOKUP($U$36,'TAR FIN'!$A$1:$O$108,15,0)),0,VLOOKUP($U$36,'TAR FIN'!$A$1:$O$108,15,0))*(1-0.06)</f>
        <v>149.86420000000001</v>
      </c>
      <c r="Y36" s="71">
        <f ca="1">('TUSD BE'!$AM$21+'TUSD BF'!$AM$21+'TUSD CVA'!$AM$21)*1*(1-0.03)</f>
        <v>52.620968893838473</v>
      </c>
      <c r="Z36" s="71">
        <f ca="1">('TUSD BE'!$AM$23+'TUSD BF'!$AM$23+'TUSD CVA'!$AM$23)*1*(1-0.03)</f>
        <v>176.03212128696998</v>
      </c>
      <c r="AA36" s="71">
        <f>('TE BE'!$AB$10+'TE BF'!$AB$10+'TE CVA'!$AB$10)*1*(1-0.03)</f>
        <v>312.46103067547443</v>
      </c>
      <c r="AB36" s="71">
        <f>(SUBSIDIO!$J$36*SUBSIDIO!$V$36)*(0.06)/(1-0.06)</f>
        <v>0</v>
      </c>
      <c r="AC36" s="71">
        <f>((SUBSIDIO!$L$36*SUBSIDIO!$W$36)+(SUBSIDIO!$N$36*SUBSIDIO!$X$36))*(0.06)/(1-0.06)</f>
        <v>613.41712200000006</v>
      </c>
      <c r="AD36" s="71">
        <f ca="1">(SUBSIDIO!$J$36*SUBSIDIO!$Y$36)*(0.03)/(1-0.03)</f>
        <v>0</v>
      </c>
      <c r="AE36" s="71">
        <f ca="1">((SUBSIDIO!$L$36*SUBSIDIO!$Z$36)+(SUBSIDIO!$N$36*SUBSIDIO!$AA$36))*(0.03)/(1-0.03)</f>
        <v>589.42490197926213</v>
      </c>
      <c r="AF36" s="4" t="s">
        <v>842</v>
      </c>
    </row>
    <row r="37" spans="1:32" ht="11.25" customHeight="1" x14ac:dyDescent="0.25">
      <c r="A37" s="4" t="s">
        <v>21</v>
      </c>
      <c r="B37" s="4" t="s">
        <v>41</v>
      </c>
      <c r="C37" s="4" t="s">
        <v>40</v>
      </c>
      <c r="D37" s="4" t="s">
        <v>51</v>
      </c>
      <c r="E37" s="4" t="s">
        <v>52</v>
      </c>
      <c r="F37" s="4" t="s">
        <v>25</v>
      </c>
      <c r="G37" s="4" t="s">
        <v>25</v>
      </c>
      <c r="H37" s="4" t="s">
        <v>34</v>
      </c>
      <c r="I37" s="5">
        <v>44805</v>
      </c>
      <c r="J37" s="6">
        <v>1075</v>
      </c>
      <c r="K37" s="70">
        <v>1075</v>
      </c>
      <c r="L37" s="6">
        <v>54.47</v>
      </c>
      <c r="M37" s="71">
        <v>54.47</v>
      </c>
      <c r="N37" s="6">
        <v>54.47</v>
      </c>
      <c r="O37" s="71">
        <v>54.47</v>
      </c>
      <c r="P37" s="6">
        <v>0</v>
      </c>
      <c r="Q37" s="4" t="s">
        <v>26</v>
      </c>
      <c r="R37" s="4">
        <v>0</v>
      </c>
      <c r="S37" s="4">
        <v>42</v>
      </c>
      <c r="T37" s="4">
        <v>46</v>
      </c>
      <c r="U37" s="4">
        <v>75</v>
      </c>
      <c r="V37" s="71">
        <f>IF(ISERROR(VLOOKUP($S$37,'TAR FIN'!$A$1:$O$108,15,0)),0,VLOOKUP($S$37,'TAR FIN'!$A$1:$O$108,15,0))*(1-0.06)</f>
        <v>52.451999999999991</v>
      </c>
      <c r="W37" s="71">
        <f>IF(ISERROR(VLOOKUP($T$37,'TAR FIN'!$A$1:$O$108,15,0)),0,VLOOKUP($T$37,'TAR FIN'!$A$1:$O$108,15,0))*(1-0.06)</f>
        <v>96.462800000000001</v>
      </c>
      <c r="X37" s="71">
        <f>IF(ISERROR(VLOOKUP($U$37,'TAR FIN'!$A$1:$O$108,15,0)),0,VLOOKUP($U$37,'TAR FIN'!$A$1:$O$108,15,0))*(1-0.06)</f>
        <v>149.86420000000001</v>
      </c>
      <c r="Y37" s="71">
        <f ca="1">('TUSD BE'!$AM$21+'TUSD BF'!$AM$21+'TUSD CVA'!$AM$21)*1*(1-0.03)</f>
        <v>52.620968893838473</v>
      </c>
      <c r="Z37" s="71">
        <f ca="1">('TUSD BE'!$AM$23+'TUSD BF'!$AM$23+'TUSD CVA'!$AM$23)*1*(1-0.03)</f>
        <v>176.03212128696998</v>
      </c>
      <c r="AA37" s="71">
        <f>('TE BE'!$AB$10+'TE BF'!$AB$10+'TE CVA'!$AB$10)*1*(1-0.03)</f>
        <v>312.46103067547443</v>
      </c>
      <c r="AB37" s="71">
        <f>(SUBSIDIO!$J$37*SUBSIDIO!$V$37)*(0.06)/(1-0.06)</f>
        <v>3599.0999999999995</v>
      </c>
      <c r="AC37" s="71">
        <f>((SUBSIDIO!$L$37*SUBSIDIO!$W$37)+(SUBSIDIO!$N$37*SUBSIDIO!$X$37))*(0.06)/(1-0.06)</f>
        <v>856.43181000000016</v>
      </c>
      <c r="AD37" s="71">
        <f ca="1">(SUBSIDIO!$J$37*SUBSIDIO!$Y$37)*(0.03)/(1-0.03)</f>
        <v>1749.5115946662791</v>
      </c>
      <c r="AE37" s="71">
        <f ca="1">((SUBSIDIO!$L$37*SUBSIDIO!$Z$37)+(SUBSIDIO!$N$37*SUBSIDIO!$AA$37))*(0.03)/(1-0.03)</f>
        <v>822.93470064106236</v>
      </c>
      <c r="AF37" s="4" t="s">
        <v>842</v>
      </c>
    </row>
    <row r="38" spans="1:32" ht="11.25" customHeight="1" x14ac:dyDescent="0.25">
      <c r="A38" s="4" t="s">
        <v>21</v>
      </c>
      <c r="B38" s="4" t="s">
        <v>41</v>
      </c>
      <c r="C38" s="4" t="s">
        <v>40</v>
      </c>
      <c r="D38" s="4" t="s">
        <v>51</v>
      </c>
      <c r="E38" s="4" t="s">
        <v>52</v>
      </c>
      <c r="F38" s="4" t="s">
        <v>25</v>
      </c>
      <c r="G38" s="4" t="s">
        <v>25</v>
      </c>
      <c r="H38" s="4" t="s">
        <v>34</v>
      </c>
      <c r="I38" s="5">
        <v>44835</v>
      </c>
      <c r="J38" s="6">
        <v>1075</v>
      </c>
      <c r="K38" s="70">
        <v>1075</v>
      </c>
      <c r="L38" s="6">
        <v>54.71</v>
      </c>
      <c r="M38" s="71">
        <v>54.71</v>
      </c>
      <c r="N38" s="6">
        <v>54.71</v>
      </c>
      <c r="O38" s="71">
        <v>54.71</v>
      </c>
      <c r="P38" s="6">
        <v>0</v>
      </c>
      <c r="Q38" s="4" t="s">
        <v>26</v>
      </c>
      <c r="R38" s="4">
        <v>0</v>
      </c>
      <c r="S38" s="4">
        <v>42</v>
      </c>
      <c r="T38" s="4">
        <v>46</v>
      </c>
      <c r="U38" s="4">
        <v>75</v>
      </c>
      <c r="V38" s="71">
        <f>IF(ISERROR(VLOOKUP($S$38,'TAR FIN'!$A$1:$O$108,15,0)),0,VLOOKUP($S$38,'TAR FIN'!$A$1:$O$108,15,0))*(1-0.06)</f>
        <v>52.451999999999991</v>
      </c>
      <c r="W38" s="71">
        <f>IF(ISERROR(VLOOKUP($T$38,'TAR FIN'!$A$1:$O$108,15,0)),0,VLOOKUP($T$38,'TAR FIN'!$A$1:$O$108,15,0))*(1-0.06)</f>
        <v>96.462800000000001</v>
      </c>
      <c r="X38" s="71">
        <f>IF(ISERROR(VLOOKUP($U$38,'TAR FIN'!$A$1:$O$108,15,0)),0,VLOOKUP($U$38,'TAR FIN'!$A$1:$O$108,15,0))*(1-0.06)</f>
        <v>149.86420000000001</v>
      </c>
      <c r="Y38" s="71">
        <f ca="1">('TUSD BE'!$AM$21+'TUSD BF'!$AM$21+'TUSD CVA'!$AM$21)*1*(1-0.03)</f>
        <v>52.620968893838473</v>
      </c>
      <c r="Z38" s="71">
        <f ca="1">('TUSD BE'!$AM$23+'TUSD BF'!$AM$23+'TUSD CVA'!$AM$23)*1*(1-0.03)</f>
        <v>176.03212128696998</v>
      </c>
      <c r="AA38" s="71">
        <f>('TE BE'!$AB$10+'TE BF'!$AB$10+'TE CVA'!$AB$10)*1*(1-0.03)</f>
        <v>312.46103067547443</v>
      </c>
      <c r="AB38" s="71">
        <f>(SUBSIDIO!$J$38*SUBSIDIO!$V$38)*(0.06)/(1-0.06)</f>
        <v>3599.0999999999995</v>
      </c>
      <c r="AC38" s="71">
        <f>((SUBSIDIO!$L$38*SUBSIDIO!$W$38)+(SUBSIDIO!$N$38*SUBSIDIO!$X$38))*(0.06)/(1-0.06)</f>
        <v>860.20533</v>
      </c>
      <c r="AD38" s="71">
        <f ca="1">(SUBSIDIO!$J$38*SUBSIDIO!$Y$38)*(0.03)/(1-0.03)</f>
        <v>1749.5115946662791</v>
      </c>
      <c r="AE38" s="71">
        <f ca="1">((SUBSIDIO!$L$38*SUBSIDIO!$Z$38)+(SUBSIDIO!$N$38*SUBSIDIO!$AA$38))*(0.03)/(1-0.03)</f>
        <v>826.56062919171143</v>
      </c>
      <c r="AF38" s="4" t="s">
        <v>842</v>
      </c>
    </row>
    <row r="39" spans="1:32" ht="11.25" customHeight="1" x14ac:dyDescent="0.25">
      <c r="A39" s="4" t="s">
        <v>54</v>
      </c>
      <c r="B39" s="4" t="s">
        <v>41</v>
      </c>
      <c r="C39" s="4" t="s">
        <v>40</v>
      </c>
      <c r="D39" s="4" t="s">
        <v>51</v>
      </c>
      <c r="E39" s="4" t="s">
        <v>52</v>
      </c>
      <c r="F39" s="4" t="s">
        <v>25</v>
      </c>
      <c r="G39" s="4" t="s">
        <v>25</v>
      </c>
      <c r="H39" s="4" t="s">
        <v>34</v>
      </c>
      <c r="I39" s="5">
        <v>44866</v>
      </c>
      <c r="J39" s="6">
        <v>1075</v>
      </c>
      <c r="K39" s="70">
        <v>1075</v>
      </c>
      <c r="L39" s="6">
        <v>54.71</v>
      </c>
      <c r="M39" s="71">
        <v>54.71</v>
      </c>
      <c r="N39" s="6">
        <v>54.71</v>
      </c>
      <c r="O39" s="71">
        <v>54.71</v>
      </c>
      <c r="P39" s="6">
        <v>0</v>
      </c>
      <c r="Q39" s="4" t="s">
        <v>26</v>
      </c>
      <c r="R39" s="4">
        <v>0</v>
      </c>
      <c r="S39" s="4">
        <v>42</v>
      </c>
      <c r="T39" s="4">
        <v>46</v>
      </c>
      <c r="U39" s="4">
        <v>75</v>
      </c>
      <c r="V39" s="71">
        <f>IF(ISERROR(VLOOKUP($S$39,'TAR FIN'!$A$1:$O$108,15,0)),0,VLOOKUP($S$39,'TAR FIN'!$A$1:$O$108,15,0))*(1-0.06)</f>
        <v>52.451999999999991</v>
      </c>
      <c r="W39" s="71">
        <f>IF(ISERROR(VLOOKUP($T$39,'TAR FIN'!$A$1:$O$108,15,0)),0,VLOOKUP($T$39,'TAR FIN'!$A$1:$O$108,15,0))*(1-0.06)</f>
        <v>96.462800000000001</v>
      </c>
      <c r="X39" s="71">
        <f>IF(ISERROR(VLOOKUP($U$39,'TAR FIN'!$A$1:$O$108,15,0)),0,VLOOKUP($U$39,'TAR FIN'!$A$1:$O$108,15,0))*(1-0.06)</f>
        <v>149.86420000000001</v>
      </c>
      <c r="Y39" s="71">
        <f ca="1">('TUSD BE'!$AM$21+'TUSD BF'!$AM$21+'TUSD CVA'!$AM$21)*1*(1-0.03)</f>
        <v>52.620968893838473</v>
      </c>
      <c r="Z39" s="71">
        <f ca="1">('TUSD BE'!$AM$23+'TUSD BF'!$AM$23+'TUSD CVA'!$AM$23)*1*(1-0.03)</f>
        <v>176.03212128696998</v>
      </c>
      <c r="AA39" s="71">
        <f>('TE BE'!$AB$10+'TE BF'!$AB$10+'TE CVA'!$AB$10)*1*(1-0.03)</f>
        <v>312.46103067547443</v>
      </c>
      <c r="AB39" s="71">
        <f>(SUBSIDIO!$J$39*SUBSIDIO!$V$39)*(0.06)/(1-0.06)</f>
        <v>3599.0999999999995</v>
      </c>
      <c r="AC39" s="71">
        <f>((SUBSIDIO!$L$39*SUBSIDIO!$W$39)+(SUBSIDIO!$N$39*SUBSIDIO!$X$39))*(0.06)/(1-0.06)</f>
        <v>860.20533</v>
      </c>
      <c r="AD39" s="71">
        <f ca="1">(SUBSIDIO!$J$39*SUBSIDIO!$Y$39)*(0.03)/(1-0.03)</f>
        <v>1749.5115946662791</v>
      </c>
      <c r="AE39" s="71">
        <f ca="1">((SUBSIDIO!$L$39*SUBSIDIO!$Z$39)+(SUBSIDIO!$N$39*SUBSIDIO!$AA$39))*(0.03)/(1-0.03)</f>
        <v>826.56062919171143</v>
      </c>
      <c r="AF39" s="4" t="s">
        <v>842</v>
      </c>
    </row>
    <row r="40" spans="1:32" ht="11.25" customHeight="1" x14ac:dyDescent="0.25">
      <c r="A40" s="4" t="s">
        <v>21</v>
      </c>
      <c r="B40" s="4" t="s">
        <v>41</v>
      </c>
      <c r="C40" s="4" t="s">
        <v>43</v>
      </c>
      <c r="D40" s="4" t="s">
        <v>38</v>
      </c>
      <c r="E40" s="4" t="s">
        <v>25</v>
      </c>
      <c r="F40" s="4" t="s">
        <v>55</v>
      </c>
      <c r="G40" s="4" t="s">
        <v>25</v>
      </c>
      <c r="H40" s="4" t="s">
        <v>35</v>
      </c>
      <c r="I40" s="5">
        <v>44531</v>
      </c>
      <c r="J40" s="6">
        <v>0</v>
      </c>
      <c r="K40" s="6">
        <v>0</v>
      </c>
      <c r="L40" s="6">
        <v>705.88300000000004</v>
      </c>
      <c r="M40" s="6">
        <v>705.88300000000004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4">
        <v>0</v>
      </c>
      <c r="T40" s="4">
        <v>7</v>
      </c>
      <c r="U40" s="4">
        <v>0</v>
      </c>
      <c r="V40" s="6">
        <f>IF(ISERROR(VLOOKUP($S$40,'TAR FIN'!$A$1:$O$108,15,0)),0,VLOOKUP($S$40,'TAR FIN'!$A$1:$O$108,15,0))</f>
        <v>0</v>
      </c>
      <c r="W40" s="6">
        <f>IF(ISERROR(VLOOKUP($T$40,'TAR FIN'!$A$1:$O$108,15,0)),0,VLOOKUP($T$40,'TAR FIN'!$A$1:$O$108,15,0))</f>
        <v>102.62</v>
      </c>
      <c r="X40" s="6">
        <f>IF(ISERROR(VLOOKUP($U$40,'TAR FIN'!$A$1:$O$108,15,0)),0,VLOOKUP($U$40,'TAR FIN'!$A$1:$O$108,15,0))</f>
        <v>0</v>
      </c>
      <c r="Y40" s="6"/>
      <c r="Z40" s="6">
        <f ca="1">('TUSD BE'!$AM$28+'TUSD BF'!$AM$28+'TUSD CVA'!$AM$28)*1</f>
        <v>181.47641369790719</v>
      </c>
      <c r="AA40" s="6"/>
      <c r="AB40" s="6">
        <f t="shared" si="0"/>
        <v>0</v>
      </c>
      <c r="AC40" s="6">
        <f t="shared" ref="AC40:AC65" si="6">(L40-M40)*W40+(N40-O40)*X40</f>
        <v>0</v>
      </c>
      <c r="AD40" s="6">
        <f t="shared" si="2"/>
        <v>0</v>
      </c>
      <c r="AE40" s="6">
        <f t="shared" ref="AE40:AE65" ca="1" si="7">(L40-M40)*Z40+(N40-O40)*AA40</f>
        <v>0</v>
      </c>
      <c r="AF40" s="4" t="s">
        <v>843</v>
      </c>
    </row>
    <row r="41" spans="1:32" ht="11.25" customHeight="1" x14ac:dyDescent="0.25">
      <c r="A41" s="4" t="s">
        <v>21</v>
      </c>
      <c r="B41" s="4" t="s">
        <v>41</v>
      </c>
      <c r="C41" s="4" t="s">
        <v>43</v>
      </c>
      <c r="D41" s="4" t="s">
        <v>38</v>
      </c>
      <c r="E41" s="4" t="s">
        <v>25</v>
      </c>
      <c r="F41" s="4" t="s">
        <v>55</v>
      </c>
      <c r="G41" s="4" t="s">
        <v>25</v>
      </c>
      <c r="H41" s="4" t="s">
        <v>35</v>
      </c>
      <c r="I41" s="5">
        <v>44562</v>
      </c>
      <c r="J41" s="6">
        <v>0</v>
      </c>
      <c r="K41" s="6">
        <v>0</v>
      </c>
      <c r="L41" s="6">
        <v>66.093000000000004</v>
      </c>
      <c r="M41" s="6">
        <v>66.093000000000004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4">
        <v>0</v>
      </c>
      <c r="T41" s="4">
        <v>7</v>
      </c>
      <c r="U41" s="4">
        <v>0</v>
      </c>
      <c r="V41" s="6">
        <f>IF(ISERROR(VLOOKUP($S$41,'TAR FIN'!$A$1:$O$108,15,0)),0,VLOOKUP($S$41,'TAR FIN'!$A$1:$O$108,15,0))</f>
        <v>0</v>
      </c>
      <c r="W41" s="6">
        <f>IF(ISERROR(VLOOKUP($T$41,'TAR FIN'!$A$1:$O$108,15,0)),0,VLOOKUP($T$41,'TAR FIN'!$A$1:$O$108,15,0))</f>
        <v>102.62</v>
      </c>
      <c r="X41" s="6">
        <f>IF(ISERROR(VLOOKUP($U$41,'TAR FIN'!$A$1:$O$108,15,0)),0,VLOOKUP($U$41,'TAR FIN'!$A$1:$O$108,15,0))</f>
        <v>0</v>
      </c>
      <c r="Y41" s="6"/>
      <c r="Z41" s="6">
        <f ca="1">('TUSD BE'!$AM$28+'TUSD BF'!$AM$28+'TUSD CVA'!$AM$28)*1</f>
        <v>181.47641369790719</v>
      </c>
      <c r="AA41" s="6"/>
      <c r="AB41" s="6">
        <f t="shared" si="0"/>
        <v>0</v>
      </c>
      <c r="AC41" s="6">
        <f t="shared" si="6"/>
        <v>0</v>
      </c>
      <c r="AD41" s="6">
        <f t="shared" si="2"/>
        <v>0</v>
      </c>
      <c r="AE41" s="6">
        <f t="shared" ca="1" si="7"/>
        <v>0</v>
      </c>
      <c r="AF41" s="4" t="s">
        <v>843</v>
      </c>
    </row>
    <row r="42" spans="1:32" ht="11.25" customHeight="1" x14ac:dyDescent="0.25">
      <c r="A42" s="4" t="s">
        <v>21</v>
      </c>
      <c r="B42" s="4" t="s">
        <v>41</v>
      </c>
      <c r="C42" s="4" t="s">
        <v>43</v>
      </c>
      <c r="D42" s="4" t="s">
        <v>38</v>
      </c>
      <c r="E42" s="4" t="s">
        <v>25</v>
      </c>
      <c r="F42" s="4" t="s">
        <v>55</v>
      </c>
      <c r="G42" s="4" t="s">
        <v>25</v>
      </c>
      <c r="H42" s="4" t="s">
        <v>35</v>
      </c>
      <c r="I42" s="5">
        <v>44593</v>
      </c>
      <c r="J42" s="6">
        <v>0</v>
      </c>
      <c r="K42" s="6">
        <v>0</v>
      </c>
      <c r="L42" s="6">
        <v>71.325999999999993</v>
      </c>
      <c r="M42" s="6">
        <v>71.325999999999993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4">
        <v>0</v>
      </c>
      <c r="T42" s="4">
        <v>7</v>
      </c>
      <c r="U42" s="4">
        <v>0</v>
      </c>
      <c r="V42" s="6">
        <f>IF(ISERROR(VLOOKUP($S$42,'TAR FIN'!$A$1:$O$108,15,0)),0,VLOOKUP($S$42,'TAR FIN'!$A$1:$O$108,15,0))</f>
        <v>0</v>
      </c>
      <c r="W42" s="6">
        <f>IF(ISERROR(VLOOKUP($T$42,'TAR FIN'!$A$1:$O$108,15,0)),0,VLOOKUP($T$42,'TAR FIN'!$A$1:$O$108,15,0))</f>
        <v>102.62</v>
      </c>
      <c r="X42" s="6">
        <f>IF(ISERROR(VLOOKUP($U$42,'TAR FIN'!$A$1:$O$108,15,0)),0,VLOOKUP($U$42,'TAR FIN'!$A$1:$O$108,15,0))</f>
        <v>0</v>
      </c>
      <c r="Y42" s="6"/>
      <c r="Z42" s="6">
        <f ca="1">('TUSD BE'!$AM$28+'TUSD BF'!$AM$28+'TUSD CVA'!$AM$28)*1</f>
        <v>181.47641369790719</v>
      </c>
      <c r="AA42" s="6"/>
      <c r="AB42" s="6">
        <f t="shared" si="0"/>
        <v>0</v>
      </c>
      <c r="AC42" s="6">
        <f t="shared" si="6"/>
        <v>0</v>
      </c>
      <c r="AD42" s="6">
        <f t="shared" si="2"/>
        <v>0</v>
      </c>
      <c r="AE42" s="6">
        <f t="shared" ca="1" si="7"/>
        <v>0</v>
      </c>
      <c r="AF42" s="4" t="s">
        <v>843</v>
      </c>
    </row>
    <row r="43" spans="1:32" ht="11.25" customHeight="1" x14ac:dyDescent="0.25">
      <c r="A43" s="4" t="s">
        <v>21</v>
      </c>
      <c r="B43" s="4" t="s">
        <v>41</v>
      </c>
      <c r="C43" s="4" t="s">
        <v>43</v>
      </c>
      <c r="D43" s="4" t="s">
        <v>38</v>
      </c>
      <c r="E43" s="4" t="s">
        <v>25</v>
      </c>
      <c r="F43" s="4" t="s">
        <v>55</v>
      </c>
      <c r="G43" s="4" t="s">
        <v>25</v>
      </c>
      <c r="H43" s="4" t="s">
        <v>35</v>
      </c>
      <c r="I43" s="5">
        <v>44621</v>
      </c>
      <c r="J43" s="6">
        <v>0</v>
      </c>
      <c r="K43" s="6">
        <v>0</v>
      </c>
      <c r="L43" s="6">
        <v>87.573999999999998</v>
      </c>
      <c r="M43" s="6">
        <v>87.573999999999998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4">
        <v>0</v>
      </c>
      <c r="T43" s="4">
        <v>7</v>
      </c>
      <c r="U43" s="4">
        <v>0</v>
      </c>
      <c r="V43" s="6">
        <f>IF(ISERROR(VLOOKUP($S$43,'TAR FIN'!$A$1:$O$108,15,0)),0,VLOOKUP($S$43,'TAR FIN'!$A$1:$O$108,15,0))</f>
        <v>0</v>
      </c>
      <c r="W43" s="6">
        <f>IF(ISERROR(VLOOKUP($T$43,'TAR FIN'!$A$1:$O$108,15,0)),0,VLOOKUP($T$43,'TAR FIN'!$A$1:$O$108,15,0))</f>
        <v>102.62</v>
      </c>
      <c r="X43" s="6">
        <f>IF(ISERROR(VLOOKUP($U$43,'TAR FIN'!$A$1:$O$108,15,0)),0,VLOOKUP($U$43,'TAR FIN'!$A$1:$O$108,15,0))</f>
        <v>0</v>
      </c>
      <c r="Y43" s="6"/>
      <c r="Z43" s="6">
        <f ca="1">('TUSD BE'!$AM$28+'TUSD BF'!$AM$28+'TUSD CVA'!$AM$28)*1</f>
        <v>181.47641369790719</v>
      </c>
      <c r="AA43" s="6"/>
      <c r="AB43" s="6">
        <f t="shared" si="0"/>
        <v>0</v>
      </c>
      <c r="AC43" s="6">
        <f t="shared" si="6"/>
        <v>0</v>
      </c>
      <c r="AD43" s="6">
        <f t="shared" si="2"/>
        <v>0</v>
      </c>
      <c r="AE43" s="6">
        <f t="shared" ca="1" si="7"/>
        <v>0</v>
      </c>
      <c r="AF43" s="4" t="s">
        <v>843</v>
      </c>
    </row>
    <row r="44" spans="1:32" ht="11.25" customHeight="1" x14ac:dyDescent="0.25">
      <c r="A44" s="4" t="s">
        <v>21</v>
      </c>
      <c r="B44" s="4" t="s">
        <v>41</v>
      </c>
      <c r="C44" s="4" t="s">
        <v>43</v>
      </c>
      <c r="D44" s="4" t="s">
        <v>38</v>
      </c>
      <c r="E44" s="4" t="s">
        <v>25</v>
      </c>
      <c r="F44" s="4" t="s">
        <v>55</v>
      </c>
      <c r="G44" s="4" t="s">
        <v>25</v>
      </c>
      <c r="H44" s="4" t="s">
        <v>35</v>
      </c>
      <c r="I44" s="5">
        <v>44652</v>
      </c>
      <c r="J44" s="6">
        <v>0</v>
      </c>
      <c r="K44" s="6">
        <v>0</v>
      </c>
      <c r="L44" s="6">
        <v>112.223</v>
      </c>
      <c r="M44" s="6">
        <v>112.223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4">
        <v>0</v>
      </c>
      <c r="T44" s="4">
        <v>7</v>
      </c>
      <c r="U44" s="4">
        <v>0</v>
      </c>
      <c r="V44" s="6">
        <f>IF(ISERROR(VLOOKUP($S$44,'TAR FIN'!$A$1:$O$108,15,0)),0,VLOOKUP($S$44,'TAR FIN'!$A$1:$O$108,15,0))</f>
        <v>0</v>
      </c>
      <c r="W44" s="6">
        <f>IF(ISERROR(VLOOKUP($T$44,'TAR FIN'!$A$1:$O$108,15,0)),0,VLOOKUP($T$44,'TAR FIN'!$A$1:$O$108,15,0))</f>
        <v>102.62</v>
      </c>
      <c r="X44" s="6">
        <f>IF(ISERROR(VLOOKUP($U$44,'TAR FIN'!$A$1:$O$108,15,0)),0,VLOOKUP($U$44,'TAR FIN'!$A$1:$O$108,15,0))</f>
        <v>0</v>
      </c>
      <c r="Y44" s="6"/>
      <c r="Z44" s="6">
        <f ca="1">('TUSD BE'!$AM$28+'TUSD BF'!$AM$28+'TUSD CVA'!$AM$28)*1</f>
        <v>181.47641369790719</v>
      </c>
      <c r="AA44" s="6"/>
      <c r="AB44" s="6">
        <f t="shared" si="0"/>
        <v>0</v>
      </c>
      <c r="AC44" s="6">
        <f t="shared" si="6"/>
        <v>0</v>
      </c>
      <c r="AD44" s="6">
        <f t="shared" si="2"/>
        <v>0</v>
      </c>
      <c r="AE44" s="6">
        <f t="shared" ca="1" si="7"/>
        <v>0</v>
      </c>
      <c r="AF44" s="4" t="s">
        <v>843</v>
      </c>
    </row>
    <row r="45" spans="1:32" ht="11.25" customHeight="1" x14ac:dyDescent="0.25">
      <c r="A45" s="4" t="s">
        <v>21</v>
      </c>
      <c r="B45" s="4" t="s">
        <v>41</v>
      </c>
      <c r="C45" s="4" t="s">
        <v>43</v>
      </c>
      <c r="D45" s="4" t="s">
        <v>38</v>
      </c>
      <c r="E45" s="4" t="s">
        <v>25</v>
      </c>
      <c r="F45" s="4" t="s">
        <v>55</v>
      </c>
      <c r="G45" s="4" t="s">
        <v>25</v>
      </c>
      <c r="H45" s="4" t="s">
        <v>35</v>
      </c>
      <c r="I45" s="5">
        <v>44682</v>
      </c>
      <c r="J45" s="6">
        <v>0</v>
      </c>
      <c r="K45" s="6">
        <v>0</v>
      </c>
      <c r="L45" s="6">
        <v>131.78</v>
      </c>
      <c r="M45" s="6">
        <v>131.78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4">
        <v>0</v>
      </c>
      <c r="T45" s="4">
        <v>7</v>
      </c>
      <c r="U45" s="4">
        <v>0</v>
      </c>
      <c r="V45" s="6">
        <f>IF(ISERROR(VLOOKUP($S$45,'TAR FIN'!$A$1:$O$108,15,0)),0,VLOOKUP($S$45,'TAR FIN'!$A$1:$O$108,15,0))</f>
        <v>0</v>
      </c>
      <c r="W45" s="6">
        <f>IF(ISERROR(VLOOKUP($T$45,'TAR FIN'!$A$1:$O$108,15,0)),0,VLOOKUP($T$45,'TAR FIN'!$A$1:$O$108,15,0))</f>
        <v>102.62</v>
      </c>
      <c r="X45" s="6">
        <f>IF(ISERROR(VLOOKUP($U$45,'TAR FIN'!$A$1:$O$108,15,0)),0,VLOOKUP($U$45,'TAR FIN'!$A$1:$O$108,15,0))</f>
        <v>0</v>
      </c>
      <c r="Y45" s="6"/>
      <c r="Z45" s="6">
        <f ca="1">('TUSD BE'!$AM$28+'TUSD BF'!$AM$28+'TUSD CVA'!$AM$28)*1</f>
        <v>181.47641369790719</v>
      </c>
      <c r="AA45" s="6"/>
      <c r="AB45" s="6">
        <f t="shared" si="0"/>
        <v>0</v>
      </c>
      <c r="AC45" s="6">
        <f t="shared" si="6"/>
        <v>0</v>
      </c>
      <c r="AD45" s="6">
        <f t="shared" si="2"/>
        <v>0</v>
      </c>
      <c r="AE45" s="6">
        <f t="shared" ca="1" si="7"/>
        <v>0</v>
      </c>
      <c r="AF45" s="4" t="s">
        <v>843</v>
      </c>
    </row>
    <row r="46" spans="1:32" ht="11.25" customHeight="1" x14ac:dyDescent="0.25">
      <c r="A46" s="4" t="s">
        <v>21</v>
      </c>
      <c r="B46" s="4" t="s">
        <v>41</v>
      </c>
      <c r="C46" s="4" t="s">
        <v>43</v>
      </c>
      <c r="D46" s="4" t="s">
        <v>38</v>
      </c>
      <c r="E46" s="4" t="s">
        <v>25</v>
      </c>
      <c r="F46" s="4" t="s">
        <v>55</v>
      </c>
      <c r="G46" s="4" t="s">
        <v>25</v>
      </c>
      <c r="H46" s="4" t="s">
        <v>35</v>
      </c>
      <c r="I46" s="5">
        <v>44713</v>
      </c>
      <c r="J46" s="6">
        <v>0</v>
      </c>
      <c r="K46" s="6">
        <v>0</v>
      </c>
      <c r="L46" s="6">
        <v>130.40799999999999</v>
      </c>
      <c r="M46" s="6">
        <v>130.40799999999999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4">
        <v>0</v>
      </c>
      <c r="T46" s="4">
        <v>7</v>
      </c>
      <c r="U46" s="4">
        <v>0</v>
      </c>
      <c r="V46" s="6">
        <f>IF(ISERROR(VLOOKUP($S$46,'TAR FIN'!$A$1:$O$108,15,0)),0,VLOOKUP($S$46,'TAR FIN'!$A$1:$O$108,15,0))</f>
        <v>0</v>
      </c>
      <c r="W46" s="6">
        <f>IF(ISERROR(VLOOKUP($T$46,'TAR FIN'!$A$1:$O$108,15,0)),0,VLOOKUP($T$46,'TAR FIN'!$A$1:$O$108,15,0))</f>
        <v>102.62</v>
      </c>
      <c r="X46" s="6">
        <f>IF(ISERROR(VLOOKUP($U$46,'TAR FIN'!$A$1:$O$108,15,0)),0,VLOOKUP($U$46,'TAR FIN'!$A$1:$O$108,15,0))</f>
        <v>0</v>
      </c>
      <c r="Y46" s="6"/>
      <c r="Z46" s="6">
        <f ca="1">('TUSD BE'!$AM$28+'TUSD BF'!$AM$28+'TUSD CVA'!$AM$28)*1</f>
        <v>181.47641369790719</v>
      </c>
      <c r="AA46" s="6"/>
      <c r="AB46" s="6">
        <f t="shared" si="0"/>
        <v>0</v>
      </c>
      <c r="AC46" s="6">
        <f t="shared" si="6"/>
        <v>0</v>
      </c>
      <c r="AD46" s="6">
        <f t="shared" si="2"/>
        <v>0</v>
      </c>
      <c r="AE46" s="6">
        <f t="shared" ca="1" si="7"/>
        <v>0</v>
      </c>
      <c r="AF46" s="4" t="s">
        <v>843</v>
      </c>
    </row>
    <row r="47" spans="1:32" ht="11.25" customHeight="1" x14ac:dyDescent="0.25">
      <c r="A47" s="4" t="s">
        <v>21</v>
      </c>
      <c r="B47" s="4" t="s">
        <v>41</v>
      </c>
      <c r="C47" s="4" t="s">
        <v>43</v>
      </c>
      <c r="D47" s="4" t="s">
        <v>38</v>
      </c>
      <c r="E47" s="4" t="s">
        <v>25</v>
      </c>
      <c r="F47" s="4" t="s">
        <v>55</v>
      </c>
      <c r="G47" s="4" t="s">
        <v>25</v>
      </c>
      <c r="H47" s="4" t="s">
        <v>35</v>
      </c>
      <c r="I47" s="5">
        <v>44743</v>
      </c>
      <c r="J47" s="6">
        <v>0</v>
      </c>
      <c r="K47" s="6">
        <v>0</v>
      </c>
      <c r="L47" s="6">
        <v>116.18899999999999</v>
      </c>
      <c r="M47" s="6">
        <v>116.18899999999999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4">
        <v>0</v>
      </c>
      <c r="T47" s="4">
        <v>7</v>
      </c>
      <c r="U47" s="4">
        <v>0</v>
      </c>
      <c r="V47" s="6">
        <f>IF(ISERROR(VLOOKUP($S$47,'TAR FIN'!$A$1:$O$108,15,0)),0,VLOOKUP($S$47,'TAR FIN'!$A$1:$O$108,15,0))</f>
        <v>0</v>
      </c>
      <c r="W47" s="6">
        <f>IF(ISERROR(VLOOKUP($T$47,'TAR FIN'!$A$1:$O$108,15,0)),0,VLOOKUP($T$47,'TAR FIN'!$A$1:$O$108,15,0))</f>
        <v>102.62</v>
      </c>
      <c r="X47" s="6">
        <f>IF(ISERROR(VLOOKUP($U$47,'TAR FIN'!$A$1:$O$108,15,0)),0,VLOOKUP($U$47,'TAR FIN'!$A$1:$O$108,15,0))</f>
        <v>0</v>
      </c>
      <c r="Y47" s="6"/>
      <c r="Z47" s="6">
        <f ca="1">('TUSD BE'!$AM$28+'TUSD BF'!$AM$28+'TUSD CVA'!$AM$28)*1</f>
        <v>181.47641369790719</v>
      </c>
      <c r="AA47" s="6"/>
      <c r="AB47" s="6">
        <f t="shared" si="0"/>
        <v>0</v>
      </c>
      <c r="AC47" s="6">
        <f t="shared" si="6"/>
        <v>0</v>
      </c>
      <c r="AD47" s="6">
        <f t="shared" si="2"/>
        <v>0</v>
      </c>
      <c r="AE47" s="6">
        <f t="shared" ca="1" si="7"/>
        <v>0</v>
      </c>
      <c r="AF47" s="4" t="s">
        <v>843</v>
      </c>
    </row>
    <row r="48" spans="1:32" ht="11.25" customHeight="1" x14ac:dyDescent="0.25">
      <c r="A48" s="4" t="s">
        <v>21</v>
      </c>
      <c r="B48" s="4" t="s">
        <v>41</v>
      </c>
      <c r="C48" s="4" t="s">
        <v>43</v>
      </c>
      <c r="D48" s="4" t="s">
        <v>38</v>
      </c>
      <c r="E48" s="4" t="s">
        <v>25</v>
      </c>
      <c r="F48" s="4" t="s">
        <v>55</v>
      </c>
      <c r="G48" s="4" t="s">
        <v>25</v>
      </c>
      <c r="H48" s="4" t="s">
        <v>35</v>
      </c>
      <c r="I48" s="5">
        <v>44774</v>
      </c>
      <c r="J48" s="6">
        <v>0</v>
      </c>
      <c r="K48" s="6">
        <v>0</v>
      </c>
      <c r="L48" s="6">
        <v>148.827</v>
      </c>
      <c r="M48" s="6">
        <v>148.827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4">
        <v>0</v>
      </c>
      <c r="T48" s="4">
        <v>7</v>
      </c>
      <c r="U48" s="4">
        <v>0</v>
      </c>
      <c r="V48" s="6">
        <f>IF(ISERROR(VLOOKUP($S$48,'TAR FIN'!$A$1:$O$108,15,0)),0,VLOOKUP($S$48,'TAR FIN'!$A$1:$O$108,15,0))</f>
        <v>0</v>
      </c>
      <c r="W48" s="6">
        <f>IF(ISERROR(VLOOKUP($T$48,'TAR FIN'!$A$1:$O$108,15,0)),0,VLOOKUP($T$48,'TAR FIN'!$A$1:$O$108,15,0))</f>
        <v>102.62</v>
      </c>
      <c r="X48" s="6">
        <f>IF(ISERROR(VLOOKUP($U$48,'TAR FIN'!$A$1:$O$108,15,0)),0,VLOOKUP($U$48,'TAR FIN'!$A$1:$O$108,15,0))</f>
        <v>0</v>
      </c>
      <c r="Y48" s="6"/>
      <c r="Z48" s="6">
        <f ca="1">('TUSD BE'!$AM$28+'TUSD BF'!$AM$28+'TUSD CVA'!$AM$28)*1</f>
        <v>181.47641369790719</v>
      </c>
      <c r="AA48" s="6"/>
      <c r="AB48" s="6">
        <f t="shared" si="0"/>
        <v>0</v>
      </c>
      <c r="AC48" s="6">
        <f t="shared" si="6"/>
        <v>0</v>
      </c>
      <c r="AD48" s="6">
        <f t="shared" si="2"/>
        <v>0</v>
      </c>
      <c r="AE48" s="6">
        <f t="shared" ca="1" si="7"/>
        <v>0</v>
      </c>
      <c r="AF48" s="4" t="s">
        <v>843</v>
      </c>
    </row>
    <row r="49" spans="1:32" ht="11.25" customHeight="1" x14ac:dyDescent="0.25">
      <c r="A49" s="4" t="s">
        <v>21</v>
      </c>
      <c r="B49" s="4" t="s">
        <v>41</v>
      </c>
      <c r="C49" s="4" t="s">
        <v>43</v>
      </c>
      <c r="D49" s="4" t="s">
        <v>38</v>
      </c>
      <c r="E49" s="4" t="s">
        <v>25</v>
      </c>
      <c r="F49" s="4" t="s">
        <v>55</v>
      </c>
      <c r="G49" s="4" t="s">
        <v>25</v>
      </c>
      <c r="H49" s="4" t="s">
        <v>35</v>
      </c>
      <c r="I49" s="5">
        <v>44805</v>
      </c>
      <c r="J49" s="6">
        <v>0</v>
      </c>
      <c r="K49" s="6">
        <v>0</v>
      </c>
      <c r="L49" s="6">
        <v>137.489</v>
      </c>
      <c r="M49" s="6">
        <v>137.489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4">
        <v>0</v>
      </c>
      <c r="T49" s="4">
        <v>7</v>
      </c>
      <c r="U49" s="4">
        <v>0</v>
      </c>
      <c r="V49" s="6">
        <f>IF(ISERROR(VLOOKUP($S$49,'TAR FIN'!$A$1:$O$108,15,0)),0,VLOOKUP($S$49,'TAR FIN'!$A$1:$O$108,15,0))</f>
        <v>0</v>
      </c>
      <c r="W49" s="6">
        <f>IF(ISERROR(VLOOKUP($T$49,'TAR FIN'!$A$1:$O$108,15,0)),0,VLOOKUP($T$49,'TAR FIN'!$A$1:$O$108,15,0))</f>
        <v>102.62</v>
      </c>
      <c r="X49" s="6">
        <f>IF(ISERROR(VLOOKUP($U$49,'TAR FIN'!$A$1:$O$108,15,0)),0,VLOOKUP($U$49,'TAR FIN'!$A$1:$O$108,15,0))</f>
        <v>0</v>
      </c>
      <c r="Y49" s="6"/>
      <c r="Z49" s="6">
        <f ca="1">('TUSD BE'!$AM$28+'TUSD BF'!$AM$28+'TUSD CVA'!$AM$28)*1</f>
        <v>181.47641369790719</v>
      </c>
      <c r="AA49" s="6"/>
      <c r="AB49" s="6">
        <f t="shared" si="0"/>
        <v>0</v>
      </c>
      <c r="AC49" s="6">
        <f t="shared" si="6"/>
        <v>0</v>
      </c>
      <c r="AD49" s="6">
        <f t="shared" si="2"/>
        <v>0</v>
      </c>
      <c r="AE49" s="6">
        <f t="shared" ca="1" si="7"/>
        <v>0</v>
      </c>
      <c r="AF49" s="4" t="s">
        <v>843</v>
      </c>
    </row>
    <row r="50" spans="1:32" ht="11.25" customHeight="1" x14ac:dyDescent="0.25">
      <c r="A50" s="4" t="s">
        <v>21</v>
      </c>
      <c r="B50" s="4" t="s">
        <v>41</v>
      </c>
      <c r="C50" s="4" t="s">
        <v>43</v>
      </c>
      <c r="D50" s="4" t="s">
        <v>38</v>
      </c>
      <c r="E50" s="4" t="s">
        <v>25</v>
      </c>
      <c r="F50" s="4" t="s">
        <v>55</v>
      </c>
      <c r="G50" s="4" t="s">
        <v>25</v>
      </c>
      <c r="H50" s="4" t="s">
        <v>35</v>
      </c>
      <c r="I50" s="5">
        <v>44835</v>
      </c>
      <c r="J50" s="6">
        <v>0</v>
      </c>
      <c r="K50" s="6">
        <v>0</v>
      </c>
      <c r="L50" s="6">
        <v>143.334</v>
      </c>
      <c r="M50" s="6">
        <v>143.334</v>
      </c>
      <c r="N50" s="6">
        <v>0</v>
      </c>
      <c r="O50" s="6">
        <v>0</v>
      </c>
      <c r="P50" s="6">
        <v>0</v>
      </c>
      <c r="Q50" s="4" t="s">
        <v>56</v>
      </c>
      <c r="R50" s="4">
        <v>0</v>
      </c>
      <c r="S50" s="4">
        <v>0</v>
      </c>
      <c r="T50" s="4">
        <v>7</v>
      </c>
      <c r="U50" s="4">
        <v>0</v>
      </c>
      <c r="V50" s="6">
        <f>IF(ISERROR(VLOOKUP($S$50,'TAR FIN'!$A$1:$O$108,15,0)),0,VLOOKUP($S$50,'TAR FIN'!$A$1:$O$108,15,0))</f>
        <v>0</v>
      </c>
      <c r="W50" s="6">
        <f>IF(ISERROR(VLOOKUP($T$50,'TAR FIN'!$A$1:$O$108,15,0)),0,VLOOKUP($T$50,'TAR FIN'!$A$1:$O$108,15,0))</f>
        <v>102.62</v>
      </c>
      <c r="X50" s="6">
        <f>IF(ISERROR(VLOOKUP($U$50,'TAR FIN'!$A$1:$O$108,15,0)),0,VLOOKUP($U$50,'TAR FIN'!$A$1:$O$108,15,0))</f>
        <v>0</v>
      </c>
      <c r="Y50" s="6"/>
      <c r="Z50" s="6">
        <f ca="1">('TUSD BE'!$AM$28+'TUSD BF'!$AM$28+'TUSD CVA'!$AM$28)*1</f>
        <v>181.47641369790719</v>
      </c>
      <c r="AA50" s="6"/>
      <c r="AB50" s="6">
        <f t="shared" si="0"/>
        <v>0</v>
      </c>
      <c r="AC50" s="6">
        <f t="shared" si="6"/>
        <v>0</v>
      </c>
      <c r="AD50" s="6">
        <f t="shared" si="2"/>
        <v>0</v>
      </c>
      <c r="AE50" s="6">
        <f t="shared" ca="1" si="7"/>
        <v>0</v>
      </c>
      <c r="AF50" s="4" t="s">
        <v>843</v>
      </c>
    </row>
    <row r="51" spans="1:32" ht="11.25" customHeight="1" x14ac:dyDescent="0.25">
      <c r="A51" s="4" t="s">
        <v>54</v>
      </c>
      <c r="B51" s="4" t="s">
        <v>41</v>
      </c>
      <c r="C51" s="4" t="s">
        <v>43</v>
      </c>
      <c r="D51" s="4" t="s">
        <v>38</v>
      </c>
      <c r="E51" s="4" t="s">
        <v>25</v>
      </c>
      <c r="F51" s="4" t="s">
        <v>55</v>
      </c>
      <c r="G51" s="4" t="s">
        <v>25</v>
      </c>
      <c r="H51" s="4" t="s">
        <v>35</v>
      </c>
      <c r="I51" s="5">
        <v>44866</v>
      </c>
      <c r="J51" s="6">
        <v>0</v>
      </c>
      <c r="K51" s="6">
        <v>0</v>
      </c>
      <c r="L51" s="6">
        <v>143.334</v>
      </c>
      <c r="M51" s="6">
        <v>143.334</v>
      </c>
      <c r="N51" s="6">
        <v>0</v>
      </c>
      <c r="O51" s="6">
        <v>0</v>
      </c>
      <c r="P51" s="6">
        <v>0</v>
      </c>
      <c r="Q51" s="4" t="s">
        <v>56</v>
      </c>
      <c r="R51" s="4">
        <v>0</v>
      </c>
      <c r="S51" s="4">
        <v>0</v>
      </c>
      <c r="T51" s="4">
        <v>7</v>
      </c>
      <c r="U51" s="4">
        <v>0</v>
      </c>
      <c r="V51" s="6">
        <f>IF(ISERROR(VLOOKUP($S$51,'TAR FIN'!$A$1:$O$108,15,0)),0,VLOOKUP($S$51,'TAR FIN'!$A$1:$O$108,15,0))</f>
        <v>0</v>
      </c>
      <c r="W51" s="6">
        <f>IF(ISERROR(VLOOKUP($T$51,'TAR FIN'!$A$1:$O$108,15,0)),0,VLOOKUP($T$51,'TAR FIN'!$A$1:$O$108,15,0))</f>
        <v>102.62</v>
      </c>
      <c r="X51" s="6">
        <f>IF(ISERROR(VLOOKUP($U$51,'TAR FIN'!$A$1:$O$108,15,0)),0,VLOOKUP($U$51,'TAR FIN'!$A$1:$O$108,15,0))</f>
        <v>0</v>
      </c>
      <c r="Y51" s="6"/>
      <c r="Z51" s="6">
        <f ca="1">('TUSD BE'!$AM$28+'TUSD BF'!$AM$28+'TUSD CVA'!$AM$28)*1</f>
        <v>181.47641369790719</v>
      </c>
      <c r="AA51" s="6"/>
      <c r="AB51" s="6">
        <f t="shared" si="0"/>
        <v>0</v>
      </c>
      <c r="AC51" s="6">
        <f t="shared" si="6"/>
        <v>0</v>
      </c>
      <c r="AD51" s="6">
        <f t="shared" si="2"/>
        <v>0</v>
      </c>
      <c r="AE51" s="6">
        <f t="shared" ca="1" si="7"/>
        <v>0</v>
      </c>
      <c r="AF51" s="4" t="s">
        <v>843</v>
      </c>
    </row>
    <row r="52" spans="1:32" ht="11.25" customHeight="1" x14ac:dyDescent="0.25">
      <c r="A52" s="4" t="s">
        <v>21</v>
      </c>
      <c r="B52" s="4" t="s">
        <v>41</v>
      </c>
      <c r="C52" s="4" t="s">
        <v>43</v>
      </c>
      <c r="D52" s="4" t="s">
        <v>38</v>
      </c>
      <c r="E52" s="4" t="s">
        <v>25</v>
      </c>
      <c r="F52" s="4" t="s">
        <v>55</v>
      </c>
      <c r="G52" s="4" t="s">
        <v>25</v>
      </c>
      <c r="H52" s="4" t="s">
        <v>25</v>
      </c>
      <c r="I52" s="5">
        <v>44531</v>
      </c>
      <c r="J52" s="6">
        <v>3683</v>
      </c>
      <c r="K52" s="6">
        <v>752.18008440999995</v>
      </c>
      <c r="L52" s="6">
        <v>0</v>
      </c>
      <c r="M52" s="6">
        <v>0</v>
      </c>
      <c r="N52" s="6">
        <v>0</v>
      </c>
      <c r="O52" s="6">
        <v>0</v>
      </c>
      <c r="P52" s="6">
        <v>9</v>
      </c>
      <c r="Q52" s="4" t="s">
        <v>56</v>
      </c>
      <c r="R52" s="4">
        <v>0</v>
      </c>
      <c r="S52" s="4">
        <v>2</v>
      </c>
      <c r="T52" s="4">
        <v>0</v>
      </c>
      <c r="U52" s="4">
        <v>0</v>
      </c>
      <c r="V52" s="6">
        <f>IF(ISERROR(VLOOKUP($S$52,'TAR FIN'!$A$1:$O$108,15,0)),0,VLOOKUP($S$52,'TAR FIN'!$A$1:$O$108,15,0))</f>
        <v>21.38</v>
      </c>
      <c r="W52" s="6">
        <f>IF(ISERROR(VLOOKUP($T$52,'TAR FIN'!$A$1:$O$108,15,0)),0,VLOOKUP($T$52,'TAR FIN'!$A$1:$O$108,15,0))</f>
        <v>0</v>
      </c>
      <c r="X52" s="6">
        <f>IF(ISERROR(VLOOKUP($U$52,'TAR FIN'!$A$1:$O$108,15,0)),0,VLOOKUP($U$52,'TAR FIN'!$A$1:$O$108,15,0))</f>
        <v>0</v>
      </c>
      <c r="Y52" s="6">
        <f ca="1">('TUSD BE'!$AM$26+'TUSD BF'!$AM$26+'TUSD CVA'!$AM$26)*1</f>
        <v>21.189390814529755</v>
      </c>
      <c r="Z52" s="6"/>
      <c r="AA52" s="6"/>
      <c r="AB52" s="6">
        <f t="shared" si="0"/>
        <v>62660.929795314201</v>
      </c>
      <c r="AC52" s="6">
        <f t="shared" si="6"/>
        <v>0</v>
      </c>
      <c r="AD52" s="6">
        <f t="shared" ca="1" si="2"/>
        <v>62102.288598443622</v>
      </c>
      <c r="AE52" s="6">
        <f t="shared" si="7"/>
        <v>0</v>
      </c>
      <c r="AF52" s="4" t="s">
        <v>843</v>
      </c>
    </row>
    <row r="53" spans="1:32" ht="11.25" customHeight="1" x14ac:dyDescent="0.25">
      <c r="A53" s="4" t="s">
        <v>21</v>
      </c>
      <c r="B53" s="4" t="s">
        <v>41</v>
      </c>
      <c r="C53" s="4" t="s">
        <v>43</v>
      </c>
      <c r="D53" s="4" t="s">
        <v>38</v>
      </c>
      <c r="E53" s="4" t="s">
        <v>25</v>
      </c>
      <c r="F53" s="4" t="s">
        <v>55</v>
      </c>
      <c r="G53" s="4" t="s">
        <v>25</v>
      </c>
      <c r="H53" s="4" t="s">
        <v>25</v>
      </c>
      <c r="I53" s="5">
        <v>44562</v>
      </c>
      <c r="J53" s="6">
        <v>3678</v>
      </c>
      <c r="K53" s="6">
        <v>1327.758</v>
      </c>
      <c r="L53" s="6">
        <v>0</v>
      </c>
      <c r="M53" s="6">
        <v>0</v>
      </c>
      <c r="N53" s="6">
        <v>0</v>
      </c>
      <c r="O53" s="6">
        <v>0</v>
      </c>
      <c r="P53" s="6">
        <v>9</v>
      </c>
      <c r="Q53" s="4" t="s">
        <v>56</v>
      </c>
      <c r="R53" s="4">
        <v>0</v>
      </c>
      <c r="S53" s="4">
        <v>2</v>
      </c>
      <c r="T53" s="4">
        <v>0</v>
      </c>
      <c r="U53" s="4">
        <v>0</v>
      </c>
      <c r="V53" s="6">
        <f>IF(ISERROR(VLOOKUP($S$53,'TAR FIN'!$A$1:$O$108,15,0)),0,VLOOKUP($S$53,'TAR FIN'!$A$1:$O$108,15,0))</f>
        <v>21.38</v>
      </c>
      <c r="W53" s="6">
        <f>IF(ISERROR(VLOOKUP($T$53,'TAR FIN'!$A$1:$O$108,15,0)),0,VLOOKUP($T$53,'TAR FIN'!$A$1:$O$108,15,0))</f>
        <v>0</v>
      </c>
      <c r="X53" s="6">
        <f>IF(ISERROR(VLOOKUP($U$53,'TAR FIN'!$A$1:$O$108,15,0)),0,VLOOKUP($U$53,'TAR FIN'!$A$1:$O$108,15,0))</f>
        <v>0</v>
      </c>
      <c r="Y53" s="6">
        <f ca="1">('TUSD BE'!$AM$26+'TUSD BF'!$AM$26+'TUSD CVA'!$AM$26)*1</f>
        <v>21.189390814529755</v>
      </c>
      <c r="Z53" s="6"/>
      <c r="AA53" s="6"/>
      <c r="AB53" s="6">
        <f t="shared" si="0"/>
        <v>50248.17396</v>
      </c>
      <c r="AC53" s="6">
        <f t="shared" si="6"/>
        <v>0</v>
      </c>
      <c r="AD53" s="6">
        <f t="shared" ca="1" si="2"/>
        <v>49800.196246722044</v>
      </c>
      <c r="AE53" s="6">
        <f t="shared" si="7"/>
        <v>0</v>
      </c>
      <c r="AF53" s="4" t="s">
        <v>843</v>
      </c>
    </row>
    <row r="54" spans="1:32" ht="11.25" customHeight="1" x14ac:dyDescent="0.25">
      <c r="A54" s="4" t="s">
        <v>21</v>
      </c>
      <c r="B54" s="4" t="s">
        <v>41</v>
      </c>
      <c r="C54" s="4" t="s">
        <v>43</v>
      </c>
      <c r="D54" s="4" t="s">
        <v>38</v>
      </c>
      <c r="E54" s="4" t="s">
        <v>25</v>
      </c>
      <c r="F54" s="4" t="s">
        <v>55</v>
      </c>
      <c r="G54" s="4" t="s">
        <v>25</v>
      </c>
      <c r="H54" s="4" t="s">
        <v>25</v>
      </c>
      <c r="I54" s="5">
        <v>44593</v>
      </c>
      <c r="J54" s="6">
        <v>3681</v>
      </c>
      <c r="K54" s="6">
        <v>1500.3756000000001</v>
      </c>
      <c r="L54" s="6">
        <v>0</v>
      </c>
      <c r="M54" s="6">
        <v>0</v>
      </c>
      <c r="N54" s="6">
        <v>0</v>
      </c>
      <c r="O54" s="6">
        <v>0</v>
      </c>
      <c r="P54" s="6">
        <v>9</v>
      </c>
      <c r="Q54" s="4" t="s">
        <v>56</v>
      </c>
      <c r="R54" s="4">
        <v>0</v>
      </c>
      <c r="S54" s="4">
        <v>2</v>
      </c>
      <c r="T54" s="4">
        <v>0</v>
      </c>
      <c r="U54" s="4">
        <v>0</v>
      </c>
      <c r="V54" s="6">
        <f>IF(ISERROR(VLOOKUP($S$54,'TAR FIN'!$A$1:$O$108,15,0)),0,VLOOKUP($S$54,'TAR FIN'!$A$1:$O$108,15,0))</f>
        <v>21.38</v>
      </c>
      <c r="W54" s="6">
        <f>IF(ISERROR(VLOOKUP($T$54,'TAR FIN'!$A$1:$O$108,15,0)),0,VLOOKUP($T$54,'TAR FIN'!$A$1:$O$108,15,0))</f>
        <v>0</v>
      </c>
      <c r="X54" s="6">
        <f>IF(ISERROR(VLOOKUP($U$54,'TAR FIN'!$A$1:$O$108,15,0)),0,VLOOKUP($U$54,'TAR FIN'!$A$1:$O$108,15,0))</f>
        <v>0</v>
      </c>
      <c r="Y54" s="6">
        <f ca="1">('TUSD BE'!$AM$26+'TUSD BF'!$AM$26+'TUSD CVA'!$AM$26)*1</f>
        <v>21.189390814529755</v>
      </c>
      <c r="Z54" s="6"/>
      <c r="AA54" s="6"/>
      <c r="AB54" s="6">
        <f t="shared" si="0"/>
        <v>46621.749671999991</v>
      </c>
      <c r="AC54" s="6">
        <f t="shared" si="6"/>
        <v>0</v>
      </c>
      <c r="AD54" s="6">
        <f t="shared" ca="1" si="2"/>
        <v>46206.102631299451</v>
      </c>
      <c r="AE54" s="6">
        <f t="shared" si="7"/>
        <v>0</v>
      </c>
      <c r="AF54" s="4" t="s">
        <v>843</v>
      </c>
    </row>
    <row r="55" spans="1:32" ht="11.25" customHeight="1" x14ac:dyDescent="0.25">
      <c r="A55" s="4" t="s">
        <v>21</v>
      </c>
      <c r="B55" s="4" t="s">
        <v>41</v>
      </c>
      <c r="C55" s="4" t="s">
        <v>43</v>
      </c>
      <c r="D55" s="4" t="s">
        <v>38</v>
      </c>
      <c r="E55" s="4" t="s">
        <v>25</v>
      </c>
      <c r="F55" s="4" t="s">
        <v>55</v>
      </c>
      <c r="G55" s="4" t="s">
        <v>25</v>
      </c>
      <c r="H55" s="4" t="s">
        <v>25</v>
      </c>
      <c r="I55" s="5">
        <v>44621</v>
      </c>
      <c r="J55" s="6">
        <v>3684</v>
      </c>
      <c r="K55" s="6">
        <v>1918.6271999999999</v>
      </c>
      <c r="L55" s="6">
        <v>0</v>
      </c>
      <c r="M55" s="6">
        <v>0</v>
      </c>
      <c r="N55" s="6">
        <v>0</v>
      </c>
      <c r="O55" s="6">
        <v>0</v>
      </c>
      <c r="P55" s="6">
        <v>9</v>
      </c>
      <c r="Q55" s="4" t="s">
        <v>56</v>
      </c>
      <c r="R55" s="4">
        <v>0</v>
      </c>
      <c r="S55" s="4">
        <v>2</v>
      </c>
      <c r="T55" s="4">
        <v>0</v>
      </c>
      <c r="U55" s="4">
        <v>0</v>
      </c>
      <c r="V55" s="6">
        <f>IF(ISERROR(VLOOKUP($S$55,'TAR FIN'!$A$1:$O$108,15,0)),0,VLOOKUP($S$55,'TAR FIN'!$A$1:$O$108,15,0))</f>
        <v>21.38</v>
      </c>
      <c r="W55" s="6">
        <f>IF(ISERROR(VLOOKUP($T$55,'TAR FIN'!$A$1:$O$108,15,0)),0,VLOOKUP($T$55,'TAR FIN'!$A$1:$O$108,15,0))</f>
        <v>0</v>
      </c>
      <c r="X55" s="6">
        <f>IF(ISERROR(VLOOKUP($U$55,'TAR FIN'!$A$1:$O$108,15,0)),0,VLOOKUP($U$55,'TAR FIN'!$A$1:$O$108,15,0))</f>
        <v>0</v>
      </c>
      <c r="Y55" s="6">
        <f ca="1">('TUSD BE'!$AM$26+'TUSD BF'!$AM$26+'TUSD CVA'!$AM$26)*1</f>
        <v>21.189390814529755</v>
      </c>
      <c r="Z55" s="6"/>
      <c r="AA55" s="6"/>
      <c r="AB55" s="6">
        <f t="shared" si="0"/>
        <v>37743.670464000003</v>
      </c>
      <c r="AC55" s="6">
        <f t="shared" si="6"/>
        <v>0</v>
      </c>
      <c r="AD55" s="6">
        <f t="shared" ca="1" si="2"/>
        <v>37407.174192540675</v>
      </c>
      <c r="AE55" s="6">
        <f t="shared" si="7"/>
        <v>0</v>
      </c>
      <c r="AF55" s="4" t="s">
        <v>843</v>
      </c>
    </row>
    <row r="56" spans="1:32" ht="11.25" customHeight="1" x14ac:dyDescent="0.25">
      <c r="A56" s="4" t="s">
        <v>21</v>
      </c>
      <c r="B56" s="4" t="s">
        <v>41</v>
      </c>
      <c r="C56" s="4" t="s">
        <v>43</v>
      </c>
      <c r="D56" s="4" t="s">
        <v>38</v>
      </c>
      <c r="E56" s="4" t="s">
        <v>25</v>
      </c>
      <c r="F56" s="4" t="s">
        <v>55</v>
      </c>
      <c r="G56" s="4" t="s">
        <v>25</v>
      </c>
      <c r="H56" s="4" t="s">
        <v>25</v>
      </c>
      <c r="I56" s="5">
        <v>44652</v>
      </c>
      <c r="J56" s="6">
        <v>4528</v>
      </c>
      <c r="K56" s="6">
        <v>2571.904</v>
      </c>
      <c r="L56" s="6">
        <v>0</v>
      </c>
      <c r="M56" s="6">
        <v>0</v>
      </c>
      <c r="N56" s="6">
        <v>0</v>
      </c>
      <c r="O56" s="6">
        <v>0</v>
      </c>
      <c r="P56" s="6">
        <v>10</v>
      </c>
      <c r="Q56" s="4" t="s">
        <v>56</v>
      </c>
      <c r="R56" s="4">
        <v>0</v>
      </c>
      <c r="S56" s="4">
        <v>2</v>
      </c>
      <c r="T56" s="4">
        <v>0</v>
      </c>
      <c r="U56" s="4">
        <v>0</v>
      </c>
      <c r="V56" s="6">
        <f>IF(ISERROR(VLOOKUP($S$56,'TAR FIN'!$A$1:$O$108,15,0)),0,VLOOKUP($S$56,'TAR FIN'!$A$1:$O$108,15,0))</f>
        <v>21.38</v>
      </c>
      <c r="W56" s="6">
        <f>IF(ISERROR(VLOOKUP($T$56,'TAR FIN'!$A$1:$O$108,15,0)),0,VLOOKUP($T$56,'TAR FIN'!$A$1:$O$108,15,0))</f>
        <v>0</v>
      </c>
      <c r="X56" s="6">
        <f>IF(ISERROR(VLOOKUP($U$56,'TAR FIN'!$A$1:$O$108,15,0)),0,VLOOKUP($U$56,'TAR FIN'!$A$1:$O$108,15,0))</f>
        <v>0</v>
      </c>
      <c r="Y56" s="6">
        <f ca="1">('TUSD BE'!$AM$26+'TUSD BF'!$AM$26+'TUSD CVA'!$AM$26)*1</f>
        <v>21.189390814529755</v>
      </c>
      <c r="Z56" s="6"/>
      <c r="AA56" s="6"/>
      <c r="AB56" s="6">
        <f t="shared" si="0"/>
        <v>41821.332479999997</v>
      </c>
      <c r="AC56" s="6">
        <f t="shared" si="6"/>
        <v>0</v>
      </c>
      <c r="AD56" s="6">
        <f t="shared" ca="1" si="2"/>
        <v>41448.482614738394</v>
      </c>
      <c r="AE56" s="6">
        <f t="shared" si="7"/>
        <v>0</v>
      </c>
      <c r="AF56" s="4" t="s">
        <v>843</v>
      </c>
    </row>
    <row r="57" spans="1:32" ht="11.25" customHeight="1" x14ac:dyDescent="0.25">
      <c r="A57" s="4" t="s">
        <v>21</v>
      </c>
      <c r="B57" s="4" t="s">
        <v>41</v>
      </c>
      <c r="C57" s="4" t="s">
        <v>43</v>
      </c>
      <c r="D57" s="4" t="s">
        <v>38</v>
      </c>
      <c r="E57" s="4" t="s">
        <v>25</v>
      </c>
      <c r="F57" s="4" t="s">
        <v>55</v>
      </c>
      <c r="G57" s="4" t="s">
        <v>25</v>
      </c>
      <c r="H57" s="4" t="s">
        <v>25</v>
      </c>
      <c r="I57" s="5">
        <v>44682</v>
      </c>
      <c r="J57" s="6">
        <v>4635</v>
      </c>
      <c r="K57" s="6">
        <v>2917.7325000000001</v>
      </c>
      <c r="L57" s="6">
        <v>0</v>
      </c>
      <c r="M57" s="6">
        <v>0</v>
      </c>
      <c r="N57" s="6">
        <v>0</v>
      </c>
      <c r="O57" s="6">
        <v>0</v>
      </c>
      <c r="P57" s="6">
        <v>11</v>
      </c>
      <c r="Q57" s="4" t="s">
        <v>56</v>
      </c>
      <c r="R57" s="4">
        <v>0</v>
      </c>
      <c r="S57" s="4">
        <v>2</v>
      </c>
      <c r="T57" s="4">
        <v>0</v>
      </c>
      <c r="U57" s="4">
        <v>0</v>
      </c>
      <c r="V57" s="6">
        <f>IF(ISERROR(VLOOKUP($S$57,'TAR FIN'!$A$1:$O$108,15,0)),0,VLOOKUP($S$57,'TAR FIN'!$A$1:$O$108,15,0))</f>
        <v>21.38</v>
      </c>
      <c r="W57" s="6">
        <f>IF(ISERROR(VLOOKUP($T$57,'TAR FIN'!$A$1:$O$108,15,0)),0,VLOOKUP($T$57,'TAR FIN'!$A$1:$O$108,15,0))</f>
        <v>0</v>
      </c>
      <c r="X57" s="6">
        <f>IF(ISERROR(VLOOKUP($U$57,'TAR FIN'!$A$1:$O$108,15,0)),0,VLOOKUP($U$57,'TAR FIN'!$A$1:$O$108,15,0))</f>
        <v>0</v>
      </c>
      <c r="Y57" s="6">
        <f ca="1">('TUSD BE'!$AM$26+'TUSD BF'!$AM$26+'TUSD CVA'!$AM$26)*1</f>
        <v>21.189390814529755</v>
      </c>
      <c r="Z57" s="6"/>
      <c r="AA57" s="6"/>
      <c r="AB57" s="6">
        <f t="shared" si="0"/>
        <v>36715.179149999996</v>
      </c>
      <c r="AC57" s="6">
        <f t="shared" si="6"/>
        <v>0</v>
      </c>
      <c r="AD57" s="6">
        <f t="shared" ca="1" si="2"/>
        <v>36387.852190590478</v>
      </c>
      <c r="AE57" s="6">
        <f t="shared" si="7"/>
        <v>0</v>
      </c>
      <c r="AF57" s="4" t="s">
        <v>843</v>
      </c>
    </row>
    <row r="58" spans="1:32" ht="11.25" customHeight="1" x14ac:dyDescent="0.25">
      <c r="A58" s="4" t="s">
        <v>21</v>
      </c>
      <c r="B58" s="4" t="s">
        <v>41</v>
      </c>
      <c r="C58" s="4" t="s">
        <v>43</v>
      </c>
      <c r="D58" s="4" t="s">
        <v>38</v>
      </c>
      <c r="E58" s="4" t="s">
        <v>25</v>
      </c>
      <c r="F58" s="4" t="s">
        <v>55</v>
      </c>
      <c r="G58" s="4" t="s">
        <v>25</v>
      </c>
      <c r="H58" s="4" t="s">
        <v>25</v>
      </c>
      <c r="I58" s="5">
        <v>44713</v>
      </c>
      <c r="J58" s="6">
        <v>4694</v>
      </c>
      <c r="K58" s="6">
        <v>2970.8326000000002</v>
      </c>
      <c r="L58" s="6">
        <v>0</v>
      </c>
      <c r="M58" s="6">
        <v>0</v>
      </c>
      <c r="N58" s="6">
        <v>0</v>
      </c>
      <c r="O58" s="6">
        <v>0</v>
      </c>
      <c r="P58" s="6">
        <v>12</v>
      </c>
      <c r="Q58" s="4" t="s">
        <v>56</v>
      </c>
      <c r="R58" s="4">
        <v>0</v>
      </c>
      <c r="S58" s="4">
        <v>2</v>
      </c>
      <c r="T58" s="4">
        <v>0</v>
      </c>
      <c r="U58" s="4">
        <v>0</v>
      </c>
      <c r="V58" s="6">
        <f>IF(ISERROR(VLOOKUP($S$58,'TAR FIN'!$A$1:$O$108,15,0)),0,VLOOKUP($S$58,'TAR FIN'!$A$1:$O$108,15,0))</f>
        <v>21.38</v>
      </c>
      <c r="W58" s="6">
        <f>IF(ISERROR(VLOOKUP($T$58,'TAR FIN'!$A$1:$O$108,15,0)),0,VLOOKUP($T$58,'TAR FIN'!$A$1:$O$108,15,0))</f>
        <v>0</v>
      </c>
      <c r="X58" s="6">
        <f>IF(ISERROR(VLOOKUP($U$58,'TAR FIN'!$A$1:$O$108,15,0)),0,VLOOKUP($U$58,'TAR FIN'!$A$1:$O$108,15,0))</f>
        <v>0</v>
      </c>
      <c r="Y58" s="6">
        <f ca="1">('TUSD BE'!$AM$26+'TUSD BF'!$AM$26+'TUSD CVA'!$AM$26)*1</f>
        <v>21.189390814529755</v>
      </c>
      <c r="Z58" s="6"/>
      <c r="AA58" s="6"/>
      <c r="AB58" s="6">
        <f t="shared" si="0"/>
        <v>36841.319011999993</v>
      </c>
      <c r="AC58" s="6">
        <f t="shared" si="6"/>
        <v>0</v>
      </c>
      <c r="AD58" s="6">
        <f t="shared" ca="1" si="2"/>
        <v>36512.867477457119</v>
      </c>
      <c r="AE58" s="6">
        <f t="shared" si="7"/>
        <v>0</v>
      </c>
      <c r="AF58" s="4" t="s">
        <v>843</v>
      </c>
    </row>
    <row r="59" spans="1:32" ht="11.25" customHeight="1" x14ac:dyDescent="0.25">
      <c r="A59" s="4" t="s">
        <v>21</v>
      </c>
      <c r="B59" s="4" t="s">
        <v>41</v>
      </c>
      <c r="C59" s="4" t="s">
        <v>43</v>
      </c>
      <c r="D59" s="4" t="s">
        <v>38</v>
      </c>
      <c r="E59" s="4" t="s">
        <v>25</v>
      </c>
      <c r="F59" s="4" t="s">
        <v>55</v>
      </c>
      <c r="G59" s="4" t="s">
        <v>25</v>
      </c>
      <c r="H59" s="4" t="s">
        <v>25</v>
      </c>
      <c r="I59" s="5">
        <v>44743</v>
      </c>
      <c r="J59" s="6">
        <v>5006</v>
      </c>
      <c r="K59" s="6">
        <v>2841.9061999999999</v>
      </c>
      <c r="L59" s="6">
        <v>0</v>
      </c>
      <c r="M59" s="6">
        <v>0</v>
      </c>
      <c r="N59" s="6">
        <v>0</v>
      </c>
      <c r="O59" s="6">
        <v>0</v>
      </c>
      <c r="P59" s="6">
        <v>13</v>
      </c>
      <c r="Q59" s="4" t="s">
        <v>56</v>
      </c>
      <c r="R59" s="4">
        <v>0</v>
      </c>
      <c r="S59" s="4">
        <v>2</v>
      </c>
      <c r="T59" s="4">
        <v>0</v>
      </c>
      <c r="U59" s="4">
        <v>0</v>
      </c>
      <c r="V59" s="6">
        <f>IF(ISERROR(VLOOKUP($S$59,'TAR FIN'!$A$1:$O$108,15,0)),0,VLOOKUP($S$59,'TAR FIN'!$A$1:$O$108,15,0))</f>
        <v>21.38</v>
      </c>
      <c r="W59" s="6">
        <f>IF(ISERROR(VLOOKUP($T$59,'TAR FIN'!$A$1:$O$108,15,0)),0,VLOOKUP($T$59,'TAR FIN'!$A$1:$O$108,15,0))</f>
        <v>0</v>
      </c>
      <c r="X59" s="6">
        <f>IF(ISERROR(VLOOKUP($U$59,'TAR FIN'!$A$1:$O$108,15,0)),0,VLOOKUP($U$59,'TAR FIN'!$A$1:$O$108,15,0))</f>
        <v>0</v>
      </c>
      <c r="Y59" s="6">
        <f ca="1">('TUSD BE'!$AM$26+'TUSD BF'!$AM$26+'TUSD CVA'!$AM$26)*1</f>
        <v>21.189390814529755</v>
      </c>
      <c r="Z59" s="6"/>
      <c r="AA59" s="6"/>
      <c r="AB59" s="6">
        <f t="shared" si="0"/>
        <v>46268.325444000002</v>
      </c>
      <c r="AC59" s="6">
        <f t="shared" si="6"/>
        <v>0</v>
      </c>
      <c r="AD59" s="6">
        <f t="shared" ca="1" si="2"/>
        <v>45855.829287500797</v>
      </c>
      <c r="AE59" s="6">
        <f t="shared" si="7"/>
        <v>0</v>
      </c>
      <c r="AF59" s="4" t="s">
        <v>843</v>
      </c>
    </row>
    <row r="60" spans="1:32" ht="11.25" customHeight="1" x14ac:dyDescent="0.25">
      <c r="A60" s="4" t="s">
        <v>21</v>
      </c>
      <c r="B60" s="4" t="s">
        <v>41</v>
      </c>
      <c r="C60" s="4" t="s">
        <v>43</v>
      </c>
      <c r="D60" s="4" t="s">
        <v>38</v>
      </c>
      <c r="E60" s="4" t="s">
        <v>25</v>
      </c>
      <c r="F60" s="4" t="s">
        <v>55</v>
      </c>
      <c r="G60" s="4" t="s">
        <v>25</v>
      </c>
      <c r="H60" s="4" t="s">
        <v>25</v>
      </c>
      <c r="I60" s="5">
        <v>44774</v>
      </c>
      <c r="J60" s="6">
        <v>5132</v>
      </c>
      <c r="K60" s="6">
        <v>3368.1316000000002</v>
      </c>
      <c r="L60" s="6">
        <v>0</v>
      </c>
      <c r="M60" s="6">
        <v>0</v>
      </c>
      <c r="N60" s="6">
        <v>0</v>
      </c>
      <c r="O60" s="6">
        <v>0</v>
      </c>
      <c r="P60" s="6">
        <v>13</v>
      </c>
      <c r="Q60" s="4" t="s">
        <v>56</v>
      </c>
      <c r="R60" s="4">
        <v>0</v>
      </c>
      <c r="S60" s="4">
        <v>2</v>
      </c>
      <c r="T60" s="4">
        <v>0</v>
      </c>
      <c r="U60" s="4">
        <v>0</v>
      </c>
      <c r="V60" s="6">
        <f>IF(ISERROR(VLOOKUP($S$60,'TAR FIN'!$A$1:$O$108,15,0)),0,VLOOKUP($S$60,'TAR FIN'!$A$1:$O$108,15,0))</f>
        <v>21.38</v>
      </c>
      <c r="W60" s="6">
        <f>IF(ISERROR(VLOOKUP($T$60,'TAR FIN'!$A$1:$O$108,15,0)),0,VLOOKUP($T$60,'TAR FIN'!$A$1:$O$108,15,0))</f>
        <v>0</v>
      </c>
      <c r="X60" s="6">
        <f>IF(ISERROR(VLOOKUP($U$60,'TAR FIN'!$A$1:$O$108,15,0)),0,VLOOKUP($U$60,'TAR FIN'!$A$1:$O$108,15,0))</f>
        <v>0</v>
      </c>
      <c r="Y60" s="6">
        <f ca="1">('TUSD BE'!$AM$26+'TUSD BF'!$AM$26+'TUSD CVA'!$AM$26)*1</f>
        <v>21.189390814529755</v>
      </c>
      <c r="Z60" s="6"/>
      <c r="AA60" s="6"/>
      <c r="AB60" s="6">
        <f t="shared" si="0"/>
        <v>37711.506391999996</v>
      </c>
      <c r="AC60" s="6">
        <f t="shared" si="6"/>
        <v>0</v>
      </c>
      <c r="AD60" s="6">
        <f t="shared" ca="1" si="2"/>
        <v>37375.296872999294</v>
      </c>
      <c r="AE60" s="6">
        <f t="shared" si="7"/>
        <v>0</v>
      </c>
      <c r="AF60" s="4" t="s">
        <v>843</v>
      </c>
    </row>
    <row r="61" spans="1:32" ht="11.25" customHeight="1" x14ac:dyDescent="0.25">
      <c r="A61" s="4" t="s">
        <v>21</v>
      </c>
      <c r="B61" s="4" t="s">
        <v>41</v>
      </c>
      <c r="C61" s="4" t="s">
        <v>43</v>
      </c>
      <c r="D61" s="4" t="s">
        <v>38</v>
      </c>
      <c r="E61" s="4" t="s">
        <v>25</v>
      </c>
      <c r="F61" s="4" t="s">
        <v>55</v>
      </c>
      <c r="G61" s="4" t="s">
        <v>25</v>
      </c>
      <c r="H61" s="4" t="s">
        <v>25</v>
      </c>
      <c r="I61" s="5">
        <v>44805</v>
      </c>
      <c r="J61" s="6">
        <v>5029</v>
      </c>
      <c r="K61" s="6">
        <v>3364.9038999999998</v>
      </c>
      <c r="L61" s="6">
        <v>0</v>
      </c>
      <c r="M61" s="6">
        <v>0</v>
      </c>
      <c r="N61" s="6">
        <v>0</v>
      </c>
      <c r="O61" s="6">
        <v>0</v>
      </c>
      <c r="P61" s="6">
        <v>13</v>
      </c>
      <c r="Q61" s="4" t="s">
        <v>56</v>
      </c>
      <c r="R61" s="4">
        <v>0</v>
      </c>
      <c r="S61" s="4">
        <v>2</v>
      </c>
      <c r="T61" s="4">
        <v>0</v>
      </c>
      <c r="U61" s="4">
        <v>0</v>
      </c>
      <c r="V61" s="6">
        <f>IF(ISERROR(VLOOKUP($S$61,'TAR FIN'!$A$1:$O$108,15,0)),0,VLOOKUP($S$61,'TAR FIN'!$A$1:$O$108,15,0))</f>
        <v>21.38</v>
      </c>
      <c r="W61" s="6">
        <f>IF(ISERROR(VLOOKUP($T$61,'TAR FIN'!$A$1:$O$108,15,0)),0,VLOOKUP($T$61,'TAR FIN'!$A$1:$O$108,15,0))</f>
        <v>0</v>
      </c>
      <c r="X61" s="6">
        <f>IF(ISERROR(VLOOKUP($U$61,'TAR FIN'!$A$1:$O$108,15,0)),0,VLOOKUP($U$61,'TAR FIN'!$A$1:$O$108,15,0))</f>
        <v>0</v>
      </c>
      <c r="Y61" s="6">
        <f ca="1">('TUSD BE'!$AM$26+'TUSD BF'!$AM$26+'TUSD CVA'!$AM$26)*1</f>
        <v>21.189390814529755</v>
      </c>
      <c r="Z61" s="6"/>
      <c r="AA61" s="6"/>
      <c r="AB61" s="6">
        <f t="shared" si="0"/>
        <v>35578.374618000002</v>
      </c>
      <c r="AC61" s="6">
        <f t="shared" si="6"/>
        <v>0</v>
      </c>
      <c r="AD61" s="6">
        <f t="shared" ca="1" si="2"/>
        <v>35261.18261583479</v>
      </c>
      <c r="AE61" s="6">
        <f t="shared" si="7"/>
        <v>0</v>
      </c>
      <c r="AF61" s="4" t="s">
        <v>843</v>
      </c>
    </row>
    <row r="62" spans="1:32" ht="11.25" customHeight="1" x14ac:dyDescent="0.25">
      <c r="A62" s="4" t="s">
        <v>21</v>
      </c>
      <c r="B62" s="4" t="s">
        <v>41</v>
      </c>
      <c r="C62" s="4" t="s">
        <v>43</v>
      </c>
      <c r="D62" s="4" t="s">
        <v>38</v>
      </c>
      <c r="E62" s="4" t="s">
        <v>25</v>
      </c>
      <c r="F62" s="4" t="s">
        <v>55</v>
      </c>
      <c r="G62" s="4" t="s">
        <v>25</v>
      </c>
      <c r="H62" s="4" t="s">
        <v>25</v>
      </c>
      <c r="I62" s="5">
        <v>44835</v>
      </c>
      <c r="J62" s="6">
        <v>5023</v>
      </c>
      <c r="K62" s="6">
        <v>3196.6372000000001</v>
      </c>
      <c r="L62" s="6">
        <v>0</v>
      </c>
      <c r="M62" s="6">
        <v>0</v>
      </c>
      <c r="N62" s="6">
        <v>0</v>
      </c>
      <c r="O62" s="6">
        <v>0</v>
      </c>
      <c r="P62" s="6">
        <v>13</v>
      </c>
      <c r="Q62" s="4" t="s">
        <v>56</v>
      </c>
      <c r="R62" s="4">
        <v>0</v>
      </c>
      <c r="S62" s="4">
        <v>2</v>
      </c>
      <c r="T62" s="4">
        <v>0</v>
      </c>
      <c r="U62" s="4">
        <v>0</v>
      </c>
      <c r="V62" s="6">
        <f>IF(ISERROR(VLOOKUP($S$62,'TAR FIN'!$A$1:$O$108,15,0)),0,VLOOKUP($S$62,'TAR FIN'!$A$1:$O$108,15,0))</f>
        <v>21.38</v>
      </c>
      <c r="W62" s="6">
        <f>IF(ISERROR(VLOOKUP($T$62,'TAR FIN'!$A$1:$O$108,15,0)),0,VLOOKUP($T$62,'TAR FIN'!$A$1:$O$108,15,0))</f>
        <v>0</v>
      </c>
      <c r="X62" s="6">
        <f>IF(ISERROR(VLOOKUP($U$62,'TAR FIN'!$A$1:$O$108,15,0)),0,VLOOKUP($U$62,'TAR FIN'!$A$1:$O$108,15,0))</f>
        <v>0</v>
      </c>
      <c r="Y62" s="6">
        <f ca="1">('TUSD BE'!$AM$26+'TUSD BF'!$AM$26+'TUSD CVA'!$AM$26)*1</f>
        <v>21.189390814529755</v>
      </c>
      <c r="Z62" s="6"/>
      <c r="AA62" s="6"/>
      <c r="AB62" s="6">
        <f t="shared" si="0"/>
        <v>39047.636663999998</v>
      </c>
      <c r="AC62" s="6">
        <f t="shared" si="6"/>
        <v>0</v>
      </c>
      <c r="AD62" s="6">
        <f t="shared" ca="1" si="2"/>
        <v>38699.515138318842</v>
      </c>
      <c r="AE62" s="6">
        <f t="shared" si="7"/>
        <v>0</v>
      </c>
      <c r="AF62" s="4" t="s">
        <v>843</v>
      </c>
    </row>
    <row r="63" spans="1:32" ht="11.25" customHeight="1" x14ac:dyDescent="0.25">
      <c r="A63" s="4" t="s">
        <v>54</v>
      </c>
      <c r="B63" s="4" t="s">
        <v>41</v>
      </c>
      <c r="C63" s="4" t="s">
        <v>43</v>
      </c>
      <c r="D63" s="4" t="s">
        <v>38</v>
      </c>
      <c r="E63" s="4" t="s">
        <v>25</v>
      </c>
      <c r="F63" s="4" t="s">
        <v>55</v>
      </c>
      <c r="G63" s="4" t="s">
        <v>25</v>
      </c>
      <c r="H63" s="4" t="s">
        <v>25</v>
      </c>
      <c r="I63" s="5">
        <v>44866</v>
      </c>
      <c r="J63" s="6">
        <v>5023</v>
      </c>
      <c r="K63" s="6">
        <v>3196.6372000000001</v>
      </c>
      <c r="L63" s="6">
        <v>0</v>
      </c>
      <c r="M63" s="6">
        <v>0</v>
      </c>
      <c r="N63" s="6">
        <v>0</v>
      </c>
      <c r="O63" s="6">
        <v>0</v>
      </c>
      <c r="P63" s="6">
        <v>13</v>
      </c>
      <c r="Q63" s="4" t="s">
        <v>56</v>
      </c>
      <c r="R63" s="4">
        <v>0</v>
      </c>
      <c r="S63" s="4">
        <v>2</v>
      </c>
      <c r="T63" s="4">
        <v>0</v>
      </c>
      <c r="U63" s="4">
        <v>0</v>
      </c>
      <c r="V63" s="6">
        <f>IF(ISERROR(VLOOKUP($S$63,'TAR FIN'!$A$1:$O$108,15,0)),0,VLOOKUP($S$63,'TAR FIN'!$A$1:$O$108,15,0))</f>
        <v>21.38</v>
      </c>
      <c r="W63" s="6">
        <f>IF(ISERROR(VLOOKUP($T$63,'TAR FIN'!$A$1:$O$108,15,0)),0,VLOOKUP($T$63,'TAR FIN'!$A$1:$O$108,15,0))</f>
        <v>0</v>
      </c>
      <c r="X63" s="6">
        <f>IF(ISERROR(VLOOKUP($U$63,'TAR FIN'!$A$1:$O$108,15,0)),0,VLOOKUP($U$63,'TAR FIN'!$A$1:$O$108,15,0))</f>
        <v>0</v>
      </c>
      <c r="Y63" s="6">
        <f ca="1">('TUSD BE'!$AM$26+'TUSD BF'!$AM$26+'TUSD CVA'!$AM$26)*1</f>
        <v>21.189390814529755</v>
      </c>
      <c r="Z63" s="6"/>
      <c r="AA63" s="6"/>
      <c r="AB63" s="6">
        <f t="shared" si="0"/>
        <v>39047.636663999998</v>
      </c>
      <c r="AC63" s="6">
        <f t="shared" si="6"/>
        <v>0</v>
      </c>
      <c r="AD63" s="6">
        <f t="shared" ca="1" si="2"/>
        <v>38699.515138318842</v>
      </c>
      <c r="AE63" s="6">
        <f t="shared" si="7"/>
        <v>0</v>
      </c>
      <c r="AF63" s="4" t="s">
        <v>843</v>
      </c>
    </row>
    <row r="64" spans="1:32" ht="11.25" customHeight="1" x14ac:dyDescent="0.25">
      <c r="A64" s="4" t="s">
        <v>21</v>
      </c>
      <c r="B64" s="4" t="s">
        <v>41</v>
      </c>
      <c r="C64" s="4" t="s">
        <v>43</v>
      </c>
      <c r="D64" s="4" t="s">
        <v>38</v>
      </c>
      <c r="E64" s="4" t="s">
        <v>25</v>
      </c>
      <c r="F64" s="4" t="s">
        <v>55</v>
      </c>
      <c r="G64" s="4" t="s">
        <v>25</v>
      </c>
      <c r="H64" s="4" t="s">
        <v>34</v>
      </c>
      <c r="I64" s="5">
        <v>44531</v>
      </c>
      <c r="J64" s="6">
        <v>0</v>
      </c>
      <c r="K64" s="6">
        <v>0</v>
      </c>
      <c r="L64" s="6">
        <v>79.353999999999999</v>
      </c>
      <c r="M64" s="6">
        <v>32.726844186740003</v>
      </c>
      <c r="N64" s="6">
        <v>0</v>
      </c>
      <c r="O64" s="6">
        <v>0</v>
      </c>
      <c r="P64" s="6">
        <v>0</v>
      </c>
      <c r="Q64" s="4" t="s">
        <v>56</v>
      </c>
      <c r="R64" s="4">
        <v>0</v>
      </c>
      <c r="S64" s="4">
        <v>0</v>
      </c>
      <c r="T64" s="4">
        <v>5</v>
      </c>
      <c r="U64" s="4">
        <v>0</v>
      </c>
      <c r="V64" s="6">
        <f>IF(ISERROR(VLOOKUP($S$64,'TAR FIN'!$A$1:$O$108,15,0)),0,VLOOKUP($S$64,'TAR FIN'!$A$1:$O$108,15,0))</f>
        <v>0</v>
      </c>
      <c r="W64" s="6">
        <f>IF(ISERROR(VLOOKUP($T$64,'TAR FIN'!$A$1:$O$108,15,0)),0,VLOOKUP($T$64,'TAR FIN'!$A$1:$O$108,15,0))</f>
        <v>1454.96</v>
      </c>
      <c r="X64" s="6">
        <f>IF(ISERROR(VLOOKUP($U$64,'TAR FIN'!$A$1:$O$108,15,0)),0,VLOOKUP($U$64,'TAR FIN'!$A$1:$O$108,15,0))</f>
        <v>0</v>
      </c>
      <c r="Y64" s="6"/>
      <c r="Z64" s="6">
        <f ca="1">('TUSD BE'!$AM$27+'TUSD BF'!$AM$27+'TUSD CVA'!$AM$27)*1</f>
        <v>1497.8900689999518</v>
      </c>
      <c r="AA64" s="6"/>
      <c r="AB64" s="6">
        <f t="shared" si="0"/>
        <v>0</v>
      </c>
      <c r="AC64" s="6">
        <f t="shared" si="6"/>
        <v>67840.646622060769</v>
      </c>
      <c r="AD64" s="6">
        <f t="shared" si="2"/>
        <v>0</v>
      </c>
      <c r="AE64" s="6">
        <f t="shared" ca="1" si="7"/>
        <v>69842.353638395522</v>
      </c>
      <c r="AF64" s="4" t="s">
        <v>843</v>
      </c>
    </row>
    <row r="65" spans="1:32" ht="11.25" customHeight="1" x14ac:dyDescent="0.25">
      <c r="A65" s="4" t="s">
        <v>21</v>
      </c>
      <c r="B65" s="4" t="s">
        <v>41</v>
      </c>
      <c r="C65" s="4" t="s">
        <v>43</v>
      </c>
      <c r="D65" s="4" t="s">
        <v>38</v>
      </c>
      <c r="E65" s="4" t="s">
        <v>25</v>
      </c>
      <c r="F65" s="4" t="s">
        <v>55</v>
      </c>
      <c r="G65" s="4" t="s">
        <v>25</v>
      </c>
      <c r="H65" s="4" t="s">
        <v>34</v>
      </c>
      <c r="I65" s="5">
        <v>44562</v>
      </c>
      <c r="J65" s="6">
        <v>0</v>
      </c>
      <c r="K65" s="6">
        <v>0</v>
      </c>
      <c r="L65" s="6">
        <v>656.43799999999999</v>
      </c>
      <c r="M65" s="6">
        <v>248.461783</v>
      </c>
      <c r="N65" s="6">
        <v>0</v>
      </c>
      <c r="O65" s="6">
        <v>0</v>
      </c>
      <c r="P65" s="6">
        <v>0</v>
      </c>
      <c r="Q65" s="4" t="s">
        <v>56</v>
      </c>
      <c r="R65" s="4">
        <v>0</v>
      </c>
      <c r="S65" s="4">
        <v>0</v>
      </c>
      <c r="T65" s="4">
        <v>5</v>
      </c>
      <c r="U65" s="4">
        <v>0</v>
      </c>
      <c r="V65" s="6">
        <f>IF(ISERROR(VLOOKUP($S$65,'TAR FIN'!$A$1:$O$108,15,0)),0,VLOOKUP($S$65,'TAR FIN'!$A$1:$O$108,15,0))</f>
        <v>0</v>
      </c>
      <c r="W65" s="6">
        <f>IF(ISERROR(VLOOKUP($T$65,'TAR FIN'!$A$1:$O$108,15,0)),0,VLOOKUP($T$65,'TAR FIN'!$A$1:$O$108,15,0))</f>
        <v>1454.96</v>
      </c>
      <c r="X65" s="6">
        <f>IF(ISERROR(VLOOKUP($U$65,'TAR FIN'!$A$1:$O$108,15,0)),0,VLOOKUP($U$65,'TAR FIN'!$A$1:$O$108,15,0))</f>
        <v>0</v>
      </c>
      <c r="Y65" s="6"/>
      <c r="Z65" s="6">
        <f ca="1">('TUSD BE'!$AM$27+'TUSD BF'!$AM$27+'TUSD CVA'!$AM$27)*1</f>
        <v>1497.8900689999518</v>
      </c>
      <c r="AA65" s="6"/>
      <c r="AB65" s="6">
        <f t="shared" si="0"/>
        <v>0</v>
      </c>
      <c r="AC65" s="6">
        <f t="shared" si="6"/>
        <v>593589.07668632001</v>
      </c>
      <c r="AD65" s="6">
        <f t="shared" si="2"/>
        <v>0</v>
      </c>
      <c r="AE65" s="6">
        <f t="shared" ca="1" si="7"/>
        <v>611103.52383246936</v>
      </c>
      <c r="AF65" s="4" t="s">
        <v>843</v>
      </c>
    </row>
    <row r="66" spans="1:32" ht="11.25" customHeight="1" x14ac:dyDescent="0.25">
      <c r="A66" s="4" t="s">
        <v>21</v>
      </c>
      <c r="B66" s="4" t="s">
        <v>41</v>
      </c>
      <c r="C66" s="4" t="s">
        <v>43</v>
      </c>
      <c r="D66" s="4" t="s">
        <v>38</v>
      </c>
      <c r="E66" s="4" t="s">
        <v>25</v>
      </c>
      <c r="F66" s="4" t="s">
        <v>55</v>
      </c>
      <c r="G66" s="4" t="s">
        <v>25</v>
      </c>
      <c r="H66" s="4" t="s">
        <v>34</v>
      </c>
      <c r="I66" s="5">
        <v>44593</v>
      </c>
      <c r="J66" s="6">
        <v>0</v>
      </c>
      <c r="K66" s="6">
        <v>0</v>
      </c>
      <c r="L66" s="6">
        <v>636.64099999999996</v>
      </c>
      <c r="M66" s="6">
        <v>311.44477719999998</v>
      </c>
      <c r="N66" s="6">
        <v>0</v>
      </c>
      <c r="O66" s="6">
        <v>0</v>
      </c>
      <c r="P66" s="6">
        <v>0</v>
      </c>
      <c r="Q66" s="4" t="s">
        <v>56</v>
      </c>
      <c r="R66" s="4">
        <v>0</v>
      </c>
      <c r="S66" s="4">
        <v>0</v>
      </c>
      <c r="T66" s="4">
        <v>5</v>
      </c>
      <c r="U66" s="4">
        <v>0</v>
      </c>
      <c r="V66" s="6">
        <f>IF(ISERROR(VLOOKUP($S$66,'TAR FIN'!$A$1:$O$108,15,0)),0,VLOOKUP($S$66,'TAR FIN'!$A$1:$O$108,15,0))</f>
        <v>0</v>
      </c>
      <c r="W66" s="6">
        <f>IF(ISERROR(VLOOKUP($T$66,'TAR FIN'!$A$1:$O$108,15,0)),0,VLOOKUP($T$66,'TAR FIN'!$A$1:$O$108,15,0))</f>
        <v>1454.96</v>
      </c>
      <c r="X66" s="6">
        <f>IF(ISERROR(VLOOKUP($U$66,'TAR FIN'!$A$1:$O$108,15,0)),0,VLOOKUP($U$66,'TAR FIN'!$A$1:$O$108,15,0))</f>
        <v>0</v>
      </c>
      <c r="Y66" s="6"/>
      <c r="Z66" s="6">
        <f ca="1">('TUSD BE'!$AM$27+'TUSD BF'!$AM$27+'TUSD CVA'!$AM$27)*1</f>
        <v>1497.8900689999518</v>
      </c>
      <c r="AA66" s="6"/>
      <c r="AB66" s="6">
        <f t="shared" ref="AB66:AB129" si="8">(J66-K66)*V66</f>
        <v>0</v>
      </c>
      <c r="AC66" s="6">
        <f t="shared" ref="AC66:AC75" si="9">(L66-M66)*W66+(N66-O66)*X66</f>
        <v>473147.49632508797</v>
      </c>
      <c r="AD66" s="6">
        <f t="shared" ref="AD66:AD129" si="10">(J66-K66)*Y66</f>
        <v>0</v>
      </c>
      <c r="AE66" s="6">
        <f t="shared" ref="AE66:AE75" ca="1" si="11">(L66-M66)*Z66+(N66-O66)*AA66</f>
        <v>487108.19260841567</v>
      </c>
      <c r="AF66" s="4" t="s">
        <v>843</v>
      </c>
    </row>
    <row r="67" spans="1:32" ht="11.25" customHeight="1" x14ac:dyDescent="0.25">
      <c r="A67" s="4" t="s">
        <v>21</v>
      </c>
      <c r="B67" s="4" t="s">
        <v>41</v>
      </c>
      <c r="C67" s="4" t="s">
        <v>43</v>
      </c>
      <c r="D67" s="4" t="s">
        <v>38</v>
      </c>
      <c r="E67" s="4" t="s">
        <v>25</v>
      </c>
      <c r="F67" s="4" t="s">
        <v>55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724.59900000000005</v>
      </c>
      <c r="M67" s="6">
        <v>61.953214500000001</v>
      </c>
      <c r="N67" s="6">
        <v>0</v>
      </c>
      <c r="O67" s="6">
        <v>0</v>
      </c>
      <c r="P67" s="6">
        <v>0</v>
      </c>
      <c r="Q67" s="4" t="s">
        <v>56</v>
      </c>
      <c r="R67" s="4">
        <v>0</v>
      </c>
      <c r="S67" s="4">
        <v>0</v>
      </c>
      <c r="T67" s="4">
        <v>5</v>
      </c>
      <c r="U67" s="4">
        <v>0</v>
      </c>
      <c r="V67" s="6">
        <f>IF(ISERROR(VLOOKUP($S$67,'TAR FIN'!$A$1:$O$108,15,0)),0,VLOOKUP($S$67,'TAR FIN'!$A$1:$O$108,15,0))</f>
        <v>0</v>
      </c>
      <c r="W67" s="6">
        <f>IF(ISERROR(VLOOKUP($T$67,'TAR FIN'!$A$1:$O$108,15,0)),0,VLOOKUP($T$67,'TAR FIN'!$A$1:$O$108,15,0))</f>
        <v>1454.96</v>
      </c>
      <c r="X67" s="6">
        <f>IF(ISERROR(VLOOKUP($U$67,'TAR FIN'!$A$1:$O$108,15,0)),0,VLOOKUP($U$67,'TAR FIN'!$A$1:$O$108,15,0))</f>
        <v>0</v>
      </c>
      <c r="Y67" s="6"/>
      <c r="Z67" s="6">
        <f ca="1">('TUSD BE'!$AM$27+'TUSD BF'!$AM$27+'TUSD CVA'!$AM$27)*1</f>
        <v>1497.8900689999518</v>
      </c>
      <c r="AA67" s="6"/>
      <c r="AB67" s="6">
        <f t="shared" si="8"/>
        <v>0</v>
      </c>
      <c r="AC67" s="6">
        <f t="shared" si="9"/>
        <v>964123.11207108013</v>
      </c>
      <c r="AD67" s="6">
        <f t="shared" si="10"/>
        <v>0</v>
      </c>
      <c r="AE67" s="6">
        <f t="shared" ca="1" si="11"/>
        <v>992570.54136512242</v>
      </c>
      <c r="AF67" s="4" t="s">
        <v>843</v>
      </c>
    </row>
    <row r="68" spans="1:32" ht="11.25" customHeight="1" x14ac:dyDescent="0.25">
      <c r="A68" s="4" t="s">
        <v>21</v>
      </c>
      <c r="B68" s="4" t="s">
        <v>41</v>
      </c>
      <c r="C68" s="4" t="s">
        <v>43</v>
      </c>
      <c r="D68" s="4" t="s">
        <v>38</v>
      </c>
      <c r="E68" s="4" t="s">
        <v>25</v>
      </c>
      <c r="F68" s="4" t="s">
        <v>55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1063.9159999999999</v>
      </c>
      <c r="M68" s="6">
        <v>128.0954864</v>
      </c>
      <c r="N68" s="6">
        <v>0</v>
      </c>
      <c r="O68" s="6">
        <v>0</v>
      </c>
      <c r="P68" s="6">
        <v>0</v>
      </c>
      <c r="Q68" s="4" t="s">
        <v>56</v>
      </c>
      <c r="R68" s="4">
        <v>0</v>
      </c>
      <c r="S68" s="4">
        <v>0</v>
      </c>
      <c r="T68" s="4">
        <v>5</v>
      </c>
      <c r="U68" s="4">
        <v>0</v>
      </c>
      <c r="V68" s="6">
        <f>IF(ISERROR(VLOOKUP($S$68,'TAR FIN'!$A$1:$O$108,15,0)),0,VLOOKUP($S$68,'TAR FIN'!$A$1:$O$108,15,0))</f>
        <v>0</v>
      </c>
      <c r="W68" s="6">
        <f>IF(ISERROR(VLOOKUP($T$68,'TAR FIN'!$A$1:$O$108,15,0)),0,VLOOKUP($T$68,'TAR FIN'!$A$1:$O$108,15,0))</f>
        <v>1454.96</v>
      </c>
      <c r="X68" s="6">
        <f>IF(ISERROR(VLOOKUP($U$68,'TAR FIN'!$A$1:$O$108,15,0)),0,VLOOKUP($U$68,'TAR FIN'!$A$1:$O$108,15,0))</f>
        <v>0</v>
      </c>
      <c r="Y68" s="6"/>
      <c r="Z68" s="6">
        <f ca="1">('TUSD BE'!$AM$27+'TUSD BF'!$AM$27+'TUSD CVA'!$AM$27)*1</f>
        <v>1497.8900689999518</v>
      </c>
      <c r="AA68" s="6"/>
      <c r="AB68" s="6">
        <f t="shared" si="8"/>
        <v>0</v>
      </c>
      <c r="AC68" s="6">
        <f t="shared" si="9"/>
        <v>1361581.4144674558</v>
      </c>
      <c r="AD68" s="6">
        <f t="shared" si="10"/>
        <v>0</v>
      </c>
      <c r="AE68" s="6">
        <f t="shared" ca="1" si="11"/>
        <v>1401756.2536878742</v>
      </c>
      <c r="AF68" s="4" t="s">
        <v>843</v>
      </c>
    </row>
    <row r="69" spans="1:32" ht="11.25" customHeight="1" x14ac:dyDescent="0.25">
      <c r="A69" s="4" t="s">
        <v>21</v>
      </c>
      <c r="B69" s="4" t="s">
        <v>41</v>
      </c>
      <c r="C69" s="4" t="s">
        <v>43</v>
      </c>
      <c r="D69" s="4" t="s">
        <v>38</v>
      </c>
      <c r="E69" s="4" t="s">
        <v>25</v>
      </c>
      <c r="F69" s="4" t="s">
        <v>55</v>
      </c>
      <c r="G69" s="4" t="s">
        <v>25</v>
      </c>
      <c r="H69" s="4" t="s">
        <v>34</v>
      </c>
      <c r="I69" s="5">
        <v>44682</v>
      </c>
      <c r="J69" s="6">
        <v>0</v>
      </c>
      <c r="K69" s="6">
        <v>0</v>
      </c>
      <c r="L69" s="6">
        <v>1145.528</v>
      </c>
      <c r="M69" s="6">
        <v>-11.684385600000001</v>
      </c>
      <c r="N69" s="6">
        <v>0</v>
      </c>
      <c r="O69" s="6">
        <v>0</v>
      </c>
      <c r="P69" s="6">
        <v>0</v>
      </c>
      <c r="Q69" s="4" t="s">
        <v>56</v>
      </c>
      <c r="R69" s="4">
        <v>0</v>
      </c>
      <c r="S69" s="4">
        <v>0</v>
      </c>
      <c r="T69" s="4">
        <v>5</v>
      </c>
      <c r="U69" s="4">
        <v>0</v>
      </c>
      <c r="V69" s="6">
        <f>IF(ISERROR(VLOOKUP($S$69,'TAR FIN'!$A$1:$O$108,15,0)),0,VLOOKUP($S$69,'TAR FIN'!$A$1:$O$108,15,0))</f>
        <v>0</v>
      </c>
      <c r="W69" s="6">
        <f>IF(ISERROR(VLOOKUP($T$69,'TAR FIN'!$A$1:$O$108,15,0)),0,VLOOKUP($T$69,'TAR FIN'!$A$1:$O$108,15,0))</f>
        <v>1454.96</v>
      </c>
      <c r="X69" s="6">
        <f>IF(ISERROR(VLOOKUP($U$69,'TAR FIN'!$A$1:$O$108,15,0)),0,VLOOKUP($U$69,'TAR FIN'!$A$1:$O$108,15,0))</f>
        <v>0</v>
      </c>
      <c r="Y69" s="6"/>
      <c r="Z69" s="6">
        <f ca="1">('TUSD BE'!$AM$27+'TUSD BF'!$AM$27+'TUSD CVA'!$AM$27)*1</f>
        <v>1497.8900689999518</v>
      </c>
      <c r="AA69" s="6"/>
      <c r="AB69" s="6">
        <f t="shared" si="8"/>
        <v>0</v>
      </c>
      <c r="AC69" s="6">
        <f t="shared" si="9"/>
        <v>1683697.7325525761</v>
      </c>
      <c r="AD69" s="6">
        <f t="shared" si="10"/>
        <v>0</v>
      </c>
      <c r="AE69" s="6">
        <f t="shared" ca="1" si="11"/>
        <v>1733376.9401139829</v>
      </c>
      <c r="AF69" s="4" t="s">
        <v>843</v>
      </c>
    </row>
    <row r="70" spans="1:32" ht="11.25" customHeight="1" x14ac:dyDescent="0.25">
      <c r="A70" s="4" t="s">
        <v>21</v>
      </c>
      <c r="B70" s="4" t="s">
        <v>41</v>
      </c>
      <c r="C70" s="4" t="s">
        <v>43</v>
      </c>
      <c r="D70" s="4" t="s">
        <v>38</v>
      </c>
      <c r="E70" s="4" t="s">
        <v>25</v>
      </c>
      <c r="F70" s="4" t="s">
        <v>55</v>
      </c>
      <c r="G70" s="4" t="s">
        <v>25</v>
      </c>
      <c r="H70" s="4" t="s">
        <v>34</v>
      </c>
      <c r="I70" s="5">
        <v>44713</v>
      </c>
      <c r="J70" s="6">
        <v>0</v>
      </c>
      <c r="K70" s="6">
        <v>0</v>
      </c>
      <c r="L70" s="6">
        <v>1190.585</v>
      </c>
      <c r="M70" s="6">
        <v>95.842092500000007</v>
      </c>
      <c r="N70" s="6">
        <v>0</v>
      </c>
      <c r="O70" s="6">
        <v>0</v>
      </c>
      <c r="P70" s="6">
        <v>0</v>
      </c>
      <c r="Q70" s="4" t="s">
        <v>56</v>
      </c>
      <c r="R70" s="4">
        <v>0</v>
      </c>
      <c r="S70" s="4">
        <v>0</v>
      </c>
      <c r="T70" s="4">
        <v>5</v>
      </c>
      <c r="U70" s="4">
        <v>0</v>
      </c>
      <c r="V70" s="6">
        <f>IF(ISERROR(VLOOKUP($S$70,'TAR FIN'!$A$1:$O$108,15,0)),0,VLOOKUP($S$70,'TAR FIN'!$A$1:$O$108,15,0))</f>
        <v>0</v>
      </c>
      <c r="W70" s="6">
        <f>IF(ISERROR(VLOOKUP($T$70,'TAR FIN'!$A$1:$O$108,15,0)),0,VLOOKUP($T$70,'TAR FIN'!$A$1:$O$108,15,0))</f>
        <v>1454.96</v>
      </c>
      <c r="X70" s="6">
        <f>IF(ISERROR(VLOOKUP($U$70,'TAR FIN'!$A$1:$O$108,15,0)),0,VLOOKUP($U$70,'TAR FIN'!$A$1:$O$108,15,0))</f>
        <v>0</v>
      </c>
      <c r="Y70" s="6"/>
      <c r="Z70" s="6">
        <f ca="1">('TUSD BE'!$AM$27+'TUSD BF'!$AM$27+'TUSD CVA'!$AM$27)*1</f>
        <v>1497.8900689999518</v>
      </c>
      <c r="AA70" s="6"/>
      <c r="AB70" s="6">
        <f t="shared" si="8"/>
        <v>0</v>
      </c>
      <c r="AC70" s="6">
        <f t="shared" si="9"/>
        <v>1592807.1406962001</v>
      </c>
      <c r="AD70" s="6">
        <f t="shared" si="10"/>
        <v>0</v>
      </c>
      <c r="AE70" s="6">
        <f t="shared" ca="1" si="11"/>
        <v>1639804.5292523829</v>
      </c>
      <c r="AF70" s="4" t="s">
        <v>843</v>
      </c>
    </row>
    <row r="71" spans="1:32" ht="11.25" customHeight="1" x14ac:dyDescent="0.25">
      <c r="A71" s="4" t="s">
        <v>21</v>
      </c>
      <c r="B71" s="4" t="s">
        <v>41</v>
      </c>
      <c r="C71" s="4" t="s">
        <v>43</v>
      </c>
      <c r="D71" s="4" t="s">
        <v>38</v>
      </c>
      <c r="E71" s="4" t="s">
        <v>25</v>
      </c>
      <c r="F71" s="4" t="s">
        <v>55</v>
      </c>
      <c r="G71" s="4" t="s">
        <v>25</v>
      </c>
      <c r="H71" s="4" t="s">
        <v>34</v>
      </c>
      <c r="I71" s="5">
        <v>44743</v>
      </c>
      <c r="J71" s="6">
        <v>0</v>
      </c>
      <c r="K71" s="6">
        <v>0</v>
      </c>
      <c r="L71" s="6">
        <v>1201.797</v>
      </c>
      <c r="M71" s="6">
        <v>332.5372299</v>
      </c>
      <c r="N71" s="6">
        <v>0</v>
      </c>
      <c r="O71" s="6">
        <v>0</v>
      </c>
      <c r="P71" s="6">
        <v>0</v>
      </c>
      <c r="Q71" s="4" t="s">
        <v>56</v>
      </c>
      <c r="R71" s="4">
        <v>0</v>
      </c>
      <c r="S71" s="4">
        <v>0</v>
      </c>
      <c r="T71" s="4">
        <v>5</v>
      </c>
      <c r="U71" s="4">
        <v>0</v>
      </c>
      <c r="V71" s="6">
        <f>IF(ISERROR(VLOOKUP($S$71,'TAR FIN'!$A$1:$O$108,15,0)),0,VLOOKUP($S$71,'TAR FIN'!$A$1:$O$108,15,0))</f>
        <v>0</v>
      </c>
      <c r="W71" s="6">
        <f>IF(ISERROR(VLOOKUP($T$71,'TAR FIN'!$A$1:$O$108,15,0)),0,VLOOKUP($T$71,'TAR FIN'!$A$1:$O$108,15,0))</f>
        <v>1454.96</v>
      </c>
      <c r="X71" s="6">
        <f>IF(ISERROR(VLOOKUP($U$71,'TAR FIN'!$A$1:$O$108,15,0)),0,VLOOKUP($U$71,'TAR FIN'!$A$1:$O$108,15,0))</f>
        <v>0</v>
      </c>
      <c r="Y71" s="6"/>
      <c r="Z71" s="6">
        <f ca="1">('TUSD BE'!$AM$27+'TUSD BF'!$AM$27+'TUSD CVA'!$AM$27)*1</f>
        <v>1497.8900689999518</v>
      </c>
      <c r="AA71" s="6"/>
      <c r="AB71" s="6">
        <f t="shared" si="8"/>
        <v>0</v>
      </c>
      <c r="AC71" s="6">
        <f t="shared" si="9"/>
        <v>1264738.1951046961</v>
      </c>
      <c r="AD71" s="6">
        <f t="shared" si="10"/>
        <v>0</v>
      </c>
      <c r="AE71" s="6">
        <f t="shared" ca="1" si="11"/>
        <v>1302055.5770139713</v>
      </c>
      <c r="AF71" s="4" t="s">
        <v>843</v>
      </c>
    </row>
    <row r="72" spans="1:32" ht="11.25" customHeight="1" x14ac:dyDescent="0.25">
      <c r="A72" s="4" t="s">
        <v>21</v>
      </c>
      <c r="B72" s="4" t="s">
        <v>41</v>
      </c>
      <c r="C72" s="4" t="s">
        <v>43</v>
      </c>
      <c r="D72" s="4" t="s">
        <v>38</v>
      </c>
      <c r="E72" s="4" t="s">
        <v>25</v>
      </c>
      <c r="F72" s="4" t="s">
        <v>55</v>
      </c>
      <c r="G72" s="4" t="s">
        <v>25</v>
      </c>
      <c r="H72" s="4" t="s">
        <v>34</v>
      </c>
      <c r="I72" s="5">
        <v>44774</v>
      </c>
      <c r="J72" s="6">
        <v>0</v>
      </c>
      <c r="K72" s="6">
        <v>0</v>
      </c>
      <c r="L72" s="6">
        <v>1344.97</v>
      </c>
      <c r="M72" s="6">
        <v>-158.033975</v>
      </c>
      <c r="N72" s="6">
        <v>0</v>
      </c>
      <c r="O72" s="6">
        <v>0</v>
      </c>
      <c r="P72" s="6">
        <v>0</v>
      </c>
      <c r="Q72" s="4" t="s">
        <v>56</v>
      </c>
      <c r="R72" s="4">
        <v>0</v>
      </c>
      <c r="S72" s="4">
        <v>0</v>
      </c>
      <c r="T72" s="4">
        <v>5</v>
      </c>
      <c r="U72" s="4">
        <v>0</v>
      </c>
      <c r="V72" s="6">
        <f>IF(ISERROR(VLOOKUP($S$72,'TAR FIN'!$A$1:$O$108,15,0)),0,VLOOKUP($S$72,'TAR FIN'!$A$1:$O$108,15,0))</f>
        <v>0</v>
      </c>
      <c r="W72" s="6">
        <f>IF(ISERROR(VLOOKUP($T$72,'TAR FIN'!$A$1:$O$108,15,0)),0,VLOOKUP($T$72,'TAR FIN'!$A$1:$O$108,15,0))</f>
        <v>1454.96</v>
      </c>
      <c r="X72" s="6">
        <f>IF(ISERROR(VLOOKUP($U$72,'TAR FIN'!$A$1:$O$108,15,0)),0,VLOOKUP($U$72,'TAR FIN'!$A$1:$O$108,15,0))</f>
        <v>0</v>
      </c>
      <c r="Y72" s="6"/>
      <c r="Z72" s="6">
        <f ca="1">('TUSD BE'!$AM$27+'TUSD BF'!$AM$27+'TUSD CVA'!$AM$27)*1</f>
        <v>1497.8900689999518</v>
      </c>
      <c r="AA72" s="6"/>
      <c r="AB72" s="6">
        <f t="shared" si="8"/>
        <v>0</v>
      </c>
      <c r="AC72" s="6">
        <f t="shared" si="9"/>
        <v>2186810.663466</v>
      </c>
      <c r="AD72" s="6">
        <f t="shared" si="10"/>
        <v>0</v>
      </c>
      <c r="AE72" s="6">
        <f t="shared" ca="1" si="11"/>
        <v>2251334.7278199522</v>
      </c>
      <c r="AF72" s="4" t="s">
        <v>843</v>
      </c>
    </row>
    <row r="73" spans="1:32" ht="11.25" customHeight="1" x14ac:dyDescent="0.25">
      <c r="A73" s="4" t="s">
        <v>21</v>
      </c>
      <c r="B73" s="4" t="s">
        <v>41</v>
      </c>
      <c r="C73" s="4" t="s">
        <v>43</v>
      </c>
      <c r="D73" s="4" t="s">
        <v>38</v>
      </c>
      <c r="E73" s="4" t="s">
        <v>25</v>
      </c>
      <c r="F73" s="4" t="s">
        <v>55</v>
      </c>
      <c r="G73" s="4" t="s">
        <v>25</v>
      </c>
      <c r="H73" s="4" t="s">
        <v>34</v>
      </c>
      <c r="I73" s="5">
        <v>44805</v>
      </c>
      <c r="J73" s="6">
        <v>0</v>
      </c>
      <c r="K73" s="6">
        <v>0</v>
      </c>
      <c r="L73" s="6">
        <v>1285.78</v>
      </c>
      <c r="M73" s="6">
        <v>150.43626</v>
      </c>
      <c r="N73" s="6">
        <v>0</v>
      </c>
      <c r="O73" s="6">
        <v>0</v>
      </c>
      <c r="P73" s="6">
        <v>0</v>
      </c>
      <c r="Q73" s="4" t="s">
        <v>56</v>
      </c>
      <c r="R73" s="4">
        <v>0</v>
      </c>
      <c r="S73" s="4">
        <v>0</v>
      </c>
      <c r="T73" s="4">
        <v>5</v>
      </c>
      <c r="U73" s="4">
        <v>0</v>
      </c>
      <c r="V73" s="6">
        <f>IF(ISERROR(VLOOKUP($S$73,'TAR FIN'!$A$1:$O$108,15,0)),0,VLOOKUP($S$73,'TAR FIN'!$A$1:$O$108,15,0))</f>
        <v>0</v>
      </c>
      <c r="W73" s="6">
        <f>IF(ISERROR(VLOOKUP($T$73,'TAR FIN'!$A$1:$O$108,15,0)),0,VLOOKUP($T$73,'TAR FIN'!$A$1:$O$108,15,0))</f>
        <v>1454.96</v>
      </c>
      <c r="X73" s="6">
        <f>IF(ISERROR(VLOOKUP($U$73,'TAR FIN'!$A$1:$O$108,15,0)),0,VLOOKUP($U$73,'TAR FIN'!$A$1:$O$108,15,0))</f>
        <v>0</v>
      </c>
      <c r="Y73" s="6"/>
      <c r="Z73" s="6">
        <f ca="1">('TUSD BE'!$AM$27+'TUSD BF'!$AM$27+'TUSD CVA'!$AM$27)*1</f>
        <v>1497.8900689999518</v>
      </c>
      <c r="AA73" s="6"/>
      <c r="AB73" s="6">
        <f t="shared" si="8"/>
        <v>0</v>
      </c>
      <c r="AC73" s="6">
        <f t="shared" si="9"/>
        <v>1651879.7279504</v>
      </c>
      <c r="AD73" s="6">
        <f t="shared" si="10"/>
        <v>0</v>
      </c>
      <c r="AE73" s="6">
        <f t="shared" ca="1" si="11"/>
        <v>1700620.1130472634</v>
      </c>
      <c r="AF73" s="4" t="s">
        <v>843</v>
      </c>
    </row>
    <row r="74" spans="1:32" ht="11.25" customHeight="1" x14ac:dyDescent="0.25">
      <c r="A74" s="4" t="s">
        <v>21</v>
      </c>
      <c r="B74" s="4" t="s">
        <v>41</v>
      </c>
      <c r="C74" s="4" t="s">
        <v>43</v>
      </c>
      <c r="D74" s="4" t="s">
        <v>38</v>
      </c>
      <c r="E74" s="4" t="s">
        <v>25</v>
      </c>
      <c r="F74" s="4" t="s">
        <v>55</v>
      </c>
      <c r="G74" s="4" t="s">
        <v>25</v>
      </c>
      <c r="H74" s="4" t="s">
        <v>34</v>
      </c>
      <c r="I74" s="5">
        <v>44835</v>
      </c>
      <c r="J74" s="6">
        <v>0</v>
      </c>
      <c r="K74" s="6">
        <v>0</v>
      </c>
      <c r="L74" s="6">
        <v>1357.423</v>
      </c>
      <c r="M74" s="6">
        <v>-199.8126656</v>
      </c>
      <c r="N74" s="6">
        <v>0</v>
      </c>
      <c r="O74" s="6">
        <v>0</v>
      </c>
      <c r="P74" s="6">
        <v>0</v>
      </c>
      <c r="Q74" s="4" t="s">
        <v>56</v>
      </c>
      <c r="R74" s="4">
        <v>0</v>
      </c>
      <c r="S74" s="4">
        <v>0</v>
      </c>
      <c r="T74" s="4">
        <v>5</v>
      </c>
      <c r="U74" s="4">
        <v>0</v>
      </c>
      <c r="V74" s="6">
        <f>IF(ISERROR(VLOOKUP($S$74,'TAR FIN'!$A$1:$O$108,15,0)),0,VLOOKUP($S$74,'TAR FIN'!$A$1:$O$108,15,0))</f>
        <v>0</v>
      </c>
      <c r="W74" s="6">
        <f>IF(ISERROR(VLOOKUP($T$74,'TAR FIN'!$A$1:$O$108,15,0)),0,VLOOKUP($T$74,'TAR FIN'!$A$1:$O$108,15,0))</f>
        <v>1454.96</v>
      </c>
      <c r="X74" s="6">
        <f>IF(ISERROR(VLOOKUP($U$74,'TAR FIN'!$A$1:$O$108,15,0)),0,VLOOKUP($U$74,'TAR FIN'!$A$1:$O$108,15,0))</f>
        <v>0</v>
      </c>
      <c r="Y74" s="6"/>
      <c r="Z74" s="6">
        <f ca="1">('TUSD BE'!$AM$27+'TUSD BF'!$AM$27+'TUSD CVA'!$AM$27)*1</f>
        <v>1497.8900689999518</v>
      </c>
      <c r="AA74" s="6"/>
      <c r="AB74" s="6">
        <f t="shared" si="8"/>
        <v>0</v>
      </c>
      <c r="AC74" s="6">
        <f t="shared" si="9"/>
        <v>2265715.604021376</v>
      </c>
      <c r="AD74" s="6">
        <f t="shared" si="10"/>
        <v>0</v>
      </c>
      <c r="AE74" s="6">
        <f t="shared" ca="1" si="11"/>
        <v>2332567.8385947701</v>
      </c>
      <c r="AF74" s="4" t="s">
        <v>843</v>
      </c>
    </row>
    <row r="75" spans="1:32" ht="11.25" customHeight="1" x14ac:dyDescent="0.25">
      <c r="A75" s="4" t="s">
        <v>54</v>
      </c>
      <c r="B75" s="4" t="s">
        <v>41</v>
      </c>
      <c r="C75" s="4" t="s">
        <v>43</v>
      </c>
      <c r="D75" s="4" t="s">
        <v>38</v>
      </c>
      <c r="E75" s="4" t="s">
        <v>25</v>
      </c>
      <c r="F75" s="4" t="s">
        <v>55</v>
      </c>
      <c r="G75" s="4" t="s">
        <v>25</v>
      </c>
      <c r="H75" s="4" t="s">
        <v>34</v>
      </c>
      <c r="I75" s="5">
        <v>44866</v>
      </c>
      <c r="J75" s="6">
        <v>0</v>
      </c>
      <c r="K75" s="6">
        <v>0</v>
      </c>
      <c r="L75" s="6">
        <v>1357.423</v>
      </c>
      <c r="M75" s="6">
        <v>-199.8126656</v>
      </c>
      <c r="N75" s="6">
        <v>0</v>
      </c>
      <c r="O75" s="6">
        <v>0</v>
      </c>
      <c r="P75" s="6">
        <v>0</v>
      </c>
      <c r="Q75" s="4" t="s">
        <v>56</v>
      </c>
      <c r="R75" s="4">
        <v>0</v>
      </c>
      <c r="S75" s="4">
        <v>0</v>
      </c>
      <c r="T75" s="4">
        <v>5</v>
      </c>
      <c r="U75" s="4">
        <v>0</v>
      </c>
      <c r="V75" s="6">
        <f>IF(ISERROR(VLOOKUP($S$75,'TAR FIN'!$A$1:$O$108,15,0)),0,VLOOKUP($S$75,'TAR FIN'!$A$1:$O$108,15,0))</f>
        <v>0</v>
      </c>
      <c r="W75" s="6">
        <f>IF(ISERROR(VLOOKUP($T$75,'TAR FIN'!$A$1:$O$108,15,0)),0,VLOOKUP($T$75,'TAR FIN'!$A$1:$O$108,15,0))</f>
        <v>1454.96</v>
      </c>
      <c r="X75" s="6">
        <f>IF(ISERROR(VLOOKUP($U$75,'TAR FIN'!$A$1:$O$108,15,0)),0,VLOOKUP($U$75,'TAR FIN'!$A$1:$O$108,15,0))</f>
        <v>0</v>
      </c>
      <c r="Y75" s="6"/>
      <c r="Z75" s="6">
        <f ca="1">('TUSD BE'!$AM$27+'TUSD BF'!$AM$27+'TUSD CVA'!$AM$27)*1</f>
        <v>1497.8900689999518</v>
      </c>
      <c r="AA75" s="6"/>
      <c r="AB75" s="6">
        <f t="shared" si="8"/>
        <v>0</v>
      </c>
      <c r="AC75" s="6">
        <f t="shared" si="9"/>
        <v>2265715.604021376</v>
      </c>
      <c r="AD75" s="6">
        <f t="shared" si="10"/>
        <v>0</v>
      </c>
      <c r="AE75" s="6">
        <f t="shared" ca="1" si="11"/>
        <v>2332567.8385947701</v>
      </c>
      <c r="AF75" s="4" t="s">
        <v>843</v>
      </c>
    </row>
    <row r="76" spans="1:32" ht="11.25" customHeight="1" x14ac:dyDescent="0.25">
      <c r="A76" s="4" t="s">
        <v>21</v>
      </c>
      <c r="B76" s="4" t="s">
        <v>41</v>
      </c>
      <c r="C76" s="4" t="s">
        <v>43</v>
      </c>
      <c r="D76" s="4" t="s">
        <v>51</v>
      </c>
      <c r="E76" s="4" t="s">
        <v>52</v>
      </c>
      <c r="F76" s="4" t="s">
        <v>25</v>
      </c>
      <c r="G76" s="4" t="s">
        <v>25</v>
      </c>
      <c r="H76" s="4" t="s">
        <v>35</v>
      </c>
      <c r="I76" s="5">
        <v>44531</v>
      </c>
      <c r="J76" s="6">
        <v>0</v>
      </c>
      <c r="K76" s="71">
        <v>0</v>
      </c>
      <c r="L76" s="6">
        <v>533.77</v>
      </c>
      <c r="M76" s="71">
        <v>533.77</v>
      </c>
      <c r="N76" s="6">
        <v>533.77</v>
      </c>
      <c r="O76" s="71">
        <v>533.77</v>
      </c>
      <c r="P76" s="6">
        <v>0</v>
      </c>
      <c r="Q76" s="4" t="s">
        <v>26</v>
      </c>
      <c r="R76" s="4">
        <v>0</v>
      </c>
      <c r="S76" s="4">
        <v>0</v>
      </c>
      <c r="T76" s="4">
        <v>7</v>
      </c>
      <c r="U76" s="4">
        <v>76</v>
      </c>
      <c r="V76" s="71">
        <f>IF(ISERROR(VLOOKUP($S$76,'TAR FIN'!$A$1:$O$108,15,0)),0,VLOOKUP($S$76,'TAR FIN'!$A$1:$O$108,15,0))</f>
        <v>0</v>
      </c>
      <c r="W76" s="71">
        <f>IF(ISERROR(VLOOKUP($T$76,'TAR FIN'!$A$1:$O$108,15,0)),0,VLOOKUP($T$76,'TAR FIN'!$A$1:$O$108,15,0))*(1-0.06)</f>
        <v>96.462800000000001</v>
      </c>
      <c r="X76" s="71">
        <f>IF(ISERROR(VLOOKUP($U$76,'TAR FIN'!$A$1:$O$108,15,0)),0,VLOOKUP($U$76,'TAR FIN'!$A$1:$O$108,15,0))*(1-0.06)</f>
        <v>96.913999999999987</v>
      </c>
      <c r="Y76" s="71"/>
      <c r="Z76" s="71">
        <f ca="1">('TUSD BE'!$AM$28+'TUSD BF'!$AM$28+'TUSD CVA'!$AM$28)*1*(1-0.03)</f>
        <v>176.03212128696998</v>
      </c>
      <c r="AA76" s="71">
        <f>('TE BE'!$AB$11+'TE BF'!$AB$11+'TE CVA'!$AB$11)*1*(1-0.03)</f>
        <v>209.13469685121515</v>
      </c>
      <c r="AB76" s="71">
        <f>(SUBSIDIO!$J$76*SUBSIDIO!$V$76)*(0.06)/(1-0.06)</f>
        <v>0</v>
      </c>
      <c r="AC76" s="71">
        <f>((SUBSIDIO!$L$76*SUBSIDIO!$W$76)+(SUBSIDIO!$N$76*SUBSIDIO!$X$76))*(0.06)/(1-0.06)</f>
        <v>6588.4298639999988</v>
      </c>
      <c r="AD76" s="71">
        <f>(SUBSIDIO!$J$76*SUBSIDIO!$Y$76)*(0.03)/(1-0.03)</f>
        <v>0</v>
      </c>
      <c r="AE76" s="71">
        <f ca="1">((SUBSIDIO!$L$76*SUBSIDIO!$Z$76)+(SUBSIDIO!$N$76*SUBSIDIO!$AA$76))*(0.03)/(1-0.03)</f>
        <v>6358.4688407511057</v>
      </c>
      <c r="AF76" s="4" t="s">
        <v>842</v>
      </c>
    </row>
    <row r="77" spans="1:32" ht="11.25" customHeight="1" x14ac:dyDescent="0.25">
      <c r="A77" s="4" t="s">
        <v>21</v>
      </c>
      <c r="B77" s="4" t="s">
        <v>41</v>
      </c>
      <c r="C77" s="4" t="s">
        <v>43</v>
      </c>
      <c r="D77" s="4" t="s">
        <v>51</v>
      </c>
      <c r="E77" s="4" t="s">
        <v>52</v>
      </c>
      <c r="F77" s="4" t="s">
        <v>25</v>
      </c>
      <c r="G77" s="4" t="s">
        <v>25</v>
      </c>
      <c r="H77" s="4" t="s">
        <v>35</v>
      </c>
      <c r="I77" s="5">
        <v>44562</v>
      </c>
      <c r="J77" s="6">
        <v>0</v>
      </c>
      <c r="K77" s="71">
        <v>0</v>
      </c>
      <c r="L77" s="6">
        <v>541.12599999999998</v>
      </c>
      <c r="M77" s="71">
        <v>541.12599999999998</v>
      </c>
      <c r="N77" s="6">
        <v>541.12599999999998</v>
      </c>
      <c r="O77" s="71">
        <v>541.12599999999998</v>
      </c>
      <c r="P77" s="6">
        <v>0</v>
      </c>
      <c r="Q77" s="4" t="s">
        <v>26</v>
      </c>
      <c r="R77" s="4">
        <v>0</v>
      </c>
      <c r="S77" s="4">
        <v>0</v>
      </c>
      <c r="T77" s="4">
        <v>7</v>
      </c>
      <c r="U77" s="4">
        <v>76</v>
      </c>
      <c r="V77" s="71">
        <f>IF(ISERROR(VLOOKUP($S$77,'TAR FIN'!$A$1:$O$108,15,0)),0,VLOOKUP($S$77,'TAR FIN'!$A$1:$O$108,15,0))</f>
        <v>0</v>
      </c>
      <c r="W77" s="71">
        <f>IF(ISERROR(VLOOKUP($T$77,'TAR FIN'!$A$1:$O$108,15,0)),0,VLOOKUP($T$77,'TAR FIN'!$A$1:$O$108,15,0))*(1-0.06)</f>
        <v>96.462800000000001</v>
      </c>
      <c r="X77" s="71">
        <f>IF(ISERROR(VLOOKUP($U$77,'TAR FIN'!$A$1:$O$108,15,0)),0,VLOOKUP($U$77,'TAR FIN'!$A$1:$O$108,15,0))*(1-0.06)</f>
        <v>96.913999999999987</v>
      </c>
      <c r="Y77" s="71"/>
      <c r="Z77" s="71">
        <f ca="1">('TUSD BE'!$AM$28+'TUSD BF'!$AM$28+'TUSD CVA'!$AM$28)*1*(1-0.03)</f>
        <v>176.03212128696998</v>
      </c>
      <c r="AA77" s="71">
        <f>('TE BE'!$AB$11+'TE BF'!$AB$11+'TE CVA'!$AB$11)*1*(1-0.03)</f>
        <v>209.13469685121515</v>
      </c>
      <c r="AB77" s="71">
        <f>(SUBSIDIO!$J$77*SUBSIDIO!$V$77)*(0.06)/(1-0.06)</f>
        <v>0</v>
      </c>
      <c r="AC77" s="71">
        <f>((SUBSIDIO!$L$77*SUBSIDIO!$W$77)+(SUBSIDIO!$N$77*SUBSIDIO!$X$77))*(0.06)/(1-0.06)</f>
        <v>6679.2264431999993</v>
      </c>
      <c r="AD77" s="71">
        <f>(SUBSIDIO!$J$77*SUBSIDIO!$Y$77)*(0.03)/(1-0.03)</f>
        <v>0</v>
      </c>
      <c r="AE77" s="71">
        <f ca="1">((SUBSIDIO!$L$77*SUBSIDIO!$Z$77)+(SUBSIDIO!$N$77*SUBSIDIO!$AA$77))*(0.03)/(1-0.03)</f>
        <v>6446.096277273512</v>
      </c>
      <c r="AF77" s="4" t="s">
        <v>842</v>
      </c>
    </row>
    <row r="78" spans="1:32" ht="11.25" customHeight="1" x14ac:dyDescent="0.25">
      <c r="A78" s="4" t="s">
        <v>21</v>
      </c>
      <c r="B78" s="4" t="s">
        <v>41</v>
      </c>
      <c r="C78" s="4" t="s">
        <v>43</v>
      </c>
      <c r="D78" s="4" t="s">
        <v>51</v>
      </c>
      <c r="E78" s="4" t="s">
        <v>52</v>
      </c>
      <c r="F78" s="4" t="s">
        <v>25</v>
      </c>
      <c r="G78" s="4" t="s">
        <v>25</v>
      </c>
      <c r="H78" s="4" t="s">
        <v>35</v>
      </c>
      <c r="I78" s="5">
        <v>44593</v>
      </c>
      <c r="J78" s="6">
        <v>0</v>
      </c>
      <c r="K78" s="71">
        <v>0</v>
      </c>
      <c r="L78" s="6">
        <v>454.30099999999999</v>
      </c>
      <c r="M78" s="71">
        <v>454.30099999999999</v>
      </c>
      <c r="N78" s="6">
        <v>454.30099999999999</v>
      </c>
      <c r="O78" s="71">
        <v>454.30099999999999</v>
      </c>
      <c r="P78" s="6">
        <v>0</v>
      </c>
      <c r="Q78" s="4" t="s">
        <v>26</v>
      </c>
      <c r="R78" s="4">
        <v>0</v>
      </c>
      <c r="S78" s="4">
        <v>0</v>
      </c>
      <c r="T78" s="4">
        <v>7</v>
      </c>
      <c r="U78" s="4">
        <v>76</v>
      </c>
      <c r="V78" s="71">
        <f>IF(ISERROR(VLOOKUP($S$78,'TAR FIN'!$A$1:$O$108,15,0)),0,VLOOKUP($S$78,'TAR FIN'!$A$1:$O$108,15,0))</f>
        <v>0</v>
      </c>
      <c r="W78" s="71">
        <f>IF(ISERROR(VLOOKUP($T$78,'TAR FIN'!$A$1:$O$108,15,0)),0,VLOOKUP($T$78,'TAR FIN'!$A$1:$O$108,15,0))*(1-0.06)</f>
        <v>96.462800000000001</v>
      </c>
      <c r="X78" s="71">
        <f>IF(ISERROR(VLOOKUP($U$78,'TAR FIN'!$A$1:$O$108,15,0)),0,VLOOKUP($U$78,'TAR FIN'!$A$1:$O$108,15,0))*(1-0.06)</f>
        <v>96.913999999999987</v>
      </c>
      <c r="Y78" s="71"/>
      <c r="Z78" s="71">
        <f ca="1">('TUSD BE'!$AM$28+'TUSD BF'!$AM$28+'TUSD CVA'!$AM$28)*1*(1-0.03)</f>
        <v>176.03212128696998</v>
      </c>
      <c r="AA78" s="71">
        <f>('TE BE'!$AB$11+'TE BF'!$AB$11+'TE CVA'!$AB$11)*1*(1-0.03)</f>
        <v>209.13469685121515</v>
      </c>
      <c r="AB78" s="71">
        <f>(SUBSIDIO!$J$78*SUBSIDIO!$V$78)*(0.06)/(1-0.06)</f>
        <v>0</v>
      </c>
      <c r="AC78" s="71">
        <f>((SUBSIDIO!$L$78*SUBSIDIO!$W$78)+(SUBSIDIO!$N$78*SUBSIDIO!$X$78))*(0.06)/(1-0.06)</f>
        <v>5607.5281031999994</v>
      </c>
      <c r="AD78" s="71">
        <f>(SUBSIDIO!$J$78*SUBSIDIO!$Y$78)*(0.03)/(1-0.03)</f>
        <v>0</v>
      </c>
      <c r="AE78" s="71">
        <f ca="1">((SUBSIDIO!$L$78*SUBSIDIO!$Z$78)+(SUBSIDIO!$N$78*SUBSIDIO!$AA$78))*(0.03)/(1-0.03)</f>
        <v>5411.8042468142985</v>
      </c>
      <c r="AF78" s="4" t="s">
        <v>842</v>
      </c>
    </row>
    <row r="79" spans="1:32" ht="11.25" customHeight="1" x14ac:dyDescent="0.25">
      <c r="A79" s="4" t="s">
        <v>21</v>
      </c>
      <c r="B79" s="4" t="s">
        <v>41</v>
      </c>
      <c r="C79" s="4" t="s">
        <v>43</v>
      </c>
      <c r="D79" s="4" t="s">
        <v>51</v>
      </c>
      <c r="E79" s="4" t="s">
        <v>52</v>
      </c>
      <c r="F79" s="4" t="s">
        <v>25</v>
      </c>
      <c r="G79" s="4" t="s">
        <v>25</v>
      </c>
      <c r="H79" s="4" t="s">
        <v>35</v>
      </c>
      <c r="I79" s="5">
        <v>44621</v>
      </c>
      <c r="J79" s="6">
        <v>0</v>
      </c>
      <c r="K79" s="71">
        <v>0</v>
      </c>
      <c r="L79" s="6">
        <v>575.00099999999998</v>
      </c>
      <c r="M79" s="71">
        <v>575.00099999999998</v>
      </c>
      <c r="N79" s="6">
        <v>575.00099999999998</v>
      </c>
      <c r="O79" s="71">
        <v>575.00099999999998</v>
      </c>
      <c r="P79" s="6">
        <v>0</v>
      </c>
      <c r="Q79" s="4" t="s">
        <v>26</v>
      </c>
      <c r="R79" s="4">
        <v>0</v>
      </c>
      <c r="S79" s="4">
        <v>0</v>
      </c>
      <c r="T79" s="4">
        <v>7</v>
      </c>
      <c r="U79" s="4">
        <v>76</v>
      </c>
      <c r="V79" s="71">
        <f>IF(ISERROR(VLOOKUP($S$79,'TAR FIN'!$A$1:$O$108,15,0)),0,VLOOKUP($S$79,'TAR FIN'!$A$1:$O$108,15,0))</f>
        <v>0</v>
      </c>
      <c r="W79" s="71">
        <f>IF(ISERROR(VLOOKUP($T$79,'TAR FIN'!$A$1:$O$108,15,0)),0,VLOOKUP($T$79,'TAR FIN'!$A$1:$O$108,15,0))*(1-0.06)</f>
        <v>96.462800000000001</v>
      </c>
      <c r="X79" s="71">
        <f>IF(ISERROR(VLOOKUP($U$79,'TAR FIN'!$A$1:$O$108,15,0)),0,VLOOKUP($U$79,'TAR FIN'!$A$1:$O$108,15,0))*(1-0.06)</f>
        <v>96.913999999999987</v>
      </c>
      <c r="Y79" s="71"/>
      <c r="Z79" s="71">
        <f ca="1">('TUSD BE'!$AM$28+'TUSD BF'!$AM$28+'TUSD CVA'!$AM$28)*1*(1-0.03)</f>
        <v>176.03212128696998</v>
      </c>
      <c r="AA79" s="71">
        <f>('TE BE'!$AB$11+'TE BF'!$AB$11+'TE CVA'!$AB$11)*1*(1-0.03)</f>
        <v>209.13469685121515</v>
      </c>
      <c r="AB79" s="71">
        <f>(SUBSIDIO!$J$79*SUBSIDIO!$V$79)*(0.06)/(1-0.06)</f>
        <v>0</v>
      </c>
      <c r="AC79" s="71">
        <f>((SUBSIDIO!$L$79*SUBSIDIO!$W$79)+(SUBSIDIO!$N$79*SUBSIDIO!$X$79))*(0.06)/(1-0.06)</f>
        <v>7097.3523432000002</v>
      </c>
      <c r="AD79" s="71">
        <f>(SUBSIDIO!$J$79*SUBSIDIO!$Y$79)*(0.03)/(1-0.03)</f>
        <v>0</v>
      </c>
      <c r="AE79" s="71">
        <f ca="1">((SUBSIDIO!$L$79*SUBSIDIO!$Z$79)+(SUBSIDIO!$N$79*SUBSIDIO!$AA$79))*(0.03)/(1-0.03)</f>
        <v>6849.6280081322038</v>
      </c>
      <c r="AF79" s="4" t="s">
        <v>842</v>
      </c>
    </row>
    <row r="80" spans="1:32" ht="11.25" customHeight="1" x14ac:dyDescent="0.25">
      <c r="A80" s="4" t="s">
        <v>27</v>
      </c>
      <c r="B80" s="4" t="s">
        <v>41</v>
      </c>
      <c r="C80" s="4" t="s">
        <v>43</v>
      </c>
      <c r="D80" s="4" t="s">
        <v>51</v>
      </c>
      <c r="E80" s="4" t="s">
        <v>52</v>
      </c>
      <c r="F80" s="4" t="s">
        <v>25</v>
      </c>
      <c r="G80" s="4" t="s">
        <v>25</v>
      </c>
      <c r="H80" s="4" t="s">
        <v>35</v>
      </c>
      <c r="I80" s="5">
        <v>44621</v>
      </c>
      <c r="J80" s="6">
        <v>0</v>
      </c>
      <c r="K80" s="71">
        <v>0</v>
      </c>
      <c r="L80" s="6">
        <v>10.036</v>
      </c>
      <c r="M80" s="71">
        <v>10.036</v>
      </c>
      <c r="N80" s="6">
        <v>10.036</v>
      </c>
      <c r="O80" s="71">
        <v>10.036</v>
      </c>
      <c r="P80" s="6">
        <v>0</v>
      </c>
      <c r="Q80" s="4" t="s">
        <v>26</v>
      </c>
      <c r="R80" s="4">
        <v>0</v>
      </c>
      <c r="S80" s="4">
        <v>0</v>
      </c>
      <c r="T80" s="4">
        <v>7</v>
      </c>
      <c r="U80" s="4">
        <v>76</v>
      </c>
      <c r="V80" s="71">
        <f>IF(ISERROR(VLOOKUP($S$80,'TAR FIN'!$A$1:$O$108,15,0)),0,VLOOKUP($S$80,'TAR FIN'!$A$1:$O$108,15,0))</f>
        <v>0</v>
      </c>
      <c r="W80" s="71">
        <f>IF(ISERROR(VLOOKUP($T$80,'TAR FIN'!$A$1:$O$108,15,0)),0,VLOOKUP($T$80,'TAR FIN'!$A$1:$O$108,15,0))*(1-0.06)</f>
        <v>96.462800000000001</v>
      </c>
      <c r="X80" s="71">
        <f>IF(ISERROR(VLOOKUP($U$80,'TAR FIN'!$A$1:$O$108,15,0)),0,VLOOKUP($U$80,'TAR FIN'!$A$1:$O$108,15,0))*(1-0.06)</f>
        <v>96.913999999999987</v>
      </c>
      <c r="Y80" s="71"/>
      <c r="Z80" s="71">
        <f ca="1">('TUSD BE'!$AM$28+'TUSD BF'!$AM$28+'TUSD CVA'!$AM$28)*1*(1-0.03)</f>
        <v>176.03212128696998</v>
      </c>
      <c r="AA80" s="71">
        <f>('TE BE'!$AB$11+'TE BF'!$AB$11+'TE CVA'!$AB$11)*1*(1-0.03)</f>
        <v>209.13469685121515</v>
      </c>
      <c r="AB80" s="71">
        <f>(SUBSIDIO!$J$80*SUBSIDIO!$V$80)*(0.06)/(1-0.06)</f>
        <v>0</v>
      </c>
      <c r="AC80" s="71">
        <f>((SUBSIDIO!$L$80*SUBSIDIO!$W$80)+(SUBSIDIO!$N$80*SUBSIDIO!$X$80))*(0.06)/(1-0.06)</f>
        <v>123.87635520000001</v>
      </c>
      <c r="AD80" s="71">
        <f>(SUBSIDIO!$J$80*SUBSIDIO!$Y$80)*(0.03)/(1-0.03)</f>
        <v>0</v>
      </c>
      <c r="AE80" s="71">
        <f ca="1">((SUBSIDIO!$L$80*SUBSIDIO!$Z$80)+(SUBSIDIO!$N$80*SUBSIDIO!$AA$80))*(0.03)/(1-0.03)</f>
        <v>119.55260371654101</v>
      </c>
      <c r="AF80" s="4" t="s">
        <v>842</v>
      </c>
    </row>
    <row r="81" spans="1:32" ht="11.25" customHeight="1" x14ac:dyDescent="0.25">
      <c r="A81" s="4" t="s">
        <v>21</v>
      </c>
      <c r="B81" s="4" t="s">
        <v>41</v>
      </c>
      <c r="C81" s="4" t="s">
        <v>43</v>
      </c>
      <c r="D81" s="4" t="s">
        <v>51</v>
      </c>
      <c r="E81" s="4" t="s">
        <v>52</v>
      </c>
      <c r="F81" s="4" t="s">
        <v>25</v>
      </c>
      <c r="G81" s="4" t="s">
        <v>25</v>
      </c>
      <c r="H81" s="4" t="s">
        <v>35</v>
      </c>
      <c r="I81" s="5">
        <v>44652</v>
      </c>
      <c r="J81" s="6">
        <v>0</v>
      </c>
      <c r="K81" s="71">
        <v>0</v>
      </c>
      <c r="L81" s="6">
        <v>509.452</v>
      </c>
      <c r="M81" s="71">
        <v>509.452</v>
      </c>
      <c r="N81" s="6">
        <v>509.452</v>
      </c>
      <c r="O81" s="71">
        <v>509.452</v>
      </c>
      <c r="P81" s="6">
        <v>0</v>
      </c>
      <c r="Q81" s="4" t="s">
        <v>26</v>
      </c>
      <c r="R81" s="4">
        <v>0</v>
      </c>
      <c r="S81" s="4">
        <v>0</v>
      </c>
      <c r="T81" s="4">
        <v>7</v>
      </c>
      <c r="U81" s="4">
        <v>76</v>
      </c>
      <c r="V81" s="71">
        <f>IF(ISERROR(VLOOKUP($S$81,'TAR FIN'!$A$1:$O$108,15,0)),0,VLOOKUP($S$81,'TAR FIN'!$A$1:$O$108,15,0))</f>
        <v>0</v>
      </c>
      <c r="W81" s="71">
        <f>IF(ISERROR(VLOOKUP($T$81,'TAR FIN'!$A$1:$O$108,15,0)),0,VLOOKUP($T$81,'TAR FIN'!$A$1:$O$108,15,0))*(1-0.06)</f>
        <v>96.462800000000001</v>
      </c>
      <c r="X81" s="71">
        <f>IF(ISERROR(VLOOKUP($U$81,'TAR FIN'!$A$1:$O$108,15,0)),0,VLOOKUP($U$81,'TAR FIN'!$A$1:$O$108,15,0))*(1-0.06)</f>
        <v>96.913999999999987</v>
      </c>
      <c r="Y81" s="71"/>
      <c r="Z81" s="71">
        <f ca="1">('TUSD BE'!$AM$28+'TUSD BF'!$AM$28+'TUSD CVA'!$AM$28)*1*(1-0.03)</f>
        <v>176.03212128696998</v>
      </c>
      <c r="AA81" s="71">
        <f>('TE BE'!$AB$11+'TE BF'!$AB$11+'TE CVA'!$AB$11)*1*(1-0.03)</f>
        <v>209.13469685121515</v>
      </c>
      <c r="AB81" s="71">
        <f>(SUBSIDIO!$J$81*SUBSIDIO!$V$81)*(0.06)/(1-0.06)</f>
        <v>0</v>
      </c>
      <c r="AC81" s="71">
        <f>((SUBSIDIO!$L$81*SUBSIDIO!$W$81)+(SUBSIDIO!$N$81*SUBSIDIO!$X$81))*(0.06)/(1-0.06)</f>
        <v>6288.2679263999999</v>
      </c>
      <c r="AD81" s="71">
        <f>(SUBSIDIO!$J$81*SUBSIDIO!$Y$81)*(0.03)/(1-0.03)</f>
        <v>0</v>
      </c>
      <c r="AE81" s="71">
        <f ca="1">((SUBSIDIO!$L$81*SUBSIDIO!$Z$81)+(SUBSIDIO!$N$81*SUBSIDIO!$AA$81))*(0.03)/(1-0.03)</f>
        <v>6068.7836855917949</v>
      </c>
      <c r="AF81" s="4" t="s">
        <v>842</v>
      </c>
    </row>
    <row r="82" spans="1:32" ht="11.25" customHeight="1" x14ac:dyDescent="0.25">
      <c r="A82" s="4" t="s">
        <v>21</v>
      </c>
      <c r="B82" s="4" t="s">
        <v>41</v>
      </c>
      <c r="C82" s="4" t="s">
        <v>43</v>
      </c>
      <c r="D82" s="4" t="s">
        <v>51</v>
      </c>
      <c r="E82" s="4" t="s">
        <v>52</v>
      </c>
      <c r="F82" s="4" t="s">
        <v>25</v>
      </c>
      <c r="G82" s="4" t="s">
        <v>25</v>
      </c>
      <c r="H82" s="4" t="s">
        <v>35</v>
      </c>
      <c r="I82" s="5">
        <v>44682</v>
      </c>
      <c r="J82" s="6">
        <v>0</v>
      </c>
      <c r="K82" s="71">
        <v>0</v>
      </c>
      <c r="L82" s="6">
        <v>502.738</v>
      </c>
      <c r="M82" s="71">
        <v>502.738</v>
      </c>
      <c r="N82" s="6">
        <v>502.738</v>
      </c>
      <c r="O82" s="71">
        <v>502.738</v>
      </c>
      <c r="P82" s="6">
        <v>0</v>
      </c>
      <c r="Q82" s="4" t="s">
        <v>26</v>
      </c>
      <c r="R82" s="4">
        <v>0</v>
      </c>
      <c r="S82" s="4">
        <v>0</v>
      </c>
      <c r="T82" s="4">
        <v>7</v>
      </c>
      <c r="U82" s="4">
        <v>76</v>
      </c>
      <c r="V82" s="71">
        <f>IF(ISERROR(VLOOKUP($S$82,'TAR FIN'!$A$1:$O$108,15,0)),0,VLOOKUP($S$82,'TAR FIN'!$A$1:$O$108,15,0))</f>
        <v>0</v>
      </c>
      <c r="W82" s="71">
        <f>IF(ISERROR(VLOOKUP($T$82,'TAR FIN'!$A$1:$O$108,15,0)),0,VLOOKUP($T$82,'TAR FIN'!$A$1:$O$108,15,0))*(1-0.06)</f>
        <v>96.462800000000001</v>
      </c>
      <c r="X82" s="71">
        <f>IF(ISERROR(VLOOKUP($U$82,'TAR FIN'!$A$1:$O$108,15,0)),0,VLOOKUP($U$82,'TAR FIN'!$A$1:$O$108,15,0))*(1-0.06)</f>
        <v>96.913999999999987</v>
      </c>
      <c r="Y82" s="71"/>
      <c r="Z82" s="71">
        <f ca="1">('TUSD BE'!$AM$28+'TUSD BF'!$AM$28+'TUSD CVA'!$AM$28)*1*(1-0.03)</f>
        <v>176.03212128696998</v>
      </c>
      <c r="AA82" s="71">
        <f>('TE BE'!$AB$11+'TE BF'!$AB$11+'TE CVA'!$AB$11)*1*(1-0.03)</f>
        <v>209.13469685121515</v>
      </c>
      <c r="AB82" s="71">
        <f>(SUBSIDIO!$J$82*SUBSIDIO!$V$82)*(0.06)/(1-0.06)</f>
        <v>0</v>
      </c>
      <c r="AC82" s="71">
        <f>((SUBSIDIO!$L$82*SUBSIDIO!$W$82)+(SUBSIDIO!$N$82*SUBSIDIO!$X$82))*(0.06)/(1-0.06)</f>
        <v>6205.3956816</v>
      </c>
      <c r="AD82" s="71">
        <f>(SUBSIDIO!$J$82*SUBSIDIO!$Y$82)*(0.03)/(1-0.03)</f>
        <v>0</v>
      </c>
      <c r="AE82" s="71">
        <f ca="1">((SUBSIDIO!$L$82*SUBSIDIO!$Z$82)+(SUBSIDIO!$N$82*SUBSIDIO!$AA$82))*(0.03)/(1-0.03)</f>
        <v>5988.8039943449985</v>
      </c>
      <c r="AF82" s="4" t="s">
        <v>842</v>
      </c>
    </row>
    <row r="83" spans="1:32" ht="11.25" customHeight="1" x14ac:dyDescent="0.25">
      <c r="A83" s="4" t="s">
        <v>21</v>
      </c>
      <c r="B83" s="4" t="s">
        <v>41</v>
      </c>
      <c r="C83" s="4" t="s">
        <v>43</v>
      </c>
      <c r="D83" s="4" t="s">
        <v>51</v>
      </c>
      <c r="E83" s="4" t="s">
        <v>52</v>
      </c>
      <c r="F83" s="4" t="s">
        <v>25</v>
      </c>
      <c r="G83" s="4" t="s">
        <v>25</v>
      </c>
      <c r="H83" s="4" t="s">
        <v>35</v>
      </c>
      <c r="I83" s="5">
        <v>44713</v>
      </c>
      <c r="J83" s="6">
        <v>0</v>
      </c>
      <c r="K83" s="71">
        <v>0</v>
      </c>
      <c r="L83" s="6">
        <v>484.745</v>
      </c>
      <c r="M83" s="71">
        <v>484.745</v>
      </c>
      <c r="N83" s="6">
        <v>484.745</v>
      </c>
      <c r="O83" s="71">
        <v>484.745</v>
      </c>
      <c r="P83" s="6">
        <v>0</v>
      </c>
      <c r="Q83" s="4" t="s">
        <v>26</v>
      </c>
      <c r="R83" s="4">
        <v>0</v>
      </c>
      <c r="S83" s="4">
        <v>0</v>
      </c>
      <c r="T83" s="4">
        <v>7</v>
      </c>
      <c r="U83" s="4">
        <v>76</v>
      </c>
      <c r="V83" s="71">
        <f>IF(ISERROR(VLOOKUP($S$83,'TAR FIN'!$A$1:$O$108,15,0)),0,VLOOKUP($S$83,'TAR FIN'!$A$1:$O$108,15,0))</f>
        <v>0</v>
      </c>
      <c r="W83" s="71">
        <f>IF(ISERROR(VLOOKUP($T$83,'TAR FIN'!$A$1:$O$108,15,0)),0,VLOOKUP($T$83,'TAR FIN'!$A$1:$O$108,15,0))*(1-0.06)</f>
        <v>96.462800000000001</v>
      </c>
      <c r="X83" s="71">
        <f>IF(ISERROR(VLOOKUP($U$83,'TAR FIN'!$A$1:$O$108,15,0)),0,VLOOKUP($U$83,'TAR FIN'!$A$1:$O$108,15,0))*(1-0.06)</f>
        <v>96.913999999999987</v>
      </c>
      <c r="Y83" s="71"/>
      <c r="Z83" s="71">
        <f ca="1">('TUSD BE'!$AM$28+'TUSD BF'!$AM$28+'TUSD CVA'!$AM$28)*1*(1-0.03)</f>
        <v>176.03212128696998</v>
      </c>
      <c r="AA83" s="71">
        <f>('TE BE'!$AB$11+'TE BF'!$AB$11+'TE CVA'!$AB$11)*1*(1-0.03)</f>
        <v>209.13469685121515</v>
      </c>
      <c r="AB83" s="71">
        <f>(SUBSIDIO!$J$83*SUBSIDIO!$V$83)*(0.06)/(1-0.06)</f>
        <v>0</v>
      </c>
      <c r="AC83" s="71">
        <f>((SUBSIDIO!$L$83*SUBSIDIO!$W$83)+(SUBSIDIO!$N$83*SUBSIDIO!$X$83))*(0.06)/(1-0.06)</f>
        <v>5983.3044840000002</v>
      </c>
      <c r="AD83" s="71">
        <f>(SUBSIDIO!$J$83*SUBSIDIO!$Y$83)*(0.03)/(1-0.03)</f>
        <v>0</v>
      </c>
      <c r="AE83" s="71">
        <f ca="1">((SUBSIDIO!$L$83*SUBSIDIO!$Z$83)+(SUBSIDIO!$N$83*SUBSIDIO!$AA$83))*(0.03)/(1-0.03)</f>
        <v>5774.4646162390072</v>
      </c>
      <c r="AF83" s="4" t="s">
        <v>842</v>
      </c>
    </row>
    <row r="84" spans="1:32" ht="11.25" customHeight="1" x14ac:dyDescent="0.25">
      <c r="A84" s="4" t="s">
        <v>21</v>
      </c>
      <c r="B84" s="4" t="s">
        <v>41</v>
      </c>
      <c r="C84" s="4" t="s">
        <v>43</v>
      </c>
      <c r="D84" s="4" t="s">
        <v>51</v>
      </c>
      <c r="E84" s="4" t="s">
        <v>52</v>
      </c>
      <c r="F84" s="4" t="s">
        <v>25</v>
      </c>
      <c r="G84" s="4" t="s">
        <v>25</v>
      </c>
      <c r="H84" s="4" t="s">
        <v>35</v>
      </c>
      <c r="I84" s="5">
        <v>44743</v>
      </c>
      <c r="J84" s="6">
        <v>0</v>
      </c>
      <c r="K84" s="71">
        <v>0</v>
      </c>
      <c r="L84" s="6">
        <v>11.79</v>
      </c>
      <c r="M84" s="71">
        <v>11.79</v>
      </c>
      <c r="N84" s="6">
        <v>11.79</v>
      </c>
      <c r="O84" s="71">
        <v>11.79</v>
      </c>
      <c r="P84" s="6">
        <v>0</v>
      </c>
      <c r="Q84" s="4" t="s">
        <v>26</v>
      </c>
      <c r="R84" s="4">
        <v>0</v>
      </c>
      <c r="S84" s="4">
        <v>0</v>
      </c>
      <c r="T84" s="4">
        <v>7</v>
      </c>
      <c r="U84" s="4">
        <v>76</v>
      </c>
      <c r="V84" s="71">
        <f>IF(ISERROR(VLOOKUP($S$84,'TAR FIN'!$A$1:$O$108,15,0)),0,VLOOKUP($S$84,'TAR FIN'!$A$1:$O$108,15,0))</f>
        <v>0</v>
      </c>
      <c r="W84" s="71">
        <f>IF(ISERROR(VLOOKUP($T$84,'TAR FIN'!$A$1:$O$108,15,0)),0,VLOOKUP($T$84,'TAR FIN'!$A$1:$O$108,15,0))*(1-0.06)</f>
        <v>96.462800000000001</v>
      </c>
      <c r="X84" s="71">
        <f>IF(ISERROR(VLOOKUP($U$84,'TAR FIN'!$A$1:$O$108,15,0)),0,VLOOKUP($U$84,'TAR FIN'!$A$1:$O$108,15,0))*(1-0.06)</f>
        <v>96.913999999999987</v>
      </c>
      <c r="Y84" s="71"/>
      <c r="Z84" s="71">
        <f ca="1">('TUSD BE'!$AM$28+'TUSD BF'!$AM$28+'TUSD CVA'!$AM$28)*1*(1-0.03)</f>
        <v>176.03212128696998</v>
      </c>
      <c r="AA84" s="71">
        <f>('TE BE'!$AB$11+'TE BF'!$AB$11+'TE CVA'!$AB$11)*1*(1-0.03)</f>
        <v>209.13469685121515</v>
      </c>
      <c r="AB84" s="71">
        <f>(SUBSIDIO!$J$84*SUBSIDIO!$V$84)*(0.06)/(1-0.06)</f>
        <v>0</v>
      </c>
      <c r="AC84" s="71">
        <f>((SUBSIDIO!$L$84*SUBSIDIO!$W$84)+(SUBSIDIO!$N$84*SUBSIDIO!$X$84))*(0.06)/(1-0.06)</f>
        <v>145.52632800000001</v>
      </c>
      <c r="AD84" s="71">
        <f>(SUBSIDIO!$J$84*SUBSIDIO!$Y$84)*(0.03)/(1-0.03)</f>
        <v>0</v>
      </c>
      <c r="AE84" s="71">
        <f ca="1">((SUBSIDIO!$L$84*SUBSIDIO!$Z$84)+(SUBSIDIO!$N$84*SUBSIDIO!$AA$84))*(0.03)/(1-0.03)</f>
        <v>140.44691090255267</v>
      </c>
      <c r="AF84" s="4" t="s">
        <v>842</v>
      </c>
    </row>
    <row r="85" spans="1:32" ht="11.25" customHeight="1" x14ac:dyDescent="0.25">
      <c r="A85" s="4" t="s">
        <v>27</v>
      </c>
      <c r="B85" s="4" t="s">
        <v>41</v>
      </c>
      <c r="C85" s="4" t="s">
        <v>43</v>
      </c>
      <c r="D85" s="4" t="s">
        <v>51</v>
      </c>
      <c r="E85" s="4" t="s">
        <v>52</v>
      </c>
      <c r="F85" s="4" t="s">
        <v>25</v>
      </c>
      <c r="G85" s="4" t="s">
        <v>25</v>
      </c>
      <c r="H85" s="4" t="s">
        <v>35</v>
      </c>
      <c r="I85" s="5">
        <v>44743</v>
      </c>
      <c r="J85" s="6">
        <v>0</v>
      </c>
      <c r="K85" s="71">
        <v>0</v>
      </c>
      <c r="L85" s="6">
        <v>178.679</v>
      </c>
      <c r="M85" s="71">
        <v>178.679</v>
      </c>
      <c r="N85" s="6">
        <v>178.679</v>
      </c>
      <c r="O85" s="71">
        <v>178.679</v>
      </c>
      <c r="P85" s="6">
        <v>0</v>
      </c>
      <c r="Q85" s="4" t="s">
        <v>26</v>
      </c>
      <c r="R85" s="4">
        <v>0</v>
      </c>
      <c r="S85" s="4">
        <v>0</v>
      </c>
      <c r="T85" s="4">
        <v>7</v>
      </c>
      <c r="U85" s="4">
        <v>76</v>
      </c>
      <c r="V85" s="71">
        <f>IF(ISERROR(VLOOKUP($S$85,'TAR FIN'!$A$1:$O$108,15,0)),0,VLOOKUP($S$85,'TAR FIN'!$A$1:$O$108,15,0))</f>
        <v>0</v>
      </c>
      <c r="W85" s="71">
        <f>IF(ISERROR(VLOOKUP($T$85,'TAR FIN'!$A$1:$O$108,15,0)),0,VLOOKUP($T$85,'TAR FIN'!$A$1:$O$108,15,0))*(1-0.06)</f>
        <v>96.462800000000001</v>
      </c>
      <c r="X85" s="71">
        <f>IF(ISERROR(VLOOKUP($U$85,'TAR FIN'!$A$1:$O$108,15,0)),0,VLOOKUP($U$85,'TAR FIN'!$A$1:$O$108,15,0))*(1-0.06)</f>
        <v>96.913999999999987</v>
      </c>
      <c r="Y85" s="71"/>
      <c r="Z85" s="71">
        <f ca="1">('TUSD BE'!$AM$28+'TUSD BF'!$AM$28+'TUSD CVA'!$AM$28)*1*(1-0.03)</f>
        <v>176.03212128696998</v>
      </c>
      <c r="AA85" s="71">
        <f>('TE BE'!$AB$11+'TE BF'!$AB$11+'TE CVA'!$AB$11)*1*(1-0.03)</f>
        <v>209.13469685121515</v>
      </c>
      <c r="AB85" s="71">
        <f>(SUBSIDIO!$J$85*SUBSIDIO!$V$85)*(0.06)/(1-0.06)</f>
        <v>0</v>
      </c>
      <c r="AC85" s="71">
        <f>((SUBSIDIO!$L$85*SUBSIDIO!$W$85)+(SUBSIDIO!$N$85*SUBSIDIO!$X$85))*(0.06)/(1-0.06)</f>
        <v>2205.4706327999997</v>
      </c>
      <c r="AD85" s="71">
        <f>(SUBSIDIO!$J$85*SUBSIDIO!$Y$85)*(0.03)/(1-0.03)</f>
        <v>0</v>
      </c>
      <c r="AE85" s="71">
        <f ca="1">((SUBSIDIO!$L$85*SUBSIDIO!$Z$85)+(SUBSIDIO!$N$85*SUBSIDIO!$AA$85))*(0.03)/(1-0.03)</f>
        <v>2128.4913989107049</v>
      </c>
      <c r="AF85" s="4" t="s">
        <v>842</v>
      </c>
    </row>
    <row r="86" spans="1:32" ht="11.25" customHeight="1" x14ac:dyDescent="0.25">
      <c r="A86" s="4" t="s">
        <v>21</v>
      </c>
      <c r="B86" s="4" t="s">
        <v>41</v>
      </c>
      <c r="C86" s="4" t="s">
        <v>43</v>
      </c>
      <c r="D86" s="4" t="s">
        <v>51</v>
      </c>
      <c r="E86" s="4" t="s">
        <v>52</v>
      </c>
      <c r="F86" s="4" t="s">
        <v>25</v>
      </c>
      <c r="G86" s="4" t="s">
        <v>25</v>
      </c>
      <c r="H86" s="4" t="s">
        <v>35</v>
      </c>
      <c r="I86" s="5">
        <v>44774</v>
      </c>
      <c r="J86" s="6">
        <v>0</v>
      </c>
      <c r="K86" s="71">
        <v>0</v>
      </c>
      <c r="L86" s="6">
        <v>599.32600000000002</v>
      </c>
      <c r="M86" s="71">
        <v>599.32600000000002</v>
      </c>
      <c r="N86" s="6">
        <v>599.32600000000002</v>
      </c>
      <c r="O86" s="71">
        <v>599.32600000000002</v>
      </c>
      <c r="P86" s="6">
        <v>0</v>
      </c>
      <c r="Q86" s="4" t="s">
        <v>26</v>
      </c>
      <c r="R86" s="4">
        <v>0</v>
      </c>
      <c r="S86" s="4">
        <v>0</v>
      </c>
      <c r="T86" s="4">
        <v>7</v>
      </c>
      <c r="U86" s="4">
        <v>76</v>
      </c>
      <c r="V86" s="71">
        <f>IF(ISERROR(VLOOKUP($S$86,'TAR FIN'!$A$1:$O$108,15,0)),0,VLOOKUP($S$86,'TAR FIN'!$A$1:$O$108,15,0))</f>
        <v>0</v>
      </c>
      <c r="W86" s="71">
        <f>IF(ISERROR(VLOOKUP($T$86,'TAR FIN'!$A$1:$O$108,15,0)),0,VLOOKUP($T$86,'TAR FIN'!$A$1:$O$108,15,0))*(1-0.06)</f>
        <v>96.462800000000001</v>
      </c>
      <c r="X86" s="71">
        <f>IF(ISERROR(VLOOKUP($U$86,'TAR FIN'!$A$1:$O$108,15,0)),0,VLOOKUP($U$86,'TAR FIN'!$A$1:$O$108,15,0))*(1-0.06)</f>
        <v>96.913999999999987</v>
      </c>
      <c r="Y86" s="71"/>
      <c r="Z86" s="71">
        <f ca="1">('TUSD BE'!$AM$28+'TUSD BF'!$AM$28+'TUSD CVA'!$AM$28)*1*(1-0.03)</f>
        <v>176.03212128696998</v>
      </c>
      <c r="AA86" s="71">
        <f>('TE BE'!$AB$11+'TE BF'!$AB$11+'TE CVA'!$AB$11)*1*(1-0.03)</f>
        <v>209.13469685121515</v>
      </c>
      <c r="AB86" s="71">
        <f>(SUBSIDIO!$J$86*SUBSIDIO!$V$86)*(0.06)/(1-0.06)</f>
        <v>0</v>
      </c>
      <c r="AC86" s="71">
        <f>((SUBSIDIO!$L$86*SUBSIDIO!$W$86)+(SUBSIDIO!$N$86*SUBSIDIO!$X$86))*(0.06)/(1-0.06)</f>
        <v>7397.6006831999994</v>
      </c>
      <c r="AD86" s="71">
        <f>(SUBSIDIO!$J$86*SUBSIDIO!$Y$86)*(0.03)/(1-0.03)</f>
        <v>0</v>
      </c>
      <c r="AE86" s="71">
        <f ca="1">((SUBSIDIO!$L$86*SUBSIDIO!$Z$86)+(SUBSIDIO!$N$86*SUBSIDIO!$AA$86))*(0.03)/(1-0.03)</f>
        <v>7139.3965499222459</v>
      </c>
      <c r="AF86" s="4" t="s">
        <v>842</v>
      </c>
    </row>
    <row r="87" spans="1:32" ht="11.25" customHeight="1" x14ac:dyDescent="0.25">
      <c r="A87" s="4" t="s">
        <v>27</v>
      </c>
      <c r="B87" s="4" t="s">
        <v>41</v>
      </c>
      <c r="C87" s="4" t="s">
        <v>43</v>
      </c>
      <c r="D87" s="4" t="s">
        <v>51</v>
      </c>
      <c r="E87" s="4" t="s">
        <v>52</v>
      </c>
      <c r="F87" s="4" t="s">
        <v>25</v>
      </c>
      <c r="G87" s="4" t="s">
        <v>25</v>
      </c>
      <c r="H87" s="4" t="s">
        <v>35</v>
      </c>
      <c r="I87" s="5">
        <v>44774</v>
      </c>
      <c r="J87" s="6">
        <v>0</v>
      </c>
      <c r="K87" s="71">
        <v>0</v>
      </c>
      <c r="L87" s="6">
        <v>338.64400000000001</v>
      </c>
      <c r="M87" s="71">
        <v>338.64400000000001</v>
      </c>
      <c r="N87" s="6">
        <v>338.64400000000001</v>
      </c>
      <c r="O87" s="71">
        <v>338.64400000000001</v>
      </c>
      <c r="P87" s="6">
        <v>0</v>
      </c>
      <c r="Q87" s="4" t="s">
        <v>26</v>
      </c>
      <c r="R87" s="4">
        <v>0</v>
      </c>
      <c r="S87" s="4">
        <v>0</v>
      </c>
      <c r="T87" s="4">
        <v>7</v>
      </c>
      <c r="U87" s="4">
        <v>76</v>
      </c>
      <c r="V87" s="71">
        <f>IF(ISERROR(VLOOKUP($S$87,'TAR FIN'!$A$1:$O$108,15,0)),0,VLOOKUP($S$87,'TAR FIN'!$A$1:$O$108,15,0))</f>
        <v>0</v>
      </c>
      <c r="W87" s="71">
        <f>IF(ISERROR(VLOOKUP($T$87,'TAR FIN'!$A$1:$O$108,15,0)),0,VLOOKUP($T$87,'TAR FIN'!$A$1:$O$108,15,0))*(1-0.06)</f>
        <v>96.462800000000001</v>
      </c>
      <c r="X87" s="71">
        <f>IF(ISERROR(VLOOKUP($U$87,'TAR FIN'!$A$1:$O$108,15,0)),0,VLOOKUP($U$87,'TAR FIN'!$A$1:$O$108,15,0))*(1-0.06)</f>
        <v>96.913999999999987</v>
      </c>
      <c r="Y87" s="71"/>
      <c r="Z87" s="71">
        <f ca="1">('TUSD BE'!$AM$28+'TUSD BF'!$AM$28+'TUSD CVA'!$AM$28)*1*(1-0.03)</f>
        <v>176.03212128696998</v>
      </c>
      <c r="AA87" s="71">
        <f>('TE BE'!$AB$11+'TE BF'!$AB$11+'TE CVA'!$AB$11)*1*(1-0.03)</f>
        <v>209.13469685121515</v>
      </c>
      <c r="AB87" s="71">
        <f>(SUBSIDIO!$J$87*SUBSIDIO!$V$87)*(0.06)/(1-0.06)</f>
        <v>0</v>
      </c>
      <c r="AC87" s="71">
        <f>((SUBSIDIO!$L$87*SUBSIDIO!$W$87)+(SUBSIDIO!$N$87*SUBSIDIO!$X$87))*(0.06)/(1-0.06)</f>
        <v>4179.9506207999993</v>
      </c>
      <c r="AD87" s="71">
        <f>(SUBSIDIO!$J$87*SUBSIDIO!$Y$87)*(0.03)/(1-0.03)</f>
        <v>0</v>
      </c>
      <c r="AE87" s="71">
        <f ca="1">((SUBSIDIO!$L$87*SUBSIDIO!$Z$87)+(SUBSIDIO!$N$87*SUBSIDIO!$AA$87))*(0.03)/(1-0.03)</f>
        <v>4034.0545967501312</v>
      </c>
      <c r="AF87" s="4" t="s">
        <v>842</v>
      </c>
    </row>
    <row r="88" spans="1:32" ht="11.25" customHeight="1" x14ac:dyDescent="0.25">
      <c r="A88" s="4" t="s">
        <v>21</v>
      </c>
      <c r="B88" s="4" t="s">
        <v>41</v>
      </c>
      <c r="C88" s="4" t="s">
        <v>43</v>
      </c>
      <c r="D88" s="4" t="s">
        <v>51</v>
      </c>
      <c r="E88" s="4" t="s">
        <v>52</v>
      </c>
      <c r="F88" s="4" t="s">
        <v>25</v>
      </c>
      <c r="G88" s="4" t="s">
        <v>25</v>
      </c>
      <c r="H88" s="4" t="s">
        <v>35</v>
      </c>
      <c r="I88" s="5">
        <v>44805</v>
      </c>
      <c r="J88" s="6">
        <v>0</v>
      </c>
      <c r="K88" s="71">
        <v>0</v>
      </c>
      <c r="L88" s="6">
        <v>547.43100000000004</v>
      </c>
      <c r="M88" s="71">
        <v>547.43100000000004</v>
      </c>
      <c r="N88" s="6">
        <v>547.43100000000004</v>
      </c>
      <c r="O88" s="71">
        <v>547.43100000000004</v>
      </c>
      <c r="P88" s="6">
        <v>0</v>
      </c>
      <c r="Q88" s="4" t="s">
        <v>26</v>
      </c>
      <c r="R88" s="4">
        <v>0</v>
      </c>
      <c r="S88" s="4">
        <v>0</v>
      </c>
      <c r="T88" s="4">
        <v>7</v>
      </c>
      <c r="U88" s="4">
        <v>76</v>
      </c>
      <c r="V88" s="71">
        <f>IF(ISERROR(VLOOKUP($S$88,'TAR FIN'!$A$1:$O$108,15,0)),0,VLOOKUP($S$88,'TAR FIN'!$A$1:$O$108,15,0))</f>
        <v>0</v>
      </c>
      <c r="W88" s="71">
        <f>IF(ISERROR(VLOOKUP($T$88,'TAR FIN'!$A$1:$O$108,15,0)),0,VLOOKUP($T$88,'TAR FIN'!$A$1:$O$108,15,0))*(1-0.06)</f>
        <v>96.462800000000001</v>
      </c>
      <c r="X88" s="71">
        <f>IF(ISERROR(VLOOKUP($U$88,'TAR FIN'!$A$1:$O$108,15,0)),0,VLOOKUP($U$88,'TAR FIN'!$A$1:$O$108,15,0))*(1-0.06)</f>
        <v>96.913999999999987</v>
      </c>
      <c r="Y88" s="71"/>
      <c r="Z88" s="71">
        <f ca="1">('TUSD BE'!$AM$28+'TUSD BF'!$AM$28+'TUSD CVA'!$AM$28)*1*(1-0.03)</f>
        <v>176.03212128696998</v>
      </c>
      <c r="AA88" s="71">
        <f>('TE BE'!$AB$11+'TE BF'!$AB$11+'TE CVA'!$AB$11)*1*(1-0.03)</f>
        <v>209.13469685121515</v>
      </c>
      <c r="AB88" s="71">
        <f>(SUBSIDIO!$J$88*SUBSIDIO!$V$88)*(0.06)/(1-0.06)</f>
        <v>0</v>
      </c>
      <c r="AC88" s="71">
        <f>((SUBSIDIO!$L$88*SUBSIDIO!$W$88)+(SUBSIDIO!$N$88*SUBSIDIO!$X$88))*(0.06)/(1-0.06)</f>
        <v>6757.0503191999996</v>
      </c>
      <c r="AD88" s="71">
        <f>(SUBSIDIO!$J$88*SUBSIDIO!$Y$88)*(0.03)/(1-0.03)</f>
        <v>0</v>
      </c>
      <c r="AE88" s="71">
        <f ca="1">((SUBSIDIO!$L$88*SUBSIDIO!$Z$88)+(SUBSIDIO!$N$88*SUBSIDIO!$AA$88))*(0.03)/(1-0.03)</f>
        <v>6521.2038068104584</v>
      </c>
      <c r="AF88" s="4" t="s">
        <v>842</v>
      </c>
    </row>
    <row r="89" spans="1:32" ht="11.25" customHeight="1" x14ac:dyDescent="0.25">
      <c r="A89" s="4" t="s">
        <v>21</v>
      </c>
      <c r="B89" s="4" t="s">
        <v>41</v>
      </c>
      <c r="C89" s="4" t="s">
        <v>43</v>
      </c>
      <c r="D89" s="4" t="s">
        <v>51</v>
      </c>
      <c r="E89" s="4" t="s">
        <v>52</v>
      </c>
      <c r="F89" s="4" t="s">
        <v>25</v>
      </c>
      <c r="G89" s="4" t="s">
        <v>25</v>
      </c>
      <c r="H89" s="4" t="s">
        <v>35</v>
      </c>
      <c r="I89" s="5">
        <v>44835</v>
      </c>
      <c r="J89" s="6">
        <v>0</v>
      </c>
      <c r="K89" s="71">
        <v>0</v>
      </c>
      <c r="L89" s="6">
        <v>622.745</v>
      </c>
      <c r="M89" s="71">
        <v>622.745</v>
      </c>
      <c r="N89" s="6">
        <v>622.745</v>
      </c>
      <c r="O89" s="71">
        <v>622.745</v>
      </c>
      <c r="P89" s="6">
        <v>0</v>
      </c>
      <c r="Q89" s="4" t="s">
        <v>26</v>
      </c>
      <c r="R89" s="4">
        <v>0</v>
      </c>
      <c r="S89" s="4">
        <v>0</v>
      </c>
      <c r="T89" s="4">
        <v>7</v>
      </c>
      <c r="U89" s="4">
        <v>76</v>
      </c>
      <c r="V89" s="71">
        <f>IF(ISERROR(VLOOKUP($S$89,'TAR FIN'!$A$1:$O$108,15,0)),0,VLOOKUP($S$89,'TAR FIN'!$A$1:$O$108,15,0))</f>
        <v>0</v>
      </c>
      <c r="W89" s="71">
        <f>IF(ISERROR(VLOOKUP($T$89,'TAR FIN'!$A$1:$O$108,15,0)),0,VLOOKUP($T$89,'TAR FIN'!$A$1:$O$108,15,0))*(1-0.06)</f>
        <v>96.462800000000001</v>
      </c>
      <c r="X89" s="71">
        <f>IF(ISERROR(VLOOKUP($U$89,'TAR FIN'!$A$1:$O$108,15,0)),0,VLOOKUP($U$89,'TAR FIN'!$A$1:$O$108,15,0))*(1-0.06)</f>
        <v>96.913999999999987</v>
      </c>
      <c r="Y89" s="71"/>
      <c r="Z89" s="71">
        <f ca="1">('TUSD BE'!$AM$28+'TUSD BF'!$AM$28+'TUSD CVA'!$AM$28)*1*(1-0.03)</f>
        <v>176.03212128696998</v>
      </c>
      <c r="AA89" s="71">
        <f>('TE BE'!$AB$11+'TE BF'!$AB$11+'TE CVA'!$AB$11)*1*(1-0.03)</f>
        <v>209.13469685121515</v>
      </c>
      <c r="AB89" s="71">
        <f>(SUBSIDIO!$J$89*SUBSIDIO!$V$89)*(0.06)/(1-0.06)</f>
        <v>0</v>
      </c>
      <c r="AC89" s="71">
        <f>((SUBSIDIO!$L$89*SUBSIDIO!$W$89)+(SUBSIDIO!$N$89*SUBSIDIO!$X$89))*(0.06)/(1-0.06)</f>
        <v>7686.6660839999995</v>
      </c>
      <c r="AD89" s="71">
        <f>(SUBSIDIO!$J$89*SUBSIDIO!$Y$89)*(0.03)/(1-0.03)</f>
        <v>0</v>
      </c>
      <c r="AE89" s="71">
        <f ca="1">((SUBSIDIO!$L$89*SUBSIDIO!$Z$89)+(SUBSIDIO!$N$89*SUBSIDIO!$AA$89))*(0.03)/(1-0.03)</f>
        <v>7418.3724792205394</v>
      </c>
      <c r="AF89" s="4" t="s">
        <v>842</v>
      </c>
    </row>
    <row r="90" spans="1:32" ht="11.25" customHeight="1" x14ac:dyDescent="0.25">
      <c r="A90" s="4" t="s">
        <v>54</v>
      </c>
      <c r="B90" s="4" t="s">
        <v>41</v>
      </c>
      <c r="C90" s="4" t="s">
        <v>43</v>
      </c>
      <c r="D90" s="4" t="s">
        <v>51</v>
      </c>
      <c r="E90" s="4" t="s">
        <v>52</v>
      </c>
      <c r="F90" s="4" t="s">
        <v>25</v>
      </c>
      <c r="G90" s="4" t="s">
        <v>25</v>
      </c>
      <c r="H90" s="4" t="s">
        <v>35</v>
      </c>
      <c r="I90" s="5">
        <v>44866</v>
      </c>
      <c r="J90" s="6">
        <v>0</v>
      </c>
      <c r="K90" s="71">
        <v>0</v>
      </c>
      <c r="L90" s="6">
        <v>622.745</v>
      </c>
      <c r="M90" s="71">
        <v>622.745</v>
      </c>
      <c r="N90" s="6">
        <v>622.745</v>
      </c>
      <c r="O90" s="71">
        <v>622.745</v>
      </c>
      <c r="P90" s="6">
        <v>0</v>
      </c>
      <c r="Q90" s="4" t="s">
        <v>26</v>
      </c>
      <c r="R90" s="4">
        <v>0</v>
      </c>
      <c r="S90" s="4">
        <v>0</v>
      </c>
      <c r="T90" s="4">
        <v>7</v>
      </c>
      <c r="U90" s="4">
        <v>76</v>
      </c>
      <c r="V90" s="71">
        <f>IF(ISERROR(VLOOKUP($S$90,'TAR FIN'!$A$1:$O$108,15,0)),0,VLOOKUP($S$90,'TAR FIN'!$A$1:$O$108,15,0))</f>
        <v>0</v>
      </c>
      <c r="W90" s="71">
        <f>IF(ISERROR(VLOOKUP($T$90,'TAR FIN'!$A$1:$O$108,15,0)),0,VLOOKUP($T$90,'TAR FIN'!$A$1:$O$108,15,0))*(1-0.06)</f>
        <v>96.462800000000001</v>
      </c>
      <c r="X90" s="71">
        <f>IF(ISERROR(VLOOKUP($U$90,'TAR FIN'!$A$1:$O$108,15,0)),0,VLOOKUP($U$90,'TAR FIN'!$A$1:$O$108,15,0))*(1-0.06)</f>
        <v>96.913999999999987</v>
      </c>
      <c r="Y90" s="71"/>
      <c r="Z90" s="71">
        <f ca="1">('TUSD BE'!$AM$28+'TUSD BF'!$AM$28+'TUSD CVA'!$AM$28)*1*(1-0.03)</f>
        <v>176.03212128696998</v>
      </c>
      <c r="AA90" s="71">
        <f>('TE BE'!$AB$11+'TE BF'!$AB$11+'TE CVA'!$AB$11)*1*(1-0.03)</f>
        <v>209.13469685121515</v>
      </c>
      <c r="AB90" s="71">
        <f>(SUBSIDIO!$J$90*SUBSIDIO!$V$90)*(0.06)/(1-0.06)</f>
        <v>0</v>
      </c>
      <c r="AC90" s="71">
        <f>((SUBSIDIO!$L$90*SUBSIDIO!$W$90)+(SUBSIDIO!$N$90*SUBSIDIO!$X$90))*(0.06)/(1-0.06)</f>
        <v>7686.6660839999995</v>
      </c>
      <c r="AD90" s="71">
        <f>(SUBSIDIO!$J$90*SUBSIDIO!$Y$90)*(0.03)/(1-0.03)</f>
        <v>0</v>
      </c>
      <c r="AE90" s="71">
        <f ca="1">((SUBSIDIO!$L$90*SUBSIDIO!$Z$90)+(SUBSIDIO!$N$90*SUBSIDIO!$AA$90))*(0.03)/(1-0.03)</f>
        <v>7418.3724792205394</v>
      </c>
      <c r="AF90" s="4" t="s">
        <v>842</v>
      </c>
    </row>
    <row r="91" spans="1:32" ht="11.25" customHeight="1" x14ac:dyDescent="0.25">
      <c r="A91" s="4" t="s">
        <v>21</v>
      </c>
      <c r="B91" s="4" t="s">
        <v>41</v>
      </c>
      <c r="C91" s="4" t="s">
        <v>43</v>
      </c>
      <c r="D91" s="4" t="s">
        <v>51</v>
      </c>
      <c r="E91" s="4" t="s">
        <v>52</v>
      </c>
      <c r="F91" s="4" t="s">
        <v>25</v>
      </c>
      <c r="G91" s="4" t="s">
        <v>25</v>
      </c>
      <c r="H91" s="4" t="s">
        <v>25</v>
      </c>
      <c r="I91" s="5">
        <v>44531</v>
      </c>
      <c r="J91" s="6">
        <v>1554</v>
      </c>
      <c r="K91" s="70">
        <v>1554</v>
      </c>
      <c r="L91" s="6">
        <v>0</v>
      </c>
      <c r="M91" s="71">
        <v>0</v>
      </c>
      <c r="N91" s="6">
        <v>0</v>
      </c>
      <c r="O91" s="71">
        <v>0</v>
      </c>
      <c r="P91" s="6">
        <v>11</v>
      </c>
      <c r="Q91" s="4" t="s">
        <v>26</v>
      </c>
      <c r="R91" s="4">
        <v>0</v>
      </c>
      <c r="S91" s="4">
        <v>2</v>
      </c>
      <c r="T91" s="4">
        <v>0</v>
      </c>
      <c r="U91" s="4">
        <v>0</v>
      </c>
      <c r="V91" s="71">
        <f>IF(ISERROR(VLOOKUP($S$91,'TAR FIN'!$A$1:$O$108,15,0)),0,VLOOKUP($S$91,'TAR FIN'!$A$1:$O$108,15,0))*(1-0.06)</f>
        <v>20.097199999999997</v>
      </c>
      <c r="W91" s="71">
        <f>IF(ISERROR(VLOOKUP($T$91,'TAR FIN'!$A$1:$O$108,15,0)),0,VLOOKUP($T$91,'TAR FIN'!$A$1:$O$108,15,0))</f>
        <v>0</v>
      </c>
      <c r="X91" s="71">
        <f>IF(ISERROR(VLOOKUP($U$91,'TAR FIN'!$A$1:$O$108,15,0)),0,VLOOKUP($U$91,'TAR FIN'!$A$1:$O$108,15,0))</f>
        <v>0</v>
      </c>
      <c r="Y91" s="71">
        <f ca="1">('TUSD BE'!$AM$26+'TUSD BF'!$AM$26+'TUSD CVA'!$AM$26)*1*(1-0.03)</f>
        <v>20.553709090093861</v>
      </c>
      <c r="Z91" s="71"/>
      <c r="AA91" s="71"/>
      <c r="AB91" s="71">
        <f>(SUBSIDIO!$J$91*SUBSIDIO!$V$91)*(0.06)/(1-0.06)</f>
        <v>1993.4712</v>
      </c>
      <c r="AC91" s="71">
        <f>((SUBSIDIO!$L$91*SUBSIDIO!$W$91)+(SUBSIDIO!$N$91*SUBSIDIO!$X$91))*(0.06)/(1-0.06)</f>
        <v>0</v>
      </c>
      <c r="AD91" s="71">
        <f ca="1">(SUBSIDIO!$J$91*SUBSIDIO!$Y$91)*(0.03)/(1-0.03)</f>
        <v>987.84939977337717</v>
      </c>
      <c r="AE91" s="71">
        <f>((SUBSIDIO!$L$91*SUBSIDIO!$Z$91)+(SUBSIDIO!$N$91*SUBSIDIO!$AA$91))*(0.03)/(1-0.03)</f>
        <v>0</v>
      </c>
      <c r="AF91" s="4" t="s">
        <v>842</v>
      </c>
    </row>
    <row r="92" spans="1:32" ht="11.25" customHeight="1" x14ac:dyDescent="0.25">
      <c r="A92" s="4" t="s">
        <v>21</v>
      </c>
      <c r="B92" s="4" t="s">
        <v>41</v>
      </c>
      <c r="C92" s="4" t="s">
        <v>43</v>
      </c>
      <c r="D92" s="4" t="s">
        <v>51</v>
      </c>
      <c r="E92" s="4" t="s">
        <v>52</v>
      </c>
      <c r="F92" s="4" t="s">
        <v>25</v>
      </c>
      <c r="G92" s="4" t="s">
        <v>25</v>
      </c>
      <c r="H92" s="4" t="s">
        <v>25</v>
      </c>
      <c r="I92" s="5">
        <v>44562</v>
      </c>
      <c r="J92" s="6">
        <v>1542</v>
      </c>
      <c r="K92" s="70">
        <v>1542</v>
      </c>
      <c r="L92" s="6">
        <v>0</v>
      </c>
      <c r="M92" s="71">
        <v>0</v>
      </c>
      <c r="N92" s="6">
        <v>0</v>
      </c>
      <c r="O92" s="71">
        <v>0</v>
      </c>
      <c r="P92" s="6">
        <v>11</v>
      </c>
      <c r="Q92" s="4" t="s">
        <v>26</v>
      </c>
      <c r="R92" s="4">
        <v>0</v>
      </c>
      <c r="S92" s="4">
        <v>2</v>
      </c>
      <c r="T92" s="4">
        <v>0</v>
      </c>
      <c r="U92" s="4">
        <v>0</v>
      </c>
      <c r="V92" s="71">
        <f>IF(ISERROR(VLOOKUP($S$92,'TAR FIN'!$A$1:$O$108,15,0)),0,VLOOKUP($S$92,'TAR FIN'!$A$1:$O$108,15,0))*(1-0.06)</f>
        <v>20.097199999999997</v>
      </c>
      <c r="W92" s="71">
        <f>IF(ISERROR(VLOOKUP($T$92,'TAR FIN'!$A$1:$O$108,15,0)),0,VLOOKUP($T$92,'TAR FIN'!$A$1:$O$108,15,0))</f>
        <v>0</v>
      </c>
      <c r="X92" s="71">
        <f>IF(ISERROR(VLOOKUP($U$92,'TAR FIN'!$A$1:$O$108,15,0)),0,VLOOKUP($U$92,'TAR FIN'!$A$1:$O$108,15,0))</f>
        <v>0</v>
      </c>
      <c r="Y92" s="71">
        <f ca="1">('TUSD BE'!$AM$26+'TUSD BF'!$AM$26+'TUSD CVA'!$AM$26)*1*(1-0.03)</f>
        <v>20.553709090093861</v>
      </c>
      <c r="Z92" s="71"/>
      <c r="AA92" s="71"/>
      <c r="AB92" s="71">
        <f>(SUBSIDIO!$J$92*SUBSIDIO!$V$92)*(0.06)/(1-0.06)</f>
        <v>1978.0775999999998</v>
      </c>
      <c r="AC92" s="71">
        <f>((SUBSIDIO!$L$92*SUBSIDIO!$W$92)+(SUBSIDIO!$N$92*SUBSIDIO!$X$92))*(0.06)/(1-0.06)</f>
        <v>0</v>
      </c>
      <c r="AD92" s="71">
        <f ca="1">(SUBSIDIO!$J$92*SUBSIDIO!$Y$92)*(0.03)/(1-0.03)</f>
        <v>980.2212190801464</v>
      </c>
      <c r="AE92" s="71">
        <f>((SUBSIDIO!$L$92*SUBSIDIO!$Z$92)+(SUBSIDIO!$N$92*SUBSIDIO!$AA$92))*(0.03)/(1-0.03)</f>
        <v>0</v>
      </c>
      <c r="AF92" s="4" t="s">
        <v>842</v>
      </c>
    </row>
    <row r="93" spans="1:32" ht="11.25" customHeight="1" x14ac:dyDescent="0.25">
      <c r="A93" s="4" t="s">
        <v>21</v>
      </c>
      <c r="B93" s="4" t="s">
        <v>41</v>
      </c>
      <c r="C93" s="4" t="s">
        <v>43</v>
      </c>
      <c r="D93" s="4" t="s">
        <v>51</v>
      </c>
      <c r="E93" s="4" t="s">
        <v>52</v>
      </c>
      <c r="F93" s="4" t="s">
        <v>25</v>
      </c>
      <c r="G93" s="4" t="s">
        <v>25</v>
      </c>
      <c r="H93" s="4" t="s">
        <v>25</v>
      </c>
      <c r="I93" s="5">
        <v>44593</v>
      </c>
      <c r="J93" s="6">
        <v>1507</v>
      </c>
      <c r="K93" s="70">
        <v>1507</v>
      </c>
      <c r="L93" s="6">
        <v>0</v>
      </c>
      <c r="M93" s="71">
        <v>0</v>
      </c>
      <c r="N93" s="6">
        <v>0</v>
      </c>
      <c r="O93" s="71">
        <v>0</v>
      </c>
      <c r="P93" s="6">
        <v>12</v>
      </c>
      <c r="Q93" s="4" t="s">
        <v>26</v>
      </c>
      <c r="R93" s="4">
        <v>0</v>
      </c>
      <c r="S93" s="4">
        <v>2</v>
      </c>
      <c r="T93" s="4">
        <v>0</v>
      </c>
      <c r="U93" s="4">
        <v>0</v>
      </c>
      <c r="V93" s="71">
        <f>IF(ISERROR(VLOOKUP($S$93,'TAR FIN'!$A$1:$O$108,15,0)),0,VLOOKUP($S$93,'TAR FIN'!$A$1:$O$108,15,0))*(1-0.06)</f>
        <v>20.097199999999997</v>
      </c>
      <c r="W93" s="71">
        <f>IF(ISERROR(VLOOKUP($T$93,'TAR FIN'!$A$1:$O$108,15,0)),0,VLOOKUP($T$93,'TAR FIN'!$A$1:$O$108,15,0))</f>
        <v>0</v>
      </c>
      <c r="X93" s="71">
        <f>IF(ISERROR(VLOOKUP($U$93,'TAR FIN'!$A$1:$O$108,15,0)),0,VLOOKUP($U$93,'TAR FIN'!$A$1:$O$108,15,0))</f>
        <v>0</v>
      </c>
      <c r="Y93" s="71">
        <f ca="1">('TUSD BE'!$AM$26+'TUSD BF'!$AM$26+'TUSD CVA'!$AM$26)*1*(1-0.03)</f>
        <v>20.553709090093861</v>
      </c>
      <c r="Z93" s="71"/>
      <c r="AA93" s="71"/>
      <c r="AB93" s="71">
        <f>(SUBSIDIO!$J$93*SUBSIDIO!$V$93)*(0.06)/(1-0.06)</f>
        <v>1933.1795999999999</v>
      </c>
      <c r="AC93" s="71">
        <f>((SUBSIDIO!$L$93*SUBSIDIO!$W$93)+(SUBSIDIO!$N$93*SUBSIDIO!$X$93))*(0.06)/(1-0.06)</f>
        <v>0</v>
      </c>
      <c r="AD93" s="71">
        <f ca="1">(SUBSIDIO!$J$93*SUBSIDIO!$Y$93)*(0.03)/(1-0.03)</f>
        <v>957.97235872489023</v>
      </c>
      <c r="AE93" s="71">
        <f>((SUBSIDIO!$L$93*SUBSIDIO!$Z$93)+(SUBSIDIO!$N$93*SUBSIDIO!$AA$93))*(0.03)/(1-0.03)</f>
        <v>0</v>
      </c>
      <c r="AF93" s="4" t="s">
        <v>842</v>
      </c>
    </row>
    <row r="94" spans="1:32" ht="11.25" customHeight="1" x14ac:dyDescent="0.25">
      <c r="A94" s="4" t="s">
        <v>21</v>
      </c>
      <c r="B94" s="4" t="s">
        <v>41</v>
      </c>
      <c r="C94" s="4" t="s">
        <v>43</v>
      </c>
      <c r="D94" s="4" t="s">
        <v>51</v>
      </c>
      <c r="E94" s="4" t="s">
        <v>52</v>
      </c>
      <c r="F94" s="4" t="s">
        <v>25</v>
      </c>
      <c r="G94" s="4" t="s">
        <v>25</v>
      </c>
      <c r="H94" s="4" t="s">
        <v>25</v>
      </c>
      <c r="I94" s="5">
        <v>44621</v>
      </c>
      <c r="J94" s="6">
        <v>1544</v>
      </c>
      <c r="K94" s="70">
        <v>1544</v>
      </c>
      <c r="L94" s="6">
        <v>0</v>
      </c>
      <c r="M94" s="71">
        <v>0</v>
      </c>
      <c r="N94" s="6">
        <v>0</v>
      </c>
      <c r="O94" s="71">
        <v>0</v>
      </c>
      <c r="P94" s="6">
        <v>12</v>
      </c>
      <c r="Q94" s="4" t="s">
        <v>26</v>
      </c>
      <c r="R94" s="4">
        <v>0</v>
      </c>
      <c r="S94" s="4">
        <v>2</v>
      </c>
      <c r="T94" s="4">
        <v>0</v>
      </c>
      <c r="U94" s="4">
        <v>0</v>
      </c>
      <c r="V94" s="71">
        <f>IF(ISERROR(VLOOKUP($S$94,'TAR FIN'!$A$1:$O$108,15,0)),0,VLOOKUP($S$94,'TAR FIN'!$A$1:$O$108,15,0))*(1-0.06)</f>
        <v>20.097199999999997</v>
      </c>
      <c r="W94" s="71">
        <f>IF(ISERROR(VLOOKUP($T$94,'TAR FIN'!$A$1:$O$108,15,0)),0,VLOOKUP($T$94,'TAR FIN'!$A$1:$O$108,15,0))</f>
        <v>0</v>
      </c>
      <c r="X94" s="71">
        <f>IF(ISERROR(VLOOKUP($U$94,'TAR FIN'!$A$1:$O$108,15,0)),0,VLOOKUP($U$94,'TAR FIN'!$A$1:$O$108,15,0))</f>
        <v>0</v>
      </c>
      <c r="Y94" s="71">
        <f ca="1">('TUSD BE'!$AM$26+'TUSD BF'!$AM$26+'TUSD CVA'!$AM$26)*1*(1-0.03)</f>
        <v>20.553709090093861</v>
      </c>
      <c r="Z94" s="71"/>
      <c r="AA94" s="71"/>
      <c r="AB94" s="71">
        <f>(SUBSIDIO!$J$94*SUBSIDIO!$V$94)*(0.06)/(1-0.06)</f>
        <v>1980.6431999999998</v>
      </c>
      <c r="AC94" s="71">
        <f>((SUBSIDIO!$L$94*SUBSIDIO!$W$94)+(SUBSIDIO!$N$94*SUBSIDIO!$X$94))*(0.06)/(1-0.06)</f>
        <v>0</v>
      </c>
      <c r="AD94" s="71">
        <f ca="1">(SUBSIDIO!$J$94*SUBSIDIO!$Y$94)*(0.03)/(1-0.03)</f>
        <v>981.49258252901814</v>
      </c>
      <c r="AE94" s="71">
        <f>((SUBSIDIO!$L$94*SUBSIDIO!$Z$94)+(SUBSIDIO!$N$94*SUBSIDIO!$AA$94))*(0.03)/(1-0.03)</f>
        <v>0</v>
      </c>
      <c r="AF94" s="4" t="s">
        <v>842</v>
      </c>
    </row>
    <row r="95" spans="1:32" ht="11.25" customHeight="1" x14ac:dyDescent="0.25">
      <c r="A95" s="4" t="s">
        <v>21</v>
      </c>
      <c r="B95" s="4" t="s">
        <v>41</v>
      </c>
      <c r="C95" s="4" t="s">
        <v>43</v>
      </c>
      <c r="D95" s="4" t="s">
        <v>51</v>
      </c>
      <c r="E95" s="4" t="s">
        <v>52</v>
      </c>
      <c r="F95" s="4" t="s">
        <v>25</v>
      </c>
      <c r="G95" s="4" t="s">
        <v>25</v>
      </c>
      <c r="H95" s="4" t="s">
        <v>25</v>
      </c>
      <c r="I95" s="5">
        <v>44652</v>
      </c>
      <c r="J95" s="6">
        <v>1543</v>
      </c>
      <c r="K95" s="70">
        <v>1543</v>
      </c>
      <c r="L95" s="6">
        <v>0</v>
      </c>
      <c r="M95" s="71">
        <v>0</v>
      </c>
      <c r="N95" s="6">
        <v>0</v>
      </c>
      <c r="O95" s="71">
        <v>0</v>
      </c>
      <c r="P95" s="6">
        <v>12</v>
      </c>
      <c r="Q95" s="4" t="s">
        <v>26</v>
      </c>
      <c r="R95" s="4">
        <v>0</v>
      </c>
      <c r="S95" s="4">
        <v>2</v>
      </c>
      <c r="T95" s="4">
        <v>0</v>
      </c>
      <c r="U95" s="4">
        <v>0</v>
      </c>
      <c r="V95" s="71">
        <f>IF(ISERROR(VLOOKUP($S$95,'TAR FIN'!$A$1:$O$108,15,0)),0,VLOOKUP($S$95,'TAR FIN'!$A$1:$O$108,15,0))*(1-0.06)</f>
        <v>20.097199999999997</v>
      </c>
      <c r="W95" s="71">
        <f>IF(ISERROR(VLOOKUP($T$95,'TAR FIN'!$A$1:$O$108,15,0)),0,VLOOKUP($T$95,'TAR FIN'!$A$1:$O$108,15,0))</f>
        <v>0</v>
      </c>
      <c r="X95" s="71">
        <f>IF(ISERROR(VLOOKUP($U$95,'TAR FIN'!$A$1:$O$108,15,0)),0,VLOOKUP($U$95,'TAR FIN'!$A$1:$O$108,15,0))</f>
        <v>0</v>
      </c>
      <c r="Y95" s="71">
        <f ca="1">('TUSD BE'!$AM$26+'TUSD BF'!$AM$26+'TUSD CVA'!$AM$26)*1*(1-0.03)</f>
        <v>20.553709090093861</v>
      </c>
      <c r="Z95" s="71"/>
      <c r="AA95" s="71"/>
      <c r="AB95" s="71">
        <f>(SUBSIDIO!$J$95*SUBSIDIO!$V$95)*(0.06)/(1-0.06)</f>
        <v>1979.3603999999996</v>
      </c>
      <c r="AC95" s="71">
        <f>((SUBSIDIO!$L$95*SUBSIDIO!$W$95)+(SUBSIDIO!$N$95*SUBSIDIO!$X$95))*(0.06)/(1-0.06)</f>
        <v>0</v>
      </c>
      <c r="AD95" s="71">
        <f ca="1">(SUBSIDIO!$J$95*SUBSIDIO!$Y$95)*(0.03)/(1-0.03)</f>
        <v>980.85690080458232</v>
      </c>
      <c r="AE95" s="71">
        <f>((SUBSIDIO!$L$95*SUBSIDIO!$Z$95)+(SUBSIDIO!$N$95*SUBSIDIO!$AA$95))*(0.03)/(1-0.03)</f>
        <v>0</v>
      </c>
      <c r="AF95" s="4" t="s">
        <v>842</v>
      </c>
    </row>
    <row r="96" spans="1:32" ht="11.25" customHeight="1" x14ac:dyDescent="0.25">
      <c r="A96" s="4" t="s">
        <v>21</v>
      </c>
      <c r="B96" s="4" t="s">
        <v>41</v>
      </c>
      <c r="C96" s="4" t="s">
        <v>43</v>
      </c>
      <c r="D96" s="4" t="s">
        <v>51</v>
      </c>
      <c r="E96" s="4" t="s">
        <v>52</v>
      </c>
      <c r="F96" s="4" t="s">
        <v>25</v>
      </c>
      <c r="G96" s="4" t="s">
        <v>25</v>
      </c>
      <c r="H96" s="4" t="s">
        <v>25</v>
      </c>
      <c r="I96" s="5">
        <v>44682</v>
      </c>
      <c r="J96" s="6">
        <v>1543</v>
      </c>
      <c r="K96" s="70">
        <v>1543</v>
      </c>
      <c r="L96" s="6">
        <v>0</v>
      </c>
      <c r="M96" s="71">
        <v>0</v>
      </c>
      <c r="N96" s="6">
        <v>0</v>
      </c>
      <c r="O96" s="71">
        <v>0</v>
      </c>
      <c r="P96" s="6">
        <v>12</v>
      </c>
      <c r="Q96" s="4" t="s">
        <v>26</v>
      </c>
      <c r="R96" s="4">
        <v>0</v>
      </c>
      <c r="S96" s="4">
        <v>2</v>
      </c>
      <c r="T96" s="4">
        <v>0</v>
      </c>
      <c r="U96" s="4">
        <v>0</v>
      </c>
      <c r="V96" s="71">
        <f>IF(ISERROR(VLOOKUP($S$96,'TAR FIN'!$A$1:$O$108,15,0)),0,VLOOKUP($S$96,'TAR FIN'!$A$1:$O$108,15,0))*(1-0.06)</f>
        <v>20.097199999999997</v>
      </c>
      <c r="W96" s="71">
        <f>IF(ISERROR(VLOOKUP($T$96,'TAR FIN'!$A$1:$O$108,15,0)),0,VLOOKUP($T$96,'TAR FIN'!$A$1:$O$108,15,0))</f>
        <v>0</v>
      </c>
      <c r="X96" s="71">
        <f>IF(ISERROR(VLOOKUP($U$96,'TAR FIN'!$A$1:$O$108,15,0)),0,VLOOKUP($U$96,'TAR FIN'!$A$1:$O$108,15,0))</f>
        <v>0</v>
      </c>
      <c r="Y96" s="71">
        <f ca="1">('TUSD BE'!$AM$26+'TUSD BF'!$AM$26+'TUSD CVA'!$AM$26)*1*(1-0.03)</f>
        <v>20.553709090093861</v>
      </c>
      <c r="Z96" s="71"/>
      <c r="AA96" s="71"/>
      <c r="AB96" s="71">
        <f>(SUBSIDIO!$J$96*SUBSIDIO!$V$96)*(0.06)/(1-0.06)</f>
        <v>1979.3603999999996</v>
      </c>
      <c r="AC96" s="71">
        <f>((SUBSIDIO!$L$96*SUBSIDIO!$W$96)+(SUBSIDIO!$N$96*SUBSIDIO!$X$96))*(0.06)/(1-0.06)</f>
        <v>0</v>
      </c>
      <c r="AD96" s="71">
        <f ca="1">(SUBSIDIO!$J$96*SUBSIDIO!$Y$96)*(0.03)/(1-0.03)</f>
        <v>980.85690080458232</v>
      </c>
      <c r="AE96" s="71">
        <f>((SUBSIDIO!$L$96*SUBSIDIO!$Z$96)+(SUBSIDIO!$N$96*SUBSIDIO!$AA$96))*(0.03)/(1-0.03)</f>
        <v>0</v>
      </c>
      <c r="AF96" s="4" t="s">
        <v>842</v>
      </c>
    </row>
    <row r="97" spans="1:32" ht="11.25" customHeight="1" x14ac:dyDescent="0.25">
      <c r="A97" s="4" t="s">
        <v>21</v>
      </c>
      <c r="B97" s="4" t="s">
        <v>41</v>
      </c>
      <c r="C97" s="4" t="s">
        <v>43</v>
      </c>
      <c r="D97" s="4" t="s">
        <v>51</v>
      </c>
      <c r="E97" s="4" t="s">
        <v>52</v>
      </c>
      <c r="F97" s="4" t="s">
        <v>25</v>
      </c>
      <c r="G97" s="4" t="s">
        <v>25</v>
      </c>
      <c r="H97" s="4" t="s">
        <v>25</v>
      </c>
      <c r="I97" s="5">
        <v>44713</v>
      </c>
      <c r="J97" s="6">
        <v>1625</v>
      </c>
      <c r="K97" s="70">
        <v>1625</v>
      </c>
      <c r="L97" s="6">
        <v>0</v>
      </c>
      <c r="M97" s="71">
        <v>0</v>
      </c>
      <c r="N97" s="6">
        <v>0</v>
      </c>
      <c r="O97" s="71">
        <v>0</v>
      </c>
      <c r="P97" s="6">
        <v>12</v>
      </c>
      <c r="Q97" s="4" t="s">
        <v>26</v>
      </c>
      <c r="R97" s="4">
        <v>0</v>
      </c>
      <c r="S97" s="4">
        <v>2</v>
      </c>
      <c r="T97" s="4">
        <v>0</v>
      </c>
      <c r="U97" s="4">
        <v>0</v>
      </c>
      <c r="V97" s="71">
        <f>IF(ISERROR(VLOOKUP($S$97,'TAR FIN'!$A$1:$O$108,15,0)),0,VLOOKUP($S$97,'TAR FIN'!$A$1:$O$108,15,0))*(1-0.06)</f>
        <v>20.097199999999997</v>
      </c>
      <c r="W97" s="71">
        <f>IF(ISERROR(VLOOKUP($T$97,'TAR FIN'!$A$1:$O$108,15,0)),0,VLOOKUP($T$97,'TAR FIN'!$A$1:$O$108,15,0))</f>
        <v>0</v>
      </c>
      <c r="X97" s="71">
        <f>IF(ISERROR(VLOOKUP($U$97,'TAR FIN'!$A$1:$O$108,15,0)),0,VLOOKUP($U$97,'TAR FIN'!$A$1:$O$108,15,0))</f>
        <v>0</v>
      </c>
      <c r="Y97" s="71">
        <f ca="1">('TUSD BE'!$AM$26+'TUSD BF'!$AM$26+'TUSD CVA'!$AM$26)*1*(1-0.03)</f>
        <v>20.553709090093861</v>
      </c>
      <c r="Z97" s="71"/>
      <c r="AA97" s="71"/>
      <c r="AB97" s="71">
        <f>(SUBSIDIO!$J$97*SUBSIDIO!$V$97)*(0.06)/(1-0.06)</f>
        <v>2084.5500000000002</v>
      </c>
      <c r="AC97" s="71">
        <f>((SUBSIDIO!$L$97*SUBSIDIO!$W$97)+(SUBSIDIO!$N$97*SUBSIDIO!$X$97))*(0.06)/(1-0.06)</f>
        <v>0</v>
      </c>
      <c r="AD97" s="71">
        <f ca="1">(SUBSIDIO!$J$97*SUBSIDIO!$Y$97)*(0.03)/(1-0.03)</f>
        <v>1032.9828022083254</v>
      </c>
      <c r="AE97" s="71">
        <f>((SUBSIDIO!$L$97*SUBSIDIO!$Z$97)+(SUBSIDIO!$N$97*SUBSIDIO!$AA$97))*(0.03)/(1-0.03)</f>
        <v>0</v>
      </c>
      <c r="AF97" s="4" t="s">
        <v>842</v>
      </c>
    </row>
    <row r="98" spans="1:32" ht="11.25" customHeight="1" x14ac:dyDescent="0.25">
      <c r="A98" s="4" t="s">
        <v>21</v>
      </c>
      <c r="B98" s="4" t="s">
        <v>41</v>
      </c>
      <c r="C98" s="4" t="s">
        <v>43</v>
      </c>
      <c r="D98" s="4" t="s">
        <v>51</v>
      </c>
      <c r="E98" s="4" t="s">
        <v>52</v>
      </c>
      <c r="F98" s="4" t="s">
        <v>25</v>
      </c>
      <c r="G98" s="4" t="s">
        <v>25</v>
      </c>
      <c r="H98" s="4" t="s">
        <v>25</v>
      </c>
      <c r="I98" s="5">
        <v>44743</v>
      </c>
      <c r="J98" s="6">
        <v>111</v>
      </c>
      <c r="K98" s="70">
        <v>111</v>
      </c>
      <c r="L98" s="6">
        <v>0</v>
      </c>
      <c r="M98" s="71">
        <v>0</v>
      </c>
      <c r="N98" s="6">
        <v>0</v>
      </c>
      <c r="O98" s="71">
        <v>0</v>
      </c>
      <c r="P98" s="6">
        <v>1</v>
      </c>
      <c r="Q98" s="4" t="s">
        <v>26</v>
      </c>
      <c r="R98" s="4">
        <v>0</v>
      </c>
      <c r="S98" s="4">
        <v>2</v>
      </c>
      <c r="T98" s="4">
        <v>0</v>
      </c>
      <c r="U98" s="4">
        <v>0</v>
      </c>
      <c r="V98" s="71">
        <f>IF(ISERROR(VLOOKUP($S$98,'TAR FIN'!$A$1:$O$108,15,0)),0,VLOOKUP($S$98,'TAR FIN'!$A$1:$O$108,15,0))*(1-0.06)</f>
        <v>20.097199999999997</v>
      </c>
      <c r="W98" s="71">
        <f>IF(ISERROR(VLOOKUP($T$98,'TAR FIN'!$A$1:$O$108,15,0)),0,VLOOKUP($T$98,'TAR FIN'!$A$1:$O$108,15,0))</f>
        <v>0</v>
      </c>
      <c r="X98" s="71">
        <f>IF(ISERROR(VLOOKUP($U$98,'TAR FIN'!$A$1:$O$108,15,0)),0,VLOOKUP($U$98,'TAR FIN'!$A$1:$O$108,15,0))</f>
        <v>0</v>
      </c>
      <c r="Y98" s="71">
        <f ca="1">('TUSD BE'!$AM$26+'TUSD BF'!$AM$26+'TUSD CVA'!$AM$26)*1*(1-0.03)</f>
        <v>20.553709090093861</v>
      </c>
      <c r="Z98" s="71"/>
      <c r="AA98" s="71"/>
      <c r="AB98" s="71">
        <f>(SUBSIDIO!$J$98*SUBSIDIO!$V$98)*(0.06)/(1-0.06)</f>
        <v>142.39079999999998</v>
      </c>
      <c r="AC98" s="71">
        <f>((SUBSIDIO!$L$98*SUBSIDIO!$W$98)+(SUBSIDIO!$N$98*SUBSIDIO!$X$98))*(0.06)/(1-0.06)</f>
        <v>0</v>
      </c>
      <c r="AD98" s="71">
        <f ca="1">(SUBSIDIO!$J$98*SUBSIDIO!$Y$98)*(0.03)/(1-0.03)</f>
        <v>70.560671412384082</v>
      </c>
      <c r="AE98" s="71">
        <f>((SUBSIDIO!$L$98*SUBSIDIO!$Z$98)+(SUBSIDIO!$N$98*SUBSIDIO!$AA$98))*(0.03)/(1-0.03)</f>
        <v>0</v>
      </c>
      <c r="AF98" s="4" t="s">
        <v>842</v>
      </c>
    </row>
    <row r="99" spans="1:32" ht="11.25" customHeight="1" x14ac:dyDescent="0.25">
      <c r="A99" s="4" t="s">
        <v>27</v>
      </c>
      <c r="B99" s="4" t="s">
        <v>41</v>
      </c>
      <c r="C99" s="4" t="s">
        <v>43</v>
      </c>
      <c r="D99" s="4" t="s">
        <v>51</v>
      </c>
      <c r="E99" s="4" t="s">
        <v>52</v>
      </c>
      <c r="F99" s="4" t="s">
        <v>25</v>
      </c>
      <c r="G99" s="4" t="s">
        <v>25</v>
      </c>
      <c r="H99" s="4" t="s">
        <v>25</v>
      </c>
      <c r="I99" s="5">
        <v>44743</v>
      </c>
      <c r="J99" s="6">
        <v>1506</v>
      </c>
      <c r="K99" s="70">
        <v>1506</v>
      </c>
      <c r="L99" s="6">
        <v>0</v>
      </c>
      <c r="M99" s="71">
        <v>0</v>
      </c>
      <c r="N99" s="6">
        <v>0</v>
      </c>
      <c r="O99" s="71">
        <v>0</v>
      </c>
      <c r="P99" s="6">
        <v>11</v>
      </c>
      <c r="Q99" s="4" t="s">
        <v>26</v>
      </c>
      <c r="R99" s="4">
        <v>0</v>
      </c>
      <c r="S99" s="4">
        <v>2</v>
      </c>
      <c r="T99" s="4">
        <v>0</v>
      </c>
      <c r="U99" s="4">
        <v>0</v>
      </c>
      <c r="V99" s="71">
        <f>IF(ISERROR(VLOOKUP($S$99,'TAR FIN'!$A$1:$O$108,15,0)),0,VLOOKUP($S$99,'TAR FIN'!$A$1:$O$108,15,0))*(1-0.06)</f>
        <v>20.097199999999997</v>
      </c>
      <c r="W99" s="71">
        <f>IF(ISERROR(VLOOKUP($T$99,'TAR FIN'!$A$1:$O$108,15,0)),0,VLOOKUP($T$99,'TAR FIN'!$A$1:$O$108,15,0))</f>
        <v>0</v>
      </c>
      <c r="X99" s="71">
        <f>IF(ISERROR(VLOOKUP($U$99,'TAR FIN'!$A$1:$O$108,15,0)),0,VLOOKUP($U$99,'TAR FIN'!$A$1:$O$108,15,0))</f>
        <v>0</v>
      </c>
      <c r="Y99" s="71">
        <f ca="1">('TUSD BE'!$AM$26+'TUSD BF'!$AM$26+'TUSD CVA'!$AM$26)*1*(1-0.03)</f>
        <v>20.553709090093861</v>
      </c>
      <c r="Z99" s="71"/>
      <c r="AA99" s="71"/>
      <c r="AB99" s="71">
        <f>(SUBSIDIO!$J$99*SUBSIDIO!$V$99)*(0.06)/(1-0.06)</f>
        <v>1931.8967999999998</v>
      </c>
      <c r="AC99" s="71">
        <f>((SUBSIDIO!$L$99*SUBSIDIO!$W$99)+(SUBSIDIO!$N$99*SUBSIDIO!$X$99))*(0.06)/(1-0.06)</f>
        <v>0</v>
      </c>
      <c r="AD99" s="71">
        <f ca="1">(SUBSIDIO!$J$99*SUBSIDIO!$Y$99)*(0.03)/(1-0.03)</f>
        <v>957.3366770004543</v>
      </c>
      <c r="AE99" s="71">
        <f>((SUBSIDIO!$L$99*SUBSIDIO!$Z$99)+(SUBSIDIO!$N$99*SUBSIDIO!$AA$99))*(0.03)/(1-0.03)</f>
        <v>0</v>
      </c>
      <c r="AF99" s="4" t="s">
        <v>842</v>
      </c>
    </row>
    <row r="100" spans="1:32" ht="11.25" customHeight="1" x14ac:dyDescent="0.25">
      <c r="A100" s="4" t="s">
        <v>21</v>
      </c>
      <c r="B100" s="4" t="s">
        <v>41</v>
      </c>
      <c r="C100" s="4" t="s">
        <v>43</v>
      </c>
      <c r="D100" s="4" t="s">
        <v>51</v>
      </c>
      <c r="E100" s="4" t="s">
        <v>52</v>
      </c>
      <c r="F100" s="4" t="s">
        <v>25</v>
      </c>
      <c r="G100" s="4" t="s">
        <v>25</v>
      </c>
      <c r="H100" s="4" t="s">
        <v>25</v>
      </c>
      <c r="I100" s="5">
        <v>44774</v>
      </c>
      <c r="J100" s="6">
        <v>1577</v>
      </c>
      <c r="K100" s="70">
        <v>1577</v>
      </c>
      <c r="L100" s="6">
        <v>0</v>
      </c>
      <c r="M100" s="71">
        <v>0</v>
      </c>
      <c r="N100" s="6">
        <v>0</v>
      </c>
      <c r="O100" s="71">
        <v>0</v>
      </c>
      <c r="P100" s="6">
        <v>15</v>
      </c>
      <c r="Q100" s="4" t="s">
        <v>26</v>
      </c>
      <c r="R100" s="4">
        <v>0</v>
      </c>
      <c r="S100" s="4">
        <v>2</v>
      </c>
      <c r="T100" s="4">
        <v>0</v>
      </c>
      <c r="U100" s="4">
        <v>0</v>
      </c>
      <c r="V100" s="71">
        <f>IF(ISERROR(VLOOKUP($S$100,'TAR FIN'!$A$1:$O$108,15,0)),0,VLOOKUP($S$100,'TAR FIN'!$A$1:$O$108,15,0))*(1-0.06)</f>
        <v>20.097199999999997</v>
      </c>
      <c r="W100" s="71">
        <f>IF(ISERROR(VLOOKUP($T$100,'TAR FIN'!$A$1:$O$108,15,0)),0,VLOOKUP($T$100,'TAR FIN'!$A$1:$O$108,15,0))</f>
        <v>0</v>
      </c>
      <c r="X100" s="71">
        <f>IF(ISERROR(VLOOKUP($U$100,'TAR FIN'!$A$1:$O$108,15,0)),0,VLOOKUP($U$100,'TAR FIN'!$A$1:$O$108,15,0))</f>
        <v>0</v>
      </c>
      <c r="Y100" s="71">
        <f ca="1">('TUSD BE'!$AM$26+'TUSD BF'!$AM$26+'TUSD CVA'!$AM$26)*1*(1-0.03)</f>
        <v>20.553709090093861</v>
      </c>
      <c r="Z100" s="71"/>
      <c r="AA100" s="71"/>
      <c r="AB100" s="71">
        <f>(SUBSIDIO!$J$100*SUBSIDIO!$V$100)*(0.06)/(1-0.06)</f>
        <v>2022.9756</v>
      </c>
      <c r="AC100" s="71">
        <f>((SUBSIDIO!$L$100*SUBSIDIO!$W$100)+(SUBSIDIO!$N$100*SUBSIDIO!$X$100))*(0.06)/(1-0.06)</f>
        <v>0</v>
      </c>
      <c r="AD100" s="71">
        <f ca="1">(SUBSIDIO!$J$100*SUBSIDIO!$Y$100)*(0.03)/(1-0.03)</f>
        <v>1002.4700794354027</v>
      </c>
      <c r="AE100" s="71">
        <f>((SUBSIDIO!$L$100*SUBSIDIO!$Z$100)+(SUBSIDIO!$N$100*SUBSIDIO!$AA$100))*(0.03)/(1-0.03)</f>
        <v>0</v>
      </c>
      <c r="AF100" s="4" t="s">
        <v>842</v>
      </c>
    </row>
    <row r="101" spans="1:32" ht="11.25" customHeight="1" x14ac:dyDescent="0.25">
      <c r="A101" s="4" t="s">
        <v>27</v>
      </c>
      <c r="B101" s="4" t="s">
        <v>41</v>
      </c>
      <c r="C101" s="4" t="s">
        <v>43</v>
      </c>
      <c r="D101" s="4" t="s">
        <v>51</v>
      </c>
      <c r="E101" s="4" t="s">
        <v>52</v>
      </c>
      <c r="F101" s="4" t="s">
        <v>25</v>
      </c>
      <c r="G101" s="4" t="s">
        <v>25</v>
      </c>
      <c r="H101" s="4" t="s">
        <v>25</v>
      </c>
      <c r="I101" s="5">
        <v>44774</v>
      </c>
      <c r="J101" s="6">
        <v>201</v>
      </c>
      <c r="K101" s="70">
        <v>201</v>
      </c>
      <c r="L101" s="6">
        <v>0</v>
      </c>
      <c r="M101" s="71">
        <v>0</v>
      </c>
      <c r="N101" s="6">
        <v>0</v>
      </c>
      <c r="O101" s="71">
        <v>0</v>
      </c>
      <c r="P101" s="6">
        <v>13</v>
      </c>
      <c r="Q101" s="4" t="s">
        <v>26</v>
      </c>
      <c r="R101" s="4">
        <v>0</v>
      </c>
      <c r="S101" s="4">
        <v>2</v>
      </c>
      <c r="T101" s="4">
        <v>0</v>
      </c>
      <c r="U101" s="4">
        <v>0</v>
      </c>
      <c r="V101" s="71">
        <f>IF(ISERROR(VLOOKUP($S$101,'TAR FIN'!$A$1:$O$108,15,0)),0,VLOOKUP($S$101,'TAR FIN'!$A$1:$O$108,15,0))*(1-0.06)</f>
        <v>20.097199999999997</v>
      </c>
      <c r="W101" s="71">
        <f>IF(ISERROR(VLOOKUP($T$101,'TAR FIN'!$A$1:$O$108,15,0)),0,VLOOKUP($T$101,'TAR FIN'!$A$1:$O$108,15,0))</f>
        <v>0</v>
      </c>
      <c r="X101" s="71">
        <f>IF(ISERROR(VLOOKUP($U$101,'TAR FIN'!$A$1:$O$108,15,0)),0,VLOOKUP($U$101,'TAR FIN'!$A$1:$O$108,15,0))</f>
        <v>0</v>
      </c>
      <c r="Y101" s="71">
        <f ca="1">('TUSD BE'!$AM$26+'TUSD BF'!$AM$26+'TUSD CVA'!$AM$26)*1*(1-0.03)</f>
        <v>20.553709090093861</v>
      </c>
      <c r="Z101" s="71"/>
      <c r="AA101" s="71"/>
      <c r="AB101" s="71">
        <f>(SUBSIDIO!$J$101*SUBSIDIO!$V$101)*(0.06)/(1-0.06)</f>
        <v>257.84279999999995</v>
      </c>
      <c r="AC101" s="71">
        <f>((SUBSIDIO!$L$101*SUBSIDIO!$W$101)+(SUBSIDIO!$N$101*SUBSIDIO!$X$101))*(0.06)/(1-0.06)</f>
        <v>0</v>
      </c>
      <c r="AD101" s="71">
        <f ca="1">(SUBSIDIO!$J$101*SUBSIDIO!$Y$101)*(0.03)/(1-0.03)</f>
        <v>127.77202661161441</v>
      </c>
      <c r="AE101" s="71">
        <f>((SUBSIDIO!$L$101*SUBSIDIO!$Z$101)+(SUBSIDIO!$N$101*SUBSIDIO!$AA$101))*(0.03)/(1-0.03)</f>
        <v>0</v>
      </c>
      <c r="AF101" s="4" t="s">
        <v>842</v>
      </c>
    </row>
    <row r="102" spans="1:32" ht="11.25" customHeight="1" x14ac:dyDescent="0.25">
      <c r="A102" s="4" t="s">
        <v>21</v>
      </c>
      <c r="B102" s="4" t="s">
        <v>41</v>
      </c>
      <c r="C102" s="4" t="s">
        <v>43</v>
      </c>
      <c r="D102" s="4" t="s">
        <v>51</v>
      </c>
      <c r="E102" s="4" t="s">
        <v>52</v>
      </c>
      <c r="F102" s="4" t="s">
        <v>25</v>
      </c>
      <c r="G102" s="4" t="s">
        <v>25</v>
      </c>
      <c r="H102" s="4" t="s">
        <v>25</v>
      </c>
      <c r="I102" s="5">
        <v>44805</v>
      </c>
      <c r="J102" s="6">
        <v>1634</v>
      </c>
      <c r="K102" s="70">
        <v>1634</v>
      </c>
      <c r="L102" s="6">
        <v>0</v>
      </c>
      <c r="M102" s="71">
        <v>0</v>
      </c>
      <c r="N102" s="6">
        <v>0</v>
      </c>
      <c r="O102" s="71">
        <v>0</v>
      </c>
      <c r="P102" s="6">
        <v>15</v>
      </c>
      <c r="Q102" s="4" t="s">
        <v>26</v>
      </c>
      <c r="R102" s="4">
        <v>0</v>
      </c>
      <c r="S102" s="4">
        <v>2</v>
      </c>
      <c r="T102" s="4">
        <v>0</v>
      </c>
      <c r="U102" s="4">
        <v>0</v>
      </c>
      <c r="V102" s="71">
        <f>IF(ISERROR(VLOOKUP($S$102,'TAR FIN'!$A$1:$O$108,15,0)),0,VLOOKUP($S$102,'TAR FIN'!$A$1:$O$108,15,0))*(1-0.06)</f>
        <v>20.097199999999997</v>
      </c>
      <c r="W102" s="71">
        <f>IF(ISERROR(VLOOKUP($T$102,'TAR FIN'!$A$1:$O$108,15,0)),0,VLOOKUP($T$102,'TAR FIN'!$A$1:$O$108,15,0))</f>
        <v>0</v>
      </c>
      <c r="X102" s="71">
        <f>IF(ISERROR(VLOOKUP($U$102,'TAR FIN'!$A$1:$O$108,15,0)),0,VLOOKUP($U$102,'TAR FIN'!$A$1:$O$108,15,0))</f>
        <v>0</v>
      </c>
      <c r="Y102" s="71">
        <f ca="1">('TUSD BE'!$AM$26+'TUSD BF'!$AM$26+'TUSD CVA'!$AM$26)*1*(1-0.03)</f>
        <v>20.553709090093861</v>
      </c>
      <c r="Z102" s="71"/>
      <c r="AA102" s="71"/>
      <c r="AB102" s="71">
        <f>(SUBSIDIO!$J$102*SUBSIDIO!$V$102)*(0.06)/(1-0.06)</f>
        <v>2096.0951999999997</v>
      </c>
      <c r="AC102" s="71">
        <f>((SUBSIDIO!$L$102*SUBSIDIO!$W$102)+(SUBSIDIO!$N$102*SUBSIDIO!$X$102))*(0.06)/(1-0.06)</f>
        <v>0</v>
      </c>
      <c r="AD102" s="71">
        <f ca="1">(SUBSIDIO!$J$102*SUBSIDIO!$Y$102)*(0.03)/(1-0.03)</f>
        <v>1038.7039377282483</v>
      </c>
      <c r="AE102" s="71">
        <f>((SUBSIDIO!$L$102*SUBSIDIO!$Z$102)+(SUBSIDIO!$N$102*SUBSIDIO!$AA$102))*(0.03)/(1-0.03)</f>
        <v>0</v>
      </c>
      <c r="AF102" s="4" t="s">
        <v>842</v>
      </c>
    </row>
    <row r="103" spans="1:32" ht="11.25" customHeight="1" x14ac:dyDescent="0.25">
      <c r="A103" s="4" t="s">
        <v>21</v>
      </c>
      <c r="B103" s="4" t="s">
        <v>41</v>
      </c>
      <c r="C103" s="4" t="s">
        <v>43</v>
      </c>
      <c r="D103" s="4" t="s">
        <v>51</v>
      </c>
      <c r="E103" s="4" t="s">
        <v>52</v>
      </c>
      <c r="F103" s="4" t="s">
        <v>25</v>
      </c>
      <c r="G103" s="4" t="s">
        <v>25</v>
      </c>
      <c r="H103" s="4" t="s">
        <v>25</v>
      </c>
      <c r="I103" s="5">
        <v>44835</v>
      </c>
      <c r="J103" s="6">
        <v>1676</v>
      </c>
      <c r="K103" s="70">
        <v>1676</v>
      </c>
      <c r="L103" s="6">
        <v>0</v>
      </c>
      <c r="M103" s="71">
        <v>0</v>
      </c>
      <c r="N103" s="6">
        <v>0</v>
      </c>
      <c r="O103" s="71">
        <v>0</v>
      </c>
      <c r="P103" s="6">
        <v>16</v>
      </c>
      <c r="Q103" s="4" t="s">
        <v>26</v>
      </c>
      <c r="R103" s="4">
        <v>0</v>
      </c>
      <c r="S103" s="4">
        <v>2</v>
      </c>
      <c r="T103" s="4">
        <v>0</v>
      </c>
      <c r="U103" s="4">
        <v>0</v>
      </c>
      <c r="V103" s="71">
        <f>IF(ISERROR(VLOOKUP($S$103,'TAR FIN'!$A$1:$O$108,15,0)),0,VLOOKUP($S$103,'TAR FIN'!$A$1:$O$108,15,0))*(1-0.06)</f>
        <v>20.097199999999997</v>
      </c>
      <c r="W103" s="71">
        <f>IF(ISERROR(VLOOKUP($T$103,'TAR FIN'!$A$1:$O$108,15,0)),0,VLOOKUP($T$103,'TAR FIN'!$A$1:$O$108,15,0))</f>
        <v>0</v>
      </c>
      <c r="X103" s="71">
        <f>IF(ISERROR(VLOOKUP($U$103,'TAR FIN'!$A$1:$O$108,15,0)),0,VLOOKUP($U$103,'TAR FIN'!$A$1:$O$108,15,0))</f>
        <v>0</v>
      </c>
      <c r="Y103" s="71">
        <f ca="1">('TUSD BE'!$AM$26+'TUSD BF'!$AM$26+'TUSD CVA'!$AM$26)*1*(1-0.03)</f>
        <v>20.553709090093861</v>
      </c>
      <c r="Z103" s="71"/>
      <c r="AA103" s="71"/>
      <c r="AB103" s="71">
        <f>(SUBSIDIO!$J$103*SUBSIDIO!$V$103)*(0.06)/(1-0.06)</f>
        <v>2149.9727999999996</v>
      </c>
      <c r="AC103" s="71">
        <f>((SUBSIDIO!$L$103*SUBSIDIO!$W$103)+(SUBSIDIO!$N$103*SUBSIDIO!$X$103))*(0.06)/(1-0.06)</f>
        <v>0</v>
      </c>
      <c r="AD103" s="71">
        <f ca="1">(SUBSIDIO!$J$103*SUBSIDIO!$Y$103)*(0.03)/(1-0.03)</f>
        <v>1065.4025701545561</v>
      </c>
      <c r="AE103" s="71">
        <f>((SUBSIDIO!$L$103*SUBSIDIO!$Z$103)+(SUBSIDIO!$N$103*SUBSIDIO!$AA$103))*(0.03)/(1-0.03)</f>
        <v>0</v>
      </c>
      <c r="AF103" s="4" t="s">
        <v>842</v>
      </c>
    </row>
    <row r="104" spans="1:32" ht="11.25" customHeight="1" x14ac:dyDescent="0.25">
      <c r="A104" s="4" t="s">
        <v>54</v>
      </c>
      <c r="B104" s="4" t="s">
        <v>41</v>
      </c>
      <c r="C104" s="4" t="s">
        <v>43</v>
      </c>
      <c r="D104" s="4" t="s">
        <v>51</v>
      </c>
      <c r="E104" s="4" t="s">
        <v>52</v>
      </c>
      <c r="F104" s="4" t="s">
        <v>25</v>
      </c>
      <c r="G104" s="4" t="s">
        <v>25</v>
      </c>
      <c r="H104" s="4" t="s">
        <v>25</v>
      </c>
      <c r="I104" s="5">
        <v>44866</v>
      </c>
      <c r="J104" s="6">
        <v>1676</v>
      </c>
      <c r="K104" s="70">
        <v>1676</v>
      </c>
      <c r="L104" s="6">
        <v>0</v>
      </c>
      <c r="M104" s="71">
        <v>0</v>
      </c>
      <c r="N104" s="6">
        <v>0</v>
      </c>
      <c r="O104" s="71">
        <v>0</v>
      </c>
      <c r="P104" s="6">
        <v>16</v>
      </c>
      <c r="Q104" s="4" t="s">
        <v>26</v>
      </c>
      <c r="R104" s="4">
        <v>0</v>
      </c>
      <c r="S104" s="4">
        <v>2</v>
      </c>
      <c r="T104" s="4">
        <v>0</v>
      </c>
      <c r="U104" s="4">
        <v>0</v>
      </c>
      <c r="V104" s="71">
        <f>IF(ISERROR(VLOOKUP($S$104,'TAR FIN'!$A$1:$O$108,15,0)),0,VLOOKUP($S$104,'TAR FIN'!$A$1:$O$108,15,0))*(1-0.06)</f>
        <v>20.097199999999997</v>
      </c>
      <c r="W104" s="71">
        <f>IF(ISERROR(VLOOKUP($T$104,'TAR FIN'!$A$1:$O$108,15,0)),0,VLOOKUP($T$104,'TAR FIN'!$A$1:$O$108,15,0))</f>
        <v>0</v>
      </c>
      <c r="X104" s="71">
        <f>IF(ISERROR(VLOOKUP($U$104,'TAR FIN'!$A$1:$O$108,15,0)),0,VLOOKUP($U$104,'TAR FIN'!$A$1:$O$108,15,0))</f>
        <v>0</v>
      </c>
      <c r="Y104" s="71">
        <f ca="1">('TUSD BE'!$AM$26+'TUSD BF'!$AM$26+'TUSD CVA'!$AM$26)*1*(1-0.03)</f>
        <v>20.553709090093861</v>
      </c>
      <c r="Z104" s="71"/>
      <c r="AA104" s="71"/>
      <c r="AB104" s="71">
        <f>(SUBSIDIO!$J$104*SUBSIDIO!$V$104)*(0.06)/(1-0.06)</f>
        <v>2149.9727999999996</v>
      </c>
      <c r="AC104" s="71">
        <f>((SUBSIDIO!$L$104*SUBSIDIO!$W$104)+(SUBSIDIO!$N$104*SUBSIDIO!$X$104))*(0.06)/(1-0.06)</f>
        <v>0</v>
      </c>
      <c r="AD104" s="71">
        <f ca="1">(SUBSIDIO!$J$104*SUBSIDIO!$Y$104)*(0.03)/(1-0.03)</f>
        <v>1065.4025701545561</v>
      </c>
      <c r="AE104" s="71">
        <f>((SUBSIDIO!$L$104*SUBSIDIO!$Z$104)+(SUBSIDIO!$N$104*SUBSIDIO!$AA$104))*(0.03)/(1-0.03)</f>
        <v>0</v>
      </c>
      <c r="AF104" s="4" t="s">
        <v>842</v>
      </c>
    </row>
    <row r="105" spans="1:32" ht="11.25" customHeight="1" x14ac:dyDescent="0.25">
      <c r="A105" s="4" t="s">
        <v>21</v>
      </c>
      <c r="B105" s="4" t="s">
        <v>41</v>
      </c>
      <c r="C105" s="4" t="s">
        <v>43</v>
      </c>
      <c r="D105" s="4" t="s">
        <v>51</v>
      </c>
      <c r="E105" s="4" t="s">
        <v>52</v>
      </c>
      <c r="F105" s="4" t="s">
        <v>25</v>
      </c>
      <c r="G105" s="4" t="s">
        <v>25</v>
      </c>
      <c r="H105" s="4" t="s">
        <v>34</v>
      </c>
      <c r="I105" s="5">
        <v>44531</v>
      </c>
      <c r="J105" s="6">
        <v>0</v>
      </c>
      <c r="K105" s="71">
        <v>0</v>
      </c>
      <c r="L105" s="6">
        <v>54.091999999999999</v>
      </c>
      <c r="M105" s="71">
        <v>54.091999999999999</v>
      </c>
      <c r="N105" s="6">
        <v>54.091999999999999</v>
      </c>
      <c r="O105" s="71">
        <v>54.091999999999999</v>
      </c>
      <c r="P105" s="6">
        <v>0</v>
      </c>
      <c r="Q105" s="4" t="s">
        <v>26</v>
      </c>
      <c r="R105" s="4">
        <v>0</v>
      </c>
      <c r="S105" s="4">
        <v>0</v>
      </c>
      <c r="T105" s="4">
        <v>5</v>
      </c>
      <c r="U105" s="4">
        <v>75</v>
      </c>
      <c r="V105" s="71">
        <f>IF(ISERROR(VLOOKUP($S$105,'TAR FIN'!$A$1:$O$108,15,0)),0,VLOOKUP($S$105,'TAR FIN'!$A$1:$O$108,15,0))</f>
        <v>0</v>
      </c>
      <c r="W105" s="71">
        <f>IF(ISERROR(VLOOKUP($T$105,'TAR FIN'!$A$1:$O$108,15,0)),0,VLOOKUP($T$105,'TAR FIN'!$A$1:$O$108,15,0))*(1-0.06)</f>
        <v>1367.6623999999999</v>
      </c>
      <c r="X105" s="71">
        <f>IF(ISERROR(VLOOKUP($U$105,'TAR FIN'!$A$1:$O$108,15,0)),0,VLOOKUP($U$105,'TAR FIN'!$A$1:$O$108,15,0))*(1-0.06)</f>
        <v>149.86420000000001</v>
      </c>
      <c r="Y105" s="71"/>
      <c r="Z105" s="71">
        <f ca="1">('TUSD BE'!$AM$27+'TUSD BF'!$AM$27+'TUSD CVA'!$AM$27)*1*(1-0.03)</f>
        <v>1452.9533669299533</v>
      </c>
      <c r="AA105" s="71">
        <f>('TE BE'!$AB$10+'TE BF'!$AB$10+'TE CVA'!$AB$10)*1*(1-0.03)</f>
        <v>312.46103067547443</v>
      </c>
      <c r="AB105" s="71">
        <f>(SUBSIDIO!$J$105*SUBSIDIO!$V$105)*(0.06)/(1-0.06)</f>
        <v>0</v>
      </c>
      <c r="AC105" s="71">
        <f>((SUBSIDIO!$L$105*SUBSIDIO!$W$105)+(SUBSIDIO!$N$105*SUBSIDIO!$X$105))*(0.06)/(1-0.06)</f>
        <v>5239.5350328000004</v>
      </c>
      <c r="AD105" s="71">
        <f>(SUBSIDIO!$J$105*SUBSIDIO!$Y$105)*(0.03)/(1-0.03)</f>
        <v>0</v>
      </c>
      <c r="AE105" s="71">
        <f ca="1">((SUBSIDIO!$L$105*SUBSIDIO!$Z$105)+(SUBSIDIO!$N$105*SUBSIDIO!$AA$105))*(0.03)/(1-0.03)</f>
        <v>2953.4472864517361</v>
      </c>
      <c r="AF105" s="4" t="s">
        <v>842</v>
      </c>
    </row>
    <row r="106" spans="1:32" ht="11.25" customHeight="1" x14ac:dyDescent="0.25">
      <c r="A106" s="4" t="s">
        <v>21</v>
      </c>
      <c r="B106" s="4" t="s">
        <v>41</v>
      </c>
      <c r="C106" s="4" t="s">
        <v>43</v>
      </c>
      <c r="D106" s="4" t="s">
        <v>51</v>
      </c>
      <c r="E106" s="4" t="s">
        <v>52</v>
      </c>
      <c r="F106" s="4" t="s">
        <v>25</v>
      </c>
      <c r="G106" s="4" t="s">
        <v>25</v>
      </c>
      <c r="H106" s="4" t="s">
        <v>34</v>
      </c>
      <c r="I106" s="5">
        <v>44562</v>
      </c>
      <c r="J106" s="6">
        <v>0</v>
      </c>
      <c r="K106" s="71">
        <v>0</v>
      </c>
      <c r="L106" s="6">
        <v>48.482999999999997</v>
      </c>
      <c r="M106" s="71">
        <v>48.482999999999997</v>
      </c>
      <c r="N106" s="6">
        <v>48.482999999999997</v>
      </c>
      <c r="O106" s="71">
        <v>48.482999999999997</v>
      </c>
      <c r="P106" s="6">
        <v>0</v>
      </c>
      <c r="Q106" s="4" t="s">
        <v>26</v>
      </c>
      <c r="R106" s="4">
        <v>0</v>
      </c>
      <c r="S106" s="4">
        <v>0</v>
      </c>
      <c r="T106" s="4">
        <v>5</v>
      </c>
      <c r="U106" s="4">
        <v>75</v>
      </c>
      <c r="V106" s="71">
        <f>IF(ISERROR(VLOOKUP($S$106,'TAR FIN'!$A$1:$O$108,15,0)),0,VLOOKUP($S$106,'TAR FIN'!$A$1:$O$108,15,0))</f>
        <v>0</v>
      </c>
      <c r="W106" s="71">
        <f>IF(ISERROR(VLOOKUP($T$106,'TAR FIN'!$A$1:$O$108,15,0)),0,VLOOKUP($T$106,'TAR FIN'!$A$1:$O$108,15,0))*(1-0.06)</f>
        <v>1367.6623999999999</v>
      </c>
      <c r="X106" s="71">
        <f>IF(ISERROR(VLOOKUP($U$106,'TAR FIN'!$A$1:$O$108,15,0)),0,VLOOKUP($U$106,'TAR FIN'!$A$1:$O$108,15,0))*(1-0.06)</f>
        <v>149.86420000000001</v>
      </c>
      <c r="Y106" s="71"/>
      <c r="Z106" s="71">
        <f ca="1">('TUSD BE'!$AM$27+'TUSD BF'!$AM$27+'TUSD CVA'!$AM$27)*1*(1-0.03)</f>
        <v>1452.9533669299533</v>
      </c>
      <c r="AA106" s="71">
        <f>('TE BE'!$AB$10+'TE BF'!$AB$10+'TE CVA'!$AB$10)*1*(1-0.03)</f>
        <v>312.46103067547443</v>
      </c>
      <c r="AB106" s="71">
        <f>(SUBSIDIO!$J$106*SUBSIDIO!$V$106)*(0.06)/(1-0.06)</f>
        <v>0</v>
      </c>
      <c r="AC106" s="71">
        <f>((SUBSIDIO!$L$106*SUBSIDIO!$W$106)+(SUBSIDIO!$N$106*SUBSIDIO!$X$106))*(0.06)/(1-0.06)</f>
        <v>4696.2282221999994</v>
      </c>
      <c r="AD106" s="71">
        <f>(SUBSIDIO!$J$106*SUBSIDIO!$Y$106)*(0.03)/(1-0.03)</f>
        <v>0</v>
      </c>
      <c r="AE106" s="71">
        <f ca="1">((SUBSIDIO!$L$106*SUBSIDIO!$Z$106)+(SUBSIDIO!$N$106*SUBSIDIO!$AA$106))*(0.03)/(1-0.03)</f>
        <v>2647.1933888382669</v>
      </c>
      <c r="AF106" s="4" t="s">
        <v>842</v>
      </c>
    </row>
    <row r="107" spans="1:32" ht="11.25" customHeight="1" x14ac:dyDescent="0.25">
      <c r="A107" s="4" t="s">
        <v>21</v>
      </c>
      <c r="B107" s="4" t="s">
        <v>41</v>
      </c>
      <c r="C107" s="4" t="s">
        <v>43</v>
      </c>
      <c r="D107" s="4" t="s">
        <v>51</v>
      </c>
      <c r="E107" s="4" t="s">
        <v>52</v>
      </c>
      <c r="F107" s="4" t="s">
        <v>25</v>
      </c>
      <c r="G107" s="4" t="s">
        <v>25</v>
      </c>
      <c r="H107" s="4" t="s">
        <v>34</v>
      </c>
      <c r="I107" s="5">
        <v>44593</v>
      </c>
      <c r="J107" s="6">
        <v>0</v>
      </c>
      <c r="K107" s="71">
        <v>0</v>
      </c>
      <c r="L107" s="6">
        <v>38.82</v>
      </c>
      <c r="M107" s="71">
        <v>38.82</v>
      </c>
      <c r="N107" s="6">
        <v>38.82</v>
      </c>
      <c r="O107" s="71">
        <v>38.82</v>
      </c>
      <c r="P107" s="6">
        <v>0</v>
      </c>
      <c r="Q107" s="4" t="s">
        <v>26</v>
      </c>
      <c r="R107" s="4">
        <v>0</v>
      </c>
      <c r="S107" s="4">
        <v>0</v>
      </c>
      <c r="T107" s="4">
        <v>5</v>
      </c>
      <c r="U107" s="4">
        <v>75</v>
      </c>
      <c r="V107" s="71">
        <f>IF(ISERROR(VLOOKUP($S$107,'TAR FIN'!$A$1:$O$108,15,0)),0,VLOOKUP($S$107,'TAR FIN'!$A$1:$O$108,15,0))</f>
        <v>0</v>
      </c>
      <c r="W107" s="71">
        <f>IF(ISERROR(VLOOKUP($T$107,'TAR FIN'!$A$1:$O$108,15,0)),0,VLOOKUP($T$107,'TAR FIN'!$A$1:$O$108,15,0))*(1-0.06)</f>
        <v>1367.6623999999999</v>
      </c>
      <c r="X107" s="71">
        <f>IF(ISERROR(VLOOKUP($U$107,'TAR FIN'!$A$1:$O$108,15,0)),0,VLOOKUP($U$107,'TAR FIN'!$A$1:$O$108,15,0))*(1-0.06)</f>
        <v>149.86420000000001</v>
      </c>
      <c r="Y107" s="71"/>
      <c r="Z107" s="71">
        <f ca="1">('TUSD BE'!$AM$27+'TUSD BF'!$AM$27+'TUSD CVA'!$AM$27)*1*(1-0.03)</f>
        <v>1452.9533669299533</v>
      </c>
      <c r="AA107" s="71">
        <f>('TE BE'!$AB$10+'TE BF'!$AB$10+'TE CVA'!$AB$10)*1*(1-0.03)</f>
        <v>312.46103067547443</v>
      </c>
      <c r="AB107" s="71">
        <f>(SUBSIDIO!$J$107*SUBSIDIO!$V$107)*(0.06)/(1-0.06)</f>
        <v>0</v>
      </c>
      <c r="AC107" s="71">
        <f>((SUBSIDIO!$L$107*SUBSIDIO!$W$107)+(SUBSIDIO!$N$107*SUBSIDIO!$X$107))*(0.06)/(1-0.06)</f>
        <v>3760.2371879999996</v>
      </c>
      <c r="AD107" s="71">
        <f>(SUBSIDIO!$J$107*SUBSIDIO!$Y$107)*(0.03)/(1-0.03)</f>
        <v>0</v>
      </c>
      <c r="AE107" s="71">
        <f ca="1">((SUBSIDIO!$L$107*SUBSIDIO!$Z$107)+(SUBSIDIO!$N$107*SUBSIDIO!$AA$107))*(0.03)/(1-0.03)</f>
        <v>2119.5892860322483</v>
      </c>
      <c r="AF107" s="4" t="s">
        <v>842</v>
      </c>
    </row>
    <row r="108" spans="1:32" ht="11.25" customHeight="1" x14ac:dyDescent="0.25">
      <c r="A108" s="4" t="s">
        <v>21</v>
      </c>
      <c r="B108" s="4" t="s">
        <v>41</v>
      </c>
      <c r="C108" s="4" t="s">
        <v>43</v>
      </c>
      <c r="D108" s="4" t="s">
        <v>51</v>
      </c>
      <c r="E108" s="4" t="s">
        <v>52</v>
      </c>
      <c r="F108" s="4" t="s">
        <v>25</v>
      </c>
      <c r="G108" s="4" t="s">
        <v>25</v>
      </c>
      <c r="H108" s="4" t="s">
        <v>34</v>
      </c>
      <c r="I108" s="5">
        <v>44621</v>
      </c>
      <c r="J108" s="6">
        <v>0</v>
      </c>
      <c r="K108" s="71">
        <v>0</v>
      </c>
      <c r="L108" s="6">
        <v>57.051000000000002</v>
      </c>
      <c r="M108" s="71">
        <v>57.051000000000002</v>
      </c>
      <c r="N108" s="6">
        <v>57.051000000000002</v>
      </c>
      <c r="O108" s="71">
        <v>57.051000000000002</v>
      </c>
      <c r="P108" s="6">
        <v>0</v>
      </c>
      <c r="Q108" s="4" t="s">
        <v>26</v>
      </c>
      <c r="R108" s="4">
        <v>0</v>
      </c>
      <c r="S108" s="4">
        <v>0</v>
      </c>
      <c r="T108" s="4">
        <v>5</v>
      </c>
      <c r="U108" s="4">
        <v>75</v>
      </c>
      <c r="V108" s="71">
        <f>IF(ISERROR(VLOOKUP($S$108,'TAR FIN'!$A$1:$O$108,15,0)),0,VLOOKUP($S$108,'TAR FIN'!$A$1:$O$108,15,0))</f>
        <v>0</v>
      </c>
      <c r="W108" s="71">
        <f>IF(ISERROR(VLOOKUP($T$108,'TAR FIN'!$A$1:$O$108,15,0)),0,VLOOKUP($T$108,'TAR FIN'!$A$1:$O$108,15,0))*(1-0.06)</f>
        <v>1367.6623999999999</v>
      </c>
      <c r="X108" s="71">
        <f>IF(ISERROR(VLOOKUP($U$108,'TAR FIN'!$A$1:$O$108,15,0)),0,VLOOKUP($U$108,'TAR FIN'!$A$1:$O$108,15,0))*(1-0.06)</f>
        <v>149.86420000000001</v>
      </c>
      <c r="Y108" s="71"/>
      <c r="Z108" s="71">
        <f ca="1">('TUSD BE'!$AM$27+'TUSD BF'!$AM$27+'TUSD CVA'!$AM$27)*1*(1-0.03)</f>
        <v>1452.9533669299533</v>
      </c>
      <c r="AA108" s="71">
        <f>('TE BE'!$AB$10+'TE BF'!$AB$10+'TE CVA'!$AB$10)*1*(1-0.03)</f>
        <v>312.46103067547443</v>
      </c>
      <c r="AB108" s="71">
        <f>(SUBSIDIO!$J$108*SUBSIDIO!$V$108)*(0.06)/(1-0.06)</f>
        <v>0</v>
      </c>
      <c r="AC108" s="71">
        <f>((SUBSIDIO!$L$108*SUBSIDIO!$W$108)+(SUBSIDIO!$N$108*SUBSIDIO!$X$108))*(0.06)/(1-0.06)</f>
        <v>5526.1538333999997</v>
      </c>
      <c r="AD108" s="71">
        <f>(SUBSIDIO!$J$108*SUBSIDIO!$Y$108)*(0.03)/(1-0.03)</f>
        <v>0</v>
      </c>
      <c r="AE108" s="71">
        <f ca="1">((SUBSIDIO!$L$108*SUBSIDIO!$Z$108)+(SUBSIDIO!$N$108*SUBSIDIO!$AA$108))*(0.03)/(1-0.03)</f>
        <v>3115.0100040552761</v>
      </c>
      <c r="AF108" s="4" t="s">
        <v>842</v>
      </c>
    </row>
    <row r="109" spans="1:32" ht="11.25" customHeight="1" x14ac:dyDescent="0.25">
      <c r="A109" s="4" t="s">
        <v>27</v>
      </c>
      <c r="B109" s="4" t="s">
        <v>41</v>
      </c>
      <c r="C109" s="4" t="s">
        <v>43</v>
      </c>
      <c r="D109" s="4" t="s">
        <v>51</v>
      </c>
      <c r="E109" s="4" t="s">
        <v>52</v>
      </c>
      <c r="F109" s="4" t="s">
        <v>25</v>
      </c>
      <c r="G109" s="4" t="s">
        <v>25</v>
      </c>
      <c r="H109" s="4" t="s">
        <v>34</v>
      </c>
      <c r="I109" s="5">
        <v>44621</v>
      </c>
      <c r="J109" s="6">
        <v>0</v>
      </c>
      <c r="K109" s="71">
        <v>0</v>
      </c>
      <c r="L109" s="6">
        <v>-5.1660000000000004</v>
      </c>
      <c r="M109" s="71">
        <v>-5.1660000000000004</v>
      </c>
      <c r="N109" s="6">
        <v>-5.1660000000000004</v>
      </c>
      <c r="O109" s="71">
        <v>-5.1660000000000004</v>
      </c>
      <c r="P109" s="6">
        <v>0</v>
      </c>
      <c r="Q109" s="4" t="s">
        <v>26</v>
      </c>
      <c r="R109" s="4">
        <v>0</v>
      </c>
      <c r="S109" s="4">
        <v>0</v>
      </c>
      <c r="T109" s="4">
        <v>5</v>
      </c>
      <c r="U109" s="4">
        <v>75</v>
      </c>
      <c r="V109" s="71">
        <f>IF(ISERROR(VLOOKUP($S$109,'TAR FIN'!$A$1:$O$108,15,0)),0,VLOOKUP($S$109,'TAR FIN'!$A$1:$O$108,15,0))</f>
        <v>0</v>
      </c>
      <c r="W109" s="71">
        <f>IF(ISERROR(VLOOKUP($T$109,'TAR FIN'!$A$1:$O$108,15,0)),0,VLOOKUP($T$109,'TAR FIN'!$A$1:$O$108,15,0))*(1-0.06)</f>
        <v>1367.6623999999999</v>
      </c>
      <c r="X109" s="71">
        <f>IF(ISERROR(VLOOKUP($U$109,'TAR FIN'!$A$1:$O$108,15,0)),0,VLOOKUP($U$109,'TAR FIN'!$A$1:$O$108,15,0))*(1-0.06)</f>
        <v>149.86420000000001</v>
      </c>
      <c r="Y109" s="71"/>
      <c r="Z109" s="71">
        <f ca="1">('TUSD BE'!$AM$27+'TUSD BF'!$AM$27+'TUSD CVA'!$AM$27)*1*(1-0.03)</f>
        <v>1452.9533669299533</v>
      </c>
      <c r="AA109" s="71">
        <f>('TE BE'!$AB$10+'TE BF'!$AB$10+'TE CVA'!$AB$10)*1*(1-0.03)</f>
        <v>312.46103067547443</v>
      </c>
      <c r="AB109" s="71">
        <f>(SUBSIDIO!$J$109*SUBSIDIO!$V$109)*(0.06)/(1-0.06)</f>
        <v>0</v>
      </c>
      <c r="AC109" s="71">
        <f>((SUBSIDIO!$L$109*SUBSIDIO!$W$109)+(SUBSIDIO!$N$109*SUBSIDIO!$X$109))*(0.06)/(1-0.06)</f>
        <v>-500.39632440000003</v>
      </c>
      <c r="AD109" s="71">
        <f>(SUBSIDIO!$J$109*SUBSIDIO!$Y$109)*(0.03)/(1-0.03)</f>
        <v>0</v>
      </c>
      <c r="AE109" s="71">
        <f ca="1">((SUBSIDIO!$L$109*SUBSIDIO!$Z$109)+(SUBSIDIO!$N$109*SUBSIDIO!$AA$109))*(0.03)/(1-0.03)</f>
        <v>-282.06590035143216</v>
      </c>
      <c r="AF109" s="4" t="s">
        <v>842</v>
      </c>
    </row>
    <row r="110" spans="1:32" ht="11.25" customHeight="1" x14ac:dyDescent="0.25">
      <c r="A110" s="4" t="s">
        <v>21</v>
      </c>
      <c r="B110" s="4" t="s">
        <v>41</v>
      </c>
      <c r="C110" s="4" t="s">
        <v>43</v>
      </c>
      <c r="D110" s="4" t="s">
        <v>51</v>
      </c>
      <c r="E110" s="4" t="s">
        <v>52</v>
      </c>
      <c r="F110" s="4" t="s">
        <v>25</v>
      </c>
      <c r="G110" s="4" t="s">
        <v>25</v>
      </c>
      <c r="H110" s="4" t="s">
        <v>34</v>
      </c>
      <c r="I110" s="5">
        <v>44652</v>
      </c>
      <c r="J110" s="6">
        <v>0</v>
      </c>
      <c r="K110" s="71">
        <v>0</v>
      </c>
      <c r="L110" s="6">
        <v>43.582999999999998</v>
      </c>
      <c r="M110" s="71">
        <v>43.582999999999998</v>
      </c>
      <c r="N110" s="6">
        <v>43.582999999999998</v>
      </c>
      <c r="O110" s="71">
        <v>43.582999999999998</v>
      </c>
      <c r="P110" s="6">
        <v>0</v>
      </c>
      <c r="Q110" s="4" t="s">
        <v>26</v>
      </c>
      <c r="R110" s="4">
        <v>0</v>
      </c>
      <c r="S110" s="4">
        <v>0</v>
      </c>
      <c r="T110" s="4">
        <v>5</v>
      </c>
      <c r="U110" s="4">
        <v>75</v>
      </c>
      <c r="V110" s="71">
        <f>IF(ISERROR(VLOOKUP($S$110,'TAR FIN'!$A$1:$O$108,15,0)),0,VLOOKUP($S$110,'TAR FIN'!$A$1:$O$108,15,0))</f>
        <v>0</v>
      </c>
      <c r="W110" s="71">
        <f>IF(ISERROR(VLOOKUP($T$110,'TAR FIN'!$A$1:$O$108,15,0)),0,VLOOKUP($T$110,'TAR FIN'!$A$1:$O$108,15,0))*(1-0.06)</f>
        <v>1367.6623999999999</v>
      </c>
      <c r="X110" s="71">
        <f>IF(ISERROR(VLOOKUP($U$110,'TAR FIN'!$A$1:$O$108,15,0)),0,VLOOKUP($U$110,'TAR FIN'!$A$1:$O$108,15,0))*(1-0.06)</f>
        <v>149.86420000000001</v>
      </c>
      <c r="Y110" s="71"/>
      <c r="Z110" s="71">
        <f ca="1">('TUSD BE'!$AM$27+'TUSD BF'!$AM$27+'TUSD CVA'!$AM$27)*1*(1-0.03)</f>
        <v>1452.9533669299533</v>
      </c>
      <c r="AA110" s="71">
        <f>('TE BE'!$AB$10+'TE BF'!$AB$10+'TE CVA'!$AB$10)*1*(1-0.03)</f>
        <v>312.46103067547443</v>
      </c>
      <c r="AB110" s="71">
        <f>(SUBSIDIO!$J$110*SUBSIDIO!$V$110)*(0.06)/(1-0.06)</f>
        <v>0</v>
      </c>
      <c r="AC110" s="71">
        <f>((SUBSIDIO!$L$110*SUBSIDIO!$W$110)+(SUBSIDIO!$N$110*SUBSIDIO!$X$110))*(0.06)/(1-0.06)</f>
        <v>4221.5975622000005</v>
      </c>
      <c r="AD110" s="71">
        <f>(SUBSIDIO!$J$110*SUBSIDIO!$Y$110)*(0.03)/(1-0.03)</f>
        <v>0</v>
      </c>
      <c r="AE110" s="71">
        <f ca="1">((SUBSIDIO!$L$110*SUBSIDIO!$Z$110)+(SUBSIDIO!$N$110*SUBSIDIO!$AA$110))*(0.03)/(1-0.03)</f>
        <v>2379.6512069331138</v>
      </c>
      <c r="AF110" s="4" t="s">
        <v>842</v>
      </c>
    </row>
    <row r="111" spans="1:32" ht="11.25" customHeight="1" x14ac:dyDescent="0.25">
      <c r="A111" s="4" t="s">
        <v>21</v>
      </c>
      <c r="B111" s="4" t="s">
        <v>41</v>
      </c>
      <c r="C111" s="4" t="s">
        <v>43</v>
      </c>
      <c r="D111" s="4" t="s">
        <v>51</v>
      </c>
      <c r="E111" s="4" t="s">
        <v>52</v>
      </c>
      <c r="F111" s="4" t="s">
        <v>25</v>
      </c>
      <c r="G111" s="4" t="s">
        <v>25</v>
      </c>
      <c r="H111" s="4" t="s">
        <v>34</v>
      </c>
      <c r="I111" s="5">
        <v>44682</v>
      </c>
      <c r="J111" s="6">
        <v>0</v>
      </c>
      <c r="K111" s="71">
        <v>0</v>
      </c>
      <c r="L111" s="6">
        <v>45.466000000000001</v>
      </c>
      <c r="M111" s="71">
        <v>45.466000000000001</v>
      </c>
      <c r="N111" s="6">
        <v>45.466000000000001</v>
      </c>
      <c r="O111" s="71">
        <v>45.466000000000001</v>
      </c>
      <c r="P111" s="6">
        <v>0</v>
      </c>
      <c r="Q111" s="4" t="s">
        <v>26</v>
      </c>
      <c r="R111" s="4">
        <v>0</v>
      </c>
      <c r="S111" s="4">
        <v>0</v>
      </c>
      <c r="T111" s="4">
        <v>5</v>
      </c>
      <c r="U111" s="4">
        <v>75</v>
      </c>
      <c r="V111" s="71">
        <f>IF(ISERROR(VLOOKUP($S$111,'TAR FIN'!$A$1:$O$108,15,0)),0,VLOOKUP($S$111,'TAR FIN'!$A$1:$O$108,15,0))</f>
        <v>0</v>
      </c>
      <c r="W111" s="71">
        <f>IF(ISERROR(VLOOKUP($T$111,'TAR FIN'!$A$1:$O$108,15,0)),0,VLOOKUP($T$111,'TAR FIN'!$A$1:$O$108,15,0))*(1-0.06)</f>
        <v>1367.6623999999999</v>
      </c>
      <c r="X111" s="71">
        <f>IF(ISERROR(VLOOKUP($U$111,'TAR FIN'!$A$1:$O$108,15,0)),0,VLOOKUP($U$111,'TAR FIN'!$A$1:$O$108,15,0))*(1-0.06)</f>
        <v>149.86420000000001</v>
      </c>
      <c r="Y111" s="71"/>
      <c r="Z111" s="71">
        <f ca="1">('TUSD BE'!$AM$27+'TUSD BF'!$AM$27+'TUSD CVA'!$AM$27)*1*(1-0.03)</f>
        <v>1452.9533669299533</v>
      </c>
      <c r="AA111" s="71">
        <f>('TE BE'!$AB$10+'TE BF'!$AB$10+'TE CVA'!$AB$10)*1*(1-0.03)</f>
        <v>312.46103067547443</v>
      </c>
      <c r="AB111" s="71">
        <f>(SUBSIDIO!$J$111*SUBSIDIO!$V$111)*(0.06)/(1-0.06)</f>
        <v>0</v>
      </c>
      <c r="AC111" s="71">
        <f>((SUBSIDIO!$L$111*SUBSIDIO!$W$111)+(SUBSIDIO!$N$111*SUBSIDIO!$X$111))*(0.06)/(1-0.06)</f>
        <v>4403.9913444000003</v>
      </c>
      <c r="AD111" s="71">
        <f>(SUBSIDIO!$J$111*SUBSIDIO!$Y$111)*(0.03)/(1-0.03)</f>
        <v>0</v>
      </c>
      <c r="AE111" s="71">
        <f ca="1">((SUBSIDIO!$L$111*SUBSIDIO!$Z$111)+(SUBSIDIO!$N$111*SUBSIDIO!$AA$111))*(0.03)/(1-0.03)</f>
        <v>2482.4638454080941</v>
      </c>
      <c r="AF111" s="4" t="s">
        <v>842</v>
      </c>
    </row>
    <row r="112" spans="1:32" ht="11.25" customHeight="1" x14ac:dyDescent="0.25">
      <c r="A112" s="4" t="s">
        <v>21</v>
      </c>
      <c r="B112" s="4" t="s">
        <v>41</v>
      </c>
      <c r="C112" s="4" t="s">
        <v>43</v>
      </c>
      <c r="D112" s="4" t="s">
        <v>51</v>
      </c>
      <c r="E112" s="4" t="s">
        <v>52</v>
      </c>
      <c r="F112" s="4" t="s">
        <v>25</v>
      </c>
      <c r="G112" s="4" t="s">
        <v>25</v>
      </c>
      <c r="H112" s="4" t="s">
        <v>34</v>
      </c>
      <c r="I112" s="5">
        <v>44713</v>
      </c>
      <c r="J112" s="6">
        <v>0</v>
      </c>
      <c r="K112" s="71">
        <v>0</v>
      </c>
      <c r="L112" s="6">
        <v>44.741</v>
      </c>
      <c r="M112" s="71">
        <v>44.741</v>
      </c>
      <c r="N112" s="6">
        <v>44.741</v>
      </c>
      <c r="O112" s="71">
        <v>44.741</v>
      </c>
      <c r="P112" s="6">
        <v>0</v>
      </c>
      <c r="Q112" s="4" t="s">
        <v>26</v>
      </c>
      <c r="R112" s="4">
        <v>0</v>
      </c>
      <c r="S112" s="4">
        <v>0</v>
      </c>
      <c r="T112" s="4">
        <v>5</v>
      </c>
      <c r="U112" s="4">
        <v>75</v>
      </c>
      <c r="V112" s="71">
        <f>IF(ISERROR(VLOOKUP($S$112,'TAR FIN'!$A$1:$O$108,15,0)),0,VLOOKUP($S$112,'TAR FIN'!$A$1:$O$108,15,0))</f>
        <v>0</v>
      </c>
      <c r="W112" s="71">
        <f>IF(ISERROR(VLOOKUP($T$112,'TAR FIN'!$A$1:$O$108,15,0)),0,VLOOKUP($T$112,'TAR FIN'!$A$1:$O$108,15,0))*(1-0.06)</f>
        <v>1367.6623999999999</v>
      </c>
      <c r="X112" s="71">
        <f>IF(ISERROR(VLOOKUP($U$112,'TAR FIN'!$A$1:$O$108,15,0)),0,VLOOKUP($U$112,'TAR FIN'!$A$1:$O$108,15,0))*(1-0.06)</f>
        <v>149.86420000000001</v>
      </c>
      <c r="Y112" s="71"/>
      <c r="Z112" s="71">
        <f ca="1">('TUSD BE'!$AM$27+'TUSD BF'!$AM$27+'TUSD CVA'!$AM$27)*1*(1-0.03)</f>
        <v>1452.9533669299533</v>
      </c>
      <c r="AA112" s="71">
        <f>('TE BE'!$AB$10+'TE BF'!$AB$10+'TE CVA'!$AB$10)*1*(1-0.03)</f>
        <v>312.46103067547443</v>
      </c>
      <c r="AB112" s="71">
        <f>(SUBSIDIO!$J$112*SUBSIDIO!$V$112)*(0.06)/(1-0.06)</f>
        <v>0</v>
      </c>
      <c r="AC112" s="71">
        <f>((SUBSIDIO!$L$112*SUBSIDIO!$W$112)+(SUBSIDIO!$N$112*SUBSIDIO!$X$112))*(0.06)/(1-0.06)</f>
        <v>4333.7653793999998</v>
      </c>
      <c r="AD112" s="71">
        <f>(SUBSIDIO!$J$112*SUBSIDIO!$Y$112)*(0.03)/(1-0.03)</f>
        <v>0</v>
      </c>
      <c r="AE112" s="71">
        <f ca="1">((SUBSIDIO!$L$112*SUBSIDIO!$Z$112)+(SUBSIDIO!$N$112*SUBSIDIO!$AA$112))*(0.03)/(1-0.03)</f>
        <v>2442.878522575189</v>
      </c>
      <c r="AF112" s="4" t="s">
        <v>842</v>
      </c>
    </row>
    <row r="113" spans="1:32" ht="11.25" customHeight="1" x14ac:dyDescent="0.25">
      <c r="A113" s="4" t="s">
        <v>21</v>
      </c>
      <c r="B113" s="4" t="s">
        <v>41</v>
      </c>
      <c r="C113" s="4" t="s">
        <v>43</v>
      </c>
      <c r="D113" s="4" t="s">
        <v>51</v>
      </c>
      <c r="E113" s="4" t="s">
        <v>52</v>
      </c>
      <c r="F113" s="4" t="s">
        <v>25</v>
      </c>
      <c r="G113" s="4" t="s">
        <v>25</v>
      </c>
      <c r="H113" s="4" t="s">
        <v>34</v>
      </c>
      <c r="I113" s="5">
        <v>44743</v>
      </c>
      <c r="J113" s="6">
        <v>0</v>
      </c>
      <c r="K113" s="71">
        <v>0</v>
      </c>
      <c r="L113" s="6">
        <v>1.903</v>
      </c>
      <c r="M113" s="71">
        <v>1.903</v>
      </c>
      <c r="N113" s="6">
        <v>1.903</v>
      </c>
      <c r="O113" s="71">
        <v>1.903</v>
      </c>
      <c r="P113" s="6">
        <v>0</v>
      </c>
      <c r="Q113" s="4" t="s">
        <v>26</v>
      </c>
      <c r="R113" s="4">
        <v>0</v>
      </c>
      <c r="S113" s="4">
        <v>0</v>
      </c>
      <c r="T113" s="4">
        <v>5</v>
      </c>
      <c r="U113" s="4">
        <v>75</v>
      </c>
      <c r="V113" s="71">
        <f>IF(ISERROR(VLOOKUP($S$113,'TAR FIN'!$A$1:$O$108,15,0)),0,VLOOKUP($S$113,'TAR FIN'!$A$1:$O$108,15,0))</f>
        <v>0</v>
      </c>
      <c r="W113" s="71">
        <f>IF(ISERROR(VLOOKUP($T$113,'TAR FIN'!$A$1:$O$108,15,0)),0,VLOOKUP($T$113,'TAR FIN'!$A$1:$O$108,15,0))*(1-0.06)</f>
        <v>1367.6623999999999</v>
      </c>
      <c r="X113" s="71">
        <f>IF(ISERROR(VLOOKUP($U$113,'TAR FIN'!$A$1:$O$108,15,0)),0,VLOOKUP($U$113,'TAR FIN'!$A$1:$O$108,15,0))*(1-0.06)</f>
        <v>149.86420000000001</v>
      </c>
      <c r="Y113" s="71"/>
      <c r="Z113" s="71">
        <f ca="1">('TUSD BE'!$AM$27+'TUSD BF'!$AM$27+'TUSD CVA'!$AM$27)*1*(1-0.03)</f>
        <v>1452.9533669299533</v>
      </c>
      <c r="AA113" s="71">
        <f>('TE BE'!$AB$10+'TE BF'!$AB$10+'TE CVA'!$AB$10)*1*(1-0.03)</f>
        <v>312.46103067547443</v>
      </c>
      <c r="AB113" s="71">
        <f>(SUBSIDIO!$J$113*SUBSIDIO!$V$113)*(0.06)/(1-0.06)</f>
        <v>0</v>
      </c>
      <c r="AC113" s="71">
        <f>((SUBSIDIO!$L$113*SUBSIDIO!$W$113)+(SUBSIDIO!$N$113*SUBSIDIO!$X$113))*(0.06)/(1-0.06)</f>
        <v>184.33105020000002</v>
      </c>
      <c r="AD113" s="71">
        <f>(SUBSIDIO!$J$113*SUBSIDIO!$Y$113)*(0.03)/(1-0.03)</f>
        <v>0</v>
      </c>
      <c r="AE113" s="71">
        <f ca="1">((SUBSIDIO!$L$113*SUBSIDIO!$Z$113)+(SUBSIDIO!$N$113*SUBSIDIO!$AA$113))*(0.03)/(1-0.03)</f>
        <v>103.90464738071532</v>
      </c>
      <c r="AF113" s="4" t="s">
        <v>842</v>
      </c>
    </row>
    <row r="114" spans="1:32" ht="11.25" customHeight="1" x14ac:dyDescent="0.25">
      <c r="A114" s="4" t="s">
        <v>27</v>
      </c>
      <c r="B114" s="4" t="s">
        <v>41</v>
      </c>
      <c r="C114" s="4" t="s">
        <v>43</v>
      </c>
      <c r="D114" s="4" t="s">
        <v>51</v>
      </c>
      <c r="E114" s="4" t="s">
        <v>52</v>
      </c>
      <c r="F114" s="4" t="s">
        <v>25</v>
      </c>
      <c r="G114" s="4" t="s">
        <v>25</v>
      </c>
      <c r="H114" s="4" t="s">
        <v>34</v>
      </c>
      <c r="I114" s="5">
        <v>44743</v>
      </c>
      <c r="J114" s="6">
        <v>0</v>
      </c>
      <c r="K114" s="71">
        <v>0</v>
      </c>
      <c r="L114" s="6">
        <v>14.6</v>
      </c>
      <c r="M114" s="71">
        <v>14.6</v>
      </c>
      <c r="N114" s="6">
        <v>14.6</v>
      </c>
      <c r="O114" s="71">
        <v>14.6</v>
      </c>
      <c r="P114" s="6">
        <v>0</v>
      </c>
      <c r="Q114" s="4" t="s">
        <v>26</v>
      </c>
      <c r="R114" s="4">
        <v>0</v>
      </c>
      <c r="S114" s="4">
        <v>0</v>
      </c>
      <c r="T114" s="4">
        <v>5</v>
      </c>
      <c r="U114" s="4">
        <v>75</v>
      </c>
      <c r="V114" s="71">
        <f>IF(ISERROR(VLOOKUP($S$114,'TAR FIN'!$A$1:$O$108,15,0)),0,VLOOKUP($S$114,'TAR FIN'!$A$1:$O$108,15,0))</f>
        <v>0</v>
      </c>
      <c r="W114" s="71">
        <f>IF(ISERROR(VLOOKUP($T$114,'TAR FIN'!$A$1:$O$108,15,0)),0,VLOOKUP($T$114,'TAR FIN'!$A$1:$O$108,15,0))*(1-0.06)</f>
        <v>1367.6623999999999</v>
      </c>
      <c r="X114" s="71">
        <f>IF(ISERROR(VLOOKUP($U$114,'TAR FIN'!$A$1:$O$108,15,0)),0,VLOOKUP($U$114,'TAR FIN'!$A$1:$O$108,15,0))*(1-0.06)</f>
        <v>149.86420000000001</v>
      </c>
      <c r="Y114" s="71"/>
      <c r="Z114" s="71">
        <f ca="1">('TUSD BE'!$AM$27+'TUSD BF'!$AM$27+'TUSD CVA'!$AM$27)*1*(1-0.03)</f>
        <v>1452.9533669299533</v>
      </c>
      <c r="AA114" s="71">
        <f>('TE BE'!$AB$10+'TE BF'!$AB$10+'TE CVA'!$AB$10)*1*(1-0.03)</f>
        <v>312.46103067547443</v>
      </c>
      <c r="AB114" s="71">
        <f>(SUBSIDIO!$J$114*SUBSIDIO!$V$114)*(0.06)/(1-0.06)</f>
        <v>0</v>
      </c>
      <c r="AC114" s="71">
        <f>((SUBSIDIO!$L$114*SUBSIDIO!$W$114)+(SUBSIDIO!$N$114*SUBSIDIO!$X$114))*(0.06)/(1-0.06)</f>
        <v>1414.2056399999999</v>
      </c>
      <c r="AD114" s="71">
        <f>(SUBSIDIO!$J$114*SUBSIDIO!$Y$114)*(0.03)/(1-0.03)</f>
        <v>0</v>
      </c>
      <c r="AE114" s="71">
        <f ca="1">((SUBSIDIO!$L$114*SUBSIDIO!$Z$114)+(SUBSIDIO!$N$114*SUBSIDIO!$AA$114))*(0.03)/(1-0.03)</f>
        <v>797.16650118678069</v>
      </c>
      <c r="AF114" s="4" t="s">
        <v>842</v>
      </c>
    </row>
    <row r="115" spans="1:32" ht="11.25" customHeight="1" x14ac:dyDescent="0.25">
      <c r="A115" s="4" t="s">
        <v>21</v>
      </c>
      <c r="B115" s="4" t="s">
        <v>41</v>
      </c>
      <c r="C115" s="4" t="s">
        <v>43</v>
      </c>
      <c r="D115" s="4" t="s">
        <v>51</v>
      </c>
      <c r="E115" s="4" t="s">
        <v>52</v>
      </c>
      <c r="F115" s="4" t="s">
        <v>25</v>
      </c>
      <c r="G115" s="4" t="s">
        <v>25</v>
      </c>
      <c r="H115" s="4" t="s">
        <v>34</v>
      </c>
      <c r="I115" s="5">
        <v>44774</v>
      </c>
      <c r="J115" s="6">
        <v>0</v>
      </c>
      <c r="K115" s="71">
        <v>0</v>
      </c>
      <c r="L115" s="6">
        <v>56.722999999999999</v>
      </c>
      <c r="M115" s="71">
        <v>56.722999999999999</v>
      </c>
      <c r="N115" s="6">
        <v>56.722999999999999</v>
      </c>
      <c r="O115" s="71">
        <v>56.722999999999999</v>
      </c>
      <c r="P115" s="6">
        <v>0</v>
      </c>
      <c r="Q115" s="4" t="s">
        <v>26</v>
      </c>
      <c r="R115" s="4">
        <v>0</v>
      </c>
      <c r="S115" s="4">
        <v>0</v>
      </c>
      <c r="T115" s="4">
        <v>5</v>
      </c>
      <c r="U115" s="4">
        <v>75</v>
      </c>
      <c r="V115" s="71">
        <f>IF(ISERROR(VLOOKUP($S$115,'TAR FIN'!$A$1:$O$108,15,0)),0,VLOOKUP($S$115,'TAR FIN'!$A$1:$O$108,15,0))</f>
        <v>0</v>
      </c>
      <c r="W115" s="71">
        <f>IF(ISERROR(VLOOKUP($T$115,'TAR FIN'!$A$1:$O$108,15,0)),0,VLOOKUP($T$115,'TAR FIN'!$A$1:$O$108,15,0))*(1-0.06)</f>
        <v>1367.6623999999999</v>
      </c>
      <c r="X115" s="71">
        <f>IF(ISERROR(VLOOKUP($U$115,'TAR FIN'!$A$1:$O$108,15,0)),0,VLOOKUP($U$115,'TAR FIN'!$A$1:$O$108,15,0))*(1-0.06)</f>
        <v>149.86420000000001</v>
      </c>
      <c r="Y115" s="71"/>
      <c r="Z115" s="71">
        <f ca="1">('TUSD BE'!$AM$27+'TUSD BF'!$AM$27+'TUSD CVA'!$AM$27)*1*(1-0.03)</f>
        <v>1452.9533669299533</v>
      </c>
      <c r="AA115" s="71">
        <f>('TE BE'!$AB$10+'TE BF'!$AB$10+'TE CVA'!$AB$10)*1*(1-0.03)</f>
        <v>312.46103067547443</v>
      </c>
      <c r="AB115" s="71">
        <f>(SUBSIDIO!$J$115*SUBSIDIO!$V$115)*(0.06)/(1-0.06)</f>
        <v>0</v>
      </c>
      <c r="AC115" s="71">
        <f>((SUBSIDIO!$L$115*SUBSIDIO!$W$115)+(SUBSIDIO!$N$115*SUBSIDIO!$X$115))*(0.06)/(1-0.06)</f>
        <v>5494.3826381999997</v>
      </c>
      <c r="AD115" s="71">
        <f>(SUBSIDIO!$J$115*SUBSIDIO!$Y$115)*(0.03)/(1-0.03)</f>
        <v>0</v>
      </c>
      <c r="AE115" s="71">
        <f ca="1">((SUBSIDIO!$L$115*SUBSIDIO!$Z$115)+(SUBSIDIO!$N$115*SUBSIDIO!$AA$115))*(0.03)/(1-0.03)</f>
        <v>3097.1010580012171</v>
      </c>
      <c r="AF115" s="4" t="s">
        <v>842</v>
      </c>
    </row>
    <row r="116" spans="1:32" ht="11.25" customHeight="1" x14ac:dyDescent="0.25">
      <c r="A116" s="4" t="s">
        <v>27</v>
      </c>
      <c r="B116" s="4" t="s">
        <v>41</v>
      </c>
      <c r="C116" s="4" t="s">
        <v>43</v>
      </c>
      <c r="D116" s="4" t="s">
        <v>51</v>
      </c>
      <c r="E116" s="4" t="s">
        <v>52</v>
      </c>
      <c r="F116" s="4" t="s">
        <v>25</v>
      </c>
      <c r="G116" s="4" t="s">
        <v>25</v>
      </c>
      <c r="H116" s="4" t="s">
        <v>34</v>
      </c>
      <c r="I116" s="5">
        <v>44774</v>
      </c>
      <c r="J116" s="6">
        <v>0</v>
      </c>
      <c r="K116" s="71">
        <v>0</v>
      </c>
      <c r="L116" s="6">
        <v>30.300999999999998</v>
      </c>
      <c r="M116" s="71">
        <v>30.300999999999998</v>
      </c>
      <c r="N116" s="6">
        <v>30.300999999999998</v>
      </c>
      <c r="O116" s="71">
        <v>30.300999999999998</v>
      </c>
      <c r="P116" s="6">
        <v>0</v>
      </c>
      <c r="Q116" s="4" t="s">
        <v>26</v>
      </c>
      <c r="R116" s="4">
        <v>0</v>
      </c>
      <c r="S116" s="4">
        <v>0</v>
      </c>
      <c r="T116" s="4">
        <v>5</v>
      </c>
      <c r="U116" s="4">
        <v>75</v>
      </c>
      <c r="V116" s="71">
        <f>IF(ISERROR(VLOOKUP($S$116,'TAR FIN'!$A$1:$O$108,15,0)),0,VLOOKUP($S$116,'TAR FIN'!$A$1:$O$108,15,0))</f>
        <v>0</v>
      </c>
      <c r="W116" s="71">
        <f>IF(ISERROR(VLOOKUP($T$116,'TAR FIN'!$A$1:$O$108,15,0)),0,VLOOKUP($T$116,'TAR FIN'!$A$1:$O$108,15,0))*(1-0.06)</f>
        <v>1367.6623999999999</v>
      </c>
      <c r="X116" s="71">
        <f>IF(ISERROR(VLOOKUP($U$116,'TAR FIN'!$A$1:$O$108,15,0)),0,VLOOKUP($U$116,'TAR FIN'!$A$1:$O$108,15,0))*(1-0.06)</f>
        <v>149.86420000000001</v>
      </c>
      <c r="Y116" s="71"/>
      <c r="Z116" s="71">
        <f ca="1">('TUSD BE'!$AM$27+'TUSD BF'!$AM$27+'TUSD CVA'!$AM$27)*1*(1-0.03)</f>
        <v>1452.9533669299533</v>
      </c>
      <c r="AA116" s="71">
        <f>('TE BE'!$AB$10+'TE BF'!$AB$10+'TE CVA'!$AB$10)*1*(1-0.03)</f>
        <v>312.46103067547443</v>
      </c>
      <c r="AB116" s="71">
        <f>(SUBSIDIO!$J$116*SUBSIDIO!$V$116)*(0.06)/(1-0.06)</f>
        <v>0</v>
      </c>
      <c r="AC116" s="71">
        <f>((SUBSIDIO!$L$116*SUBSIDIO!$W$116)+(SUBSIDIO!$N$116*SUBSIDIO!$X$116))*(0.06)/(1-0.06)</f>
        <v>2935.0578833999994</v>
      </c>
      <c r="AD116" s="71">
        <f>(SUBSIDIO!$J$116*SUBSIDIO!$Y$116)*(0.03)/(1-0.03)</f>
        <v>0</v>
      </c>
      <c r="AE116" s="71">
        <f ca="1">((SUBSIDIO!$L$116*SUBSIDIO!$Z$116)+(SUBSIDIO!$N$116*SUBSIDIO!$AA$116))*(0.03)/(1-0.03)</f>
        <v>1654.4480926342903</v>
      </c>
      <c r="AF116" s="4" t="s">
        <v>842</v>
      </c>
    </row>
    <row r="117" spans="1:32" ht="11.25" customHeight="1" x14ac:dyDescent="0.25">
      <c r="A117" s="4" t="s">
        <v>21</v>
      </c>
      <c r="B117" s="4" t="s">
        <v>41</v>
      </c>
      <c r="C117" s="4" t="s">
        <v>43</v>
      </c>
      <c r="D117" s="4" t="s">
        <v>51</v>
      </c>
      <c r="E117" s="4" t="s">
        <v>52</v>
      </c>
      <c r="F117" s="4" t="s">
        <v>25</v>
      </c>
      <c r="G117" s="4" t="s">
        <v>25</v>
      </c>
      <c r="H117" s="4" t="s">
        <v>34</v>
      </c>
      <c r="I117" s="5">
        <v>44805</v>
      </c>
      <c r="J117" s="6">
        <v>0</v>
      </c>
      <c r="K117" s="71">
        <v>0</v>
      </c>
      <c r="L117" s="6">
        <v>49.582999999999998</v>
      </c>
      <c r="M117" s="71">
        <v>49.582999999999998</v>
      </c>
      <c r="N117" s="6">
        <v>49.582999999999998</v>
      </c>
      <c r="O117" s="71">
        <v>49.582999999999998</v>
      </c>
      <c r="P117" s="6">
        <v>0</v>
      </c>
      <c r="Q117" s="4" t="s">
        <v>26</v>
      </c>
      <c r="R117" s="4">
        <v>0</v>
      </c>
      <c r="S117" s="4">
        <v>0</v>
      </c>
      <c r="T117" s="4">
        <v>5</v>
      </c>
      <c r="U117" s="4">
        <v>75</v>
      </c>
      <c r="V117" s="71">
        <f>IF(ISERROR(VLOOKUP($S$117,'TAR FIN'!$A$1:$O$108,15,0)),0,VLOOKUP($S$117,'TAR FIN'!$A$1:$O$108,15,0))</f>
        <v>0</v>
      </c>
      <c r="W117" s="71">
        <f>IF(ISERROR(VLOOKUP($T$117,'TAR FIN'!$A$1:$O$108,15,0)),0,VLOOKUP($T$117,'TAR FIN'!$A$1:$O$108,15,0))*(1-0.06)</f>
        <v>1367.6623999999999</v>
      </c>
      <c r="X117" s="71">
        <f>IF(ISERROR(VLOOKUP($U$117,'TAR FIN'!$A$1:$O$108,15,0)),0,VLOOKUP($U$117,'TAR FIN'!$A$1:$O$108,15,0))*(1-0.06)</f>
        <v>149.86420000000001</v>
      </c>
      <c r="Y117" s="71"/>
      <c r="Z117" s="71">
        <f ca="1">('TUSD BE'!$AM$27+'TUSD BF'!$AM$27+'TUSD CVA'!$AM$27)*1*(1-0.03)</f>
        <v>1452.9533669299533</v>
      </c>
      <c r="AA117" s="71">
        <f>('TE BE'!$AB$10+'TE BF'!$AB$10+'TE CVA'!$AB$10)*1*(1-0.03)</f>
        <v>312.46103067547443</v>
      </c>
      <c r="AB117" s="71">
        <f>(SUBSIDIO!$J$117*SUBSIDIO!$V$117)*(0.06)/(1-0.06)</f>
        <v>0</v>
      </c>
      <c r="AC117" s="71">
        <f>((SUBSIDIO!$L$117*SUBSIDIO!$W$117)+(SUBSIDIO!$N$117*SUBSIDIO!$X$117))*(0.06)/(1-0.06)</f>
        <v>4802.7779622000007</v>
      </c>
      <c r="AD117" s="71">
        <f>(SUBSIDIO!$J$117*SUBSIDIO!$Y$117)*(0.03)/(1-0.03)</f>
        <v>0</v>
      </c>
      <c r="AE117" s="71">
        <f ca="1">((SUBSIDIO!$L$117*SUBSIDIO!$Z$117)+(SUBSIDIO!$N$117*SUBSIDIO!$AA$117))*(0.03)/(1-0.03)</f>
        <v>2707.2538786537089</v>
      </c>
      <c r="AF117" s="4" t="s">
        <v>842</v>
      </c>
    </row>
    <row r="118" spans="1:32" ht="11.25" customHeight="1" x14ac:dyDescent="0.25">
      <c r="A118" s="4" t="s">
        <v>21</v>
      </c>
      <c r="B118" s="4" t="s">
        <v>41</v>
      </c>
      <c r="C118" s="4" t="s">
        <v>43</v>
      </c>
      <c r="D118" s="4" t="s">
        <v>51</v>
      </c>
      <c r="E118" s="4" t="s">
        <v>52</v>
      </c>
      <c r="F118" s="4" t="s">
        <v>25</v>
      </c>
      <c r="G118" s="4" t="s">
        <v>25</v>
      </c>
      <c r="H118" s="4" t="s">
        <v>34</v>
      </c>
      <c r="I118" s="5">
        <v>44835</v>
      </c>
      <c r="J118" s="6">
        <v>0</v>
      </c>
      <c r="K118" s="71">
        <v>0</v>
      </c>
      <c r="L118" s="6">
        <v>51.789000000000001</v>
      </c>
      <c r="M118" s="71">
        <v>51.789000000000001</v>
      </c>
      <c r="N118" s="6">
        <v>51.789000000000001</v>
      </c>
      <c r="O118" s="71">
        <v>51.789000000000001</v>
      </c>
      <c r="P118" s="6">
        <v>0</v>
      </c>
      <c r="Q118" s="4" t="s">
        <v>26</v>
      </c>
      <c r="R118" s="4">
        <v>0</v>
      </c>
      <c r="S118" s="4">
        <v>0</v>
      </c>
      <c r="T118" s="4">
        <v>5</v>
      </c>
      <c r="U118" s="4">
        <v>75</v>
      </c>
      <c r="V118" s="71">
        <f>IF(ISERROR(VLOOKUP($S$118,'TAR FIN'!$A$1:$O$108,15,0)),0,VLOOKUP($S$118,'TAR FIN'!$A$1:$O$108,15,0))</f>
        <v>0</v>
      </c>
      <c r="W118" s="71">
        <f>IF(ISERROR(VLOOKUP($T$118,'TAR FIN'!$A$1:$O$108,15,0)),0,VLOOKUP($T$118,'TAR FIN'!$A$1:$O$108,15,0))*(1-0.06)</f>
        <v>1367.6623999999999</v>
      </c>
      <c r="X118" s="71">
        <f>IF(ISERROR(VLOOKUP($U$118,'TAR FIN'!$A$1:$O$108,15,0)),0,VLOOKUP($U$118,'TAR FIN'!$A$1:$O$108,15,0))*(1-0.06)</f>
        <v>149.86420000000001</v>
      </c>
      <c r="Y118" s="71"/>
      <c r="Z118" s="71">
        <f ca="1">('TUSD BE'!$AM$27+'TUSD BF'!$AM$27+'TUSD CVA'!$AM$27)*1*(1-0.03)</f>
        <v>1452.9533669299533</v>
      </c>
      <c r="AA118" s="71">
        <f>('TE BE'!$AB$10+'TE BF'!$AB$10+'TE CVA'!$AB$10)*1*(1-0.03)</f>
        <v>312.46103067547443</v>
      </c>
      <c r="AB118" s="71">
        <f>(SUBSIDIO!$J$118*SUBSIDIO!$V$118)*(0.06)/(1-0.06)</f>
        <v>0</v>
      </c>
      <c r="AC118" s="71">
        <f>((SUBSIDIO!$L$118*SUBSIDIO!$W$118)+(SUBSIDIO!$N$118*SUBSIDIO!$X$118))*(0.06)/(1-0.06)</f>
        <v>5016.4586226000001</v>
      </c>
      <c r="AD118" s="71">
        <f>(SUBSIDIO!$J$118*SUBSIDIO!$Y$118)*(0.03)/(1-0.03)</f>
        <v>0</v>
      </c>
      <c r="AE118" s="71">
        <f ca="1">((SUBSIDIO!$L$118*SUBSIDIO!$Z$118)+(SUBSIDIO!$N$118*SUBSIDIO!$AA$118))*(0.03)/(1-0.03)</f>
        <v>2827.7024609563146</v>
      </c>
      <c r="AF118" s="4" t="s">
        <v>842</v>
      </c>
    </row>
    <row r="119" spans="1:32" ht="11.25" customHeight="1" x14ac:dyDescent="0.25">
      <c r="A119" s="4" t="s">
        <v>54</v>
      </c>
      <c r="B119" s="4" t="s">
        <v>41</v>
      </c>
      <c r="C119" s="4" t="s">
        <v>43</v>
      </c>
      <c r="D119" s="4" t="s">
        <v>51</v>
      </c>
      <c r="E119" s="4" t="s">
        <v>52</v>
      </c>
      <c r="F119" s="4" t="s">
        <v>25</v>
      </c>
      <c r="G119" s="4" t="s">
        <v>25</v>
      </c>
      <c r="H119" s="4" t="s">
        <v>34</v>
      </c>
      <c r="I119" s="5">
        <v>44866</v>
      </c>
      <c r="J119" s="6">
        <v>0</v>
      </c>
      <c r="K119" s="71">
        <v>0</v>
      </c>
      <c r="L119" s="6">
        <v>51.789000000000001</v>
      </c>
      <c r="M119" s="71">
        <v>51.789000000000001</v>
      </c>
      <c r="N119" s="6">
        <v>51.789000000000001</v>
      </c>
      <c r="O119" s="71">
        <v>51.789000000000001</v>
      </c>
      <c r="P119" s="6">
        <v>0</v>
      </c>
      <c r="Q119" s="4" t="s">
        <v>26</v>
      </c>
      <c r="R119" s="4">
        <v>0</v>
      </c>
      <c r="S119" s="4">
        <v>0</v>
      </c>
      <c r="T119" s="4">
        <v>5</v>
      </c>
      <c r="U119" s="4">
        <v>75</v>
      </c>
      <c r="V119" s="71">
        <f>IF(ISERROR(VLOOKUP($S$119,'TAR FIN'!$A$1:$O$108,15,0)),0,VLOOKUP($S$119,'TAR FIN'!$A$1:$O$108,15,0))</f>
        <v>0</v>
      </c>
      <c r="W119" s="71">
        <f>IF(ISERROR(VLOOKUP($T$119,'TAR FIN'!$A$1:$O$108,15,0)),0,VLOOKUP($T$119,'TAR FIN'!$A$1:$O$108,15,0))*(1-0.06)</f>
        <v>1367.6623999999999</v>
      </c>
      <c r="X119" s="71">
        <f>IF(ISERROR(VLOOKUP($U$119,'TAR FIN'!$A$1:$O$108,15,0)),0,VLOOKUP($U$119,'TAR FIN'!$A$1:$O$108,15,0))*(1-0.06)</f>
        <v>149.86420000000001</v>
      </c>
      <c r="Y119" s="71"/>
      <c r="Z119" s="71">
        <f ca="1">('TUSD BE'!$AM$27+'TUSD BF'!$AM$27+'TUSD CVA'!$AM$27)*1*(1-0.03)</f>
        <v>1452.9533669299533</v>
      </c>
      <c r="AA119" s="71">
        <f>('TE BE'!$AB$10+'TE BF'!$AB$10+'TE CVA'!$AB$10)*1*(1-0.03)</f>
        <v>312.46103067547443</v>
      </c>
      <c r="AB119" s="71">
        <f>(SUBSIDIO!$J$119*SUBSIDIO!$V$119)*(0.06)/(1-0.06)</f>
        <v>0</v>
      </c>
      <c r="AC119" s="71">
        <f>((SUBSIDIO!$L$119*SUBSIDIO!$W$119)+(SUBSIDIO!$N$119*SUBSIDIO!$X$119))*(0.06)/(1-0.06)</f>
        <v>5016.4586226000001</v>
      </c>
      <c r="AD119" s="71">
        <f>(SUBSIDIO!$J$119*SUBSIDIO!$Y$119)*(0.03)/(1-0.03)</f>
        <v>0</v>
      </c>
      <c r="AE119" s="71">
        <f ca="1">((SUBSIDIO!$L$119*SUBSIDIO!$Z$119)+(SUBSIDIO!$N$119*SUBSIDIO!$AA$119))*(0.03)/(1-0.03)</f>
        <v>2827.7024609563146</v>
      </c>
      <c r="AF119" s="4" t="s">
        <v>842</v>
      </c>
    </row>
    <row r="120" spans="1:32" ht="11.25" customHeight="1" x14ac:dyDescent="0.25">
      <c r="A120" s="4" t="s">
        <v>21</v>
      </c>
      <c r="B120" s="4" t="s">
        <v>22</v>
      </c>
      <c r="C120" s="4" t="s">
        <v>23</v>
      </c>
      <c r="D120" s="4" t="s">
        <v>24</v>
      </c>
      <c r="E120" s="4" t="s">
        <v>24</v>
      </c>
      <c r="F120" s="4" t="s">
        <v>25</v>
      </c>
      <c r="G120" s="4" t="s">
        <v>25</v>
      </c>
      <c r="H120" s="4" t="s">
        <v>25</v>
      </c>
      <c r="I120" s="5">
        <v>44531</v>
      </c>
      <c r="J120" s="6">
        <v>0</v>
      </c>
      <c r="K120" s="6">
        <v>0</v>
      </c>
      <c r="L120" s="6">
        <v>40253.358</v>
      </c>
      <c r="M120" s="6">
        <v>40253.358</v>
      </c>
      <c r="N120" s="6">
        <v>40253.358</v>
      </c>
      <c r="O120" s="6">
        <v>40253.358</v>
      </c>
      <c r="P120" s="6">
        <v>147531</v>
      </c>
      <c r="Q120" s="4" t="s">
        <v>26</v>
      </c>
      <c r="R120" s="4">
        <v>0</v>
      </c>
      <c r="S120" s="4">
        <v>0</v>
      </c>
      <c r="T120" s="4">
        <v>25</v>
      </c>
      <c r="U120" s="4">
        <v>80</v>
      </c>
      <c r="V120" s="6">
        <f>IF(ISERROR(VLOOKUP($S$120,'TAR FIN'!$A$1:$O$108,15,0)),0,VLOOKUP($S$120,'TAR FIN'!$A$1:$O$108,15,0))</f>
        <v>0</v>
      </c>
      <c r="W120" s="6">
        <f>IF(ISERROR(VLOOKUP($T$120,'TAR FIN'!$A$1:$O$108,15,0)),0,VLOOKUP($T$120,'TAR FIN'!$A$1:$O$108,15,0))</f>
        <v>432.02</v>
      </c>
      <c r="X120" s="6">
        <f>IF(ISERROR(VLOOKUP($U$120,'TAR FIN'!$A$1:$O$108,15,0)),0,VLOOKUP($U$120,'TAR FIN'!$A$1:$O$108,15,0))</f>
        <v>107.79</v>
      </c>
      <c r="Y120" s="6"/>
      <c r="Z120" s="6">
        <f ca="1">('TUSD BE'!$AM$36+'TUSD BF'!$AM$36+'TUSD CVA'!$AM$36)*1</f>
        <v>497.19204594021971</v>
      </c>
      <c r="AA120" s="6">
        <f>('TE BE'!$AB$16+'TE BF'!$AB$16+'TE CVA'!$AB$16)*1</f>
        <v>224.47961306175614</v>
      </c>
      <c r="AB120" s="6">
        <f t="shared" si="8"/>
        <v>0</v>
      </c>
      <c r="AC120" s="6">
        <f t="shared" ref="AC120" si="12">(L120-M120)*W120+(N120-O120)*X120</f>
        <v>0</v>
      </c>
      <c r="AD120" s="6">
        <f t="shared" si="10"/>
        <v>0</v>
      </c>
      <c r="AE120" s="6">
        <f t="shared" ref="AE120" ca="1" si="13">(L120-M120)*Z120+(N120-O120)*AA120</f>
        <v>0</v>
      </c>
    </row>
    <row r="121" spans="1:32" ht="11.25" customHeight="1" x14ac:dyDescent="0.25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29</v>
      </c>
      <c r="F121" s="4" t="s">
        <v>25</v>
      </c>
      <c r="G121" s="4" t="s">
        <v>25</v>
      </c>
      <c r="H121" s="4" t="s">
        <v>25</v>
      </c>
      <c r="I121" s="5">
        <v>44531</v>
      </c>
      <c r="J121" s="6">
        <v>0</v>
      </c>
      <c r="K121" s="6">
        <v>0</v>
      </c>
      <c r="L121" s="6">
        <v>883.92</v>
      </c>
      <c r="M121" s="6">
        <v>883.92</v>
      </c>
      <c r="N121" s="6">
        <v>883.92</v>
      </c>
      <c r="O121" s="6">
        <v>883.92</v>
      </c>
      <c r="P121" s="6">
        <v>7608</v>
      </c>
      <c r="Q121" s="4" t="s">
        <v>26</v>
      </c>
      <c r="R121" s="4">
        <v>0</v>
      </c>
      <c r="S121" s="4">
        <v>0</v>
      </c>
      <c r="T121" s="4">
        <v>28</v>
      </c>
      <c r="U121" s="4">
        <v>81</v>
      </c>
      <c r="V121" s="6">
        <f>IF(ISERROR(VLOOKUP($S$121,'TAR FIN'!$A$1:$O$108,15,0)),0,VLOOKUP($S$121,'TAR FIN'!$A$1:$O$108,15,0))</f>
        <v>0</v>
      </c>
      <c r="W121" s="6">
        <f>IF(ISERROR(VLOOKUP($T$121,'TAR FIN'!$A$1:$O$108,15,0)),0,VLOOKUP($T$121,'TAR FIN'!$A$1:$O$108,15,0))</f>
        <v>132.01</v>
      </c>
      <c r="X121" s="6">
        <f>IF(ISERROR(VLOOKUP($U$121,'TAR FIN'!$A$1:$O$108,15,0)),0,VLOOKUP($U$121,'TAR FIN'!$A$1:$O$108,15,0))</f>
        <v>37.729999999999997</v>
      </c>
      <c r="Y121" s="6"/>
      <c r="Z12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1" s="6">
        <f>('TE BE'!$AB$17+'TE BF'!$AB$17+'TE CVA'!$AB$17)*(1-CUSTOS!$M$34)</f>
        <v>78.567864571614649</v>
      </c>
      <c r="AB121" s="6">
        <f t="shared" si="8"/>
        <v>0</v>
      </c>
      <c r="AC121" s="6">
        <f>(L121-M121)*(W121+X121)+($W$193+$X$193-$W$121-$X$121)*(L121)</f>
        <v>278638.10159999999</v>
      </c>
      <c r="AD121" s="6">
        <f t="shared" si="10"/>
        <v>0</v>
      </c>
      <c r="AE121" s="6">
        <f ca="1">(L121-M121)*(Z121+AA121)+($Z$193+$AA$193-$Z$121-$AA$121)*(L121)</f>
        <v>357314.12482506339</v>
      </c>
      <c r="AF121" s="4" t="s">
        <v>844</v>
      </c>
    </row>
    <row r="122" spans="1:32" ht="11.25" customHeight="1" x14ac:dyDescent="0.25">
      <c r="A122" s="4" t="s">
        <v>27</v>
      </c>
      <c r="B122" s="4" t="s">
        <v>22</v>
      </c>
      <c r="C122" s="4" t="s">
        <v>23</v>
      </c>
      <c r="D122" s="4" t="s">
        <v>24</v>
      </c>
      <c r="E122" s="4" t="s">
        <v>29</v>
      </c>
      <c r="F122" s="4" t="s">
        <v>25</v>
      </c>
      <c r="G122" s="4" t="s">
        <v>25</v>
      </c>
      <c r="H122" s="4" t="s">
        <v>25</v>
      </c>
      <c r="I122" s="5">
        <v>44531</v>
      </c>
      <c r="J122" s="6">
        <v>0</v>
      </c>
      <c r="K122" s="6">
        <v>0</v>
      </c>
      <c r="L122" s="6">
        <v>-1.26</v>
      </c>
      <c r="M122" s="6">
        <v>-1.26</v>
      </c>
      <c r="N122" s="6">
        <v>-1.26</v>
      </c>
      <c r="O122" s="6">
        <v>-1.26</v>
      </c>
      <c r="P122" s="6">
        <v>10</v>
      </c>
      <c r="Q122" s="4" t="s">
        <v>26</v>
      </c>
      <c r="R122" s="4">
        <v>0</v>
      </c>
      <c r="S122" s="4">
        <v>0</v>
      </c>
      <c r="T122" s="4">
        <v>28</v>
      </c>
      <c r="U122" s="4">
        <v>81</v>
      </c>
      <c r="V122" s="6">
        <f>IF(ISERROR(VLOOKUP($S$122,'TAR FIN'!$A$1:$O$108,15,0)),0,VLOOKUP($S$122,'TAR FIN'!$A$1:$O$108,15,0))</f>
        <v>0</v>
      </c>
      <c r="W122" s="6">
        <f>IF(ISERROR(VLOOKUP($T$122,'TAR FIN'!$A$1:$O$108,15,0)),0,VLOOKUP($T$122,'TAR FIN'!$A$1:$O$108,15,0))</f>
        <v>132.01</v>
      </c>
      <c r="X122" s="6">
        <f>IF(ISERROR(VLOOKUP($U$122,'TAR FIN'!$A$1:$O$108,15,0)),0,VLOOKUP($U$122,'TAR FIN'!$A$1:$O$108,15,0))</f>
        <v>37.729999999999997</v>
      </c>
      <c r="Y122" s="6"/>
      <c r="Z122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2" s="6">
        <f>('TE BE'!$AB$17+'TE BF'!$AB$17+'TE CVA'!$AB$17)*(1-CUSTOS!$M$34)</f>
        <v>78.567864571614649</v>
      </c>
      <c r="AB122" s="6">
        <f t="shared" si="8"/>
        <v>0</v>
      </c>
      <c r="AC122" s="6">
        <f>(L122-M122)*(W122+X122)+($W$193+$X$193-$W$122-$X$122)*(L122)</f>
        <v>-397.18980000000005</v>
      </c>
      <c r="AD122" s="6">
        <f t="shared" si="10"/>
        <v>0</v>
      </c>
      <c r="AE122" s="6">
        <f ca="1">(L122-M122)*(Z122+AA122)+($Z$193+$AA$193-$Z$122-$AA$122)*(L122)</f>
        <v>-509.33998244137467</v>
      </c>
      <c r="AF122" s="4" t="s">
        <v>844</v>
      </c>
    </row>
    <row r="123" spans="1:32" ht="11.25" customHeight="1" x14ac:dyDescent="0.25">
      <c r="A123" s="4" t="s">
        <v>21</v>
      </c>
      <c r="B123" s="4" t="s">
        <v>22</v>
      </c>
      <c r="C123" s="4" t="s">
        <v>23</v>
      </c>
      <c r="D123" s="4" t="s">
        <v>24</v>
      </c>
      <c r="E123" s="4" t="s">
        <v>29</v>
      </c>
      <c r="F123" s="4" t="s">
        <v>25</v>
      </c>
      <c r="G123" s="4" t="s">
        <v>25</v>
      </c>
      <c r="H123" s="4" t="s">
        <v>25</v>
      </c>
      <c r="I123" s="5">
        <v>44562</v>
      </c>
      <c r="J123" s="6">
        <v>0</v>
      </c>
      <c r="K123" s="6">
        <v>0</v>
      </c>
      <c r="L123" s="6">
        <v>1005.244</v>
      </c>
      <c r="M123" s="6">
        <v>1005.244</v>
      </c>
      <c r="N123" s="6">
        <v>1005.244</v>
      </c>
      <c r="O123" s="6">
        <v>1005.244</v>
      </c>
      <c r="P123" s="6">
        <v>8298</v>
      </c>
      <c r="Q123" s="4" t="s">
        <v>26</v>
      </c>
      <c r="R123" s="4">
        <v>0</v>
      </c>
      <c r="S123" s="4">
        <v>0</v>
      </c>
      <c r="T123" s="4">
        <v>28</v>
      </c>
      <c r="U123" s="4">
        <v>81</v>
      </c>
      <c r="V123" s="6">
        <f>IF(ISERROR(VLOOKUP($S$123,'TAR FIN'!$A$1:$O$108,15,0)),0,VLOOKUP($S$123,'TAR FIN'!$A$1:$O$108,15,0))</f>
        <v>0</v>
      </c>
      <c r="W123" s="6">
        <f>IF(ISERROR(VLOOKUP($T$123,'TAR FIN'!$A$1:$O$108,15,0)),0,VLOOKUP($T$123,'TAR FIN'!$A$1:$O$108,15,0))</f>
        <v>132.01</v>
      </c>
      <c r="X123" s="6">
        <f>IF(ISERROR(VLOOKUP($U$123,'TAR FIN'!$A$1:$O$108,15,0)),0,VLOOKUP($U$123,'TAR FIN'!$A$1:$O$108,15,0))</f>
        <v>37.729999999999997</v>
      </c>
      <c r="Y123" s="6"/>
      <c r="Z123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3" s="6">
        <f>('TE BE'!$AB$17+'TE BF'!$AB$17+'TE CVA'!$AB$17)*(1-CUSTOS!$M$34)</f>
        <v>78.567864571614649</v>
      </c>
      <c r="AB123" s="6">
        <f t="shared" si="8"/>
        <v>0</v>
      </c>
      <c r="AC123" s="6">
        <f>(L123-M123)*(W123+X123)+($W$193+$X$193-$W$123-$X$123)*(L123)</f>
        <v>316883.06612000003</v>
      </c>
      <c r="AD123" s="6">
        <f t="shared" si="10"/>
        <v>0</v>
      </c>
      <c r="AE123" s="6">
        <f ca="1">(L123-M123)*(Z123+AA123)+($Z$193+$AA$193-$Z$123-$AA$123)*(L123)</f>
        <v>406357.90580102958</v>
      </c>
      <c r="AF123" s="4" t="s">
        <v>844</v>
      </c>
    </row>
    <row r="124" spans="1:32" ht="11.25" customHeight="1" x14ac:dyDescent="0.25">
      <c r="A124" s="4" t="s">
        <v>27</v>
      </c>
      <c r="B124" s="4" t="s">
        <v>22</v>
      </c>
      <c r="C124" s="4" t="s">
        <v>23</v>
      </c>
      <c r="D124" s="4" t="s">
        <v>24</v>
      </c>
      <c r="E124" s="4" t="s">
        <v>29</v>
      </c>
      <c r="F124" s="4" t="s">
        <v>25</v>
      </c>
      <c r="G124" s="4" t="s">
        <v>25</v>
      </c>
      <c r="H124" s="4" t="s">
        <v>25</v>
      </c>
      <c r="I124" s="5">
        <v>44562</v>
      </c>
      <c r="J124" s="6">
        <v>0</v>
      </c>
      <c r="K124" s="6">
        <v>0</v>
      </c>
      <c r="L124" s="6">
        <v>-2.88</v>
      </c>
      <c r="M124" s="6">
        <v>-2.88</v>
      </c>
      <c r="N124" s="6">
        <v>-2.88</v>
      </c>
      <c r="O124" s="6">
        <v>-2.88</v>
      </c>
      <c r="P124" s="6">
        <v>41</v>
      </c>
      <c r="Q124" s="4" t="s">
        <v>26</v>
      </c>
      <c r="R124" s="4">
        <v>0</v>
      </c>
      <c r="S124" s="4">
        <v>0</v>
      </c>
      <c r="T124" s="4">
        <v>28</v>
      </c>
      <c r="U124" s="4">
        <v>81</v>
      </c>
      <c r="V124" s="6">
        <f>IF(ISERROR(VLOOKUP($S$124,'TAR FIN'!$A$1:$O$108,15,0)),0,VLOOKUP($S$124,'TAR FIN'!$A$1:$O$108,15,0))</f>
        <v>0</v>
      </c>
      <c r="W124" s="6">
        <f>IF(ISERROR(VLOOKUP($T$124,'TAR FIN'!$A$1:$O$108,15,0)),0,VLOOKUP($T$124,'TAR FIN'!$A$1:$O$108,15,0))</f>
        <v>132.01</v>
      </c>
      <c r="X124" s="6">
        <f>IF(ISERROR(VLOOKUP($U$124,'TAR FIN'!$A$1:$O$108,15,0)),0,VLOOKUP($U$124,'TAR FIN'!$A$1:$O$108,15,0))</f>
        <v>37.729999999999997</v>
      </c>
      <c r="Y124" s="6"/>
      <c r="Z124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4" s="6">
        <f>('TE BE'!$AB$17+'TE BF'!$AB$17+'TE CVA'!$AB$17)*(1-CUSTOS!$M$34)</f>
        <v>78.567864571614649</v>
      </c>
      <c r="AB124" s="6">
        <f t="shared" si="8"/>
        <v>0</v>
      </c>
      <c r="AC124" s="6">
        <f>(L124-M124)*(W124+X124)+($W$193+$X$193-$W$124-$X$124)*(L124)</f>
        <v>-907.86239999999998</v>
      </c>
      <c r="AD124" s="6">
        <f t="shared" si="10"/>
        <v>0</v>
      </c>
      <c r="AE124" s="6">
        <f ca="1">(L124-M124)*(Z124+AA124)+($Z$193+$AA$193-$Z$124-$AA$124)*(L124)</f>
        <v>-1164.2056741517135</v>
      </c>
      <c r="AF124" s="4" t="s">
        <v>844</v>
      </c>
    </row>
    <row r="125" spans="1:32" ht="11.25" customHeight="1" x14ac:dyDescent="0.25">
      <c r="A125" s="4" t="s">
        <v>21</v>
      </c>
      <c r="B125" s="4" t="s">
        <v>22</v>
      </c>
      <c r="C125" s="4" t="s">
        <v>23</v>
      </c>
      <c r="D125" s="4" t="s">
        <v>24</v>
      </c>
      <c r="E125" s="4" t="s">
        <v>29</v>
      </c>
      <c r="F125" s="4" t="s">
        <v>25</v>
      </c>
      <c r="G125" s="4" t="s">
        <v>25</v>
      </c>
      <c r="H125" s="4" t="s">
        <v>25</v>
      </c>
      <c r="I125" s="5">
        <v>44593</v>
      </c>
      <c r="J125" s="6">
        <v>0</v>
      </c>
      <c r="K125" s="6">
        <v>0</v>
      </c>
      <c r="L125" s="6">
        <v>986.51300000000003</v>
      </c>
      <c r="M125" s="6">
        <v>986.51300000000003</v>
      </c>
      <c r="N125" s="6">
        <v>986.51300000000003</v>
      </c>
      <c r="O125" s="6">
        <v>986.51300000000003</v>
      </c>
      <c r="P125" s="6">
        <v>7055</v>
      </c>
      <c r="Q125" s="4" t="s">
        <v>26</v>
      </c>
      <c r="R125" s="4">
        <v>0</v>
      </c>
      <c r="S125" s="4">
        <v>0</v>
      </c>
      <c r="T125" s="4">
        <v>28</v>
      </c>
      <c r="U125" s="4">
        <v>81</v>
      </c>
      <c r="V125" s="6">
        <f>IF(ISERROR(VLOOKUP($S$125,'TAR FIN'!$A$1:$O$108,15,0)),0,VLOOKUP($S$125,'TAR FIN'!$A$1:$O$108,15,0))</f>
        <v>0</v>
      </c>
      <c r="W125" s="6">
        <f>IF(ISERROR(VLOOKUP($T$125,'TAR FIN'!$A$1:$O$108,15,0)),0,VLOOKUP($T$125,'TAR FIN'!$A$1:$O$108,15,0))</f>
        <v>132.01</v>
      </c>
      <c r="X125" s="6">
        <f>IF(ISERROR(VLOOKUP($U$125,'TAR FIN'!$A$1:$O$108,15,0)),0,VLOOKUP($U$125,'TAR FIN'!$A$1:$O$108,15,0))</f>
        <v>37.729999999999997</v>
      </c>
      <c r="Y125" s="6"/>
      <c r="Z125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5" s="6">
        <f>('TE BE'!$AB$17+'TE BF'!$AB$17+'TE CVA'!$AB$17)*(1-CUSTOS!$M$34)</f>
        <v>78.567864571614649</v>
      </c>
      <c r="AB125" s="6">
        <f t="shared" si="8"/>
        <v>0</v>
      </c>
      <c r="AC125" s="6">
        <f>(L125-M125)*(W125+X125)+($W$193+$X$193-$W$125-$X$125)*(L125)</f>
        <v>310978.49299000006</v>
      </c>
      <c r="AD125" s="6">
        <f t="shared" si="10"/>
        <v>0</v>
      </c>
      <c r="AE125" s="6">
        <f ca="1">(L125-M125)*(Z125+AA125)+($Z$193+$AA$193-$Z$125-$AA$125)*(L125)</f>
        <v>398786.12230014912</v>
      </c>
      <c r="AF125" s="4" t="s">
        <v>844</v>
      </c>
    </row>
    <row r="126" spans="1:32" ht="11.25" customHeight="1" x14ac:dyDescent="0.25">
      <c r="A126" s="4" t="s">
        <v>27</v>
      </c>
      <c r="B126" s="4" t="s">
        <v>22</v>
      </c>
      <c r="C126" s="4" t="s">
        <v>23</v>
      </c>
      <c r="D126" s="4" t="s">
        <v>24</v>
      </c>
      <c r="E126" s="4" t="s">
        <v>29</v>
      </c>
      <c r="F126" s="4" t="s">
        <v>25</v>
      </c>
      <c r="G126" s="4" t="s">
        <v>25</v>
      </c>
      <c r="H126" s="4" t="s">
        <v>25</v>
      </c>
      <c r="I126" s="5">
        <v>44593</v>
      </c>
      <c r="J126" s="6">
        <v>0</v>
      </c>
      <c r="K126" s="6">
        <v>0</v>
      </c>
      <c r="L126" s="6">
        <v>-5.37</v>
      </c>
      <c r="M126" s="6">
        <v>-5.37</v>
      </c>
      <c r="N126" s="6">
        <v>-5.37</v>
      </c>
      <c r="O126" s="6">
        <v>-5.37</v>
      </c>
      <c r="P126" s="6">
        <v>-95</v>
      </c>
      <c r="Q126" s="4" t="s">
        <v>26</v>
      </c>
      <c r="R126" s="4">
        <v>0</v>
      </c>
      <c r="S126" s="4">
        <v>0</v>
      </c>
      <c r="T126" s="4">
        <v>28</v>
      </c>
      <c r="U126" s="4">
        <v>81</v>
      </c>
      <c r="V126" s="6">
        <f>IF(ISERROR(VLOOKUP($S$126,'TAR FIN'!$A$1:$O$108,15,0)),0,VLOOKUP($S$126,'TAR FIN'!$A$1:$O$108,15,0))</f>
        <v>0</v>
      </c>
      <c r="W126" s="6">
        <f>IF(ISERROR(VLOOKUP($T$126,'TAR FIN'!$A$1:$O$108,15,0)),0,VLOOKUP($T$126,'TAR FIN'!$A$1:$O$108,15,0))</f>
        <v>132.01</v>
      </c>
      <c r="X126" s="6">
        <f>IF(ISERROR(VLOOKUP($U$126,'TAR FIN'!$A$1:$O$108,15,0)),0,VLOOKUP($U$126,'TAR FIN'!$A$1:$O$108,15,0))</f>
        <v>37.729999999999997</v>
      </c>
      <c r="Y126" s="6"/>
      <c r="Z126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6" s="6">
        <f>('TE BE'!$AB$17+'TE BF'!$AB$17+'TE CVA'!$AB$17)*(1-CUSTOS!$M$34)</f>
        <v>78.567864571614649</v>
      </c>
      <c r="AB126" s="6">
        <f t="shared" si="8"/>
        <v>0</v>
      </c>
      <c r="AC126" s="6">
        <f>(L126-M126)*(W126+X126)+($W$193+$X$193-$W$126-$X$126)*(L126)</f>
        <v>-1692.7851000000001</v>
      </c>
      <c r="AD126" s="6">
        <f t="shared" si="10"/>
        <v>0</v>
      </c>
      <c r="AE126" s="6">
        <f ca="1">(L126-M126)*(Z126+AA126)+($Z$193+$AA$193-$Z$126-$AA$126)*(L126)</f>
        <v>-2170.7584965953824</v>
      </c>
      <c r="AF126" s="4" t="s">
        <v>844</v>
      </c>
    </row>
    <row r="127" spans="1:32" ht="11.25" customHeight="1" x14ac:dyDescent="0.25">
      <c r="A127" s="4" t="s">
        <v>21</v>
      </c>
      <c r="B127" s="4" t="s">
        <v>22</v>
      </c>
      <c r="C127" s="4" t="s">
        <v>23</v>
      </c>
      <c r="D127" s="4" t="s">
        <v>24</v>
      </c>
      <c r="E127" s="4" t="s">
        <v>29</v>
      </c>
      <c r="F127" s="4" t="s">
        <v>25</v>
      </c>
      <c r="G127" s="4" t="s">
        <v>25</v>
      </c>
      <c r="H127" s="4" t="s">
        <v>25</v>
      </c>
      <c r="I127" s="5">
        <v>44621</v>
      </c>
      <c r="J127" s="6">
        <v>0</v>
      </c>
      <c r="K127" s="6">
        <v>0</v>
      </c>
      <c r="L127" s="6">
        <v>977.62699999999995</v>
      </c>
      <c r="M127" s="6">
        <v>977.62699999999995</v>
      </c>
      <c r="N127" s="6">
        <v>977.62699999999995</v>
      </c>
      <c r="O127" s="6">
        <v>977.62699999999995</v>
      </c>
      <c r="P127" s="6">
        <v>6688</v>
      </c>
      <c r="Q127" s="4" t="s">
        <v>26</v>
      </c>
      <c r="R127" s="4">
        <v>0</v>
      </c>
      <c r="S127" s="4">
        <v>0</v>
      </c>
      <c r="T127" s="4">
        <v>28</v>
      </c>
      <c r="U127" s="4">
        <v>81</v>
      </c>
      <c r="V127" s="6">
        <f>IF(ISERROR(VLOOKUP($S$127,'TAR FIN'!$A$1:$O$108,15,0)),0,VLOOKUP($S$127,'TAR FIN'!$A$1:$O$108,15,0))</f>
        <v>0</v>
      </c>
      <c r="W127" s="6">
        <f>IF(ISERROR(VLOOKUP($T$127,'TAR FIN'!$A$1:$O$108,15,0)),0,VLOOKUP($T$127,'TAR FIN'!$A$1:$O$108,15,0))</f>
        <v>132.01</v>
      </c>
      <c r="X127" s="6">
        <f>IF(ISERROR(VLOOKUP($U$127,'TAR FIN'!$A$1:$O$108,15,0)),0,VLOOKUP($U$127,'TAR FIN'!$A$1:$O$108,15,0))</f>
        <v>37.729999999999997</v>
      </c>
      <c r="Y127" s="6"/>
      <c r="Z127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7" s="6">
        <f>('TE BE'!$AB$17+'TE BF'!$AB$17+'TE CVA'!$AB$17)*(1-CUSTOS!$M$34)</f>
        <v>78.567864571614649</v>
      </c>
      <c r="AB127" s="6">
        <f t="shared" si="8"/>
        <v>0</v>
      </c>
      <c r="AC127" s="6">
        <f>(L127-M127)*(W127+X127)+($W$193+$X$193-$W$127-$X$127)*(L127)</f>
        <v>308177.35921000002</v>
      </c>
      <c r="AD127" s="6">
        <f t="shared" si="10"/>
        <v>0</v>
      </c>
      <c r="AE127" s="6">
        <f ca="1">(L127-M127)*(Z127+AA127)+($Z$193+$AA$193-$Z$127-$AA$127)*(L127)</f>
        <v>395194.06270969351</v>
      </c>
      <c r="AF127" s="4" t="s">
        <v>844</v>
      </c>
    </row>
    <row r="128" spans="1:32" ht="11.25" customHeight="1" x14ac:dyDescent="0.25">
      <c r="A128" s="4" t="s">
        <v>27</v>
      </c>
      <c r="B128" s="4" t="s">
        <v>22</v>
      </c>
      <c r="C128" s="4" t="s">
        <v>23</v>
      </c>
      <c r="D128" s="4" t="s">
        <v>24</v>
      </c>
      <c r="E128" s="4" t="s">
        <v>29</v>
      </c>
      <c r="F128" s="4" t="s">
        <v>25</v>
      </c>
      <c r="G128" s="4" t="s">
        <v>25</v>
      </c>
      <c r="H128" s="4" t="s">
        <v>25</v>
      </c>
      <c r="I128" s="5">
        <v>44621</v>
      </c>
      <c r="J128" s="6">
        <v>0</v>
      </c>
      <c r="K128" s="6">
        <v>0</v>
      </c>
      <c r="L128" s="6">
        <v>-7.5</v>
      </c>
      <c r="M128" s="6">
        <v>-7.5</v>
      </c>
      <c r="N128" s="6">
        <v>-7.5</v>
      </c>
      <c r="O128" s="6">
        <v>-7.5</v>
      </c>
      <c r="P128" s="6">
        <v>-11</v>
      </c>
      <c r="Q128" s="4" t="s">
        <v>26</v>
      </c>
      <c r="R128" s="4">
        <v>0</v>
      </c>
      <c r="S128" s="4">
        <v>0</v>
      </c>
      <c r="T128" s="4">
        <v>28</v>
      </c>
      <c r="U128" s="4">
        <v>81</v>
      </c>
      <c r="V128" s="6">
        <f>IF(ISERROR(VLOOKUP($S$128,'TAR FIN'!$A$1:$O$108,15,0)),0,VLOOKUP($S$128,'TAR FIN'!$A$1:$O$108,15,0))</f>
        <v>0</v>
      </c>
      <c r="W128" s="6">
        <f>IF(ISERROR(VLOOKUP($T$128,'TAR FIN'!$A$1:$O$108,15,0)),0,VLOOKUP($T$128,'TAR FIN'!$A$1:$O$108,15,0))</f>
        <v>132.01</v>
      </c>
      <c r="X128" s="6">
        <f>IF(ISERROR(VLOOKUP($U$128,'TAR FIN'!$A$1:$O$108,15,0)),0,VLOOKUP($U$128,'TAR FIN'!$A$1:$O$108,15,0))</f>
        <v>37.729999999999997</v>
      </c>
      <c r="Y128" s="6"/>
      <c r="Z128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8" s="6">
        <f>('TE BE'!$AB$17+'TE BF'!$AB$17+'TE CVA'!$AB$17)*(1-CUSTOS!$M$34)</f>
        <v>78.567864571614649</v>
      </c>
      <c r="AB128" s="6">
        <f t="shared" si="8"/>
        <v>0</v>
      </c>
      <c r="AC128" s="6">
        <f>(L128-M128)*(W128+X128)+($W$193+$X$193-$W$128-$X$128)*(L128)</f>
        <v>-2364.2250000000004</v>
      </c>
      <c r="AD128" s="6">
        <f t="shared" si="10"/>
        <v>0</v>
      </c>
      <c r="AE128" s="6">
        <f ca="1">(L128-M128)*(Z128+AA128)+($Z$193+$AA$193-$Z$128-$AA$128)*(L128)</f>
        <v>-3031.7856097700874</v>
      </c>
      <c r="AF128" s="4" t="s">
        <v>844</v>
      </c>
    </row>
    <row r="129" spans="1:32" ht="11.25" customHeight="1" x14ac:dyDescent="0.25">
      <c r="A129" s="4" t="s">
        <v>21</v>
      </c>
      <c r="B129" s="4" t="s">
        <v>22</v>
      </c>
      <c r="C129" s="4" t="s">
        <v>23</v>
      </c>
      <c r="D129" s="4" t="s">
        <v>24</v>
      </c>
      <c r="E129" s="4" t="s">
        <v>29</v>
      </c>
      <c r="F129" s="4" t="s">
        <v>25</v>
      </c>
      <c r="G129" s="4" t="s">
        <v>25</v>
      </c>
      <c r="H129" s="4" t="s">
        <v>25</v>
      </c>
      <c r="I129" s="5">
        <v>44652</v>
      </c>
      <c r="J129" s="6">
        <v>0</v>
      </c>
      <c r="K129" s="6">
        <v>0</v>
      </c>
      <c r="L129" s="6">
        <v>1040.925</v>
      </c>
      <c r="M129" s="6">
        <v>1040.925</v>
      </c>
      <c r="N129" s="6">
        <v>1040.925</v>
      </c>
      <c r="O129" s="6">
        <v>1040.925</v>
      </c>
      <c r="P129" s="6">
        <v>6942</v>
      </c>
      <c r="Q129" s="4" t="s">
        <v>26</v>
      </c>
      <c r="R129" s="4">
        <v>0</v>
      </c>
      <c r="S129" s="4">
        <v>0</v>
      </c>
      <c r="T129" s="4">
        <v>28</v>
      </c>
      <c r="U129" s="4">
        <v>81</v>
      </c>
      <c r="V129" s="6">
        <f>IF(ISERROR(VLOOKUP($S$129,'TAR FIN'!$A$1:$O$108,15,0)),0,VLOOKUP($S$129,'TAR FIN'!$A$1:$O$108,15,0))</f>
        <v>0</v>
      </c>
      <c r="W129" s="6">
        <f>IF(ISERROR(VLOOKUP($T$129,'TAR FIN'!$A$1:$O$108,15,0)),0,VLOOKUP($T$129,'TAR FIN'!$A$1:$O$108,15,0))</f>
        <v>132.01</v>
      </c>
      <c r="X129" s="6">
        <f>IF(ISERROR(VLOOKUP($U$129,'TAR FIN'!$A$1:$O$108,15,0)),0,VLOOKUP($U$129,'TAR FIN'!$A$1:$O$108,15,0))</f>
        <v>37.729999999999997</v>
      </c>
      <c r="Y129" s="6"/>
      <c r="Z129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29" s="6">
        <f>('TE BE'!$AB$17+'TE BF'!$AB$17+'TE CVA'!$AB$17)*(1-CUSTOS!$M$34)</f>
        <v>78.567864571614649</v>
      </c>
      <c r="AB129" s="6">
        <f t="shared" si="8"/>
        <v>0</v>
      </c>
      <c r="AC129" s="6">
        <f>(L129-M129)*(W129+X129)+($W$193+$X$193-$W$129-$X$129)*(L129)</f>
        <v>328130.78775000002</v>
      </c>
      <c r="AD129" s="6">
        <f t="shared" si="10"/>
        <v>0</v>
      </c>
      <c r="AE129" s="6">
        <f ca="1">(L129-M129)*(Z129+AA129)+($Z$193+$AA$193-$Z$129-$AA$129)*(L129)</f>
        <v>420781.52477999043</v>
      </c>
      <c r="AF129" s="4" t="s">
        <v>844</v>
      </c>
    </row>
    <row r="130" spans="1:32" ht="11.25" customHeight="1" x14ac:dyDescent="0.25">
      <c r="A130" s="4" t="s">
        <v>27</v>
      </c>
      <c r="B130" s="4" t="s">
        <v>22</v>
      </c>
      <c r="C130" s="4" t="s">
        <v>23</v>
      </c>
      <c r="D130" s="4" t="s">
        <v>24</v>
      </c>
      <c r="E130" s="4" t="s">
        <v>29</v>
      </c>
      <c r="F130" s="4" t="s">
        <v>25</v>
      </c>
      <c r="G130" s="4" t="s">
        <v>25</v>
      </c>
      <c r="H130" s="4" t="s">
        <v>25</v>
      </c>
      <c r="I130" s="5">
        <v>44652</v>
      </c>
      <c r="J130" s="6">
        <v>0</v>
      </c>
      <c r="K130" s="6">
        <v>0</v>
      </c>
      <c r="L130" s="6">
        <v>-12.09</v>
      </c>
      <c r="M130" s="6">
        <v>-12.09</v>
      </c>
      <c r="N130" s="6">
        <v>-12.09</v>
      </c>
      <c r="O130" s="6">
        <v>-12.09</v>
      </c>
      <c r="P130" s="6">
        <v>-197</v>
      </c>
      <c r="Q130" s="4" t="s">
        <v>26</v>
      </c>
      <c r="R130" s="4">
        <v>0</v>
      </c>
      <c r="S130" s="4">
        <v>0</v>
      </c>
      <c r="T130" s="4">
        <v>28</v>
      </c>
      <c r="U130" s="4">
        <v>81</v>
      </c>
      <c r="V130" s="6">
        <f>IF(ISERROR(VLOOKUP($S$130,'TAR FIN'!$A$1:$O$108,15,0)),0,VLOOKUP($S$130,'TAR FIN'!$A$1:$O$108,15,0))</f>
        <v>0</v>
      </c>
      <c r="W130" s="6">
        <f>IF(ISERROR(VLOOKUP($T$130,'TAR FIN'!$A$1:$O$108,15,0)),0,VLOOKUP($T$130,'TAR FIN'!$A$1:$O$108,15,0))</f>
        <v>132.01</v>
      </c>
      <c r="X130" s="6">
        <f>IF(ISERROR(VLOOKUP($U$130,'TAR FIN'!$A$1:$O$108,15,0)),0,VLOOKUP($U$130,'TAR FIN'!$A$1:$O$108,15,0))</f>
        <v>37.729999999999997</v>
      </c>
      <c r="Y130" s="6"/>
      <c r="Z130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0" s="6">
        <f>('TE BE'!$AB$17+'TE BF'!$AB$17+'TE CVA'!$AB$17)*(1-CUSTOS!$M$34)</f>
        <v>78.567864571614649</v>
      </c>
      <c r="AB130" s="6">
        <f t="shared" ref="AB130:AB193" si="14">(J130-K130)*V130</f>
        <v>0</v>
      </c>
      <c r="AC130" s="6">
        <f>(L130-M130)*(W130+X130)+($W$193+$X$193-$W$130-$X$130)*(L130)</f>
        <v>-3811.1307000000002</v>
      </c>
      <c r="AD130" s="6">
        <f t="shared" ref="AD130:AD193" si="15">(J130-K130)*Y130</f>
        <v>0</v>
      </c>
      <c r="AE130" s="6">
        <f ca="1">(L130-M130)*(Z130+AA130)+($Z$193+$AA$193-$Z$130-$AA$130)*(L130)</f>
        <v>-4887.2384029493805</v>
      </c>
      <c r="AF130" s="4" t="s">
        <v>844</v>
      </c>
    </row>
    <row r="131" spans="1:32" ht="11.25" customHeight="1" x14ac:dyDescent="0.25">
      <c r="A131" s="4" t="s">
        <v>21</v>
      </c>
      <c r="B131" s="4" t="s">
        <v>22</v>
      </c>
      <c r="C131" s="4" t="s">
        <v>23</v>
      </c>
      <c r="D131" s="4" t="s">
        <v>24</v>
      </c>
      <c r="E131" s="4" t="s">
        <v>29</v>
      </c>
      <c r="F131" s="4" t="s">
        <v>25</v>
      </c>
      <c r="G131" s="4" t="s">
        <v>25</v>
      </c>
      <c r="H131" s="4" t="s">
        <v>25</v>
      </c>
      <c r="I131" s="5">
        <v>44682</v>
      </c>
      <c r="J131" s="6">
        <v>0</v>
      </c>
      <c r="K131" s="6">
        <v>0</v>
      </c>
      <c r="L131" s="6">
        <v>1032.271</v>
      </c>
      <c r="M131" s="6">
        <v>1032.271</v>
      </c>
      <c r="N131" s="6">
        <v>1032.271</v>
      </c>
      <c r="O131" s="6">
        <v>1032.271</v>
      </c>
      <c r="P131" s="6">
        <v>6826</v>
      </c>
      <c r="Q131" s="4" t="s">
        <v>26</v>
      </c>
      <c r="R131" s="4">
        <v>0</v>
      </c>
      <c r="S131" s="4">
        <v>0</v>
      </c>
      <c r="T131" s="4">
        <v>28</v>
      </c>
      <c r="U131" s="4">
        <v>81</v>
      </c>
      <c r="V131" s="6">
        <f>IF(ISERROR(VLOOKUP($S$131,'TAR FIN'!$A$1:$O$108,15,0)),0,VLOOKUP($S$131,'TAR FIN'!$A$1:$O$108,15,0))</f>
        <v>0</v>
      </c>
      <c r="W131" s="6">
        <f>IF(ISERROR(VLOOKUP($T$131,'TAR FIN'!$A$1:$O$108,15,0)),0,VLOOKUP($T$131,'TAR FIN'!$A$1:$O$108,15,0))</f>
        <v>132.01</v>
      </c>
      <c r="X131" s="6">
        <f>IF(ISERROR(VLOOKUP($U$131,'TAR FIN'!$A$1:$O$108,15,0)),0,VLOOKUP($U$131,'TAR FIN'!$A$1:$O$108,15,0))</f>
        <v>37.729999999999997</v>
      </c>
      <c r="Y131" s="6"/>
      <c r="Z13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1" s="6">
        <f>('TE BE'!$AB$17+'TE BF'!$AB$17+'TE CVA'!$AB$17)*(1-CUSTOS!$M$34)</f>
        <v>78.567864571614649</v>
      </c>
      <c r="AB131" s="6">
        <f t="shared" si="14"/>
        <v>0</v>
      </c>
      <c r="AC131" s="6">
        <f>(L131-M131)*(W131+X131)+($W$193+$X$193-$W$131-$X$131)*(L131)</f>
        <v>325402.78733000002</v>
      </c>
      <c r="AD131" s="6">
        <f t="shared" si="15"/>
        <v>0</v>
      </c>
      <c r="AE131" s="6">
        <f ca="1">(L131-M131)*(Z131+AA131)+($Z$193+$AA$193-$Z$131-$AA$131)*(L131)</f>
        <v>417283.24842439702</v>
      </c>
      <c r="AF131" s="4" t="s">
        <v>844</v>
      </c>
    </row>
    <row r="132" spans="1:32" ht="11.25" customHeight="1" x14ac:dyDescent="0.25">
      <c r="A132" s="4" t="s">
        <v>27</v>
      </c>
      <c r="B132" s="4" t="s">
        <v>22</v>
      </c>
      <c r="C132" s="4" t="s">
        <v>23</v>
      </c>
      <c r="D132" s="4" t="s">
        <v>24</v>
      </c>
      <c r="E132" s="4" t="s">
        <v>29</v>
      </c>
      <c r="F132" s="4" t="s">
        <v>25</v>
      </c>
      <c r="G132" s="4" t="s">
        <v>25</v>
      </c>
      <c r="H132" s="4" t="s">
        <v>25</v>
      </c>
      <c r="I132" s="5">
        <v>44682</v>
      </c>
      <c r="J132" s="6">
        <v>0</v>
      </c>
      <c r="K132" s="6">
        <v>0</v>
      </c>
      <c r="L132" s="6">
        <v>-2.34</v>
      </c>
      <c r="M132" s="6">
        <v>-2.34</v>
      </c>
      <c r="N132" s="6">
        <v>-2.34</v>
      </c>
      <c r="O132" s="6">
        <v>-2.34</v>
      </c>
      <c r="P132" s="6">
        <v>27</v>
      </c>
      <c r="Q132" s="4" t="s">
        <v>26</v>
      </c>
      <c r="R132" s="4">
        <v>0</v>
      </c>
      <c r="S132" s="4">
        <v>0</v>
      </c>
      <c r="T132" s="4">
        <v>28</v>
      </c>
      <c r="U132" s="4">
        <v>81</v>
      </c>
      <c r="V132" s="6">
        <f>IF(ISERROR(VLOOKUP($S$132,'TAR FIN'!$A$1:$O$108,15,0)),0,VLOOKUP($S$132,'TAR FIN'!$A$1:$O$108,15,0))</f>
        <v>0</v>
      </c>
      <c r="W132" s="6">
        <f>IF(ISERROR(VLOOKUP($T$132,'TAR FIN'!$A$1:$O$108,15,0)),0,VLOOKUP($T$132,'TAR FIN'!$A$1:$O$108,15,0))</f>
        <v>132.01</v>
      </c>
      <c r="X132" s="6">
        <f>IF(ISERROR(VLOOKUP($U$132,'TAR FIN'!$A$1:$O$108,15,0)),0,VLOOKUP($U$132,'TAR FIN'!$A$1:$O$108,15,0))</f>
        <v>37.729999999999997</v>
      </c>
      <c r="Y132" s="6"/>
      <c r="Z132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2" s="6">
        <f>('TE BE'!$AB$17+'TE BF'!$AB$17+'TE CVA'!$AB$17)*(1-CUSTOS!$M$34)</f>
        <v>78.567864571614649</v>
      </c>
      <c r="AB132" s="6">
        <f t="shared" si="14"/>
        <v>0</v>
      </c>
      <c r="AC132" s="6">
        <f>(L132-M132)*(W132+X132)+($W$193+$X$193-$W$132-$X$132)*(L132)</f>
        <v>-737.63819999999998</v>
      </c>
      <c r="AD132" s="6">
        <f t="shared" si="15"/>
        <v>0</v>
      </c>
      <c r="AE132" s="6">
        <f ca="1">(L132-M132)*(Z132+AA132)+($Z$193+$AA$193-$Z$132-$AA$132)*(L132)</f>
        <v>-945.91711024826725</v>
      </c>
      <c r="AF132" s="4" t="s">
        <v>844</v>
      </c>
    </row>
    <row r="133" spans="1:32" ht="11.25" customHeight="1" x14ac:dyDescent="0.25">
      <c r="A133" s="4" t="s">
        <v>21</v>
      </c>
      <c r="B133" s="4" t="s">
        <v>22</v>
      </c>
      <c r="C133" s="4" t="s">
        <v>23</v>
      </c>
      <c r="D133" s="4" t="s">
        <v>24</v>
      </c>
      <c r="E133" s="4" t="s">
        <v>29</v>
      </c>
      <c r="F133" s="4" t="s">
        <v>25</v>
      </c>
      <c r="G133" s="4" t="s">
        <v>25</v>
      </c>
      <c r="H133" s="4" t="s">
        <v>25</v>
      </c>
      <c r="I133" s="5">
        <v>44713</v>
      </c>
      <c r="J133" s="6">
        <v>0</v>
      </c>
      <c r="K133" s="6">
        <v>0</v>
      </c>
      <c r="L133" s="6">
        <v>1067.4469999999999</v>
      </c>
      <c r="M133" s="6">
        <v>1067.4469999999999</v>
      </c>
      <c r="N133" s="6">
        <v>1067.4469999999999</v>
      </c>
      <c r="O133" s="6">
        <v>1067.4469999999999</v>
      </c>
      <c r="P133" s="6">
        <v>6811</v>
      </c>
      <c r="Q133" s="4" t="s">
        <v>26</v>
      </c>
      <c r="R133" s="4">
        <v>0</v>
      </c>
      <c r="S133" s="4">
        <v>0</v>
      </c>
      <c r="T133" s="4">
        <v>28</v>
      </c>
      <c r="U133" s="4">
        <v>81</v>
      </c>
      <c r="V133" s="6">
        <f>IF(ISERROR(VLOOKUP($S$133,'TAR FIN'!$A$1:$O$108,15,0)),0,VLOOKUP($S$133,'TAR FIN'!$A$1:$O$108,15,0))</f>
        <v>0</v>
      </c>
      <c r="W133" s="6">
        <f>IF(ISERROR(VLOOKUP($T$133,'TAR FIN'!$A$1:$O$108,15,0)),0,VLOOKUP($T$133,'TAR FIN'!$A$1:$O$108,15,0))</f>
        <v>132.01</v>
      </c>
      <c r="X133" s="6">
        <f>IF(ISERROR(VLOOKUP($U$133,'TAR FIN'!$A$1:$O$108,15,0)),0,VLOOKUP($U$133,'TAR FIN'!$A$1:$O$108,15,0))</f>
        <v>37.729999999999997</v>
      </c>
      <c r="Y133" s="6"/>
      <c r="Z133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3" s="6">
        <f>('TE BE'!$AB$17+'TE BF'!$AB$17+'TE CVA'!$AB$17)*(1-CUSTOS!$M$34)</f>
        <v>78.567864571614649</v>
      </c>
      <c r="AB133" s="6">
        <f t="shared" si="14"/>
        <v>0</v>
      </c>
      <c r="AC133" s="6">
        <f>(L133-M133)*(W133+X133)+($W$193+$X$193-$W$133-$X$133)*(L133)</f>
        <v>336491.31780999998</v>
      </c>
      <c r="AD133" s="6">
        <f t="shared" si="15"/>
        <v>0</v>
      </c>
      <c r="AE133" s="6">
        <f ca="1">(L133-M133)*(Z133+AA133)+($Z$193+$AA$193-$Z$133-$AA$133)*(L133)</f>
        <v>431502.72717230004</v>
      </c>
      <c r="AF133" s="4" t="s">
        <v>844</v>
      </c>
    </row>
    <row r="134" spans="1:32" ht="11.25" customHeight="1" x14ac:dyDescent="0.25">
      <c r="A134" s="4" t="s">
        <v>27</v>
      </c>
      <c r="B134" s="4" t="s">
        <v>22</v>
      </c>
      <c r="C134" s="4" t="s">
        <v>23</v>
      </c>
      <c r="D134" s="4" t="s">
        <v>24</v>
      </c>
      <c r="E134" s="4" t="s">
        <v>29</v>
      </c>
      <c r="F134" s="4" t="s">
        <v>25</v>
      </c>
      <c r="G134" s="4" t="s">
        <v>25</v>
      </c>
      <c r="H134" s="4" t="s">
        <v>25</v>
      </c>
      <c r="I134" s="5">
        <v>44713</v>
      </c>
      <c r="J134" s="6">
        <v>0</v>
      </c>
      <c r="K134" s="6">
        <v>0</v>
      </c>
      <c r="L134" s="6">
        <v>-1.98</v>
      </c>
      <c r="M134" s="6">
        <v>-1.98</v>
      </c>
      <c r="N134" s="6">
        <v>-1.98</v>
      </c>
      <c r="O134" s="6">
        <v>-1.98</v>
      </c>
      <c r="P134" s="6">
        <v>79</v>
      </c>
      <c r="Q134" s="4" t="s">
        <v>26</v>
      </c>
      <c r="R134" s="4">
        <v>0</v>
      </c>
      <c r="S134" s="4">
        <v>0</v>
      </c>
      <c r="T134" s="4">
        <v>28</v>
      </c>
      <c r="U134" s="4">
        <v>81</v>
      </c>
      <c r="V134" s="6">
        <f>IF(ISERROR(VLOOKUP($S$134,'TAR FIN'!$A$1:$O$108,15,0)),0,VLOOKUP($S$134,'TAR FIN'!$A$1:$O$108,15,0))</f>
        <v>0</v>
      </c>
      <c r="W134" s="6">
        <f>IF(ISERROR(VLOOKUP($T$134,'TAR FIN'!$A$1:$O$108,15,0)),0,VLOOKUP($T$134,'TAR FIN'!$A$1:$O$108,15,0))</f>
        <v>132.01</v>
      </c>
      <c r="X134" s="6">
        <f>IF(ISERROR(VLOOKUP($U$134,'TAR FIN'!$A$1:$O$108,15,0)),0,VLOOKUP($U$134,'TAR FIN'!$A$1:$O$108,15,0))</f>
        <v>37.729999999999997</v>
      </c>
      <c r="Y134" s="6"/>
      <c r="Z134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4" s="6">
        <f>('TE BE'!$AB$17+'TE BF'!$AB$17+'TE CVA'!$AB$17)*(1-CUSTOS!$M$34)</f>
        <v>78.567864571614649</v>
      </c>
      <c r="AB134" s="6">
        <f t="shared" si="14"/>
        <v>0</v>
      </c>
      <c r="AC134" s="6">
        <f>(L134-M134)*(W134+X134)+($W$193+$X$193-$W$134-$X$134)*(L134)</f>
        <v>-624.15539999999999</v>
      </c>
      <c r="AD134" s="6">
        <f t="shared" si="15"/>
        <v>0</v>
      </c>
      <c r="AE134" s="6">
        <f ca="1">(L134-M134)*(Z134+AA134)+($Z$193+$AA$193-$Z$134-$AA$134)*(L134)</f>
        <v>-800.39140097930306</v>
      </c>
      <c r="AF134" s="4" t="s">
        <v>844</v>
      </c>
    </row>
    <row r="135" spans="1:32" ht="11.25" customHeight="1" x14ac:dyDescent="0.25">
      <c r="A135" s="4" t="s">
        <v>21</v>
      </c>
      <c r="B135" s="4" t="s">
        <v>22</v>
      </c>
      <c r="C135" s="4" t="s">
        <v>23</v>
      </c>
      <c r="D135" s="4" t="s">
        <v>24</v>
      </c>
      <c r="E135" s="4" t="s">
        <v>29</v>
      </c>
      <c r="F135" s="4" t="s">
        <v>25</v>
      </c>
      <c r="G135" s="4" t="s">
        <v>25</v>
      </c>
      <c r="H135" s="4" t="s">
        <v>25</v>
      </c>
      <c r="I135" s="5">
        <v>44743</v>
      </c>
      <c r="J135" s="6">
        <v>0</v>
      </c>
      <c r="K135" s="6">
        <v>0</v>
      </c>
      <c r="L135" s="6">
        <v>1099.7139999999999</v>
      </c>
      <c r="M135" s="6">
        <v>1099.7139999999999</v>
      </c>
      <c r="N135" s="6">
        <v>1099.7139999999999</v>
      </c>
      <c r="O135" s="6">
        <v>1099.7139999999999</v>
      </c>
      <c r="P135" s="6">
        <v>6636</v>
      </c>
      <c r="Q135" s="4" t="s">
        <v>26</v>
      </c>
      <c r="R135" s="4">
        <v>0</v>
      </c>
      <c r="S135" s="4">
        <v>0</v>
      </c>
      <c r="T135" s="4">
        <v>28</v>
      </c>
      <c r="U135" s="4">
        <v>81</v>
      </c>
      <c r="V135" s="6">
        <f>IF(ISERROR(VLOOKUP($S$135,'TAR FIN'!$A$1:$O$108,15,0)),0,VLOOKUP($S$135,'TAR FIN'!$A$1:$O$108,15,0))</f>
        <v>0</v>
      </c>
      <c r="W135" s="6">
        <f>IF(ISERROR(VLOOKUP($T$135,'TAR FIN'!$A$1:$O$108,15,0)),0,VLOOKUP($T$135,'TAR FIN'!$A$1:$O$108,15,0))</f>
        <v>132.01</v>
      </c>
      <c r="X135" s="6">
        <f>IF(ISERROR(VLOOKUP($U$135,'TAR FIN'!$A$1:$O$108,15,0)),0,VLOOKUP($U$135,'TAR FIN'!$A$1:$O$108,15,0))</f>
        <v>37.729999999999997</v>
      </c>
      <c r="Y135" s="6"/>
      <c r="Z135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5" s="6">
        <f>('TE BE'!$AB$17+'TE BF'!$AB$17+'TE CVA'!$AB$17)*(1-CUSTOS!$M$34)</f>
        <v>78.567864571614649</v>
      </c>
      <c r="AB135" s="6">
        <f t="shared" si="14"/>
        <v>0</v>
      </c>
      <c r="AC135" s="6">
        <f>(L135-M135)*(W135+X135)+($W$193+$X$193-$W$135-$X$135)*(L135)</f>
        <v>346662.84422000003</v>
      </c>
      <c r="AD135" s="6">
        <f t="shared" si="15"/>
        <v>0</v>
      </c>
      <c r="AE135" s="6">
        <f ca="1">(L135-M135)*(Z135+AA135)+($Z$193+$AA$193-$Z$135-$AA$135)*(L135)</f>
        <v>444546.27734169358</v>
      </c>
      <c r="AF135" s="4" t="s">
        <v>844</v>
      </c>
    </row>
    <row r="136" spans="1:32" ht="11.25" customHeight="1" x14ac:dyDescent="0.25">
      <c r="A136" s="4" t="s">
        <v>27</v>
      </c>
      <c r="B136" s="4" t="s">
        <v>22</v>
      </c>
      <c r="C136" s="4" t="s">
        <v>23</v>
      </c>
      <c r="D136" s="4" t="s">
        <v>24</v>
      </c>
      <c r="E136" s="4" t="s">
        <v>29</v>
      </c>
      <c r="F136" s="4" t="s">
        <v>25</v>
      </c>
      <c r="G136" s="4" t="s">
        <v>25</v>
      </c>
      <c r="H136" s="4" t="s">
        <v>25</v>
      </c>
      <c r="I136" s="5">
        <v>44743</v>
      </c>
      <c r="J136" s="6">
        <v>0</v>
      </c>
      <c r="K136" s="6">
        <v>0</v>
      </c>
      <c r="L136" s="6">
        <v>-4.26</v>
      </c>
      <c r="M136" s="6">
        <v>-4.26</v>
      </c>
      <c r="N136" s="6">
        <v>-4.26</v>
      </c>
      <c r="O136" s="6">
        <v>-4.26</v>
      </c>
      <c r="P136" s="6">
        <v>-64</v>
      </c>
      <c r="Q136" s="4" t="s">
        <v>26</v>
      </c>
      <c r="R136" s="4">
        <v>0</v>
      </c>
      <c r="S136" s="4">
        <v>0</v>
      </c>
      <c r="T136" s="4">
        <v>28</v>
      </c>
      <c r="U136" s="4">
        <v>81</v>
      </c>
      <c r="V136" s="6">
        <f>IF(ISERROR(VLOOKUP($S$136,'TAR FIN'!$A$1:$O$108,15,0)),0,VLOOKUP($S$136,'TAR FIN'!$A$1:$O$108,15,0))</f>
        <v>0</v>
      </c>
      <c r="W136" s="6">
        <f>IF(ISERROR(VLOOKUP($T$136,'TAR FIN'!$A$1:$O$108,15,0)),0,VLOOKUP($T$136,'TAR FIN'!$A$1:$O$108,15,0))</f>
        <v>132.01</v>
      </c>
      <c r="X136" s="6">
        <f>IF(ISERROR(VLOOKUP($U$136,'TAR FIN'!$A$1:$O$108,15,0)),0,VLOOKUP($U$136,'TAR FIN'!$A$1:$O$108,15,0))</f>
        <v>37.729999999999997</v>
      </c>
      <c r="Y136" s="6"/>
      <c r="Z136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6" s="6">
        <f>('TE BE'!$AB$17+'TE BF'!$AB$17+'TE CVA'!$AB$17)*(1-CUSTOS!$M$34)</f>
        <v>78.567864571614649</v>
      </c>
      <c r="AB136" s="6">
        <f t="shared" si="14"/>
        <v>0</v>
      </c>
      <c r="AC136" s="6">
        <f>(L136-M136)*(W136+X136)+($W$193+$X$193-$W$136-$X$136)*(L136)</f>
        <v>-1342.8797999999999</v>
      </c>
      <c r="AD136" s="6">
        <f t="shared" si="15"/>
        <v>0</v>
      </c>
      <c r="AE136" s="6">
        <f ca="1">(L136-M136)*(Z136+AA136)+($Z$193+$AA$193-$Z$136-$AA$136)*(L136)</f>
        <v>-1722.0542263494096</v>
      </c>
      <c r="AF136" s="4" t="s">
        <v>844</v>
      </c>
    </row>
    <row r="137" spans="1:32" ht="11.25" customHeight="1" x14ac:dyDescent="0.25">
      <c r="A137" s="4" t="s">
        <v>21</v>
      </c>
      <c r="B137" s="4" t="s">
        <v>22</v>
      </c>
      <c r="C137" s="4" t="s">
        <v>23</v>
      </c>
      <c r="D137" s="4" t="s">
        <v>24</v>
      </c>
      <c r="E137" s="4" t="s">
        <v>29</v>
      </c>
      <c r="F137" s="4" t="s">
        <v>25</v>
      </c>
      <c r="G137" s="4" t="s">
        <v>25</v>
      </c>
      <c r="H137" s="4" t="s">
        <v>25</v>
      </c>
      <c r="I137" s="5">
        <v>44774</v>
      </c>
      <c r="J137" s="6">
        <v>0</v>
      </c>
      <c r="K137" s="6">
        <v>0</v>
      </c>
      <c r="L137" s="6">
        <v>1137.1130000000001</v>
      </c>
      <c r="M137" s="6">
        <v>1137.1130000000001</v>
      </c>
      <c r="N137" s="6">
        <v>1137.1130000000001</v>
      </c>
      <c r="O137" s="6">
        <v>1137.1130000000001</v>
      </c>
      <c r="P137" s="6">
        <v>6528</v>
      </c>
      <c r="Q137" s="4" t="s">
        <v>26</v>
      </c>
      <c r="R137" s="4">
        <v>0</v>
      </c>
      <c r="S137" s="4">
        <v>0</v>
      </c>
      <c r="T137" s="4">
        <v>28</v>
      </c>
      <c r="U137" s="4">
        <v>81</v>
      </c>
      <c r="V137" s="6">
        <f>IF(ISERROR(VLOOKUP($S$137,'TAR FIN'!$A$1:$O$108,15,0)),0,VLOOKUP($S$137,'TAR FIN'!$A$1:$O$108,15,0))</f>
        <v>0</v>
      </c>
      <c r="W137" s="6">
        <f>IF(ISERROR(VLOOKUP($T$137,'TAR FIN'!$A$1:$O$108,15,0)),0,VLOOKUP($T$137,'TAR FIN'!$A$1:$O$108,15,0))</f>
        <v>132.01</v>
      </c>
      <c r="X137" s="6">
        <f>IF(ISERROR(VLOOKUP($U$137,'TAR FIN'!$A$1:$O$108,15,0)),0,VLOOKUP($U$137,'TAR FIN'!$A$1:$O$108,15,0))</f>
        <v>37.729999999999997</v>
      </c>
      <c r="Y137" s="6"/>
      <c r="Z137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7" s="6">
        <f>('TE BE'!$AB$17+'TE BF'!$AB$17+'TE CVA'!$AB$17)*(1-CUSTOS!$M$34)</f>
        <v>78.567864571614649</v>
      </c>
      <c r="AB137" s="6">
        <f t="shared" si="14"/>
        <v>0</v>
      </c>
      <c r="AC137" s="6">
        <f>(L137-M137)*(W137+X137)+($W$193+$X$193-$W$137-$X$137)*(L137)</f>
        <v>358452.13099000003</v>
      </c>
      <c r="AD137" s="6">
        <f t="shared" si="15"/>
        <v>0</v>
      </c>
      <c r="AE137" s="6">
        <f ca="1">(L137-M137)*(Z137+AA137)+($Z$193+$AA$193-$Z$137-$AA$137)*(L137)</f>
        <v>459664.37734433246</v>
      </c>
      <c r="AF137" s="4" t="s">
        <v>844</v>
      </c>
    </row>
    <row r="138" spans="1:32" ht="11.25" customHeight="1" x14ac:dyDescent="0.25">
      <c r="A138" s="4" t="s">
        <v>27</v>
      </c>
      <c r="B138" s="4" t="s">
        <v>22</v>
      </c>
      <c r="C138" s="4" t="s">
        <v>23</v>
      </c>
      <c r="D138" s="4" t="s">
        <v>24</v>
      </c>
      <c r="E138" s="4" t="s">
        <v>29</v>
      </c>
      <c r="F138" s="4" t="s">
        <v>25</v>
      </c>
      <c r="G138" s="4" t="s">
        <v>25</v>
      </c>
      <c r="H138" s="4" t="s">
        <v>25</v>
      </c>
      <c r="I138" s="5">
        <v>44774</v>
      </c>
      <c r="J138" s="6">
        <v>0</v>
      </c>
      <c r="K138" s="6">
        <v>0</v>
      </c>
      <c r="L138" s="6">
        <v>-6.84</v>
      </c>
      <c r="M138" s="6">
        <v>-6.84</v>
      </c>
      <c r="N138" s="6">
        <v>-6.84</v>
      </c>
      <c r="O138" s="6">
        <v>-6.84</v>
      </c>
      <c r="P138" s="6">
        <v>-59</v>
      </c>
      <c r="Q138" s="4" t="s">
        <v>26</v>
      </c>
      <c r="R138" s="4">
        <v>0</v>
      </c>
      <c r="S138" s="4">
        <v>0</v>
      </c>
      <c r="T138" s="4">
        <v>28</v>
      </c>
      <c r="U138" s="4">
        <v>81</v>
      </c>
      <c r="V138" s="6">
        <f>IF(ISERROR(VLOOKUP($S$138,'TAR FIN'!$A$1:$O$108,15,0)),0,VLOOKUP($S$138,'TAR FIN'!$A$1:$O$108,15,0))</f>
        <v>0</v>
      </c>
      <c r="W138" s="6">
        <f>IF(ISERROR(VLOOKUP($T$138,'TAR FIN'!$A$1:$O$108,15,0)),0,VLOOKUP($T$138,'TAR FIN'!$A$1:$O$108,15,0))</f>
        <v>132.01</v>
      </c>
      <c r="X138" s="6">
        <f>IF(ISERROR(VLOOKUP($U$138,'TAR FIN'!$A$1:$O$108,15,0)),0,VLOOKUP($U$138,'TAR FIN'!$A$1:$O$108,15,0))</f>
        <v>37.729999999999997</v>
      </c>
      <c r="Y138" s="6"/>
      <c r="Z138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8" s="6">
        <f>('TE BE'!$AB$17+'TE BF'!$AB$17+'TE CVA'!$AB$17)*(1-CUSTOS!$M$34)</f>
        <v>78.567864571614649</v>
      </c>
      <c r="AB138" s="6">
        <f t="shared" si="14"/>
        <v>0</v>
      </c>
      <c r="AC138" s="6">
        <f>(L138-M138)*(W138+X138)+($W$193+$X$193-$W$138-$X$138)*(L138)</f>
        <v>-2156.1732000000002</v>
      </c>
      <c r="AD138" s="6">
        <f t="shared" si="15"/>
        <v>0</v>
      </c>
      <c r="AE138" s="6">
        <f ca="1">(L138-M138)*(Z138+AA138)+($Z$193+$AA$193-$Z$138-$AA$138)*(L138)</f>
        <v>-2764.9884761103199</v>
      </c>
      <c r="AF138" s="4" t="s">
        <v>844</v>
      </c>
    </row>
    <row r="139" spans="1:32" ht="11.25" customHeight="1" x14ac:dyDescent="0.25">
      <c r="A139" s="4" t="s">
        <v>21</v>
      </c>
      <c r="B139" s="4" t="s">
        <v>22</v>
      </c>
      <c r="C139" s="4" t="s">
        <v>23</v>
      </c>
      <c r="D139" s="4" t="s">
        <v>24</v>
      </c>
      <c r="E139" s="4" t="s">
        <v>29</v>
      </c>
      <c r="F139" s="4" t="s">
        <v>25</v>
      </c>
      <c r="G139" s="4" t="s">
        <v>25</v>
      </c>
      <c r="H139" s="4" t="s">
        <v>25</v>
      </c>
      <c r="I139" s="5">
        <v>44805</v>
      </c>
      <c r="J139" s="6">
        <v>0</v>
      </c>
      <c r="K139" s="6">
        <v>0</v>
      </c>
      <c r="L139" s="6">
        <v>1680.2909999999999</v>
      </c>
      <c r="M139" s="6">
        <v>1680.2909999999999</v>
      </c>
      <c r="N139" s="6">
        <v>1680.2909999999999</v>
      </c>
      <c r="O139" s="6">
        <v>1680.2909999999999</v>
      </c>
      <c r="P139" s="6">
        <v>6635</v>
      </c>
      <c r="Q139" s="4" t="s">
        <v>26</v>
      </c>
      <c r="R139" s="4">
        <v>0</v>
      </c>
      <c r="S139" s="4">
        <v>0</v>
      </c>
      <c r="T139" s="4">
        <v>28</v>
      </c>
      <c r="U139" s="4">
        <v>81</v>
      </c>
      <c r="V139" s="6">
        <f>IF(ISERROR(VLOOKUP($S$139,'TAR FIN'!$A$1:$O$108,15,0)),0,VLOOKUP($S$139,'TAR FIN'!$A$1:$O$108,15,0))</f>
        <v>0</v>
      </c>
      <c r="W139" s="6">
        <f>IF(ISERROR(VLOOKUP($T$139,'TAR FIN'!$A$1:$O$108,15,0)),0,VLOOKUP($T$139,'TAR FIN'!$A$1:$O$108,15,0))</f>
        <v>132.01</v>
      </c>
      <c r="X139" s="6">
        <f>IF(ISERROR(VLOOKUP($U$139,'TAR FIN'!$A$1:$O$108,15,0)),0,VLOOKUP($U$139,'TAR FIN'!$A$1:$O$108,15,0))</f>
        <v>37.729999999999997</v>
      </c>
      <c r="Y139" s="6"/>
      <c r="Z139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39" s="6">
        <f>('TE BE'!$AB$17+'TE BF'!$AB$17+'TE CVA'!$AB$17)*(1-CUSTOS!$M$34)</f>
        <v>78.567864571614649</v>
      </c>
      <c r="AB139" s="6">
        <f t="shared" si="14"/>
        <v>0</v>
      </c>
      <c r="AC139" s="6">
        <f>(L139-M139)*(W139+X139)+($W$193+$X$193-$W$139-$X$139)*(L139)</f>
        <v>529678.13193000003</v>
      </c>
      <c r="AD139" s="6">
        <f t="shared" si="15"/>
        <v>0</v>
      </c>
      <c r="AE139" s="6">
        <f ca="1">(L139-M139)*(Z139+AA139)+($Z$193+$AA$193-$Z$139-$AA$139)*(L139)</f>
        <v>679237.6098701586</v>
      </c>
      <c r="AF139" s="4" t="s">
        <v>844</v>
      </c>
    </row>
    <row r="140" spans="1:32" ht="11.25" customHeight="1" x14ac:dyDescent="0.25">
      <c r="A140" s="4" t="s">
        <v>27</v>
      </c>
      <c r="B140" s="4" t="s">
        <v>22</v>
      </c>
      <c r="C140" s="4" t="s">
        <v>23</v>
      </c>
      <c r="D140" s="4" t="s">
        <v>24</v>
      </c>
      <c r="E140" s="4" t="s">
        <v>29</v>
      </c>
      <c r="F140" s="4" t="s">
        <v>25</v>
      </c>
      <c r="G140" s="4" t="s">
        <v>25</v>
      </c>
      <c r="H140" s="4" t="s">
        <v>25</v>
      </c>
      <c r="I140" s="5">
        <v>44805</v>
      </c>
      <c r="J140" s="6">
        <v>0</v>
      </c>
      <c r="K140" s="6">
        <v>0</v>
      </c>
      <c r="L140" s="6">
        <v>-11.98</v>
      </c>
      <c r="M140" s="6">
        <v>-11.98</v>
      </c>
      <c r="N140" s="6">
        <v>-11.98</v>
      </c>
      <c r="O140" s="6">
        <v>-11.98</v>
      </c>
      <c r="P140" s="6">
        <v>-228</v>
      </c>
      <c r="Q140" s="4" t="s">
        <v>26</v>
      </c>
      <c r="R140" s="4">
        <v>0</v>
      </c>
      <c r="S140" s="4">
        <v>0</v>
      </c>
      <c r="T140" s="4">
        <v>28</v>
      </c>
      <c r="U140" s="4">
        <v>81</v>
      </c>
      <c r="V140" s="6">
        <f>IF(ISERROR(VLOOKUP($S$140,'TAR FIN'!$A$1:$O$108,15,0)),0,VLOOKUP($S$140,'TAR FIN'!$A$1:$O$108,15,0))</f>
        <v>0</v>
      </c>
      <c r="W140" s="6">
        <f>IF(ISERROR(VLOOKUP($T$140,'TAR FIN'!$A$1:$O$108,15,0)),0,VLOOKUP($T$140,'TAR FIN'!$A$1:$O$108,15,0))</f>
        <v>132.01</v>
      </c>
      <c r="X140" s="6">
        <f>IF(ISERROR(VLOOKUP($U$140,'TAR FIN'!$A$1:$O$108,15,0)),0,VLOOKUP($U$140,'TAR FIN'!$A$1:$O$108,15,0))</f>
        <v>37.729999999999997</v>
      </c>
      <c r="Y140" s="6"/>
      <c r="Z140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40" s="6">
        <f>('TE BE'!$AB$17+'TE BF'!$AB$17+'TE CVA'!$AB$17)*(1-CUSTOS!$M$34)</f>
        <v>78.567864571614649</v>
      </c>
      <c r="AB140" s="6">
        <f t="shared" si="14"/>
        <v>0</v>
      </c>
      <c r="AC140" s="6">
        <f>(L140-M140)*(W140+X140)+($W$193+$X$193-$W$140-$X$140)*(L140)</f>
        <v>-3776.4554000000003</v>
      </c>
      <c r="AD140" s="6">
        <f t="shared" si="15"/>
        <v>0</v>
      </c>
      <c r="AE140" s="6">
        <f ca="1">(L140-M140)*(Z140+AA140)+($Z$193+$AA$193-$Z$140-$AA$140)*(L140)</f>
        <v>-4842.7722140060869</v>
      </c>
      <c r="AF140" s="4" t="s">
        <v>844</v>
      </c>
    </row>
    <row r="141" spans="1:32" ht="11.25" customHeight="1" x14ac:dyDescent="0.25">
      <c r="A141" s="4" t="s">
        <v>21</v>
      </c>
      <c r="B141" s="4" t="s">
        <v>22</v>
      </c>
      <c r="C141" s="4" t="s">
        <v>23</v>
      </c>
      <c r="D141" s="4" t="s">
        <v>24</v>
      </c>
      <c r="E141" s="4" t="s">
        <v>29</v>
      </c>
      <c r="F141" s="4" t="s">
        <v>25</v>
      </c>
      <c r="G141" s="4" t="s">
        <v>25</v>
      </c>
      <c r="H141" s="4" t="s">
        <v>25</v>
      </c>
      <c r="I141" s="5">
        <v>44835</v>
      </c>
      <c r="J141" s="6">
        <v>0</v>
      </c>
      <c r="K141" s="6">
        <v>0</v>
      </c>
      <c r="L141" s="6">
        <v>2223.8090000000002</v>
      </c>
      <c r="M141" s="6">
        <v>2223.8090000000002</v>
      </c>
      <c r="N141" s="6">
        <v>2223.8090000000002</v>
      </c>
      <c r="O141" s="6">
        <v>2223.8090000000002</v>
      </c>
      <c r="P141" s="6">
        <v>6831</v>
      </c>
      <c r="Q141" s="4" t="s">
        <v>26</v>
      </c>
      <c r="R141" s="4">
        <v>0</v>
      </c>
      <c r="S141" s="4">
        <v>0</v>
      </c>
      <c r="T141" s="4">
        <v>28</v>
      </c>
      <c r="U141" s="4">
        <v>81</v>
      </c>
      <c r="V141" s="6">
        <f>IF(ISERROR(VLOOKUP($S$141,'TAR FIN'!$A$1:$O$108,15,0)),0,VLOOKUP($S$141,'TAR FIN'!$A$1:$O$108,15,0))</f>
        <v>0</v>
      </c>
      <c r="W141" s="6">
        <f>IF(ISERROR(VLOOKUP($T$141,'TAR FIN'!$A$1:$O$108,15,0)),0,VLOOKUP($T$141,'TAR FIN'!$A$1:$O$108,15,0))</f>
        <v>132.01</v>
      </c>
      <c r="X141" s="6">
        <f>IF(ISERROR(VLOOKUP($U$141,'TAR FIN'!$A$1:$O$108,15,0)),0,VLOOKUP($U$141,'TAR FIN'!$A$1:$O$108,15,0))</f>
        <v>37.729999999999997</v>
      </c>
      <c r="Y141" s="6"/>
      <c r="Z141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41" s="6">
        <f>('TE BE'!$AB$17+'TE BF'!$AB$17+'TE CVA'!$AB$17)*(1-CUSTOS!$M$34)</f>
        <v>78.567864571614649</v>
      </c>
      <c r="AB141" s="6">
        <f t="shared" si="14"/>
        <v>0</v>
      </c>
      <c r="AC141" s="6">
        <f>(L141-M141)*(W141+X141)+($W$193+$X$193-$W$141-$X$141)*(L141)</f>
        <v>701011.31107000005</v>
      </c>
      <c r="AD141" s="6">
        <f t="shared" si="15"/>
        <v>0</v>
      </c>
      <c r="AE141" s="6">
        <f ca="1">(L141-M141)*(Z141+AA141)+($Z$193+$AA$193-$Z$141-$AA$141)*(L141)</f>
        <v>898948.28334362782</v>
      </c>
      <c r="AF141" s="4" t="s">
        <v>844</v>
      </c>
    </row>
    <row r="142" spans="1:32" ht="11.25" customHeight="1" x14ac:dyDescent="0.25">
      <c r="A142" s="4" t="s">
        <v>27</v>
      </c>
      <c r="B142" s="4" t="s">
        <v>22</v>
      </c>
      <c r="C142" s="4" t="s">
        <v>23</v>
      </c>
      <c r="D142" s="4" t="s">
        <v>24</v>
      </c>
      <c r="E142" s="4" t="s">
        <v>29</v>
      </c>
      <c r="F142" s="4" t="s">
        <v>25</v>
      </c>
      <c r="G142" s="4" t="s">
        <v>25</v>
      </c>
      <c r="H142" s="4" t="s">
        <v>25</v>
      </c>
      <c r="I142" s="5">
        <v>44835</v>
      </c>
      <c r="J142" s="6">
        <v>0</v>
      </c>
      <c r="K142" s="6">
        <v>0</v>
      </c>
      <c r="L142" s="6">
        <v>-11.718</v>
      </c>
      <c r="M142" s="6">
        <v>-11.718</v>
      </c>
      <c r="N142" s="6">
        <v>-11.718</v>
      </c>
      <c r="O142" s="6">
        <v>-11.718</v>
      </c>
      <c r="P142" s="6">
        <v>-21</v>
      </c>
      <c r="Q142" s="4" t="s">
        <v>26</v>
      </c>
      <c r="R142" s="4">
        <v>0</v>
      </c>
      <c r="S142" s="4">
        <v>0</v>
      </c>
      <c r="T142" s="4">
        <v>28</v>
      </c>
      <c r="U142" s="4">
        <v>81</v>
      </c>
      <c r="V142" s="6">
        <f>IF(ISERROR(VLOOKUP($S$142,'TAR FIN'!$A$1:$O$108,15,0)),0,VLOOKUP($S$142,'TAR FIN'!$A$1:$O$108,15,0))</f>
        <v>0</v>
      </c>
      <c r="W142" s="6">
        <f>IF(ISERROR(VLOOKUP($T$142,'TAR FIN'!$A$1:$O$108,15,0)),0,VLOOKUP($T$142,'TAR FIN'!$A$1:$O$108,15,0))</f>
        <v>132.01</v>
      </c>
      <c r="X142" s="6">
        <f>IF(ISERROR(VLOOKUP($U$142,'TAR FIN'!$A$1:$O$108,15,0)),0,VLOOKUP($U$142,'TAR FIN'!$A$1:$O$108,15,0))</f>
        <v>37.729999999999997</v>
      </c>
      <c r="Y142" s="6"/>
      <c r="Z142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42" s="6">
        <f>('TE BE'!$AB$17+'TE BF'!$AB$17+'TE CVA'!$AB$17)*(1-CUSTOS!$M$34)</f>
        <v>78.567864571614649</v>
      </c>
      <c r="AB142" s="6">
        <f t="shared" si="14"/>
        <v>0</v>
      </c>
      <c r="AC142" s="6">
        <f>(L142-M142)*(W142+X142)+($W$193+$X$193-$W$142-$X$142)*(L142)</f>
        <v>-3693.8651400000003</v>
      </c>
      <c r="AD142" s="6">
        <f t="shared" si="15"/>
        <v>0</v>
      </c>
      <c r="AE142" s="6">
        <f ca="1">(L142-M142)*(Z142+AA142)+($Z$193+$AA$193-$Z$142-$AA$142)*(L142)</f>
        <v>-4736.8618367047848</v>
      </c>
      <c r="AF142" s="4" t="s">
        <v>844</v>
      </c>
    </row>
    <row r="143" spans="1:32" ht="11.25" customHeight="1" x14ac:dyDescent="0.25">
      <c r="A143" s="4" t="s">
        <v>54</v>
      </c>
      <c r="B143" s="4" t="s">
        <v>22</v>
      </c>
      <c r="C143" s="4" t="s">
        <v>23</v>
      </c>
      <c r="D143" s="4" t="s">
        <v>24</v>
      </c>
      <c r="E143" s="4" t="s">
        <v>29</v>
      </c>
      <c r="F143" s="4" t="s">
        <v>25</v>
      </c>
      <c r="G143" s="4" t="s">
        <v>25</v>
      </c>
      <c r="H143" s="4" t="s">
        <v>25</v>
      </c>
      <c r="I143" s="5">
        <v>44866</v>
      </c>
      <c r="J143" s="6">
        <v>0</v>
      </c>
      <c r="K143" s="6">
        <v>0</v>
      </c>
      <c r="L143" s="6">
        <v>2223.8090000000002</v>
      </c>
      <c r="M143" s="6">
        <v>2223.8090000000002</v>
      </c>
      <c r="N143" s="6">
        <v>2223.8090000000002</v>
      </c>
      <c r="O143" s="6">
        <v>2223.8090000000002</v>
      </c>
      <c r="P143" s="6">
        <v>6831</v>
      </c>
      <c r="Q143" s="4" t="s">
        <v>26</v>
      </c>
      <c r="R143" s="4">
        <v>0</v>
      </c>
      <c r="S143" s="4">
        <v>0</v>
      </c>
      <c r="T143" s="4">
        <v>28</v>
      </c>
      <c r="U143" s="4">
        <v>81</v>
      </c>
      <c r="V143" s="6">
        <f>IF(ISERROR(VLOOKUP($S$143,'TAR FIN'!$A$1:$O$108,15,0)),0,VLOOKUP($S$143,'TAR FIN'!$A$1:$O$108,15,0))</f>
        <v>0</v>
      </c>
      <c r="W143" s="6">
        <f>IF(ISERROR(VLOOKUP($T$143,'TAR FIN'!$A$1:$O$108,15,0)),0,VLOOKUP($T$143,'TAR FIN'!$A$1:$O$108,15,0))</f>
        <v>132.01</v>
      </c>
      <c r="X143" s="6">
        <f>IF(ISERROR(VLOOKUP($U$143,'TAR FIN'!$A$1:$O$108,15,0)),0,VLOOKUP($U$143,'TAR FIN'!$A$1:$O$108,15,0))</f>
        <v>37.729999999999997</v>
      </c>
      <c r="Y143" s="6"/>
      <c r="Z143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43" s="6">
        <f>('TE BE'!$AB$17+'TE BF'!$AB$17+'TE CVA'!$AB$17)*(1-CUSTOS!$M$34)</f>
        <v>78.567864571614649</v>
      </c>
      <c r="AB143" s="6">
        <f t="shared" si="14"/>
        <v>0</v>
      </c>
      <c r="AC143" s="6">
        <f>(L143-M143)*(W143+X143)+($W$193+$X$193-$W$143-$X$143)*(L143)</f>
        <v>701011.31107000005</v>
      </c>
      <c r="AD143" s="6">
        <f t="shared" si="15"/>
        <v>0</v>
      </c>
      <c r="AE143" s="6">
        <f ca="1">(L143-M143)*(Z143+AA143)+($Z$193+$AA$193-$Z$143-$AA$143)*(L143)</f>
        <v>898948.28334362782</v>
      </c>
      <c r="AF143" s="4" t="s">
        <v>844</v>
      </c>
    </row>
    <row r="144" spans="1:32" ht="11.25" customHeight="1" x14ac:dyDescent="0.25">
      <c r="A144" s="4" t="s">
        <v>54</v>
      </c>
      <c r="B144" s="4" t="s">
        <v>22</v>
      </c>
      <c r="C144" s="4" t="s">
        <v>23</v>
      </c>
      <c r="D144" s="4" t="s">
        <v>24</v>
      </c>
      <c r="E144" s="4" t="s">
        <v>29</v>
      </c>
      <c r="F144" s="4" t="s">
        <v>25</v>
      </c>
      <c r="G144" s="4" t="s">
        <v>25</v>
      </c>
      <c r="H144" s="4" t="s">
        <v>25</v>
      </c>
      <c r="I144" s="5">
        <v>44866</v>
      </c>
      <c r="J144" s="6">
        <v>0</v>
      </c>
      <c r="K144" s="6">
        <v>0</v>
      </c>
      <c r="L144" s="6">
        <v>-11.718</v>
      </c>
      <c r="M144" s="6">
        <v>-11.718</v>
      </c>
      <c r="N144" s="6">
        <v>-11.718</v>
      </c>
      <c r="O144" s="6">
        <v>-11.718</v>
      </c>
      <c r="P144" s="6">
        <v>-21</v>
      </c>
      <c r="Q144" s="4" t="s">
        <v>26</v>
      </c>
      <c r="R144" s="4">
        <v>0</v>
      </c>
      <c r="S144" s="4">
        <v>0</v>
      </c>
      <c r="T144" s="4">
        <v>28</v>
      </c>
      <c r="U144" s="4">
        <v>81</v>
      </c>
      <c r="V144" s="6">
        <f>IF(ISERROR(VLOOKUP($S$144,'TAR FIN'!$A$1:$O$108,15,0)),0,VLOOKUP($S$144,'TAR FIN'!$A$1:$O$108,15,0))</f>
        <v>0</v>
      </c>
      <c r="W144" s="6">
        <f>IF(ISERROR(VLOOKUP($T$144,'TAR FIN'!$A$1:$O$108,15,0)),0,VLOOKUP($T$144,'TAR FIN'!$A$1:$O$108,15,0))</f>
        <v>132.01</v>
      </c>
      <c r="X144" s="6">
        <f>IF(ISERROR(VLOOKUP($U$144,'TAR FIN'!$A$1:$O$108,15,0)),0,VLOOKUP($U$144,'TAR FIN'!$A$1:$O$108,15,0))</f>
        <v>37.729999999999997</v>
      </c>
      <c r="Y144" s="6"/>
      <c r="Z144" s="6">
        <f ca="1">('TUSD BE'!$AM$37+'TUSD BF'!$AM$37+'TUSD CVA'!$AM$37-('TUSD BE'!$P$37+'TUSD BF'!$P$37+'TUSD CVA'!$P$37)-('TUSD BE'!$Q$37+'TUSD BF'!$Q$37+'TUSD CVA'!$Q$37)-('TUSD BE'!$R$37+'TUSD BF'!$R$37+'TUSD CVA'!$R$37))*(1-CUSTOS!$M$34)</f>
        <v>139.09879459136596</v>
      </c>
      <c r="AA144" s="6">
        <f>('TE BE'!$AB$17+'TE BF'!$AB$17+'TE CVA'!$AB$17)*(1-CUSTOS!$M$34)</f>
        <v>78.567864571614649</v>
      </c>
      <c r="AB144" s="6">
        <f t="shared" si="14"/>
        <v>0</v>
      </c>
      <c r="AC144" s="6">
        <f>(L144-M144)*(W144+X144)+($W$193+$X$193-$W$144-$X$144)*(L144)</f>
        <v>-3693.8651400000003</v>
      </c>
      <c r="AD144" s="6">
        <f t="shared" si="15"/>
        <v>0</v>
      </c>
      <c r="AE144" s="6">
        <f ca="1">(L144-M144)*(Z144+AA144)+($Z$193+$AA$193-$Z$144-$AA$144)*(L144)</f>
        <v>-4736.8618367047848</v>
      </c>
      <c r="AF144" s="4" t="s">
        <v>844</v>
      </c>
    </row>
    <row r="145" spans="1:32" ht="11.25" customHeight="1" x14ac:dyDescent="0.25">
      <c r="A145" s="4" t="s">
        <v>21</v>
      </c>
      <c r="B145" s="4" t="s">
        <v>22</v>
      </c>
      <c r="C145" s="4" t="s">
        <v>23</v>
      </c>
      <c r="D145" s="4" t="s">
        <v>24</v>
      </c>
      <c r="E145" s="4" t="s">
        <v>30</v>
      </c>
      <c r="F145" s="4" t="s">
        <v>25</v>
      </c>
      <c r="G145" s="4" t="s">
        <v>25</v>
      </c>
      <c r="H145" s="4" t="s">
        <v>25</v>
      </c>
      <c r="I145" s="5">
        <v>44531</v>
      </c>
      <c r="J145" s="6">
        <v>0</v>
      </c>
      <c r="K145" s="6">
        <v>0</v>
      </c>
      <c r="L145" s="6">
        <v>1317.2180000000001</v>
      </c>
      <c r="M145" s="6">
        <v>1317.2180000000001</v>
      </c>
      <c r="N145" s="6">
        <v>1317.2180000000001</v>
      </c>
      <c r="O145" s="6">
        <v>1317.2180000000001</v>
      </c>
      <c r="P145" s="6">
        <v>5849</v>
      </c>
      <c r="Q145" s="4" t="s">
        <v>26</v>
      </c>
      <c r="R145" s="4">
        <v>0</v>
      </c>
      <c r="S145" s="4">
        <v>0</v>
      </c>
      <c r="T145" s="4">
        <v>29</v>
      </c>
      <c r="U145" s="4">
        <v>82</v>
      </c>
      <c r="V145" s="6">
        <f>IF(ISERROR(VLOOKUP($S$145,'TAR FIN'!$A$1:$O$108,15,0)),0,VLOOKUP($S$145,'TAR FIN'!$A$1:$O$108,15,0))</f>
        <v>0</v>
      </c>
      <c r="W145" s="6">
        <f>IF(ISERROR(VLOOKUP($T$145,'TAR FIN'!$A$1:$O$108,15,0)),0,VLOOKUP($T$145,'TAR FIN'!$A$1:$O$108,15,0))</f>
        <v>226.31</v>
      </c>
      <c r="X145" s="6">
        <f>IF(ISERROR(VLOOKUP($U$145,'TAR FIN'!$A$1:$O$108,15,0)),0,VLOOKUP($U$145,'TAR FIN'!$A$1:$O$108,15,0))</f>
        <v>64.67</v>
      </c>
      <c r="Y145" s="6"/>
      <c r="Z14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45" s="6">
        <f>('TE BE'!$AB$18+'TE BF'!$AB$18+'TE CVA'!$AB$18)*(1-CUSTOS!$M$35)</f>
        <v>134.68776783705368</v>
      </c>
      <c r="AB145" s="6">
        <f t="shared" si="14"/>
        <v>0</v>
      </c>
      <c r="AC145" s="6">
        <f>(L145-M145)*(W145+X145)+($W$193+$X$193-$W$145-$X$145)*(L145)</f>
        <v>255527.11982000002</v>
      </c>
      <c r="AD145" s="6">
        <f t="shared" si="15"/>
        <v>0</v>
      </c>
      <c r="AE145" s="6">
        <f ca="1">(L145-M145)*(Z145+AA145)+($Z$193+$AA$193-$Z$145-$AA$145)*(L145)</f>
        <v>327673.64737067785</v>
      </c>
      <c r="AF145" s="4" t="s">
        <v>844</v>
      </c>
    </row>
    <row r="146" spans="1:32" ht="11.25" customHeight="1" x14ac:dyDescent="0.25">
      <c r="A146" s="4" t="s">
        <v>27</v>
      </c>
      <c r="B146" s="4" t="s">
        <v>22</v>
      </c>
      <c r="C146" s="4" t="s">
        <v>23</v>
      </c>
      <c r="D146" s="4" t="s">
        <v>24</v>
      </c>
      <c r="E146" s="4" t="s">
        <v>30</v>
      </c>
      <c r="F146" s="4" t="s">
        <v>25</v>
      </c>
      <c r="G146" s="4" t="s">
        <v>25</v>
      </c>
      <c r="H146" s="4" t="s">
        <v>25</v>
      </c>
      <c r="I146" s="5">
        <v>44531</v>
      </c>
      <c r="J146" s="6">
        <v>0</v>
      </c>
      <c r="K146" s="6">
        <v>0</v>
      </c>
      <c r="L146" s="6">
        <v>-4.6029999999999998</v>
      </c>
      <c r="M146" s="6">
        <v>-4.6029999999999998</v>
      </c>
      <c r="N146" s="6">
        <v>-4.6029999999999998</v>
      </c>
      <c r="O146" s="6">
        <v>-4.6029999999999998</v>
      </c>
      <c r="P146" s="6">
        <v>16</v>
      </c>
      <c r="Q146" s="4" t="s">
        <v>26</v>
      </c>
      <c r="R146" s="4">
        <v>0</v>
      </c>
      <c r="S146" s="4">
        <v>0</v>
      </c>
      <c r="T146" s="4">
        <v>29</v>
      </c>
      <c r="U146" s="4">
        <v>82</v>
      </c>
      <c r="V146" s="6">
        <f>IF(ISERROR(VLOOKUP($S$146,'TAR FIN'!$A$1:$O$108,15,0)),0,VLOOKUP($S$146,'TAR FIN'!$A$1:$O$108,15,0))</f>
        <v>0</v>
      </c>
      <c r="W146" s="6">
        <f>IF(ISERROR(VLOOKUP($T$146,'TAR FIN'!$A$1:$O$108,15,0)),0,VLOOKUP($T$146,'TAR FIN'!$A$1:$O$108,15,0))</f>
        <v>226.31</v>
      </c>
      <c r="X146" s="6">
        <f>IF(ISERROR(VLOOKUP($U$146,'TAR FIN'!$A$1:$O$108,15,0)),0,VLOOKUP($U$146,'TAR FIN'!$A$1:$O$108,15,0))</f>
        <v>64.67</v>
      </c>
      <c r="Y146" s="6"/>
      <c r="Z146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46" s="6">
        <f>('TE BE'!$AB$18+'TE BF'!$AB$18+'TE CVA'!$AB$18)*(1-CUSTOS!$M$35)</f>
        <v>134.68776783705368</v>
      </c>
      <c r="AB146" s="6">
        <f t="shared" si="14"/>
        <v>0</v>
      </c>
      <c r="AC146" s="6">
        <f>(L146-M146)*(W146+X146)+($W$193+$X$193-$W$146-$X$146)*(L146)</f>
        <v>-892.93597</v>
      </c>
      <c r="AD146" s="6">
        <f t="shared" si="15"/>
        <v>0</v>
      </c>
      <c r="AE146" s="6">
        <f ca="1">(L146-M146)*(Z146+AA146)+($Z$193+$AA$193-$Z$146-$AA$146)*(L146)</f>
        <v>-1145.0510081453715</v>
      </c>
      <c r="AF146" s="4" t="s">
        <v>844</v>
      </c>
    </row>
    <row r="147" spans="1:32" ht="11.25" customHeight="1" x14ac:dyDescent="0.25">
      <c r="A147" s="4" t="s">
        <v>21</v>
      </c>
      <c r="B147" s="4" t="s">
        <v>22</v>
      </c>
      <c r="C147" s="4" t="s">
        <v>23</v>
      </c>
      <c r="D147" s="4" t="s">
        <v>24</v>
      </c>
      <c r="E147" s="4" t="s">
        <v>30</v>
      </c>
      <c r="F147" s="4" t="s">
        <v>25</v>
      </c>
      <c r="G147" s="4" t="s">
        <v>25</v>
      </c>
      <c r="H147" s="4" t="s">
        <v>25</v>
      </c>
      <c r="I147" s="5">
        <v>44562</v>
      </c>
      <c r="J147" s="6">
        <v>0</v>
      </c>
      <c r="K147" s="6">
        <v>0</v>
      </c>
      <c r="L147" s="6">
        <v>1504.6690000000001</v>
      </c>
      <c r="M147" s="6">
        <v>1504.6690000000001</v>
      </c>
      <c r="N147" s="6">
        <v>1504.6690000000001</v>
      </c>
      <c r="O147" s="6">
        <v>1504.6690000000001</v>
      </c>
      <c r="P147" s="6">
        <v>7343</v>
      </c>
      <c r="Q147" s="4" t="s">
        <v>26</v>
      </c>
      <c r="R147" s="4">
        <v>0</v>
      </c>
      <c r="S147" s="4">
        <v>0</v>
      </c>
      <c r="T147" s="4">
        <v>29</v>
      </c>
      <c r="U147" s="4">
        <v>82</v>
      </c>
      <c r="V147" s="6">
        <f>IF(ISERROR(VLOOKUP($S$147,'TAR FIN'!$A$1:$O$108,15,0)),0,VLOOKUP($S$147,'TAR FIN'!$A$1:$O$108,15,0))</f>
        <v>0</v>
      </c>
      <c r="W147" s="6">
        <f>IF(ISERROR(VLOOKUP($T$147,'TAR FIN'!$A$1:$O$108,15,0)),0,VLOOKUP($T$147,'TAR FIN'!$A$1:$O$108,15,0))</f>
        <v>226.31</v>
      </c>
      <c r="X147" s="6">
        <f>IF(ISERROR(VLOOKUP($U$147,'TAR FIN'!$A$1:$O$108,15,0)),0,VLOOKUP($U$147,'TAR FIN'!$A$1:$O$108,15,0))</f>
        <v>64.67</v>
      </c>
      <c r="Y147" s="6"/>
      <c r="Z147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47" s="6">
        <f>('TE BE'!$AB$18+'TE BF'!$AB$18+'TE CVA'!$AB$18)*(1-CUSTOS!$M$35)</f>
        <v>134.68776783705368</v>
      </c>
      <c r="AB147" s="6">
        <f t="shared" si="14"/>
        <v>0</v>
      </c>
      <c r="AC147" s="6">
        <f>(L147-M147)*(W147+X147)+($W$193+$X$193-$W$147-$X$147)*(L147)</f>
        <v>291890.73931000003</v>
      </c>
      <c r="AD147" s="6">
        <f t="shared" si="15"/>
        <v>0</v>
      </c>
      <c r="AE147" s="6">
        <f ca="1">(L147-M147)*(Z147+AA147)+($Z$193+$AA$193-$Z$147-$AA$147)*(L147)</f>
        <v>374304.31357268913</v>
      </c>
      <c r="AF147" s="4" t="s">
        <v>844</v>
      </c>
    </row>
    <row r="148" spans="1:32" ht="11.25" customHeight="1" x14ac:dyDescent="0.25">
      <c r="A148" s="4" t="s">
        <v>27</v>
      </c>
      <c r="B148" s="4" t="s">
        <v>22</v>
      </c>
      <c r="C148" s="4" t="s">
        <v>23</v>
      </c>
      <c r="D148" s="4" t="s">
        <v>24</v>
      </c>
      <c r="E148" s="4" t="s">
        <v>30</v>
      </c>
      <c r="F148" s="4" t="s">
        <v>25</v>
      </c>
      <c r="G148" s="4" t="s">
        <v>25</v>
      </c>
      <c r="H148" s="4" t="s">
        <v>25</v>
      </c>
      <c r="I148" s="5">
        <v>44562</v>
      </c>
      <c r="J148" s="6">
        <v>0</v>
      </c>
      <c r="K148" s="6">
        <v>0</v>
      </c>
      <c r="L148" s="6">
        <v>-9.2029999999999994</v>
      </c>
      <c r="M148" s="6">
        <v>-9.2029999999999994</v>
      </c>
      <c r="N148" s="6">
        <v>-9.2029999999999994</v>
      </c>
      <c r="O148" s="6">
        <v>-9.2029999999999994</v>
      </c>
      <c r="P148" s="6">
        <v>-9</v>
      </c>
      <c r="Q148" s="4" t="s">
        <v>26</v>
      </c>
      <c r="R148" s="4">
        <v>0</v>
      </c>
      <c r="S148" s="4">
        <v>0</v>
      </c>
      <c r="T148" s="4">
        <v>29</v>
      </c>
      <c r="U148" s="4">
        <v>82</v>
      </c>
      <c r="V148" s="6">
        <f>IF(ISERROR(VLOOKUP($S$148,'TAR FIN'!$A$1:$O$108,15,0)),0,VLOOKUP($S$148,'TAR FIN'!$A$1:$O$108,15,0))</f>
        <v>0</v>
      </c>
      <c r="W148" s="6">
        <f>IF(ISERROR(VLOOKUP($T$148,'TAR FIN'!$A$1:$O$108,15,0)),0,VLOOKUP($T$148,'TAR FIN'!$A$1:$O$108,15,0))</f>
        <v>226.31</v>
      </c>
      <c r="X148" s="6">
        <f>IF(ISERROR(VLOOKUP($U$148,'TAR FIN'!$A$1:$O$108,15,0)),0,VLOOKUP($U$148,'TAR FIN'!$A$1:$O$108,15,0))</f>
        <v>64.67</v>
      </c>
      <c r="Y148" s="6"/>
      <c r="Z148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48" s="6">
        <f>('TE BE'!$AB$18+'TE BF'!$AB$18+'TE CVA'!$AB$18)*(1-CUSTOS!$M$35)</f>
        <v>134.68776783705368</v>
      </c>
      <c r="AB148" s="6">
        <f t="shared" si="14"/>
        <v>0</v>
      </c>
      <c r="AC148" s="6">
        <f>(L148-M148)*(W148+X148)+($W$193+$X$193-$W$148-$X$148)*(L148)</f>
        <v>-1785.28997</v>
      </c>
      <c r="AD148" s="6">
        <f t="shared" si="15"/>
        <v>0</v>
      </c>
      <c r="AE148" s="6">
        <f ca="1">(L148-M148)*(Z148+AA148)+($Z$193+$AA$193-$Z$148-$AA$148)*(L148)</f>
        <v>-2289.3557306021839</v>
      </c>
      <c r="AF148" s="4" t="s">
        <v>844</v>
      </c>
    </row>
    <row r="149" spans="1:32" ht="11.25" customHeight="1" x14ac:dyDescent="0.25">
      <c r="A149" s="4" t="s">
        <v>21</v>
      </c>
      <c r="B149" s="4" t="s">
        <v>22</v>
      </c>
      <c r="C149" s="4" t="s">
        <v>23</v>
      </c>
      <c r="D149" s="4" t="s">
        <v>24</v>
      </c>
      <c r="E149" s="4" t="s">
        <v>30</v>
      </c>
      <c r="F149" s="4" t="s">
        <v>25</v>
      </c>
      <c r="G149" s="4" t="s">
        <v>25</v>
      </c>
      <c r="H149" s="4" t="s">
        <v>25</v>
      </c>
      <c r="I149" s="5">
        <v>44593</v>
      </c>
      <c r="J149" s="6">
        <v>0</v>
      </c>
      <c r="K149" s="6">
        <v>0</v>
      </c>
      <c r="L149" s="6">
        <v>1523.7850000000001</v>
      </c>
      <c r="M149" s="6">
        <v>1523.7850000000001</v>
      </c>
      <c r="N149" s="6">
        <v>1523.7850000000001</v>
      </c>
      <c r="O149" s="6">
        <v>1523.7850000000001</v>
      </c>
      <c r="P149" s="6">
        <v>8117</v>
      </c>
      <c r="Q149" s="4" t="s">
        <v>26</v>
      </c>
      <c r="R149" s="4">
        <v>0</v>
      </c>
      <c r="S149" s="4">
        <v>0</v>
      </c>
      <c r="T149" s="4">
        <v>29</v>
      </c>
      <c r="U149" s="4">
        <v>82</v>
      </c>
      <c r="V149" s="6">
        <f>IF(ISERROR(VLOOKUP($S$149,'TAR FIN'!$A$1:$O$108,15,0)),0,VLOOKUP($S$149,'TAR FIN'!$A$1:$O$108,15,0))</f>
        <v>0</v>
      </c>
      <c r="W149" s="6">
        <f>IF(ISERROR(VLOOKUP($T$149,'TAR FIN'!$A$1:$O$108,15,0)),0,VLOOKUP($T$149,'TAR FIN'!$A$1:$O$108,15,0))</f>
        <v>226.31</v>
      </c>
      <c r="X149" s="6">
        <f>IF(ISERROR(VLOOKUP($U$149,'TAR FIN'!$A$1:$O$108,15,0)),0,VLOOKUP($U$149,'TAR FIN'!$A$1:$O$108,15,0))</f>
        <v>64.67</v>
      </c>
      <c r="Y149" s="6"/>
      <c r="Z149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49" s="6">
        <f>('TE BE'!$AB$18+'TE BF'!$AB$18+'TE CVA'!$AB$18)*(1-CUSTOS!$M$35)</f>
        <v>134.68776783705368</v>
      </c>
      <c r="AB149" s="6">
        <f t="shared" si="14"/>
        <v>0</v>
      </c>
      <c r="AC149" s="6">
        <f>(L149-M149)*(W149+X149)+($W$193+$X$193-$W$149-$X$149)*(L149)</f>
        <v>295599.05215</v>
      </c>
      <c r="AD149" s="6">
        <f t="shared" si="15"/>
        <v>0</v>
      </c>
      <c r="AE149" s="6">
        <f ca="1">(L149-M149)*(Z149+AA149)+($Z$193+$AA$193-$Z$149-$AA$149)*(L149)</f>
        <v>379059.64598018577</v>
      </c>
      <c r="AF149" s="4" t="s">
        <v>844</v>
      </c>
    </row>
    <row r="150" spans="1:32" ht="11.25" customHeight="1" x14ac:dyDescent="0.25">
      <c r="A150" s="4" t="s">
        <v>27</v>
      </c>
      <c r="B150" s="4" t="s">
        <v>22</v>
      </c>
      <c r="C150" s="4" t="s">
        <v>23</v>
      </c>
      <c r="D150" s="4" t="s">
        <v>24</v>
      </c>
      <c r="E150" s="4" t="s">
        <v>30</v>
      </c>
      <c r="F150" s="4" t="s">
        <v>25</v>
      </c>
      <c r="G150" s="4" t="s">
        <v>25</v>
      </c>
      <c r="H150" s="4" t="s">
        <v>25</v>
      </c>
      <c r="I150" s="5">
        <v>44593</v>
      </c>
      <c r="J150" s="6">
        <v>0</v>
      </c>
      <c r="K150" s="6">
        <v>0</v>
      </c>
      <c r="L150" s="6">
        <v>-7.7850000000000001</v>
      </c>
      <c r="M150" s="6">
        <v>-7.7850000000000001</v>
      </c>
      <c r="N150" s="6">
        <v>-7.7850000000000001</v>
      </c>
      <c r="O150" s="6">
        <v>-7.7850000000000001</v>
      </c>
      <c r="P150" s="6">
        <v>14</v>
      </c>
      <c r="Q150" s="4" t="s">
        <v>26</v>
      </c>
      <c r="R150" s="4">
        <v>0</v>
      </c>
      <c r="S150" s="4">
        <v>0</v>
      </c>
      <c r="T150" s="4">
        <v>29</v>
      </c>
      <c r="U150" s="4">
        <v>82</v>
      </c>
      <c r="V150" s="6">
        <f>IF(ISERROR(VLOOKUP($S$150,'TAR FIN'!$A$1:$O$108,15,0)),0,VLOOKUP($S$150,'TAR FIN'!$A$1:$O$108,15,0))</f>
        <v>0</v>
      </c>
      <c r="W150" s="6">
        <f>IF(ISERROR(VLOOKUP($T$150,'TAR FIN'!$A$1:$O$108,15,0)),0,VLOOKUP($T$150,'TAR FIN'!$A$1:$O$108,15,0))</f>
        <v>226.31</v>
      </c>
      <c r="X150" s="6">
        <f>IF(ISERROR(VLOOKUP($U$150,'TAR FIN'!$A$1:$O$108,15,0)),0,VLOOKUP($U$150,'TAR FIN'!$A$1:$O$108,15,0))</f>
        <v>64.67</v>
      </c>
      <c r="Y150" s="6"/>
      <c r="Z150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0" s="6">
        <f>('TE BE'!$AB$18+'TE BF'!$AB$18+'TE CVA'!$AB$18)*(1-CUSTOS!$M$35)</f>
        <v>134.68776783705368</v>
      </c>
      <c r="AB150" s="6">
        <f t="shared" si="14"/>
        <v>0</v>
      </c>
      <c r="AC150" s="6">
        <f>(L150-M150)*(W150+X150)+($W$193+$X$193-$W$150-$X$150)*(L150)</f>
        <v>-1510.2121500000001</v>
      </c>
      <c r="AD150" s="6">
        <f t="shared" si="15"/>
        <v>0</v>
      </c>
      <c r="AE150" s="6">
        <f ca="1">(L150-M150)*(Z150+AA150)+($Z$193+$AA$193-$Z$150-$AA$150)*(L150)</f>
        <v>-1936.6113618100626</v>
      </c>
      <c r="AF150" s="4" t="s">
        <v>844</v>
      </c>
    </row>
    <row r="151" spans="1:32" ht="11.25" customHeight="1" x14ac:dyDescent="0.25">
      <c r="A151" s="4" t="s">
        <v>21</v>
      </c>
      <c r="B151" s="4" t="s">
        <v>22</v>
      </c>
      <c r="C151" s="4" t="s">
        <v>23</v>
      </c>
      <c r="D151" s="4" t="s">
        <v>24</v>
      </c>
      <c r="E151" s="4" t="s">
        <v>30</v>
      </c>
      <c r="F151" s="4" t="s">
        <v>25</v>
      </c>
      <c r="G151" s="4" t="s">
        <v>25</v>
      </c>
      <c r="H151" s="4" t="s">
        <v>25</v>
      </c>
      <c r="I151" s="5">
        <v>44621</v>
      </c>
      <c r="J151" s="6">
        <v>0</v>
      </c>
      <c r="K151" s="6">
        <v>0</v>
      </c>
      <c r="L151" s="6">
        <v>1548.165</v>
      </c>
      <c r="M151" s="6">
        <v>1548.165</v>
      </c>
      <c r="N151" s="6">
        <v>1548.165</v>
      </c>
      <c r="O151" s="6">
        <v>1548.165</v>
      </c>
      <c r="P151" s="6">
        <v>7631</v>
      </c>
      <c r="Q151" s="4" t="s">
        <v>26</v>
      </c>
      <c r="R151" s="4">
        <v>0</v>
      </c>
      <c r="S151" s="4">
        <v>0</v>
      </c>
      <c r="T151" s="4">
        <v>29</v>
      </c>
      <c r="U151" s="4">
        <v>82</v>
      </c>
      <c r="V151" s="6">
        <f>IF(ISERROR(VLOOKUP($S$151,'TAR FIN'!$A$1:$O$108,15,0)),0,VLOOKUP($S$151,'TAR FIN'!$A$1:$O$108,15,0))</f>
        <v>0</v>
      </c>
      <c r="W151" s="6">
        <f>IF(ISERROR(VLOOKUP($T$151,'TAR FIN'!$A$1:$O$108,15,0)),0,VLOOKUP($T$151,'TAR FIN'!$A$1:$O$108,15,0))</f>
        <v>226.31</v>
      </c>
      <c r="X151" s="6">
        <f>IF(ISERROR(VLOOKUP($U$151,'TAR FIN'!$A$1:$O$108,15,0)),0,VLOOKUP($U$151,'TAR FIN'!$A$1:$O$108,15,0))</f>
        <v>64.67</v>
      </c>
      <c r="Y151" s="6"/>
      <c r="Z151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1" s="6">
        <f>('TE BE'!$AB$18+'TE BF'!$AB$18+'TE CVA'!$AB$18)*(1-CUSTOS!$M$35)</f>
        <v>134.68776783705368</v>
      </c>
      <c r="AB151" s="6">
        <f t="shared" si="14"/>
        <v>0</v>
      </c>
      <c r="AC151" s="6">
        <f>(L151-M151)*(W151+X151)+($W$193+$X$193-$W$151-$X$151)*(L151)</f>
        <v>300328.52834999998</v>
      </c>
      <c r="AD151" s="6">
        <f t="shared" si="15"/>
        <v>0</v>
      </c>
      <c r="AE151" s="6">
        <f ca="1">(L151-M151)*(Z151+AA151)+($Z$193+$AA$193-$Z$151-$AA$151)*(L151)</f>
        <v>385124.46100920683</v>
      </c>
      <c r="AF151" s="4" t="s">
        <v>844</v>
      </c>
    </row>
    <row r="152" spans="1:32" ht="11.25" customHeight="1" x14ac:dyDescent="0.25">
      <c r="A152" s="4" t="s">
        <v>27</v>
      </c>
      <c r="B152" s="4" t="s">
        <v>22</v>
      </c>
      <c r="C152" s="4" t="s">
        <v>23</v>
      </c>
      <c r="D152" s="4" t="s">
        <v>24</v>
      </c>
      <c r="E152" s="4" t="s">
        <v>30</v>
      </c>
      <c r="F152" s="4" t="s">
        <v>25</v>
      </c>
      <c r="G152" s="4" t="s">
        <v>25</v>
      </c>
      <c r="H152" s="4" t="s">
        <v>25</v>
      </c>
      <c r="I152" s="5">
        <v>44621</v>
      </c>
      <c r="J152" s="6">
        <v>0</v>
      </c>
      <c r="K152" s="6">
        <v>0</v>
      </c>
      <c r="L152" s="6">
        <v>-14.787000000000001</v>
      </c>
      <c r="M152" s="6">
        <v>-14.787000000000001</v>
      </c>
      <c r="N152" s="6">
        <v>-14.787000000000001</v>
      </c>
      <c r="O152" s="6">
        <v>-14.787000000000001</v>
      </c>
      <c r="P152" s="6">
        <v>-63</v>
      </c>
      <c r="Q152" s="4" t="s">
        <v>26</v>
      </c>
      <c r="R152" s="4">
        <v>0</v>
      </c>
      <c r="S152" s="4">
        <v>0</v>
      </c>
      <c r="T152" s="4">
        <v>29</v>
      </c>
      <c r="U152" s="4">
        <v>82</v>
      </c>
      <c r="V152" s="6">
        <f>IF(ISERROR(VLOOKUP($S$152,'TAR FIN'!$A$1:$O$108,15,0)),0,VLOOKUP($S$152,'TAR FIN'!$A$1:$O$108,15,0))</f>
        <v>0</v>
      </c>
      <c r="W152" s="6">
        <f>IF(ISERROR(VLOOKUP($T$152,'TAR FIN'!$A$1:$O$108,15,0)),0,VLOOKUP($T$152,'TAR FIN'!$A$1:$O$108,15,0))</f>
        <v>226.31</v>
      </c>
      <c r="X152" s="6">
        <f>IF(ISERROR(VLOOKUP($U$152,'TAR FIN'!$A$1:$O$108,15,0)),0,VLOOKUP($U$152,'TAR FIN'!$A$1:$O$108,15,0))</f>
        <v>64.67</v>
      </c>
      <c r="Y152" s="6"/>
      <c r="Z152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2" s="6">
        <f>('TE BE'!$AB$18+'TE BF'!$AB$18+'TE CVA'!$AB$18)*(1-CUSTOS!$M$35)</f>
        <v>134.68776783705368</v>
      </c>
      <c r="AB152" s="6">
        <f t="shared" si="14"/>
        <v>0</v>
      </c>
      <c r="AC152" s="6">
        <f>(L152-M152)*(W152+X152)+($W$193+$X$193-$W$152-$X$152)*(L152)</f>
        <v>-2868.5301300000001</v>
      </c>
      <c r="AD152" s="6">
        <f t="shared" si="15"/>
        <v>0</v>
      </c>
      <c r="AE152" s="6">
        <f ca="1">(L152-M152)*(Z152+AA152)+($Z$193+$AA$193-$Z$152-$AA$152)*(L152)</f>
        <v>-3678.4421589062808</v>
      </c>
      <c r="AF152" s="4" t="s">
        <v>844</v>
      </c>
    </row>
    <row r="153" spans="1:32" ht="11.25" customHeight="1" x14ac:dyDescent="0.25">
      <c r="A153" s="4" t="s">
        <v>21</v>
      </c>
      <c r="B153" s="4" t="s">
        <v>22</v>
      </c>
      <c r="C153" s="4" t="s">
        <v>23</v>
      </c>
      <c r="D153" s="4" t="s">
        <v>24</v>
      </c>
      <c r="E153" s="4" t="s">
        <v>30</v>
      </c>
      <c r="F153" s="4" t="s">
        <v>25</v>
      </c>
      <c r="G153" s="4" t="s">
        <v>25</v>
      </c>
      <c r="H153" s="4" t="s">
        <v>25</v>
      </c>
      <c r="I153" s="5">
        <v>44652</v>
      </c>
      <c r="J153" s="6">
        <v>0</v>
      </c>
      <c r="K153" s="6">
        <v>0</v>
      </c>
      <c r="L153" s="6">
        <v>1651.316</v>
      </c>
      <c r="M153" s="6">
        <v>1651.316</v>
      </c>
      <c r="N153" s="6">
        <v>1651.316</v>
      </c>
      <c r="O153" s="6">
        <v>1651.316</v>
      </c>
      <c r="P153" s="6">
        <v>8321</v>
      </c>
      <c r="Q153" s="4" t="s">
        <v>26</v>
      </c>
      <c r="R153" s="4">
        <v>0</v>
      </c>
      <c r="S153" s="4">
        <v>0</v>
      </c>
      <c r="T153" s="4">
        <v>29</v>
      </c>
      <c r="U153" s="4">
        <v>82</v>
      </c>
      <c r="V153" s="6">
        <f>IF(ISERROR(VLOOKUP($S$153,'TAR FIN'!$A$1:$O$108,15,0)),0,VLOOKUP($S$153,'TAR FIN'!$A$1:$O$108,15,0))</f>
        <v>0</v>
      </c>
      <c r="W153" s="6">
        <f>IF(ISERROR(VLOOKUP($T$153,'TAR FIN'!$A$1:$O$108,15,0)),0,VLOOKUP($T$153,'TAR FIN'!$A$1:$O$108,15,0))</f>
        <v>226.31</v>
      </c>
      <c r="X153" s="6">
        <f>IF(ISERROR(VLOOKUP($U$153,'TAR FIN'!$A$1:$O$108,15,0)),0,VLOOKUP($U$153,'TAR FIN'!$A$1:$O$108,15,0))</f>
        <v>64.67</v>
      </c>
      <c r="Y153" s="6"/>
      <c r="Z153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3" s="6">
        <f>('TE BE'!$AB$18+'TE BF'!$AB$18+'TE CVA'!$AB$18)*(1-CUSTOS!$M$35)</f>
        <v>134.68776783705368</v>
      </c>
      <c r="AB153" s="6">
        <f t="shared" si="14"/>
        <v>0</v>
      </c>
      <c r="AC153" s="6">
        <f>(L153-M153)*(W153+X153)+($W$193+$X$193-$W$153-$X$153)*(L153)</f>
        <v>320338.79084000003</v>
      </c>
      <c r="AD153" s="6">
        <f t="shared" si="15"/>
        <v>0</v>
      </c>
      <c r="AE153" s="6">
        <f ca="1">(L153-M153)*(Z153+AA153)+($Z$193+$AA$193-$Z$153-$AA$153)*(L153)</f>
        <v>410784.49936271616</v>
      </c>
      <c r="AF153" s="4" t="s">
        <v>844</v>
      </c>
    </row>
    <row r="154" spans="1:32" ht="11.25" customHeight="1" x14ac:dyDescent="0.25">
      <c r="A154" s="4" t="s">
        <v>27</v>
      </c>
      <c r="B154" s="4" t="s">
        <v>22</v>
      </c>
      <c r="C154" s="4" t="s">
        <v>23</v>
      </c>
      <c r="D154" s="4" t="s">
        <v>24</v>
      </c>
      <c r="E154" s="4" t="s">
        <v>30</v>
      </c>
      <c r="F154" s="4" t="s">
        <v>25</v>
      </c>
      <c r="G154" s="4" t="s">
        <v>25</v>
      </c>
      <c r="H154" s="4" t="s">
        <v>25</v>
      </c>
      <c r="I154" s="5">
        <v>44652</v>
      </c>
      <c r="J154" s="6">
        <v>0</v>
      </c>
      <c r="K154" s="6">
        <v>0</v>
      </c>
      <c r="L154" s="6">
        <v>-14.840999999999999</v>
      </c>
      <c r="M154" s="6">
        <v>-14.840999999999999</v>
      </c>
      <c r="N154" s="6">
        <v>-14.840999999999999</v>
      </c>
      <c r="O154" s="6">
        <v>-14.840999999999999</v>
      </c>
      <c r="P154" s="6">
        <v>-9</v>
      </c>
      <c r="Q154" s="4" t="s">
        <v>26</v>
      </c>
      <c r="R154" s="4">
        <v>0</v>
      </c>
      <c r="S154" s="4">
        <v>0</v>
      </c>
      <c r="T154" s="4">
        <v>29</v>
      </c>
      <c r="U154" s="4">
        <v>82</v>
      </c>
      <c r="V154" s="6">
        <f>IF(ISERROR(VLOOKUP($S$154,'TAR FIN'!$A$1:$O$108,15,0)),0,VLOOKUP($S$154,'TAR FIN'!$A$1:$O$108,15,0))</f>
        <v>0</v>
      </c>
      <c r="W154" s="6">
        <f>IF(ISERROR(VLOOKUP($T$154,'TAR FIN'!$A$1:$O$108,15,0)),0,VLOOKUP($T$154,'TAR FIN'!$A$1:$O$108,15,0))</f>
        <v>226.31</v>
      </c>
      <c r="X154" s="6">
        <f>IF(ISERROR(VLOOKUP($U$154,'TAR FIN'!$A$1:$O$108,15,0)),0,VLOOKUP($U$154,'TAR FIN'!$A$1:$O$108,15,0))</f>
        <v>64.67</v>
      </c>
      <c r="Y154" s="6"/>
      <c r="Z154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4" s="6">
        <f>('TE BE'!$AB$18+'TE BF'!$AB$18+'TE CVA'!$AB$18)*(1-CUSTOS!$M$35)</f>
        <v>134.68776783705368</v>
      </c>
      <c r="AB154" s="6">
        <f t="shared" si="14"/>
        <v>0</v>
      </c>
      <c r="AC154" s="6">
        <f>(L154-M154)*(W154+X154)+($W$193+$X$193-$W$154-$X$154)*(L154)</f>
        <v>-2879.0055900000002</v>
      </c>
      <c r="AD154" s="6">
        <f t="shared" si="15"/>
        <v>0</v>
      </c>
      <c r="AE154" s="6">
        <f ca="1">(L154-M154)*(Z154+AA154)+($Z$193+$AA$193-$Z$154-$AA$154)*(L154)</f>
        <v>-3691.8753013003384</v>
      </c>
      <c r="AF154" s="4" t="s">
        <v>844</v>
      </c>
    </row>
    <row r="155" spans="1:32" ht="11.25" customHeight="1" x14ac:dyDescent="0.25">
      <c r="A155" s="4" t="s">
        <v>21</v>
      </c>
      <c r="B155" s="4" t="s">
        <v>22</v>
      </c>
      <c r="C155" s="4" t="s">
        <v>23</v>
      </c>
      <c r="D155" s="4" t="s">
        <v>24</v>
      </c>
      <c r="E155" s="4" t="s">
        <v>30</v>
      </c>
      <c r="F155" s="4" t="s">
        <v>25</v>
      </c>
      <c r="G155" s="4" t="s">
        <v>25</v>
      </c>
      <c r="H155" s="4" t="s">
        <v>25</v>
      </c>
      <c r="I155" s="5">
        <v>44682</v>
      </c>
      <c r="J155" s="6">
        <v>0</v>
      </c>
      <c r="K155" s="6">
        <v>0</v>
      </c>
      <c r="L155" s="6">
        <v>1662.25</v>
      </c>
      <c r="M155" s="6">
        <v>1662.25</v>
      </c>
      <c r="N155" s="6">
        <v>1662.25</v>
      </c>
      <c r="O155" s="6">
        <v>1662.25</v>
      </c>
      <c r="P155" s="6">
        <v>7645</v>
      </c>
      <c r="Q155" s="4" t="s">
        <v>26</v>
      </c>
      <c r="R155" s="4">
        <v>0</v>
      </c>
      <c r="S155" s="4">
        <v>0</v>
      </c>
      <c r="T155" s="4">
        <v>29</v>
      </c>
      <c r="U155" s="4">
        <v>82</v>
      </c>
      <c r="V155" s="6">
        <f>IF(ISERROR(VLOOKUP($S$155,'TAR FIN'!$A$1:$O$108,15,0)),0,VLOOKUP($S$155,'TAR FIN'!$A$1:$O$108,15,0))</f>
        <v>0</v>
      </c>
      <c r="W155" s="6">
        <f>IF(ISERROR(VLOOKUP($T$155,'TAR FIN'!$A$1:$O$108,15,0)),0,VLOOKUP($T$155,'TAR FIN'!$A$1:$O$108,15,0))</f>
        <v>226.31</v>
      </c>
      <c r="X155" s="6">
        <f>IF(ISERROR(VLOOKUP($U$155,'TAR FIN'!$A$1:$O$108,15,0)),0,VLOOKUP($U$155,'TAR FIN'!$A$1:$O$108,15,0))</f>
        <v>64.67</v>
      </c>
      <c r="Y155" s="6"/>
      <c r="Z15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5" s="6">
        <f>('TE BE'!$AB$18+'TE BF'!$AB$18+'TE CVA'!$AB$18)*(1-CUSTOS!$M$35)</f>
        <v>134.68776783705368</v>
      </c>
      <c r="AB155" s="6">
        <f t="shared" si="14"/>
        <v>0</v>
      </c>
      <c r="AC155" s="6">
        <f>(L155-M155)*(W155+X155)+($W$193+$X$193-$W$155-$X$155)*(L155)</f>
        <v>322459.8775</v>
      </c>
      <c r="AD155" s="6">
        <f t="shared" si="15"/>
        <v>0</v>
      </c>
      <c r="AE155" s="6">
        <f ca="1">(L155-M155)*(Z155+AA155)+($Z$193+$AA$193-$Z$155-$AA$155)*(L155)</f>
        <v>413504.46193561674</v>
      </c>
      <c r="AF155" s="4" t="s">
        <v>844</v>
      </c>
    </row>
    <row r="156" spans="1:32" ht="11.25" customHeight="1" x14ac:dyDescent="0.25">
      <c r="A156" s="4" t="s">
        <v>27</v>
      </c>
      <c r="B156" s="4" t="s">
        <v>22</v>
      </c>
      <c r="C156" s="4" t="s">
        <v>23</v>
      </c>
      <c r="D156" s="4" t="s">
        <v>24</v>
      </c>
      <c r="E156" s="4" t="s">
        <v>30</v>
      </c>
      <c r="F156" s="4" t="s">
        <v>25</v>
      </c>
      <c r="G156" s="4" t="s">
        <v>25</v>
      </c>
      <c r="H156" s="4" t="s">
        <v>25</v>
      </c>
      <c r="I156" s="5">
        <v>44682</v>
      </c>
      <c r="J156" s="6">
        <v>0</v>
      </c>
      <c r="K156" s="6">
        <v>0</v>
      </c>
      <c r="L156" s="6">
        <v>-8.1579999999999995</v>
      </c>
      <c r="M156" s="6">
        <v>-8.1579999999999995</v>
      </c>
      <c r="N156" s="6">
        <v>-8.1579999999999995</v>
      </c>
      <c r="O156" s="6">
        <v>-8.1579999999999995</v>
      </c>
      <c r="P156" s="6">
        <v>9</v>
      </c>
      <c r="Q156" s="4" t="s">
        <v>26</v>
      </c>
      <c r="R156" s="4">
        <v>0</v>
      </c>
      <c r="S156" s="4">
        <v>0</v>
      </c>
      <c r="T156" s="4">
        <v>29</v>
      </c>
      <c r="U156" s="4">
        <v>82</v>
      </c>
      <c r="V156" s="6">
        <f>IF(ISERROR(VLOOKUP($S$156,'TAR FIN'!$A$1:$O$108,15,0)),0,VLOOKUP($S$156,'TAR FIN'!$A$1:$O$108,15,0))</f>
        <v>0</v>
      </c>
      <c r="W156" s="6">
        <f>IF(ISERROR(VLOOKUP($T$156,'TAR FIN'!$A$1:$O$108,15,0)),0,VLOOKUP($T$156,'TAR FIN'!$A$1:$O$108,15,0))</f>
        <v>226.31</v>
      </c>
      <c r="X156" s="6">
        <f>IF(ISERROR(VLOOKUP($U$156,'TAR FIN'!$A$1:$O$108,15,0)),0,VLOOKUP($U$156,'TAR FIN'!$A$1:$O$108,15,0))</f>
        <v>64.67</v>
      </c>
      <c r="Y156" s="6"/>
      <c r="Z156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6" s="6">
        <f>('TE BE'!$AB$18+'TE BF'!$AB$18+'TE CVA'!$AB$18)*(1-CUSTOS!$M$35)</f>
        <v>134.68776783705368</v>
      </c>
      <c r="AB156" s="6">
        <f t="shared" si="14"/>
        <v>0</v>
      </c>
      <c r="AC156" s="6">
        <f>(L156-M156)*(W156+X156)+($W$193+$X$193-$W$156-$X$156)*(L156)</f>
        <v>-1582.57042</v>
      </c>
      <c r="AD156" s="6">
        <f t="shared" si="15"/>
        <v>0</v>
      </c>
      <c r="AE156" s="6">
        <f ca="1">(L156-M156)*(Z156+AA156)+($Z$193+$AA$193-$Z$156-$AA$156)*(L156)</f>
        <v>-2029.3995490875386</v>
      </c>
      <c r="AF156" s="4" t="s">
        <v>844</v>
      </c>
    </row>
    <row r="157" spans="1:32" ht="11.25" customHeight="1" x14ac:dyDescent="0.25">
      <c r="A157" s="4" t="s">
        <v>21</v>
      </c>
      <c r="B157" s="4" t="s">
        <v>22</v>
      </c>
      <c r="C157" s="4" t="s">
        <v>23</v>
      </c>
      <c r="D157" s="4" t="s">
        <v>24</v>
      </c>
      <c r="E157" s="4" t="s">
        <v>30</v>
      </c>
      <c r="F157" s="4" t="s">
        <v>25</v>
      </c>
      <c r="G157" s="4" t="s">
        <v>25</v>
      </c>
      <c r="H157" s="4" t="s">
        <v>25</v>
      </c>
      <c r="I157" s="5">
        <v>44713</v>
      </c>
      <c r="J157" s="6">
        <v>0</v>
      </c>
      <c r="K157" s="6">
        <v>0</v>
      </c>
      <c r="L157" s="6">
        <v>1752.2</v>
      </c>
      <c r="M157" s="6">
        <v>1752.2</v>
      </c>
      <c r="N157" s="6">
        <v>1752.2</v>
      </c>
      <c r="O157" s="6">
        <v>1752.2</v>
      </c>
      <c r="P157" s="6">
        <v>7669</v>
      </c>
      <c r="Q157" s="4" t="s">
        <v>26</v>
      </c>
      <c r="R157" s="4">
        <v>0</v>
      </c>
      <c r="S157" s="4">
        <v>0</v>
      </c>
      <c r="T157" s="4">
        <v>29</v>
      </c>
      <c r="U157" s="4">
        <v>82</v>
      </c>
      <c r="V157" s="6">
        <f>IF(ISERROR(VLOOKUP($S$157,'TAR FIN'!$A$1:$O$108,15,0)),0,VLOOKUP($S$157,'TAR FIN'!$A$1:$O$108,15,0))</f>
        <v>0</v>
      </c>
      <c r="W157" s="6">
        <f>IF(ISERROR(VLOOKUP($T$157,'TAR FIN'!$A$1:$O$108,15,0)),0,VLOOKUP($T$157,'TAR FIN'!$A$1:$O$108,15,0))</f>
        <v>226.31</v>
      </c>
      <c r="X157" s="6">
        <f>IF(ISERROR(VLOOKUP($U$157,'TAR FIN'!$A$1:$O$108,15,0)),0,VLOOKUP($U$157,'TAR FIN'!$A$1:$O$108,15,0))</f>
        <v>64.67</v>
      </c>
      <c r="Y157" s="6"/>
      <c r="Z157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7" s="6">
        <f>('TE BE'!$AB$18+'TE BF'!$AB$18+'TE CVA'!$AB$18)*(1-CUSTOS!$M$35)</f>
        <v>134.68776783705368</v>
      </c>
      <c r="AB157" s="6">
        <f t="shared" si="14"/>
        <v>0</v>
      </c>
      <c r="AC157" s="6">
        <f>(L157-M157)*(W157+X157)+($W$193+$X$193-$W$157-$X$157)*(L157)</f>
        <v>339909.27800000005</v>
      </c>
      <c r="AD157" s="6">
        <f t="shared" si="15"/>
        <v>0</v>
      </c>
      <c r="AE157" s="6">
        <f ca="1">(L157-M157)*(Z157+AA157)+($Z$193+$AA$193-$Z$157-$AA$157)*(L157)</f>
        <v>435880.59449757118</v>
      </c>
      <c r="AF157" s="4" t="s">
        <v>844</v>
      </c>
    </row>
    <row r="158" spans="1:32" ht="11.25" customHeight="1" x14ac:dyDescent="0.25">
      <c r="A158" s="4" t="s">
        <v>27</v>
      </c>
      <c r="B158" s="4" t="s">
        <v>22</v>
      </c>
      <c r="C158" s="4" t="s">
        <v>23</v>
      </c>
      <c r="D158" s="4" t="s">
        <v>24</v>
      </c>
      <c r="E158" s="4" t="s">
        <v>30</v>
      </c>
      <c r="F158" s="4" t="s">
        <v>25</v>
      </c>
      <c r="G158" s="4" t="s">
        <v>25</v>
      </c>
      <c r="H158" s="4" t="s">
        <v>25</v>
      </c>
      <c r="I158" s="5">
        <v>44713</v>
      </c>
      <c r="J158" s="6">
        <v>0</v>
      </c>
      <c r="K158" s="6">
        <v>0</v>
      </c>
      <c r="L158" s="6">
        <v>-8.2530000000000001</v>
      </c>
      <c r="M158" s="6">
        <v>-8.2530000000000001</v>
      </c>
      <c r="N158" s="6">
        <v>-8.2530000000000001</v>
      </c>
      <c r="O158" s="6">
        <v>-8.2530000000000001</v>
      </c>
      <c r="P158" s="6">
        <v>-51</v>
      </c>
      <c r="Q158" s="4" t="s">
        <v>26</v>
      </c>
      <c r="R158" s="4">
        <v>0</v>
      </c>
      <c r="S158" s="4">
        <v>0</v>
      </c>
      <c r="T158" s="4">
        <v>29</v>
      </c>
      <c r="U158" s="4">
        <v>82</v>
      </c>
      <c r="V158" s="6">
        <f>IF(ISERROR(VLOOKUP($S$158,'TAR FIN'!$A$1:$O$108,15,0)),0,VLOOKUP($S$158,'TAR FIN'!$A$1:$O$108,15,0))</f>
        <v>0</v>
      </c>
      <c r="W158" s="6">
        <f>IF(ISERROR(VLOOKUP($T$158,'TAR FIN'!$A$1:$O$108,15,0)),0,VLOOKUP($T$158,'TAR FIN'!$A$1:$O$108,15,0))</f>
        <v>226.31</v>
      </c>
      <c r="X158" s="6">
        <f>IF(ISERROR(VLOOKUP($U$158,'TAR FIN'!$A$1:$O$108,15,0)),0,VLOOKUP($U$158,'TAR FIN'!$A$1:$O$108,15,0))</f>
        <v>64.67</v>
      </c>
      <c r="Y158" s="6"/>
      <c r="Z158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8" s="6">
        <f>('TE BE'!$AB$18+'TE BF'!$AB$18+'TE CVA'!$AB$18)*(1-CUSTOS!$M$35)</f>
        <v>134.68776783705368</v>
      </c>
      <c r="AB158" s="6">
        <f t="shared" si="14"/>
        <v>0</v>
      </c>
      <c r="AC158" s="6">
        <f>(L158-M158)*(W158+X158)+($W$193+$X$193-$W$158-$X$158)*(L158)</f>
        <v>-1600.9994700000002</v>
      </c>
      <c r="AD158" s="6">
        <f t="shared" si="15"/>
        <v>0</v>
      </c>
      <c r="AE158" s="6">
        <f ca="1">(L158-M158)*(Z158+AA158)+($Z$193+$AA$193-$Z$158-$AA$158)*(L158)</f>
        <v>-2053.0319292252339</v>
      </c>
      <c r="AF158" s="4" t="s">
        <v>844</v>
      </c>
    </row>
    <row r="159" spans="1:32" ht="11.25" customHeight="1" x14ac:dyDescent="0.25">
      <c r="A159" s="4" t="s">
        <v>21</v>
      </c>
      <c r="B159" s="4" t="s">
        <v>22</v>
      </c>
      <c r="C159" s="4" t="s">
        <v>23</v>
      </c>
      <c r="D159" s="4" t="s">
        <v>24</v>
      </c>
      <c r="E159" s="4" t="s">
        <v>30</v>
      </c>
      <c r="F159" s="4" t="s">
        <v>25</v>
      </c>
      <c r="G159" s="4" t="s">
        <v>25</v>
      </c>
      <c r="H159" s="4" t="s">
        <v>25</v>
      </c>
      <c r="I159" s="5">
        <v>44743</v>
      </c>
      <c r="J159" s="6">
        <v>0</v>
      </c>
      <c r="K159" s="6">
        <v>0</v>
      </c>
      <c r="L159" s="6">
        <v>1832.152</v>
      </c>
      <c r="M159" s="6">
        <v>1832.152</v>
      </c>
      <c r="N159" s="6">
        <v>1832.152</v>
      </c>
      <c r="O159" s="6">
        <v>1832.152</v>
      </c>
      <c r="P159" s="6">
        <v>7922</v>
      </c>
      <c r="Q159" s="4" t="s">
        <v>26</v>
      </c>
      <c r="R159" s="4">
        <v>0</v>
      </c>
      <c r="S159" s="4">
        <v>0</v>
      </c>
      <c r="T159" s="4">
        <v>29</v>
      </c>
      <c r="U159" s="4">
        <v>82</v>
      </c>
      <c r="V159" s="6">
        <f>IF(ISERROR(VLOOKUP($S$159,'TAR FIN'!$A$1:$O$108,15,0)),0,VLOOKUP($S$159,'TAR FIN'!$A$1:$O$108,15,0))</f>
        <v>0</v>
      </c>
      <c r="W159" s="6">
        <f>IF(ISERROR(VLOOKUP($T$159,'TAR FIN'!$A$1:$O$108,15,0)),0,VLOOKUP($T$159,'TAR FIN'!$A$1:$O$108,15,0))</f>
        <v>226.31</v>
      </c>
      <c r="X159" s="6">
        <f>IF(ISERROR(VLOOKUP($U$159,'TAR FIN'!$A$1:$O$108,15,0)),0,VLOOKUP($U$159,'TAR FIN'!$A$1:$O$108,15,0))</f>
        <v>64.67</v>
      </c>
      <c r="Y159" s="6"/>
      <c r="Z159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59" s="6">
        <f>('TE BE'!$AB$18+'TE BF'!$AB$18+'TE CVA'!$AB$18)*(1-CUSTOS!$M$35)</f>
        <v>134.68776783705368</v>
      </c>
      <c r="AB159" s="6">
        <f t="shared" si="14"/>
        <v>0</v>
      </c>
      <c r="AC159" s="6">
        <f>(L159-M159)*(W159+X159)+($W$193+$X$193-$W$159-$X$159)*(L159)</f>
        <v>355419.16648000001</v>
      </c>
      <c r="AD159" s="6">
        <f t="shared" si="15"/>
        <v>0</v>
      </c>
      <c r="AE159" s="6">
        <f ca="1">(L159-M159)*(Z159+AA159)+($Z$193+$AA$193-$Z$159-$AA$159)*(L159)</f>
        <v>455769.6056214553</v>
      </c>
      <c r="AF159" s="4" t="s">
        <v>844</v>
      </c>
    </row>
    <row r="160" spans="1:32" ht="11.25" customHeight="1" x14ac:dyDescent="0.25">
      <c r="A160" s="4" t="s">
        <v>27</v>
      </c>
      <c r="B160" s="4" t="s">
        <v>22</v>
      </c>
      <c r="C160" s="4" t="s">
        <v>23</v>
      </c>
      <c r="D160" s="4" t="s">
        <v>24</v>
      </c>
      <c r="E160" s="4" t="s">
        <v>30</v>
      </c>
      <c r="F160" s="4" t="s">
        <v>25</v>
      </c>
      <c r="G160" s="4" t="s">
        <v>25</v>
      </c>
      <c r="H160" s="4" t="s">
        <v>25</v>
      </c>
      <c r="I160" s="5">
        <v>44743</v>
      </c>
      <c r="J160" s="6">
        <v>0</v>
      </c>
      <c r="K160" s="6">
        <v>0</v>
      </c>
      <c r="L160" s="6">
        <v>-5.266</v>
      </c>
      <c r="M160" s="6">
        <v>-5.266</v>
      </c>
      <c r="N160" s="6">
        <v>-5.266</v>
      </c>
      <c r="O160" s="6">
        <v>-5.266</v>
      </c>
      <c r="P160" s="6">
        <v>-3</v>
      </c>
      <c r="Q160" s="4" t="s">
        <v>26</v>
      </c>
      <c r="R160" s="4">
        <v>0</v>
      </c>
      <c r="S160" s="4">
        <v>0</v>
      </c>
      <c r="T160" s="4">
        <v>29</v>
      </c>
      <c r="U160" s="4">
        <v>82</v>
      </c>
      <c r="V160" s="6">
        <f>IF(ISERROR(VLOOKUP($S$160,'TAR FIN'!$A$1:$O$108,15,0)),0,VLOOKUP($S$160,'TAR FIN'!$A$1:$O$108,15,0))</f>
        <v>0</v>
      </c>
      <c r="W160" s="6">
        <f>IF(ISERROR(VLOOKUP($T$160,'TAR FIN'!$A$1:$O$108,15,0)),0,VLOOKUP($T$160,'TAR FIN'!$A$1:$O$108,15,0))</f>
        <v>226.31</v>
      </c>
      <c r="X160" s="6">
        <f>IF(ISERROR(VLOOKUP($U$160,'TAR FIN'!$A$1:$O$108,15,0)),0,VLOOKUP($U$160,'TAR FIN'!$A$1:$O$108,15,0))</f>
        <v>64.67</v>
      </c>
      <c r="Y160" s="6"/>
      <c r="Z160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0" s="6">
        <f>('TE BE'!$AB$18+'TE BF'!$AB$18+'TE CVA'!$AB$18)*(1-CUSTOS!$M$35)</f>
        <v>134.68776783705368</v>
      </c>
      <c r="AB160" s="6">
        <f t="shared" si="14"/>
        <v>0</v>
      </c>
      <c r="AC160" s="6">
        <f>(L160-M160)*(W160+X160)+($W$193+$X$193-$W$160-$X$160)*(L160)</f>
        <v>-1021.5513400000001</v>
      </c>
      <c r="AD160" s="6">
        <f t="shared" si="15"/>
        <v>0</v>
      </c>
      <c r="AE160" s="6">
        <f ca="1">(L160-M160)*(Z160+AA160)+($Z$193+$AA$193-$Z$160-$AA$160)*(L160)</f>
        <v>-1309.9801453168643</v>
      </c>
      <c r="AF160" s="4" t="s">
        <v>844</v>
      </c>
    </row>
    <row r="161" spans="1:32" ht="11.25" customHeight="1" x14ac:dyDescent="0.25">
      <c r="A161" s="4" t="s">
        <v>21</v>
      </c>
      <c r="B161" s="4" t="s">
        <v>22</v>
      </c>
      <c r="C161" s="4" t="s">
        <v>23</v>
      </c>
      <c r="D161" s="4" t="s">
        <v>24</v>
      </c>
      <c r="E161" s="4" t="s">
        <v>30</v>
      </c>
      <c r="F161" s="4" t="s">
        <v>25</v>
      </c>
      <c r="G161" s="4" t="s">
        <v>25</v>
      </c>
      <c r="H161" s="4" t="s">
        <v>25</v>
      </c>
      <c r="I161" s="5">
        <v>44774</v>
      </c>
      <c r="J161" s="6">
        <v>0</v>
      </c>
      <c r="K161" s="6">
        <v>0</v>
      </c>
      <c r="L161" s="6">
        <v>1927.788</v>
      </c>
      <c r="M161" s="6">
        <v>1927.788</v>
      </c>
      <c r="N161" s="6">
        <v>1927.788</v>
      </c>
      <c r="O161" s="6">
        <v>1927.788</v>
      </c>
      <c r="P161" s="6">
        <v>7662</v>
      </c>
      <c r="Q161" s="4" t="s">
        <v>26</v>
      </c>
      <c r="R161" s="4">
        <v>0</v>
      </c>
      <c r="S161" s="4">
        <v>0</v>
      </c>
      <c r="T161" s="4">
        <v>29</v>
      </c>
      <c r="U161" s="4">
        <v>82</v>
      </c>
      <c r="V161" s="6">
        <f>IF(ISERROR(VLOOKUP($S$161,'TAR FIN'!$A$1:$O$108,15,0)),0,VLOOKUP($S$161,'TAR FIN'!$A$1:$O$108,15,0))</f>
        <v>0</v>
      </c>
      <c r="W161" s="6">
        <f>IF(ISERROR(VLOOKUP($T$161,'TAR FIN'!$A$1:$O$108,15,0)),0,VLOOKUP($T$161,'TAR FIN'!$A$1:$O$108,15,0))</f>
        <v>226.31</v>
      </c>
      <c r="X161" s="6">
        <f>IF(ISERROR(VLOOKUP($U$161,'TAR FIN'!$A$1:$O$108,15,0)),0,VLOOKUP($U$161,'TAR FIN'!$A$1:$O$108,15,0))</f>
        <v>64.67</v>
      </c>
      <c r="Y161" s="6"/>
      <c r="Z161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1" s="6">
        <f>('TE BE'!$AB$18+'TE BF'!$AB$18+'TE CVA'!$AB$18)*(1-CUSTOS!$M$35)</f>
        <v>134.68776783705368</v>
      </c>
      <c r="AB161" s="6">
        <f t="shared" si="14"/>
        <v>0</v>
      </c>
      <c r="AC161" s="6">
        <f>(L161-M161)*(W161+X161)+($W$193+$X$193-$W$161-$X$161)*(L161)</f>
        <v>373971.59412000002</v>
      </c>
      <c r="AD161" s="6">
        <f t="shared" si="15"/>
        <v>0</v>
      </c>
      <c r="AE161" s="6">
        <f ca="1">(L161-M161)*(Z161+AA161)+($Z$193+$AA$193-$Z$161-$AA$161)*(L161)</f>
        <v>479560.1983251248</v>
      </c>
      <c r="AF161" s="4" t="s">
        <v>844</v>
      </c>
    </row>
    <row r="162" spans="1:32" ht="11.25" customHeight="1" x14ac:dyDescent="0.25">
      <c r="A162" s="4" t="s">
        <v>27</v>
      </c>
      <c r="B162" s="4" t="s">
        <v>22</v>
      </c>
      <c r="C162" s="4" t="s">
        <v>23</v>
      </c>
      <c r="D162" s="4" t="s">
        <v>24</v>
      </c>
      <c r="E162" s="4" t="s">
        <v>30</v>
      </c>
      <c r="F162" s="4" t="s">
        <v>25</v>
      </c>
      <c r="G162" s="4" t="s">
        <v>25</v>
      </c>
      <c r="H162" s="4" t="s">
        <v>25</v>
      </c>
      <c r="I162" s="5">
        <v>44774</v>
      </c>
      <c r="J162" s="6">
        <v>0</v>
      </c>
      <c r="K162" s="6">
        <v>0</v>
      </c>
      <c r="L162" s="6">
        <v>-12.115</v>
      </c>
      <c r="M162" s="6">
        <v>-12.115</v>
      </c>
      <c r="N162" s="6">
        <v>-12.115</v>
      </c>
      <c r="O162" s="6">
        <v>-12.115</v>
      </c>
      <c r="P162" s="6">
        <v>17</v>
      </c>
      <c r="Q162" s="4" t="s">
        <v>26</v>
      </c>
      <c r="R162" s="4">
        <v>0</v>
      </c>
      <c r="S162" s="4">
        <v>0</v>
      </c>
      <c r="T162" s="4">
        <v>29</v>
      </c>
      <c r="U162" s="4">
        <v>82</v>
      </c>
      <c r="V162" s="6">
        <f>IF(ISERROR(VLOOKUP($S$162,'TAR FIN'!$A$1:$O$108,15,0)),0,VLOOKUP($S$162,'TAR FIN'!$A$1:$O$108,15,0))</f>
        <v>0</v>
      </c>
      <c r="W162" s="6">
        <f>IF(ISERROR(VLOOKUP($T$162,'TAR FIN'!$A$1:$O$108,15,0)),0,VLOOKUP($T$162,'TAR FIN'!$A$1:$O$108,15,0))</f>
        <v>226.31</v>
      </c>
      <c r="X162" s="6">
        <f>IF(ISERROR(VLOOKUP($U$162,'TAR FIN'!$A$1:$O$108,15,0)),0,VLOOKUP($U$162,'TAR FIN'!$A$1:$O$108,15,0))</f>
        <v>64.67</v>
      </c>
      <c r="Y162" s="6"/>
      <c r="Z162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2" s="6">
        <f>('TE BE'!$AB$18+'TE BF'!$AB$18+'TE CVA'!$AB$18)*(1-CUSTOS!$M$35)</f>
        <v>134.68776783705368</v>
      </c>
      <c r="AB162" s="6">
        <f t="shared" si="14"/>
        <v>0</v>
      </c>
      <c r="AC162" s="6">
        <f>(L162-M162)*(W162+X162)+($W$193+$X$193-$W$162-$X$162)*(L162)</f>
        <v>-2350.18885</v>
      </c>
      <c r="AD162" s="6">
        <f t="shared" si="15"/>
        <v>0</v>
      </c>
      <c r="AE162" s="6">
        <f ca="1">(L162-M162)*(Z162+AA162)+($Z$193+$AA$193-$Z$162-$AA$162)*(L162)</f>
        <v>-3013.7503722965839</v>
      </c>
      <c r="AF162" s="4" t="s">
        <v>844</v>
      </c>
    </row>
    <row r="163" spans="1:32" ht="11.25" customHeight="1" x14ac:dyDescent="0.25">
      <c r="A163" s="4" t="s">
        <v>21</v>
      </c>
      <c r="B163" s="4" t="s">
        <v>22</v>
      </c>
      <c r="C163" s="4" t="s">
        <v>23</v>
      </c>
      <c r="D163" s="4" t="s">
        <v>24</v>
      </c>
      <c r="E163" s="4" t="s">
        <v>30</v>
      </c>
      <c r="F163" s="4" t="s">
        <v>25</v>
      </c>
      <c r="G163" s="4" t="s">
        <v>25</v>
      </c>
      <c r="H163" s="4" t="s">
        <v>25</v>
      </c>
      <c r="I163" s="5">
        <v>44805</v>
      </c>
      <c r="J163" s="6">
        <v>0</v>
      </c>
      <c r="K163" s="6">
        <v>0</v>
      </c>
      <c r="L163" s="6">
        <v>2150.6619999999998</v>
      </c>
      <c r="M163" s="6">
        <v>2150.6619999999998</v>
      </c>
      <c r="N163" s="6">
        <v>2150.6619999999998</v>
      </c>
      <c r="O163" s="6">
        <v>2150.6619999999998</v>
      </c>
      <c r="P163" s="6">
        <v>7870</v>
      </c>
      <c r="Q163" s="4" t="s">
        <v>26</v>
      </c>
      <c r="R163" s="4">
        <v>0</v>
      </c>
      <c r="S163" s="4">
        <v>0</v>
      </c>
      <c r="T163" s="4">
        <v>29</v>
      </c>
      <c r="U163" s="4">
        <v>82</v>
      </c>
      <c r="V163" s="6">
        <f>IF(ISERROR(VLOOKUP($S$163,'TAR FIN'!$A$1:$O$108,15,0)),0,VLOOKUP($S$163,'TAR FIN'!$A$1:$O$108,15,0))</f>
        <v>0</v>
      </c>
      <c r="W163" s="6">
        <f>IF(ISERROR(VLOOKUP($T$163,'TAR FIN'!$A$1:$O$108,15,0)),0,VLOOKUP($T$163,'TAR FIN'!$A$1:$O$108,15,0))</f>
        <v>226.31</v>
      </c>
      <c r="X163" s="6">
        <f>IF(ISERROR(VLOOKUP($U$163,'TAR FIN'!$A$1:$O$108,15,0)),0,VLOOKUP($U$163,'TAR FIN'!$A$1:$O$108,15,0))</f>
        <v>64.67</v>
      </c>
      <c r="Y163" s="6"/>
      <c r="Z163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3" s="6">
        <f>('TE BE'!$AB$18+'TE BF'!$AB$18+'TE CVA'!$AB$18)*(1-CUSTOS!$M$35)</f>
        <v>134.68776783705368</v>
      </c>
      <c r="AB163" s="6">
        <f t="shared" si="14"/>
        <v>0</v>
      </c>
      <c r="AC163" s="6">
        <f>(L163-M163)*(W163+X163)+($W$193+$X$193-$W$163-$X$163)*(L163)</f>
        <v>417206.92137999996</v>
      </c>
      <c r="AD163" s="6">
        <f t="shared" si="15"/>
        <v>0</v>
      </c>
      <c r="AE163" s="6">
        <f ca="1">(L163-M163)*(Z163+AA163)+($Z$193+$AA$193-$Z$163-$AA$163)*(L163)</f>
        <v>535002.75717574207</v>
      </c>
      <c r="AF163" s="4" t="s">
        <v>844</v>
      </c>
    </row>
    <row r="164" spans="1:32" ht="11.25" customHeight="1" x14ac:dyDescent="0.25">
      <c r="A164" s="4" t="s">
        <v>27</v>
      </c>
      <c r="B164" s="4" t="s">
        <v>22</v>
      </c>
      <c r="C164" s="4" t="s">
        <v>23</v>
      </c>
      <c r="D164" s="4" t="s">
        <v>24</v>
      </c>
      <c r="E164" s="4" t="s">
        <v>30</v>
      </c>
      <c r="F164" s="4" t="s">
        <v>25</v>
      </c>
      <c r="G164" s="4" t="s">
        <v>25</v>
      </c>
      <c r="H164" s="4" t="s">
        <v>25</v>
      </c>
      <c r="I164" s="5">
        <v>44805</v>
      </c>
      <c r="J164" s="6">
        <v>0</v>
      </c>
      <c r="K164" s="6">
        <v>0</v>
      </c>
      <c r="L164" s="6">
        <v>-6.8410000000000002</v>
      </c>
      <c r="M164" s="6">
        <v>-6.8410000000000002</v>
      </c>
      <c r="N164" s="6">
        <v>-6.8410000000000002</v>
      </c>
      <c r="O164" s="6">
        <v>-6.8410000000000002</v>
      </c>
      <c r="P164" s="6">
        <v>-117</v>
      </c>
      <c r="Q164" s="4" t="s">
        <v>26</v>
      </c>
      <c r="R164" s="4">
        <v>0</v>
      </c>
      <c r="S164" s="4">
        <v>0</v>
      </c>
      <c r="T164" s="4">
        <v>29</v>
      </c>
      <c r="U164" s="4">
        <v>82</v>
      </c>
      <c r="V164" s="6">
        <f>IF(ISERROR(VLOOKUP($S$164,'TAR FIN'!$A$1:$O$108,15,0)),0,VLOOKUP($S$164,'TAR FIN'!$A$1:$O$108,15,0))</f>
        <v>0</v>
      </c>
      <c r="W164" s="6">
        <f>IF(ISERROR(VLOOKUP($T$164,'TAR FIN'!$A$1:$O$108,15,0)),0,VLOOKUP($T$164,'TAR FIN'!$A$1:$O$108,15,0))</f>
        <v>226.31</v>
      </c>
      <c r="X164" s="6">
        <f>IF(ISERROR(VLOOKUP($U$164,'TAR FIN'!$A$1:$O$108,15,0)),0,VLOOKUP($U$164,'TAR FIN'!$A$1:$O$108,15,0))</f>
        <v>64.67</v>
      </c>
      <c r="Y164" s="6"/>
      <c r="Z164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4" s="6">
        <f>('TE BE'!$AB$18+'TE BF'!$AB$18+'TE CVA'!$AB$18)*(1-CUSTOS!$M$35)</f>
        <v>134.68776783705368</v>
      </c>
      <c r="AB164" s="6">
        <f t="shared" si="14"/>
        <v>0</v>
      </c>
      <c r="AC164" s="6">
        <f>(L164-M164)*(W164+X164)+($W$193+$X$193-$W$164-$X$164)*(L164)</f>
        <v>-1327.0855900000001</v>
      </c>
      <c r="AD164" s="6">
        <f t="shared" si="15"/>
        <v>0</v>
      </c>
      <c r="AE164" s="6">
        <f ca="1">(L164-M164)*(Z164+AA164)+($Z$193+$AA$193-$Z$164-$AA$164)*(L164)</f>
        <v>-1701.7801318102297</v>
      </c>
      <c r="AF164" s="4" t="s">
        <v>844</v>
      </c>
    </row>
    <row r="165" spans="1:32" ht="11.25" customHeight="1" x14ac:dyDescent="0.25">
      <c r="A165" s="4" t="s">
        <v>21</v>
      </c>
      <c r="B165" s="4" t="s">
        <v>22</v>
      </c>
      <c r="C165" s="4" t="s">
        <v>23</v>
      </c>
      <c r="D165" s="4" t="s">
        <v>24</v>
      </c>
      <c r="E165" s="4" t="s">
        <v>30</v>
      </c>
      <c r="F165" s="4" t="s">
        <v>25</v>
      </c>
      <c r="G165" s="4" t="s">
        <v>25</v>
      </c>
      <c r="H165" s="4" t="s">
        <v>25</v>
      </c>
      <c r="I165" s="5">
        <v>44835</v>
      </c>
      <c r="J165" s="6">
        <v>0</v>
      </c>
      <c r="K165" s="6">
        <v>0</v>
      </c>
      <c r="L165" s="6">
        <v>2597.5</v>
      </c>
      <c r="M165" s="6">
        <v>2597.5</v>
      </c>
      <c r="N165" s="6">
        <v>2597.5</v>
      </c>
      <c r="O165" s="6">
        <v>2597.5</v>
      </c>
      <c r="P165" s="6">
        <v>8914</v>
      </c>
      <c r="Q165" s="4" t="s">
        <v>26</v>
      </c>
      <c r="R165" s="4">
        <v>0</v>
      </c>
      <c r="S165" s="4">
        <v>0</v>
      </c>
      <c r="T165" s="4">
        <v>29</v>
      </c>
      <c r="U165" s="4">
        <v>82</v>
      </c>
      <c r="V165" s="6">
        <f>IF(ISERROR(VLOOKUP($S$165,'TAR FIN'!$A$1:$O$108,15,0)),0,VLOOKUP($S$165,'TAR FIN'!$A$1:$O$108,15,0))</f>
        <v>0</v>
      </c>
      <c r="W165" s="6">
        <f>IF(ISERROR(VLOOKUP($T$165,'TAR FIN'!$A$1:$O$108,15,0)),0,VLOOKUP($T$165,'TAR FIN'!$A$1:$O$108,15,0))</f>
        <v>226.31</v>
      </c>
      <c r="X165" s="6">
        <f>IF(ISERROR(VLOOKUP($U$165,'TAR FIN'!$A$1:$O$108,15,0)),0,VLOOKUP($U$165,'TAR FIN'!$A$1:$O$108,15,0))</f>
        <v>64.67</v>
      </c>
      <c r="Y165" s="6"/>
      <c r="Z165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5" s="6">
        <f>('TE BE'!$AB$18+'TE BF'!$AB$18+'TE CVA'!$AB$18)*(1-CUSTOS!$M$35)</f>
        <v>134.68776783705368</v>
      </c>
      <c r="AB165" s="6">
        <f t="shared" si="14"/>
        <v>0</v>
      </c>
      <c r="AC165" s="6">
        <f>(L165-M165)*(W165+X165)+($W$193+$X$193-$W$165-$X$165)*(L165)</f>
        <v>503889.02500000002</v>
      </c>
      <c r="AD165" s="6">
        <f t="shared" si="15"/>
        <v>0</v>
      </c>
      <c r="AE165" s="6">
        <f ca="1">(L165-M165)*(Z165+AA165)+($Z$193+$AA$193-$Z$165-$AA$165)*(L165)</f>
        <v>646159.02534381975</v>
      </c>
      <c r="AF165" s="4" t="s">
        <v>844</v>
      </c>
    </row>
    <row r="166" spans="1:32" ht="11.25" customHeight="1" x14ac:dyDescent="0.25">
      <c r="A166" s="4" t="s">
        <v>27</v>
      </c>
      <c r="B166" s="4" t="s">
        <v>22</v>
      </c>
      <c r="C166" s="4" t="s">
        <v>23</v>
      </c>
      <c r="D166" s="4" t="s">
        <v>24</v>
      </c>
      <c r="E166" s="4" t="s">
        <v>30</v>
      </c>
      <c r="F166" s="4" t="s">
        <v>25</v>
      </c>
      <c r="G166" s="4" t="s">
        <v>25</v>
      </c>
      <c r="H166" s="4" t="s">
        <v>25</v>
      </c>
      <c r="I166" s="5">
        <v>44835</v>
      </c>
      <c r="J166" s="6">
        <v>0</v>
      </c>
      <c r="K166" s="6">
        <v>0</v>
      </c>
      <c r="L166" s="6">
        <v>-3.2989999999999999</v>
      </c>
      <c r="M166" s="6">
        <v>-3.2989999999999999</v>
      </c>
      <c r="N166" s="6">
        <v>-3.2989999999999999</v>
      </c>
      <c r="O166" s="6">
        <v>-3.2989999999999999</v>
      </c>
      <c r="P166" s="6">
        <v>8</v>
      </c>
      <c r="Q166" s="4" t="s">
        <v>26</v>
      </c>
      <c r="R166" s="4">
        <v>0</v>
      </c>
      <c r="S166" s="4">
        <v>0</v>
      </c>
      <c r="T166" s="4">
        <v>29</v>
      </c>
      <c r="U166" s="4">
        <v>82</v>
      </c>
      <c r="V166" s="6">
        <f>IF(ISERROR(VLOOKUP($S$166,'TAR FIN'!$A$1:$O$108,15,0)),0,VLOOKUP($S$166,'TAR FIN'!$A$1:$O$108,15,0))</f>
        <v>0</v>
      </c>
      <c r="W166" s="6">
        <f>IF(ISERROR(VLOOKUP($T$166,'TAR FIN'!$A$1:$O$108,15,0)),0,VLOOKUP($T$166,'TAR FIN'!$A$1:$O$108,15,0))</f>
        <v>226.31</v>
      </c>
      <c r="X166" s="6">
        <f>IF(ISERROR(VLOOKUP($U$166,'TAR FIN'!$A$1:$O$108,15,0)),0,VLOOKUP($U$166,'TAR FIN'!$A$1:$O$108,15,0))</f>
        <v>64.67</v>
      </c>
      <c r="Y166" s="6"/>
      <c r="Z166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6" s="6">
        <f>('TE BE'!$AB$18+'TE BF'!$AB$18+'TE CVA'!$AB$18)*(1-CUSTOS!$M$35)</f>
        <v>134.68776783705368</v>
      </c>
      <c r="AB166" s="6">
        <f t="shared" si="14"/>
        <v>0</v>
      </c>
      <c r="AC166" s="6">
        <f>(L166-M166)*(W166+X166)+($W$193+$X$193-$W$166-$X$166)*(L166)</f>
        <v>-639.97301000000004</v>
      </c>
      <c r="AD166" s="6">
        <f t="shared" si="15"/>
        <v>0</v>
      </c>
      <c r="AE166" s="6">
        <f ca="1">(L166-M166)*(Z166+AA166)+($Z$193+$AA$193-$Z$166-$AA$166)*(L166)</f>
        <v>-820.66549551848368</v>
      </c>
      <c r="AF166" s="4" t="s">
        <v>844</v>
      </c>
    </row>
    <row r="167" spans="1:32" ht="11.25" customHeight="1" x14ac:dyDescent="0.25">
      <c r="A167" s="4" t="s">
        <v>54</v>
      </c>
      <c r="B167" s="4" t="s">
        <v>22</v>
      </c>
      <c r="C167" s="4" t="s">
        <v>23</v>
      </c>
      <c r="D167" s="4" t="s">
        <v>24</v>
      </c>
      <c r="E167" s="4" t="s">
        <v>30</v>
      </c>
      <c r="F167" s="4" t="s">
        <v>25</v>
      </c>
      <c r="G167" s="4" t="s">
        <v>25</v>
      </c>
      <c r="H167" s="4" t="s">
        <v>25</v>
      </c>
      <c r="I167" s="5">
        <v>44866</v>
      </c>
      <c r="J167" s="6">
        <v>0</v>
      </c>
      <c r="K167" s="6">
        <v>0</v>
      </c>
      <c r="L167" s="6">
        <v>2597.5</v>
      </c>
      <c r="M167" s="6">
        <v>2597.5</v>
      </c>
      <c r="N167" s="6">
        <v>2597.5</v>
      </c>
      <c r="O167" s="6">
        <v>2597.5</v>
      </c>
      <c r="P167" s="6">
        <v>8914</v>
      </c>
      <c r="Q167" s="4" t="s">
        <v>26</v>
      </c>
      <c r="R167" s="4">
        <v>0</v>
      </c>
      <c r="S167" s="4">
        <v>0</v>
      </c>
      <c r="T167" s="4">
        <v>29</v>
      </c>
      <c r="U167" s="4">
        <v>82</v>
      </c>
      <c r="V167" s="6">
        <f>IF(ISERROR(VLOOKUP($S$167,'TAR FIN'!$A$1:$O$108,15,0)),0,VLOOKUP($S$167,'TAR FIN'!$A$1:$O$108,15,0))</f>
        <v>0</v>
      </c>
      <c r="W167" s="6">
        <f>IF(ISERROR(VLOOKUP($T$167,'TAR FIN'!$A$1:$O$108,15,0)),0,VLOOKUP($T$167,'TAR FIN'!$A$1:$O$108,15,0))</f>
        <v>226.31</v>
      </c>
      <c r="X167" s="6">
        <f>IF(ISERROR(VLOOKUP($U$167,'TAR FIN'!$A$1:$O$108,15,0)),0,VLOOKUP($U$167,'TAR FIN'!$A$1:$O$108,15,0))</f>
        <v>64.67</v>
      </c>
      <c r="Y167" s="6"/>
      <c r="Z167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7" s="6">
        <f>('TE BE'!$AB$18+'TE BF'!$AB$18+'TE CVA'!$AB$18)*(1-CUSTOS!$M$35)</f>
        <v>134.68776783705368</v>
      </c>
      <c r="AB167" s="6">
        <f t="shared" si="14"/>
        <v>0</v>
      </c>
      <c r="AC167" s="6">
        <f>(L167-M167)*(W167+X167)+($W$193+$X$193-$W$167-$X$167)*(L167)</f>
        <v>503889.02500000002</v>
      </c>
      <c r="AD167" s="6">
        <f t="shared" si="15"/>
        <v>0</v>
      </c>
      <c r="AE167" s="6">
        <f ca="1">(L167-M167)*(Z167+AA167)+($Z$193+$AA$193-$Z$167-$AA$167)*(L167)</f>
        <v>646159.02534381975</v>
      </c>
      <c r="AF167" s="4" t="s">
        <v>844</v>
      </c>
    </row>
    <row r="168" spans="1:32" ht="11.25" customHeight="1" x14ac:dyDescent="0.25">
      <c r="A168" s="4" t="s">
        <v>54</v>
      </c>
      <c r="B168" s="4" t="s">
        <v>22</v>
      </c>
      <c r="C168" s="4" t="s">
        <v>23</v>
      </c>
      <c r="D168" s="4" t="s">
        <v>24</v>
      </c>
      <c r="E168" s="4" t="s">
        <v>30</v>
      </c>
      <c r="F168" s="4" t="s">
        <v>25</v>
      </c>
      <c r="G168" s="4" t="s">
        <v>25</v>
      </c>
      <c r="H168" s="4" t="s">
        <v>25</v>
      </c>
      <c r="I168" s="5">
        <v>44866</v>
      </c>
      <c r="J168" s="6">
        <v>0</v>
      </c>
      <c r="K168" s="6">
        <v>0</v>
      </c>
      <c r="L168" s="6">
        <v>-3.2989999999999999</v>
      </c>
      <c r="M168" s="6">
        <v>-3.2989999999999999</v>
      </c>
      <c r="N168" s="6">
        <v>-3.2989999999999999</v>
      </c>
      <c r="O168" s="6">
        <v>-3.2989999999999999</v>
      </c>
      <c r="P168" s="6">
        <v>8</v>
      </c>
      <c r="Q168" s="4" t="s">
        <v>26</v>
      </c>
      <c r="R168" s="4">
        <v>0</v>
      </c>
      <c r="S168" s="4">
        <v>0</v>
      </c>
      <c r="T168" s="4">
        <v>29</v>
      </c>
      <c r="U168" s="4">
        <v>82</v>
      </c>
      <c r="V168" s="6">
        <f>IF(ISERROR(VLOOKUP($S$168,'TAR FIN'!$A$1:$O$108,15,0)),0,VLOOKUP($S$168,'TAR FIN'!$A$1:$O$108,15,0))</f>
        <v>0</v>
      </c>
      <c r="W168" s="6">
        <f>IF(ISERROR(VLOOKUP($T$168,'TAR FIN'!$A$1:$O$108,15,0)),0,VLOOKUP($T$168,'TAR FIN'!$A$1:$O$108,15,0))</f>
        <v>226.31</v>
      </c>
      <c r="X168" s="6">
        <f>IF(ISERROR(VLOOKUP($U$168,'TAR FIN'!$A$1:$O$108,15,0)),0,VLOOKUP($U$168,'TAR FIN'!$A$1:$O$108,15,0))</f>
        <v>64.67</v>
      </c>
      <c r="Y168" s="6"/>
      <c r="Z168" s="6">
        <f ca="1">('TUSD BE'!$AM$38+'TUSD BF'!$AM$38+'TUSD CVA'!$AM$38-('TUSD BE'!$P$38+'TUSD BF'!$P$38+'TUSD CVA'!$P$38)-('TUSD BE'!$Q$38+'TUSD BF'!$Q$38+'TUSD CVA'!$Q$38)-('TUSD BE'!$R$38+'TUSD BF'!$R$38+'TUSD CVA'!$R$38))*(1-CUSTOS!$M$35)</f>
        <v>238.45507644234164</v>
      </c>
      <c r="AA168" s="6">
        <f>('TE BE'!$AB$18+'TE BF'!$AB$18+'TE CVA'!$AB$18)*(1-CUSTOS!$M$35)</f>
        <v>134.68776783705368</v>
      </c>
      <c r="AB168" s="6">
        <f t="shared" si="14"/>
        <v>0</v>
      </c>
      <c r="AC168" s="6">
        <f>(L168-M168)*(W168+X168)+($W$193+$X$193-$W$168-$X$168)*(L168)</f>
        <v>-639.97301000000004</v>
      </c>
      <c r="AD168" s="6">
        <f t="shared" si="15"/>
        <v>0</v>
      </c>
      <c r="AE168" s="6">
        <f ca="1">(L168-M168)*(Z168+AA168)+($Z$193+$AA$193-$Z$168-$AA$168)*(L168)</f>
        <v>-820.66549551848368</v>
      </c>
      <c r="AF168" s="4" t="s">
        <v>844</v>
      </c>
    </row>
    <row r="169" spans="1:32" ht="11.25" customHeight="1" x14ac:dyDescent="0.25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31</v>
      </c>
      <c r="F169" s="4" t="s">
        <v>25</v>
      </c>
      <c r="G169" s="4" t="s">
        <v>25</v>
      </c>
      <c r="H169" s="4" t="s">
        <v>25</v>
      </c>
      <c r="I169" s="5">
        <v>44531</v>
      </c>
      <c r="J169" s="6">
        <v>0</v>
      </c>
      <c r="K169" s="6">
        <v>0</v>
      </c>
      <c r="L169" s="6">
        <v>1446.778</v>
      </c>
      <c r="M169" s="6">
        <v>1446.778</v>
      </c>
      <c r="N169" s="6">
        <v>1446.778</v>
      </c>
      <c r="O169" s="6">
        <v>1446.778</v>
      </c>
      <c r="P169" s="6">
        <v>7434</v>
      </c>
      <c r="Q169" s="4" t="s">
        <v>26</v>
      </c>
      <c r="R169" s="4">
        <v>0</v>
      </c>
      <c r="S169" s="4">
        <v>0</v>
      </c>
      <c r="T169" s="4">
        <v>32</v>
      </c>
      <c r="U169" s="4">
        <v>83</v>
      </c>
      <c r="V169" s="6">
        <f>IF(ISERROR(VLOOKUP($S$169,'TAR FIN'!$A$1:$O$108,15,0)),0,VLOOKUP($S$169,'TAR FIN'!$A$1:$O$108,15,0))</f>
        <v>0</v>
      </c>
      <c r="W169" s="6">
        <f>IF(ISERROR(VLOOKUP($T$169,'TAR FIN'!$A$1:$O$108,15,0)),0,VLOOKUP($T$169,'TAR FIN'!$A$1:$O$108,15,0))</f>
        <v>339.46</v>
      </c>
      <c r="X169" s="6">
        <f>IF(ISERROR(VLOOKUP($U$169,'TAR FIN'!$A$1:$O$108,15,0)),0,VLOOKUP($U$169,'TAR FIN'!$A$1:$O$108,15,0))</f>
        <v>97.01</v>
      </c>
      <c r="Y169" s="6"/>
      <c r="Z16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69" s="6">
        <f>('TE BE'!$AB$19+'TE BF'!$AB$19+'TE CVA'!$AB$19)*(1-CUSTOS!$M$36)</f>
        <v>202.03165175558053</v>
      </c>
      <c r="AB169" s="6">
        <f t="shared" si="14"/>
        <v>0</v>
      </c>
      <c r="AC169" s="6">
        <f>(L169-M169)*(W169+X169)+($W$193+$X$193-$W$169-$X$169)*(L169)</f>
        <v>70168.733000000066</v>
      </c>
      <c r="AD169" s="6">
        <f t="shared" si="15"/>
        <v>0</v>
      </c>
      <c r="AE169" s="6">
        <f ca="1">(L169-M169)*(Z169+AA169)+($Z$193+$AA$193-$Z$169-$AA$169)*(L169)</f>
        <v>89975.809660142593</v>
      </c>
      <c r="AF169" s="4" t="s">
        <v>844</v>
      </c>
    </row>
    <row r="170" spans="1:32" ht="11.25" customHeight="1" x14ac:dyDescent="0.25">
      <c r="A170" s="4" t="s">
        <v>27</v>
      </c>
      <c r="B170" s="4" t="s">
        <v>22</v>
      </c>
      <c r="C170" s="4" t="s">
        <v>23</v>
      </c>
      <c r="D170" s="4" t="s">
        <v>24</v>
      </c>
      <c r="E170" s="4" t="s">
        <v>31</v>
      </c>
      <c r="F170" s="4" t="s">
        <v>25</v>
      </c>
      <c r="G170" s="4" t="s">
        <v>25</v>
      </c>
      <c r="H170" s="4" t="s">
        <v>25</v>
      </c>
      <c r="I170" s="5">
        <v>44531</v>
      </c>
      <c r="J170" s="6">
        <v>0</v>
      </c>
      <c r="K170" s="6">
        <v>0</v>
      </c>
      <c r="L170" s="6">
        <v>-7.7969999999999997</v>
      </c>
      <c r="M170" s="6">
        <v>-7.7969999999999997</v>
      </c>
      <c r="N170" s="6">
        <v>-7.7969999999999997</v>
      </c>
      <c r="O170" s="6">
        <v>-7.7969999999999997</v>
      </c>
      <c r="P170" s="6">
        <v>-9</v>
      </c>
      <c r="Q170" s="4" t="s">
        <v>26</v>
      </c>
      <c r="R170" s="4">
        <v>0</v>
      </c>
      <c r="S170" s="4">
        <v>0</v>
      </c>
      <c r="T170" s="4">
        <v>32</v>
      </c>
      <c r="U170" s="4">
        <v>83</v>
      </c>
      <c r="V170" s="6">
        <f>IF(ISERROR(VLOOKUP($S$170,'TAR FIN'!$A$1:$O$108,15,0)),0,VLOOKUP($S$170,'TAR FIN'!$A$1:$O$108,15,0))</f>
        <v>0</v>
      </c>
      <c r="W170" s="6">
        <f>IF(ISERROR(VLOOKUP($T$170,'TAR FIN'!$A$1:$O$108,15,0)),0,VLOOKUP($T$170,'TAR FIN'!$A$1:$O$108,15,0))</f>
        <v>339.46</v>
      </c>
      <c r="X170" s="6">
        <f>IF(ISERROR(VLOOKUP($U$170,'TAR FIN'!$A$1:$O$108,15,0)),0,VLOOKUP($U$170,'TAR FIN'!$A$1:$O$108,15,0))</f>
        <v>97.01</v>
      </c>
      <c r="Y170" s="6"/>
      <c r="Z170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0" s="6">
        <f>('TE BE'!$AB$19+'TE BF'!$AB$19+'TE CVA'!$AB$19)*(1-CUSTOS!$M$36)</f>
        <v>202.03165175558053</v>
      </c>
      <c r="AB170" s="6">
        <f t="shared" si="14"/>
        <v>0</v>
      </c>
      <c r="AC170" s="6">
        <f>(L170-M170)*(W170+X170)+($W$193+$X$193-$W$170-$X$170)*(L170)</f>
        <v>-378.15450000000033</v>
      </c>
      <c r="AD170" s="6">
        <f t="shared" si="15"/>
        <v>0</v>
      </c>
      <c r="AE170" s="6">
        <f ca="1">(L170-M170)*(Z170+AA170)+($Z$193+$AA$193-$Z$170-$AA$170)*(L170)</f>
        <v>-484.8991261410747</v>
      </c>
      <c r="AF170" s="4" t="s">
        <v>844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31</v>
      </c>
      <c r="F171" s="4" t="s">
        <v>25</v>
      </c>
      <c r="G171" s="4" t="s">
        <v>25</v>
      </c>
      <c r="H171" s="4" t="s">
        <v>25</v>
      </c>
      <c r="I171" s="5">
        <v>44562</v>
      </c>
      <c r="J171" s="6">
        <v>0</v>
      </c>
      <c r="K171" s="6">
        <v>0</v>
      </c>
      <c r="L171" s="6">
        <v>1583.713</v>
      </c>
      <c r="M171" s="6">
        <v>1583.713</v>
      </c>
      <c r="N171" s="6">
        <v>1583.713</v>
      </c>
      <c r="O171" s="6">
        <v>1583.713</v>
      </c>
      <c r="P171" s="6">
        <v>8831</v>
      </c>
      <c r="Q171" s="4" t="s">
        <v>26</v>
      </c>
      <c r="R171" s="4">
        <v>0</v>
      </c>
      <c r="S171" s="4">
        <v>0</v>
      </c>
      <c r="T171" s="4">
        <v>32</v>
      </c>
      <c r="U171" s="4">
        <v>83</v>
      </c>
      <c r="V171" s="6">
        <f>IF(ISERROR(VLOOKUP($S$171,'TAR FIN'!$A$1:$O$108,15,0)),0,VLOOKUP($S$171,'TAR FIN'!$A$1:$O$108,15,0))</f>
        <v>0</v>
      </c>
      <c r="W171" s="6">
        <f>IF(ISERROR(VLOOKUP($T$171,'TAR FIN'!$A$1:$O$108,15,0)),0,VLOOKUP($T$171,'TAR FIN'!$A$1:$O$108,15,0))</f>
        <v>339.46</v>
      </c>
      <c r="X171" s="6">
        <f>IF(ISERROR(VLOOKUP($U$171,'TAR FIN'!$A$1:$O$108,15,0)),0,VLOOKUP($U$171,'TAR FIN'!$A$1:$O$108,15,0))</f>
        <v>97.01</v>
      </c>
      <c r="Y171" s="6"/>
      <c r="Z171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1" s="6">
        <f>('TE BE'!$AB$19+'TE BF'!$AB$19+'TE CVA'!$AB$19)*(1-CUSTOS!$M$36)</f>
        <v>202.03165175558053</v>
      </c>
      <c r="AB171" s="6">
        <f t="shared" si="14"/>
        <v>0</v>
      </c>
      <c r="AC171" s="6">
        <f>(L171-M171)*(W171+X171)+($W$193+$X$193-$W$171-$X$171)*(L171)</f>
        <v>76810.080500000069</v>
      </c>
      <c r="AD171" s="6">
        <f t="shared" si="15"/>
        <v>0</v>
      </c>
      <c r="AE171" s="6">
        <f ca="1">(L171-M171)*(Z171+AA171)+($Z$193+$AA$193-$Z$171-$AA$171)*(L171)</f>
        <v>98491.862223709104</v>
      </c>
      <c r="AF171" s="4" t="s">
        <v>844</v>
      </c>
    </row>
    <row r="172" spans="1:32" ht="11.25" customHeight="1" x14ac:dyDescent="0.25">
      <c r="A172" s="4" t="s">
        <v>27</v>
      </c>
      <c r="B172" s="4" t="s">
        <v>22</v>
      </c>
      <c r="C172" s="4" t="s">
        <v>23</v>
      </c>
      <c r="D172" s="4" t="s">
        <v>24</v>
      </c>
      <c r="E172" s="4" t="s">
        <v>31</v>
      </c>
      <c r="F172" s="4" t="s">
        <v>25</v>
      </c>
      <c r="G172" s="4" t="s">
        <v>25</v>
      </c>
      <c r="H172" s="4" t="s">
        <v>25</v>
      </c>
      <c r="I172" s="5">
        <v>44562</v>
      </c>
      <c r="J172" s="6">
        <v>0</v>
      </c>
      <c r="K172" s="6">
        <v>0</v>
      </c>
      <c r="L172" s="6">
        <v>-14.875999999999999</v>
      </c>
      <c r="M172" s="6">
        <v>-14.875999999999999</v>
      </c>
      <c r="N172" s="6">
        <v>-14.875999999999999</v>
      </c>
      <c r="O172" s="6">
        <v>-14.875999999999999</v>
      </c>
      <c r="P172" s="6">
        <v>-28</v>
      </c>
      <c r="Q172" s="4" t="s">
        <v>26</v>
      </c>
      <c r="R172" s="4">
        <v>0</v>
      </c>
      <c r="S172" s="4">
        <v>0</v>
      </c>
      <c r="T172" s="4">
        <v>32</v>
      </c>
      <c r="U172" s="4">
        <v>83</v>
      </c>
      <c r="V172" s="6">
        <f>IF(ISERROR(VLOOKUP($S$172,'TAR FIN'!$A$1:$O$108,15,0)),0,VLOOKUP($S$172,'TAR FIN'!$A$1:$O$108,15,0))</f>
        <v>0</v>
      </c>
      <c r="W172" s="6">
        <f>IF(ISERROR(VLOOKUP($T$172,'TAR FIN'!$A$1:$O$108,15,0)),0,VLOOKUP($T$172,'TAR FIN'!$A$1:$O$108,15,0))</f>
        <v>339.46</v>
      </c>
      <c r="X172" s="6">
        <f>IF(ISERROR(VLOOKUP($U$172,'TAR FIN'!$A$1:$O$108,15,0)),0,VLOOKUP($U$172,'TAR FIN'!$A$1:$O$108,15,0))</f>
        <v>97.01</v>
      </c>
      <c r="Y172" s="6"/>
      <c r="Z172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2" s="6">
        <f>('TE BE'!$AB$19+'TE BF'!$AB$19+'TE CVA'!$AB$19)*(1-CUSTOS!$M$36)</f>
        <v>202.03165175558053</v>
      </c>
      <c r="AB172" s="6">
        <f t="shared" si="14"/>
        <v>0</v>
      </c>
      <c r="AC172" s="6">
        <f>(L172-M172)*(W172+X172)+($W$193+$X$193-$W$172-$X$172)*(L172)</f>
        <v>-721.48600000000056</v>
      </c>
      <c r="AD172" s="6">
        <f t="shared" si="15"/>
        <v>0</v>
      </c>
      <c r="AE172" s="6">
        <f ca="1">(L172-M172)*(Z172+AA172)+($Z$193+$AA$193-$Z$172-$AA$172)*(L172)</f>
        <v>-925.14549191671506</v>
      </c>
      <c r="AF172" s="4" t="s">
        <v>844</v>
      </c>
    </row>
    <row r="173" spans="1:32" ht="11.25" customHeight="1" x14ac:dyDescent="0.2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31</v>
      </c>
      <c r="F173" s="4" t="s">
        <v>25</v>
      </c>
      <c r="G173" s="4" t="s">
        <v>25</v>
      </c>
      <c r="H173" s="4" t="s">
        <v>25</v>
      </c>
      <c r="I173" s="5">
        <v>44593</v>
      </c>
      <c r="J173" s="6">
        <v>0</v>
      </c>
      <c r="K173" s="6">
        <v>0</v>
      </c>
      <c r="L173" s="6">
        <v>1502.5309999999999</v>
      </c>
      <c r="M173" s="6">
        <v>1502.5309999999999</v>
      </c>
      <c r="N173" s="6">
        <v>1502.5309999999999</v>
      </c>
      <c r="O173" s="6">
        <v>1502.5309999999999</v>
      </c>
      <c r="P173" s="6">
        <v>9634</v>
      </c>
      <c r="Q173" s="4" t="s">
        <v>26</v>
      </c>
      <c r="R173" s="4">
        <v>0</v>
      </c>
      <c r="S173" s="4">
        <v>0</v>
      </c>
      <c r="T173" s="4">
        <v>32</v>
      </c>
      <c r="U173" s="4">
        <v>83</v>
      </c>
      <c r="V173" s="6">
        <f>IF(ISERROR(VLOOKUP($S$173,'TAR FIN'!$A$1:$O$108,15,0)),0,VLOOKUP($S$173,'TAR FIN'!$A$1:$O$108,15,0))</f>
        <v>0</v>
      </c>
      <c r="W173" s="6">
        <f>IF(ISERROR(VLOOKUP($T$173,'TAR FIN'!$A$1:$O$108,15,0)),0,VLOOKUP($T$173,'TAR FIN'!$A$1:$O$108,15,0))</f>
        <v>339.46</v>
      </c>
      <c r="X173" s="6">
        <f>IF(ISERROR(VLOOKUP($U$173,'TAR FIN'!$A$1:$O$108,15,0)),0,VLOOKUP($U$173,'TAR FIN'!$A$1:$O$108,15,0))</f>
        <v>97.01</v>
      </c>
      <c r="Y173" s="6"/>
      <c r="Z173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3" s="6">
        <f>('TE BE'!$AB$19+'TE BF'!$AB$19+'TE CVA'!$AB$19)*(1-CUSTOS!$M$36)</f>
        <v>202.03165175558053</v>
      </c>
      <c r="AB173" s="6">
        <f t="shared" si="14"/>
        <v>0</v>
      </c>
      <c r="AC173" s="6">
        <f>(L173-M173)*(W173+X173)+($W$193+$X$193-$W$173-$X$173)*(L173)</f>
        <v>72872.753500000064</v>
      </c>
      <c r="AD173" s="6">
        <f t="shared" si="15"/>
        <v>0</v>
      </c>
      <c r="AE173" s="6">
        <f ca="1">(L173-M173)*(Z173+AA173)+($Z$193+$AA$193-$Z$173-$AA$173)*(L173)</f>
        <v>93443.115159660782</v>
      </c>
      <c r="AF173" s="4" t="s">
        <v>844</v>
      </c>
    </row>
    <row r="174" spans="1:32" ht="11.25" customHeight="1" x14ac:dyDescent="0.25">
      <c r="A174" s="4" t="s">
        <v>27</v>
      </c>
      <c r="B174" s="4" t="s">
        <v>22</v>
      </c>
      <c r="C174" s="4" t="s">
        <v>23</v>
      </c>
      <c r="D174" s="4" t="s">
        <v>24</v>
      </c>
      <c r="E174" s="4" t="s">
        <v>31</v>
      </c>
      <c r="F174" s="4" t="s">
        <v>25</v>
      </c>
      <c r="G174" s="4" t="s">
        <v>25</v>
      </c>
      <c r="H174" s="4" t="s">
        <v>25</v>
      </c>
      <c r="I174" s="5">
        <v>44593</v>
      </c>
      <c r="J174" s="6">
        <v>0</v>
      </c>
      <c r="K174" s="6">
        <v>0</v>
      </c>
      <c r="L174" s="6">
        <v>-10.614000000000001</v>
      </c>
      <c r="M174" s="6">
        <v>-10.614000000000001</v>
      </c>
      <c r="N174" s="6">
        <v>-10.614000000000001</v>
      </c>
      <c r="O174" s="6">
        <v>-10.614000000000001</v>
      </c>
      <c r="P174" s="6">
        <v>-19</v>
      </c>
      <c r="Q174" s="4" t="s">
        <v>26</v>
      </c>
      <c r="R174" s="4">
        <v>0</v>
      </c>
      <c r="S174" s="4">
        <v>0</v>
      </c>
      <c r="T174" s="4">
        <v>32</v>
      </c>
      <c r="U174" s="4">
        <v>83</v>
      </c>
      <c r="V174" s="6">
        <f>IF(ISERROR(VLOOKUP($S$174,'TAR FIN'!$A$1:$O$108,15,0)),0,VLOOKUP($S$174,'TAR FIN'!$A$1:$O$108,15,0))</f>
        <v>0</v>
      </c>
      <c r="W174" s="6">
        <f>IF(ISERROR(VLOOKUP($T$174,'TAR FIN'!$A$1:$O$108,15,0)),0,VLOOKUP($T$174,'TAR FIN'!$A$1:$O$108,15,0))</f>
        <v>339.46</v>
      </c>
      <c r="X174" s="6">
        <f>IF(ISERROR(VLOOKUP($U$174,'TAR FIN'!$A$1:$O$108,15,0)),0,VLOOKUP($U$174,'TAR FIN'!$A$1:$O$108,15,0))</f>
        <v>97.01</v>
      </c>
      <c r="Y174" s="6"/>
      <c r="Z174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4" s="6">
        <f>('TE BE'!$AB$19+'TE BF'!$AB$19+'TE CVA'!$AB$19)*(1-CUSTOS!$M$36)</f>
        <v>202.03165175558053</v>
      </c>
      <c r="AB174" s="6">
        <f t="shared" si="14"/>
        <v>0</v>
      </c>
      <c r="AC174" s="6">
        <f>(L174-M174)*(W174+X174)+($W$193+$X$193-$W$174-$X$174)*(L174)</f>
        <v>-514.77900000000045</v>
      </c>
      <c r="AD174" s="6">
        <f t="shared" si="15"/>
        <v>0</v>
      </c>
      <c r="AE174" s="6">
        <f ca="1">(L174-M174)*(Z174+AA174)+($Z$193+$AA$193-$Z$174-$AA$174)*(L174)</f>
        <v>-660.08969153025112</v>
      </c>
      <c r="AF174" s="4" t="s">
        <v>844</v>
      </c>
    </row>
    <row r="175" spans="1:32" ht="11.25" customHeight="1" x14ac:dyDescent="0.25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31</v>
      </c>
      <c r="F175" s="4" t="s">
        <v>25</v>
      </c>
      <c r="G175" s="4" t="s">
        <v>25</v>
      </c>
      <c r="H175" s="4" t="s">
        <v>25</v>
      </c>
      <c r="I175" s="5">
        <v>44621</v>
      </c>
      <c r="J175" s="6">
        <v>0</v>
      </c>
      <c r="K175" s="6">
        <v>0</v>
      </c>
      <c r="L175" s="6">
        <v>1598.336</v>
      </c>
      <c r="M175" s="6">
        <v>1598.336</v>
      </c>
      <c r="N175" s="6">
        <v>1598.336</v>
      </c>
      <c r="O175" s="6">
        <v>1598.336</v>
      </c>
      <c r="P175" s="6">
        <v>9376</v>
      </c>
      <c r="Q175" s="4" t="s">
        <v>26</v>
      </c>
      <c r="R175" s="4">
        <v>0</v>
      </c>
      <c r="S175" s="4">
        <v>0</v>
      </c>
      <c r="T175" s="4">
        <v>32</v>
      </c>
      <c r="U175" s="4">
        <v>83</v>
      </c>
      <c r="V175" s="6">
        <f>IF(ISERROR(VLOOKUP($S$175,'TAR FIN'!$A$1:$O$108,15,0)),0,VLOOKUP($S$175,'TAR FIN'!$A$1:$O$108,15,0))</f>
        <v>0</v>
      </c>
      <c r="W175" s="6">
        <f>IF(ISERROR(VLOOKUP($T$175,'TAR FIN'!$A$1:$O$108,15,0)),0,VLOOKUP($T$175,'TAR FIN'!$A$1:$O$108,15,0))</f>
        <v>339.46</v>
      </c>
      <c r="X175" s="6">
        <f>IF(ISERROR(VLOOKUP($U$175,'TAR FIN'!$A$1:$O$108,15,0)),0,VLOOKUP($U$175,'TAR FIN'!$A$1:$O$108,15,0))</f>
        <v>97.01</v>
      </c>
      <c r="Y175" s="6"/>
      <c r="Z175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5" s="6">
        <f>('TE BE'!$AB$19+'TE BF'!$AB$19+'TE CVA'!$AB$19)*(1-CUSTOS!$M$36)</f>
        <v>202.03165175558053</v>
      </c>
      <c r="AB175" s="6">
        <f t="shared" si="14"/>
        <v>0</v>
      </c>
      <c r="AC175" s="6">
        <f>(L175-M175)*(W175+X175)+($W$193+$X$193-$W$175-$X$175)*(L175)</f>
        <v>77519.296000000075</v>
      </c>
      <c r="AD175" s="6">
        <f t="shared" si="15"/>
        <v>0</v>
      </c>
      <c r="AE175" s="6">
        <f ca="1">(L175-M175)*(Z175+AA175)+($Z$193+$AA$193-$Z$175-$AA$175)*(L175)</f>
        <v>99401.273525692042</v>
      </c>
      <c r="AF175" s="4" t="s">
        <v>844</v>
      </c>
    </row>
    <row r="176" spans="1:32" ht="11.25" customHeight="1" x14ac:dyDescent="0.25">
      <c r="A176" s="4" t="s">
        <v>27</v>
      </c>
      <c r="B176" s="4" t="s">
        <v>22</v>
      </c>
      <c r="C176" s="4" t="s">
        <v>23</v>
      </c>
      <c r="D176" s="4" t="s">
        <v>24</v>
      </c>
      <c r="E176" s="4" t="s">
        <v>31</v>
      </c>
      <c r="F176" s="4" t="s">
        <v>25</v>
      </c>
      <c r="G176" s="4" t="s">
        <v>25</v>
      </c>
      <c r="H176" s="4" t="s">
        <v>25</v>
      </c>
      <c r="I176" s="5">
        <v>44621</v>
      </c>
      <c r="J176" s="6">
        <v>0</v>
      </c>
      <c r="K176" s="6">
        <v>0</v>
      </c>
      <c r="L176" s="6">
        <v>-18.271999999999998</v>
      </c>
      <c r="M176" s="6">
        <v>-18.271999999999998</v>
      </c>
      <c r="N176" s="6">
        <v>-18.271999999999998</v>
      </c>
      <c r="O176" s="6">
        <v>-18.271999999999998</v>
      </c>
      <c r="P176" s="6">
        <v>-46</v>
      </c>
      <c r="Q176" s="4" t="s">
        <v>26</v>
      </c>
      <c r="R176" s="4">
        <v>0</v>
      </c>
      <c r="S176" s="4">
        <v>0</v>
      </c>
      <c r="T176" s="4">
        <v>32</v>
      </c>
      <c r="U176" s="4">
        <v>83</v>
      </c>
      <c r="V176" s="6">
        <f>IF(ISERROR(VLOOKUP($S$176,'TAR FIN'!$A$1:$O$108,15,0)),0,VLOOKUP($S$176,'TAR FIN'!$A$1:$O$108,15,0))</f>
        <v>0</v>
      </c>
      <c r="W176" s="6">
        <f>IF(ISERROR(VLOOKUP($T$176,'TAR FIN'!$A$1:$O$108,15,0)),0,VLOOKUP($T$176,'TAR FIN'!$A$1:$O$108,15,0))</f>
        <v>339.46</v>
      </c>
      <c r="X176" s="6">
        <f>IF(ISERROR(VLOOKUP($U$176,'TAR FIN'!$A$1:$O$108,15,0)),0,VLOOKUP($U$176,'TAR FIN'!$A$1:$O$108,15,0))</f>
        <v>97.01</v>
      </c>
      <c r="Y176" s="6"/>
      <c r="Z176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6" s="6">
        <f>('TE BE'!$AB$19+'TE BF'!$AB$19+'TE CVA'!$AB$19)*(1-CUSTOS!$M$36)</f>
        <v>202.03165175558053</v>
      </c>
      <c r="AB176" s="6">
        <f t="shared" si="14"/>
        <v>0</v>
      </c>
      <c r="AC176" s="6">
        <f>(L176-M176)*(W176+X176)+($W$193+$X$193-$W$176-$X$176)*(L176)</f>
        <v>-886.19200000000069</v>
      </c>
      <c r="AD176" s="6">
        <f t="shared" si="15"/>
        <v>0</v>
      </c>
      <c r="AE176" s="6">
        <f ca="1">(L176-M176)*(Z176+AA176)+($Z$193+$AA$193-$Z$176-$AA$176)*(L176)</f>
        <v>-1136.344341778853</v>
      </c>
      <c r="AF176" s="4" t="s">
        <v>844</v>
      </c>
    </row>
    <row r="177" spans="1:32" ht="11.25" customHeight="1" x14ac:dyDescent="0.25">
      <c r="A177" s="4" t="s">
        <v>21</v>
      </c>
      <c r="B177" s="4" t="s">
        <v>22</v>
      </c>
      <c r="C177" s="4" t="s">
        <v>23</v>
      </c>
      <c r="D177" s="4" t="s">
        <v>24</v>
      </c>
      <c r="E177" s="4" t="s">
        <v>31</v>
      </c>
      <c r="F177" s="4" t="s">
        <v>25</v>
      </c>
      <c r="G177" s="4" t="s">
        <v>25</v>
      </c>
      <c r="H177" s="4" t="s">
        <v>25</v>
      </c>
      <c r="I177" s="5">
        <v>44652</v>
      </c>
      <c r="J177" s="6">
        <v>0</v>
      </c>
      <c r="K177" s="6">
        <v>0</v>
      </c>
      <c r="L177" s="6">
        <v>1669.4960000000001</v>
      </c>
      <c r="M177" s="6">
        <v>1669.4960000000001</v>
      </c>
      <c r="N177" s="6">
        <v>1669.4960000000001</v>
      </c>
      <c r="O177" s="6">
        <v>1669.4960000000001</v>
      </c>
      <c r="P177" s="6">
        <v>10349</v>
      </c>
      <c r="Q177" s="4" t="s">
        <v>26</v>
      </c>
      <c r="R177" s="4">
        <v>0</v>
      </c>
      <c r="S177" s="4">
        <v>0</v>
      </c>
      <c r="T177" s="4">
        <v>32</v>
      </c>
      <c r="U177" s="4">
        <v>83</v>
      </c>
      <c r="V177" s="6">
        <f>IF(ISERROR(VLOOKUP($S$177,'TAR FIN'!$A$1:$O$108,15,0)),0,VLOOKUP($S$177,'TAR FIN'!$A$1:$O$108,15,0))</f>
        <v>0</v>
      </c>
      <c r="W177" s="6">
        <f>IF(ISERROR(VLOOKUP($T$177,'TAR FIN'!$A$1:$O$108,15,0)),0,VLOOKUP($T$177,'TAR FIN'!$A$1:$O$108,15,0))</f>
        <v>339.46</v>
      </c>
      <c r="X177" s="6">
        <f>IF(ISERROR(VLOOKUP($U$177,'TAR FIN'!$A$1:$O$108,15,0)),0,VLOOKUP($U$177,'TAR FIN'!$A$1:$O$108,15,0))</f>
        <v>97.01</v>
      </c>
      <c r="Y177" s="6"/>
      <c r="Z177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7" s="6">
        <f>('TE BE'!$AB$19+'TE BF'!$AB$19+'TE CVA'!$AB$19)*(1-CUSTOS!$M$36)</f>
        <v>202.03165175558053</v>
      </c>
      <c r="AB177" s="6">
        <f t="shared" si="14"/>
        <v>0</v>
      </c>
      <c r="AC177" s="6">
        <f>(L177-M177)*(W177+X177)+($W$193+$X$193-$W$177-$X$177)*(L177)</f>
        <v>80970.55600000007</v>
      </c>
      <c r="AD177" s="6">
        <f t="shared" si="15"/>
        <v>0</v>
      </c>
      <c r="AE177" s="6">
        <f ca="1">(L177-M177)*(Z177+AA177)+($Z$193+$AA$193-$Z$177-$AA$177)*(L177)</f>
        <v>103826.74765884568</v>
      </c>
      <c r="AF177" s="4" t="s">
        <v>844</v>
      </c>
    </row>
    <row r="178" spans="1:32" ht="11.25" customHeight="1" x14ac:dyDescent="0.25">
      <c r="A178" s="4" t="s">
        <v>27</v>
      </c>
      <c r="B178" s="4" t="s">
        <v>22</v>
      </c>
      <c r="C178" s="4" t="s">
        <v>23</v>
      </c>
      <c r="D178" s="4" t="s">
        <v>24</v>
      </c>
      <c r="E178" s="4" t="s">
        <v>31</v>
      </c>
      <c r="F178" s="4" t="s">
        <v>25</v>
      </c>
      <c r="G178" s="4" t="s">
        <v>25</v>
      </c>
      <c r="H178" s="4" t="s">
        <v>25</v>
      </c>
      <c r="I178" s="5">
        <v>44652</v>
      </c>
      <c r="J178" s="6">
        <v>0</v>
      </c>
      <c r="K178" s="6">
        <v>0</v>
      </c>
      <c r="L178" s="6">
        <v>-22.542000000000002</v>
      </c>
      <c r="M178" s="6">
        <v>-22.542000000000002</v>
      </c>
      <c r="N178" s="6">
        <v>-22.542000000000002</v>
      </c>
      <c r="O178" s="6">
        <v>-22.542000000000002</v>
      </c>
      <c r="P178" s="6">
        <v>-23</v>
      </c>
      <c r="Q178" s="4" t="s">
        <v>26</v>
      </c>
      <c r="R178" s="4">
        <v>0</v>
      </c>
      <c r="S178" s="4">
        <v>0</v>
      </c>
      <c r="T178" s="4">
        <v>32</v>
      </c>
      <c r="U178" s="4">
        <v>83</v>
      </c>
      <c r="V178" s="6">
        <f>IF(ISERROR(VLOOKUP($S$178,'TAR FIN'!$A$1:$O$108,15,0)),0,VLOOKUP($S$178,'TAR FIN'!$A$1:$O$108,15,0))</f>
        <v>0</v>
      </c>
      <c r="W178" s="6">
        <f>IF(ISERROR(VLOOKUP($T$178,'TAR FIN'!$A$1:$O$108,15,0)),0,VLOOKUP($T$178,'TAR FIN'!$A$1:$O$108,15,0))</f>
        <v>339.46</v>
      </c>
      <c r="X178" s="6">
        <f>IF(ISERROR(VLOOKUP($U$178,'TAR FIN'!$A$1:$O$108,15,0)),0,VLOOKUP($U$178,'TAR FIN'!$A$1:$O$108,15,0))</f>
        <v>97.01</v>
      </c>
      <c r="Y178" s="6"/>
      <c r="Z178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8" s="6">
        <f>('TE BE'!$AB$19+'TE BF'!$AB$19+'TE CVA'!$AB$19)*(1-CUSTOS!$M$36)</f>
        <v>202.03165175558053</v>
      </c>
      <c r="AB178" s="6">
        <f t="shared" si="14"/>
        <v>0</v>
      </c>
      <c r="AC178" s="6">
        <f>(L178-M178)*(W178+X178)+($W$193+$X$193-$W$178-$X$178)*(L178)</f>
        <v>-1093.2870000000009</v>
      </c>
      <c r="AD178" s="6">
        <f t="shared" si="15"/>
        <v>0</v>
      </c>
      <c r="AE178" s="6">
        <f ca="1">(L178-M178)*(Z178+AA178)+($Z$193+$AA$193-$Z$178-$AA$178)*(L178)</f>
        <v>-1401.8976659576897</v>
      </c>
      <c r="AF178" s="4" t="s">
        <v>844</v>
      </c>
    </row>
    <row r="179" spans="1:32" ht="11.25" customHeight="1" x14ac:dyDescent="0.2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31</v>
      </c>
      <c r="F179" s="4" t="s">
        <v>25</v>
      </c>
      <c r="G179" s="4" t="s">
        <v>25</v>
      </c>
      <c r="H179" s="4" t="s">
        <v>25</v>
      </c>
      <c r="I179" s="5">
        <v>44682</v>
      </c>
      <c r="J179" s="6">
        <v>0</v>
      </c>
      <c r="K179" s="6">
        <v>0</v>
      </c>
      <c r="L179" s="6">
        <v>1776.654</v>
      </c>
      <c r="M179" s="6">
        <v>1776.654</v>
      </c>
      <c r="N179" s="6">
        <v>1776.654</v>
      </c>
      <c r="O179" s="6">
        <v>1776.654</v>
      </c>
      <c r="P179" s="6">
        <v>9812</v>
      </c>
      <c r="Q179" s="4" t="s">
        <v>26</v>
      </c>
      <c r="R179" s="4">
        <v>0</v>
      </c>
      <c r="S179" s="4">
        <v>0</v>
      </c>
      <c r="T179" s="4">
        <v>32</v>
      </c>
      <c r="U179" s="4">
        <v>83</v>
      </c>
      <c r="V179" s="6">
        <f>IF(ISERROR(VLOOKUP($S$179,'TAR FIN'!$A$1:$O$108,15,0)),0,VLOOKUP($S$179,'TAR FIN'!$A$1:$O$108,15,0))</f>
        <v>0</v>
      </c>
      <c r="W179" s="6">
        <f>IF(ISERROR(VLOOKUP($T$179,'TAR FIN'!$A$1:$O$108,15,0)),0,VLOOKUP($T$179,'TAR FIN'!$A$1:$O$108,15,0))</f>
        <v>339.46</v>
      </c>
      <c r="X179" s="6">
        <f>IF(ISERROR(VLOOKUP($U$179,'TAR FIN'!$A$1:$O$108,15,0)),0,VLOOKUP($U$179,'TAR FIN'!$A$1:$O$108,15,0))</f>
        <v>97.01</v>
      </c>
      <c r="Y179" s="6"/>
      <c r="Z17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79" s="6">
        <f>('TE BE'!$AB$19+'TE BF'!$AB$19+'TE CVA'!$AB$19)*(1-CUSTOS!$M$36)</f>
        <v>202.03165175558053</v>
      </c>
      <c r="AB179" s="6">
        <f t="shared" si="14"/>
        <v>0</v>
      </c>
      <c r="AC179" s="6">
        <f>(L179-M179)*(W179+X179)+($W$193+$X$193-$W$179-$X$179)*(L179)</f>
        <v>86167.71900000007</v>
      </c>
      <c r="AD179" s="6">
        <f t="shared" si="15"/>
        <v>0</v>
      </c>
      <c r="AE179" s="6">
        <f ca="1">(L179-M179)*(Z179+AA179)+($Z$193+$AA$193-$Z$179-$AA$179)*(L179)</f>
        <v>110490.95447672758</v>
      </c>
      <c r="AF179" s="4" t="s">
        <v>844</v>
      </c>
    </row>
    <row r="180" spans="1:32" ht="11.25" customHeight="1" x14ac:dyDescent="0.25">
      <c r="A180" s="4" t="s">
        <v>27</v>
      </c>
      <c r="B180" s="4" t="s">
        <v>22</v>
      </c>
      <c r="C180" s="4" t="s">
        <v>23</v>
      </c>
      <c r="D180" s="4" t="s">
        <v>24</v>
      </c>
      <c r="E180" s="4" t="s">
        <v>31</v>
      </c>
      <c r="F180" s="4" t="s">
        <v>25</v>
      </c>
      <c r="G180" s="4" t="s">
        <v>25</v>
      </c>
      <c r="H180" s="4" t="s">
        <v>25</v>
      </c>
      <c r="I180" s="5">
        <v>44682</v>
      </c>
      <c r="J180" s="6">
        <v>0</v>
      </c>
      <c r="K180" s="6">
        <v>0</v>
      </c>
      <c r="L180" s="6">
        <v>-13.287000000000001</v>
      </c>
      <c r="M180" s="6">
        <v>-13.287000000000001</v>
      </c>
      <c r="N180" s="6">
        <v>-13.287000000000001</v>
      </c>
      <c r="O180" s="6">
        <v>-13.287000000000001</v>
      </c>
      <c r="P180" s="6">
        <v>-16</v>
      </c>
      <c r="Q180" s="4" t="s">
        <v>26</v>
      </c>
      <c r="R180" s="4">
        <v>0</v>
      </c>
      <c r="S180" s="4">
        <v>0</v>
      </c>
      <c r="T180" s="4">
        <v>32</v>
      </c>
      <c r="U180" s="4">
        <v>83</v>
      </c>
      <c r="V180" s="6">
        <f>IF(ISERROR(VLOOKUP($S$180,'TAR FIN'!$A$1:$O$108,15,0)),0,VLOOKUP($S$180,'TAR FIN'!$A$1:$O$108,15,0))</f>
        <v>0</v>
      </c>
      <c r="W180" s="6">
        <f>IF(ISERROR(VLOOKUP($T$180,'TAR FIN'!$A$1:$O$108,15,0)),0,VLOOKUP($T$180,'TAR FIN'!$A$1:$O$108,15,0))</f>
        <v>339.46</v>
      </c>
      <c r="X180" s="6">
        <f>IF(ISERROR(VLOOKUP($U$180,'TAR FIN'!$A$1:$O$108,15,0)),0,VLOOKUP($U$180,'TAR FIN'!$A$1:$O$108,15,0))</f>
        <v>97.01</v>
      </c>
      <c r="Y180" s="6"/>
      <c r="Z180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0" s="6">
        <f>('TE BE'!$AB$19+'TE BF'!$AB$19+'TE CVA'!$AB$19)*(1-CUSTOS!$M$36)</f>
        <v>202.03165175558053</v>
      </c>
      <c r="AB180" s="6">
        <f t="shared" si="14"/>
        <v>0</v>
      </c>
      <c r="AC180" s="6">
        <f>(L180-M180)*(W180+X180)+($W$193+$X$193-$W$180-$X$180)*(L180)</f>
        <v>-644.41950000000065</v>
      </c>
      <c r="AD180" s="6">
        <f t="shared" si="15"/>
        <v>0</v>
      </c>
      <c r="AE180" s="6">
        <f ca="1">(L180-M180)*(Z180+AA180)+($Z$193+$AA$193-$Z$180-$AA$180)*(L180)</f>
        <v>-826.32482865672182</v>
      </c>
      <c r="AF180" s="4" t="s">
        <v>844</v>
      </c>
    </row>
    <row r="181" spans="1:32" ht="11.25" customHeight="1" x14ac:dyDescent="0.2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31</v>
      </c>
      <c r="F181" s="4" t="s">
        <v>25</v>
      </c>
      <c r="G181" s="4" t="s">
        <v>25</v>
      </c>
      <c r="H181" s="4" t="s">
        <v>25</v>
      </c>
      <c r="I181" s="5">
        <v>44713</v>
      </c>
      <c r="J181" s="6">
        <v>0</v>
      </c>
      <c r="K181" s="6">
        <v>0</v>
      </c>
      <c r="L181" s="6">
        <v>1894.8389999999999</v>
      </c>
      <c r="M181" s="6">
        <v>1894.8389999999999</v>
      </c>
      <c r="N181" s="6">
        <v>1894.8389999999999</v>
      </c>
      <c r="O181" s="6">
        <v>1894.8389999999999</v>
      </c>
      <c r="P181" s="6">
        <v>10274</v>
      </c>
      <c r="Q181" s="4" t="s">
        <v>26</v>
      </c>
      <c r="R181" s="4">
        <v>0</v>
      </c>
      <c r="S181" s="4">
        <v>0</v>
      </c>
      <c r="T181" s="4">
        <v>32</v>
      </c>
      <c r="U181" s="4">
        <v>83</v>
      </c>
      <c r="V181" s="6">
        <f>IF(ISERROR(VLOOKUP($S$181,'TAR FIN'!$A$1:$O$108,15,0)),0,VLOOKUP($S$181,'TAR FIN'!$A$1:$O$108,15,0))</f>
        <v>0</v>
      </c>
      <c r="W181" s="6">
        <f>IF(ISERROR(VLOOKUP($T$181,'TAR FIN'!$A$1:$O$108,15,0)),0,VLOOKUP($T$181,'TAR FIN'!$A$1:$O$108,15,0))</f>
        <v>339.46</v>
      </c>
      <c r="X181" s="6">
        <f>IF(ISERROR(VLOOKUP($U$181,'TAR FIN'!$A$1:$O$108,15,0)),0,VLOOKUP($U$181,'TAR FIN'!$A$1:$O$108,15,0))</f>
        <v>97.01</v>
      </c>
      <c r="Y181" s="6"/>
      <c r="Z181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1" s="6">
        <f>('TE BE'!$AB$19+'TE BF'!$AB$19+'TE CVA'!$AB$19)*(1-CUSTOS!$M$36)</f>
        <v>202.03165175558053</v>
      </c>
      <c r="AB181" s="6">
        <f t="shared" si="14"/>
        <v>0</v>
      </c>
      <c r="AC181" s="6">
        <f>(L181-M181)*(W181+X181)+($W$193+$X$193-$W$181-$X$181)*(L181)</f>
        <v>91899.691500000074</v>
      </c>
      <c r="AD181" s="6">
        <f t="shared" si="15"/>
        <v>0</v>
      </c>
      <c r="AE181" s="6">
        <f ca="1">(L181-M181)*(Z181+AA181)+($Z$193+$AA$193-$Z$181-$AA$181)*(L181)</f>
        <v>117840.93565192098</v>
      </c>
      <c r="AF181" s="4" t="s">
        <v>844</v>
      </c>
    </row>
    <row r="182" spans="1:32" ht="11.25" customHeight="1" x14ac:dyDescent="0.25">
      <c r="A182" s="4" t="s">
        <v>27</v>
      </c>
      <c r="B182" s="4" t="s">
        <v>22</v>
      </c>
      <c r="C182" s="4" t="s">
        <v>23</v>
      </c>
      <c r="D182" s="4" t="s">
        <v>24</v>
      </c>
      <c r="E182" s="4" t="s">
        <v>31</v>
      </c>
      <c r="F182" s="4" t="s">
        <v>25</v>
      </c>
      <c r="G182" s="4" t="s">
        <v>25</v>
      </c>
      <c r="H182" s="4" t="s">
        <v>25</v>
      </c>
      <c r="I182" s="5">
        <v>44713</v>
      </c>
      <c r="J182" s="6">
        <v>0</v>
      </c>
      <c r="K182" s="6">
        <v>0</v>
      </c>
      <c r="L182" s="6">
        <v>-7.3659999999999997</v>
      </c>
      <c r="M182" s="6">
        <v>-7.3659999999999997</v>
      </c>
      <c r="N182" s="6">
        <v>-7.3659999999999997</v>
      </c>
      <c r="O182" s="6">
        <v>-7.3659999999999997</v>
      </c>
      <c r="P182" s="6">
        <v>-59</v>
      </c>
      <c r="Q182" s="4" t="s">
        <v>26</v>
      </c>
      <c r="R182" s="4">
        <v>0</v>
      </c>
      <c r="S182" s="4">
        <v>0</v>
      </c>
      <c r="T182" s="4">
        <v>32</v>
      </c>
      <c r="U182" s="4">
        <v>83</v>
      </c>
      <c r="V182" s="6">
        <f>IF(ISERROR(VLOOKUP($S$182,'TAR FIN'!$A$1:$O$108,15,0)),0,VLOOKUP($S$182,'TAR FIN'!$A$1:$O$108,15,0))</f>
        <v>0</v>
      </c>
      <c r="W182" s="6">
        <f>IF(ISERROR(VLOOKUP($T$182,'TAR FIN'!$A$1:$O$108,15,0)),0,VLOOKUP($T$182,'TAR FIN'!$A$1:$O$108,15,0))</f>
        <v>339.46</v>
      </c>
      <c r="X182" s="6">
        <f>IF(ISERROR(VLOOKUP($U$182,'TAR FIN'!$A$1:$O$108,15,0)),0,VLOOKUP($U$182,'TAR FIN'!$A$1:$O$108,15,0))</f>
        <v>97.01</v>
      </c>
      <c r="Y182" s="6"/>
      <c r="Z182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2" s="6">
        <f>('TE BE'!$AB$19+'TE BF'!$AB$19+'TE CVA'!$AB$19)*(1-CUSTOS!$M$36)</f>
        <v>202.03165175558053</v>
      </c>
      <c r="AB182" s="6">
        <f t="shared" si="14"/>
        <v>0</v>
      </c>
      <c r="AC182" s="6">
        <f>(L182-M182)*(W182+X182)+($W$193+$X$193-$W$182-$X$182)*(L182)</f>
        <v>-357.25100000000032</v>
      </c>
      <c r="AD182" s="6">
        <f t="shared" si="15"/>
        <v>0</v>
      </c>
      <c r="AE182" s="6">
        <f ca="1">(L182-M182)*(Z182+AA182)+($Z$193+$AA$193-$Z$182-$AA$182)*(L182)</f>
        <v>-458.09503182700479</v>
      </c>
      <c r="AF182" s="4" t="s">
        <v>844</v>
      </c>
    </row>
    <row r="183" spans="1:32" ht="11.25" customHeight="1" x14ac:dyDescent="0.2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31</v>
      </c>
      <c r="F183" s="4" t="s">
        <v>25</v>
      </c>
      <c r="G183" s="4" t="s">
        <v>25</v>
      </c>
      <c r="H183" s="4" t="s">
        <v>25</v>
      </c>
      <c r="I183" s="5">
        <v>44743</v>
      </c>
      <c r="J183" s="6">
        <v>0</v>
      </c>
      <c r="K183" s="6">
        <v>0</v>
      </c>
      <c r="L183" s="6">
        <v>1965.155</v>
      </c>
      <c r="M183" s="6">
        <v>1965.155</v>
      </c>
      <c r="N183" s="6">
        <v>1965.155</v>
      </c>
      <c r="O183" s="6">
        <v>1965.155</v>
      </c>
      <c r="P183" s="6">
        <v>10991</v>
      </c>
      <c r="Q183" s="4" t="s">
        <v>26</v>
      </c>
      <c r="R183" s="4">
        <v>0</v>
      </c>
      <c r="S183" s="4">
        <v>0</v>
      </c>
      <c r="T183" s="4">
        <v>32</v>
      </c>
      <c r="U183" s="4">
        <v>83</v>
      </c>
      <c r="V183" s="6">
        <f>IF(ISERROR(VLOOKUP($S$183,'TAR FIN'!$A$1:$O$108,15,0)),0,VLOOKUP($S$183,'TAR FIN'!$A$1:$O$108,15,0))</f>
        <v>0</v>
      </c>
      <c r="W183" s="6">
        <f>IF(ISERROR(VLOOKUP($T$183,'TAR FIN'!$A$1:$O$108,15,0)),0,VLOOKUP($T$183,'TAR FIN'!$A$1:$O$108,15,0))</f>
        <v>339.46</v>
      </c>
      <c r="X183" s="6">
        <f>IF(ISERROR(VLOOKUP($U$183,'TAR FIN'!$A$1:$O$108,15,0)),0,VLOOKUP($U$183,'TAR FIN'!$A$1:$O$108,15,0))</f>
        <v>97.01</v>
      </c>
      <c r="Y183" s="6"/>
      <c r="Z183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3" s="6">
        <f>('TE BE'!$AB$19+'TE BF'!$AB$19+'TE CVA'!$AB$19)*(1-CUSTOS!$M$36)</f>
        <v>202.03165175558053</v>
      </c>
      <c r="AB183" s="6">
        <f t="shared" si="14"/>
        <v>0</v>
      </c>
      <c r="AC183" s="6">
        <f>(L183-M183)*(W183+X183)+($W$193+$X$193-$W$183-$X$183)*(L183)</f>
        <v>95310.017500000089</v>
      </c>
      <c r="AD183" s="6">
        <f t="shared" si="15"/>
        <v>0</v>
      </c>
      <c r="AE183" s="6">
        <f ca="1">(L183-M183)*(Z183+AA183)+($Z$193+$AA$193-$Z$183-$AA$183)*(L183)</f>
        <v>122213.92102497931</v>
      </c>
      <c r="AF183" s="4" t="s">
        <v>844</v>
      </c>
    </row>
    <row r="184" spans="1:32" ht="11.25" customHeight="1" x14ac:dyDescent="0.25">
      <c r="A184" s="4" t="s">
        <v>27</v>
      </c>
      <c r="B184" s="4" t="s">
        <v>22</v>
      </c>
      <c r="C184" s="4" t="s">
        <v>23</v>
      </c>
      <c r="D184" s="4" t="s">
        <v>24</v>
      </c>
      <c r="E184" s="4" t="s">
        <v>31</v>
      </c>
      <c r="F184" s="4" t="s">
        <v>25</v>
      </c>
      <c r="G184" s="4" t="s">
        <v>25</v>
      </c>
      <c r="H184" s="4" t="s">
        <v>25</v>
      </c>
      <c r="I184" s="5">
        <v>44743</v>
      </c>
      <c r="J184" s="6">
        <v>0</v>
      </c>
      <c r="K184" s="6">
        <v>0</v>
      </c>
      <c r="L184" s="6">
        <v>-6.7290000000000001</v>
      </c>
      <c r="M184" s="6">
        <v>-6.7290000000000001</v>
      </c>
      <c r="N184" s="6">
        <v>-6.7290000000000001</v>
      </c>
      <c r="O184" s="6">
        <v>-6.7290000000000001</v>
      </c>
      <c r="P184" s="6">
        <v>-41</v>
      </c>
      <c r="Q184" s="4" t="s">
        <v>26</v>
      </c>
      <c r="R184" s="4">
        <v>0</v>
      </c>
      <c r="S184" s="4">
        <v>0</v>
      </c>
      <c r="T184" s="4">
        <v>32</v>
      </c>
      <c r="U184" s="4">
        <v>83</v>
      </c>
      <c r="V184" s="6">
        <f>IF(ISERROR(VLOOKUP($S$184,'TAR FIN'!$A$1:$O$108,15,0)),0,VLOOKUP($S$184,'TAR FIN'!$A$1:$O$108,15,0))</f>
        <v>0</v>
      </c>
      <c r="W184" s="6">
        <f>IF(ISERROR(VLOOKUP($T$184,'TAR FIN'!$A$1:$O$108,15,0)),0,VLOOKUP($T$184,'TAR FIN'!$A$1:$O$108,15,0))</f>
        <v>339.46</v>
      </c>
      <c r="X184" s="6">
        <f>IF(ISERROR(VLOOKUP($U$184,'TAR FIN'!$A$1:$O$108,15,0)),0,VLOOKUP($U$184,'TAR FIN'!$A$1:$O$108,15,0))</f>
        <v>97.01</v>
      </c>
      <c r="Y184" s="6"/>
      <c r="Z184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4" s="6">
        <f>('TE BE'!$AB$19+'TE BF'!$AB$19+'TE CVA'!$AB$19)*(1-CUSTOS!$M$36)</f>
        <v>202.03165175558053</v>
      </c>
      <c r="AB184" s="6">
        <f t="shared" si="14"/>
        <v>0</v>
      </c>
      <c r="AC184" s="6">
        <f>(L184-M184)*(W184+X184)+($W$193+$X$193-$W$184-$X$184)*(L184)</f>
        <v>-326.35650000000027</v>
      </c>
      <c r="AD184" s="6">
        <f t="shared" si="15"/>
        <v>0</v>
      </c>
      <c r="AE184" s="6">
        <f ca="1">(L184-M184)*(Z184+AA184)+($Z$193+$AA$193-$Z$184-$AA$184)*(L184)</f>
        <v>-418.4796998593423</v>
      </c>
      <c r="AF184" s="4" t="s">
        <v>844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31</v>
      </c>
      <c r="F185" s="4" t="s">
        <v>25</v>
      </c>
      <c r="G185" s="4" t="s">
        <v>25</v>
      </c>
      <c r="H185" s="4" t="s">
        <v>25</v>
      </c>
      <c r="I185" s="5">
        <v>44774</v>
      </c>
      <c r="J185" s="6">
        <v>0</v>
      </c>
      <c r="K185" s="6">
        <v>0</v>
      </c>
      <c r="L185" s="6">
        <v>2148.2510000000002</v>
      </c>
      <c r="M185" s="6">
        <v>2148.2510000000002</v>
      </c>
      <c r="N185" s="6">
        <v>2148.2510000000002</v>
      </c>
      <c r="O185" s="6">
        <v>2148.2510000000002</v>
      </c>
      <c r="P185" s="6">
        <v>10981</v>
      </c>
      <c r="Q185" s="4" t="s">
        <v>26</v>
      </c>
      <c r="R185" s="4">
        <v>0</v>
      </c>
      <c r="S185" s="4">
        <v>0</v>
      </c>
      <c r="T185" s="4">
        <v>32</v>
      </c>
      <c r="U185" s="4">
        <v>83</v>
      </c>
      <c r="V185" s="6">
        <f>IF(ISERROR(VLOOKUP($S$185,'TAR FIN'!$A$1:$O$108,15,0)),0,VLOOKUP($S$185,'TAR FIN'!$A$1:$O$108,15,0))</f>
        <v>0</v>
      </c>
      <c r="W185" s="6">
        <f>IF(ISERROR(VLOOKUP($T$185,'TAR FIN'!$A$1:$O$108,15,0)),0,VLOOKUP($T$185,'TAR FIN'!$A$1:$O$108,15,0))</f>
        <v>339.46</v>
      </c>
      <c r="X185" s="6">
        <f>IF(ISERROR(VLOOKUP($U$185,'TAR FIN'!$A$1:$O$108,15,0)),0,VLOOKUP($U$185,'TAR FIN'!$A$1:$O$108,15,0))</f>
        <v>97.01</v>
      </c>
      <c r="Y185" s="6"/>
      <c r="Z185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5" s="6">
        <f>('TE BE'!$AB$19+'TE BF'!$AB$19+'TE CVA'!$AB$19)*(1-CUSTOS!$M$36)</f>
        <v>202.03165175558053</v>
      </c>
      <c r="AB185" s="6">
        <f t="shared" si="14"/>
        <v>0</v>
      </c>
      <c r="AC185" s="6">
        <f>(L185-M185)*(W185+X185)+($W$193+$X$193-$W$185-$X$185)*(L185)</f>
        <v>104190.17350000011</v>
      </c>
      <c r="AD185" s="6">
        <f t="shared" si="15"/>
        <v>0</v>
      </c>
      <c r="AE185" s="6">
        <f ca="1">(L185-M185)*(Z185+AA185)+($Z$193+$AA$193-$Z$185-$AA$185)*(L185)</f>
        <v>133600.74806100936</v>
      </c>
      <c r="AF185" s="4" t="s">
        <v>844</v>
      </c>
    </row>
    <row r="186" spans="1:32" ht="11.25" customHeight="1" x14ac:dyDescent="0.25">
      <c r="A186" s="4" t="s">
        <v>27</v>
      </c>
      <c r="B186" s="4" t="s">
        <v>22</v>
      </c>
      <c r="C186" s="4" t="s">
        <v>23</v>
      </c>
      <c r="D186" s="4" t="s">
        <v>24</v>
      </c>
      <c r="E186" s="4" t="s">
        <v>31</v>
      </c>
      <c r="F186" s="4" t="s">
        <v>25</v>
      </c>
      <c r="G186" s="4" t="s">
        <v>25</v>
      </c>
      <c r="H186" s="4" t="s">
        <v>25</v>
      </c>
      <c r="I186" s="5">
        <v>44774</v>
      </c>
      <c r="J186" s="6">
        <v>0</v>
      </c>
      <c r="K186" s="6">
        <v>0</v>
      </c>
      <c r="L186" s="6">
        <v>-17.472999999999999</v>
      </c>
      <c r="M186" s="6">
        <v>-17.472999999999999</v>
      </c>
      <c r="N186" s="6">
        <v>-17.472999999999999</v>
      </c>
      <c r="O186" s="6">
        <v>-17.472999999999999</v>
      </c>
      <c r="P186" s="6">
        <v>-79</v>
      </c>
      <c r="Q186" s="4" t="s">
        <v>26</v>
      </c>
      <c r="R186" s="4">
        <v>0</v>
      </c>
      <c r="S186" s="4">
        <v>0</v>
      </c>
      <c r="T186" s="4">
        <v>32</v>
      </c>
      <c r="U186" s="4">
        <v>83</v>
      </c>
      <c r="V186" s="6">
        <f>IF(ISERROR(VLOOKUP($S$186,'TAR FIN'!$A$1:$O$108,15,0)),0,VLOOKUP($S$186,'TAR FIN'!$A$1:$O$108,15,0))</f>
        <v>0</v>
      </c>
      <c r="W186" s="6">
        <f>IF(ISERROR(VLOOKUP($T$186,'TAR FIN'!$A$1:$O$108,15,0)),0,VLOOKUP($T$186,'TAR FIN'!$A$1:$O$108,15,0))</f>
        <v>339.46</v>
      </c>
      <c r="X186" s="6">
        <f>IF(ISERROR(VLOOKUP($U$186,'TAR FIN'!$A$1:$O$108,15,0)),0,VLOOKUP($U$186,'TAR FIN'!$A$1:$O$108,15,0))</f>
        <v>97.01</v>
      </c>
      <c r="Y186" s="6"/>
      <c r="Z186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6" s="6">
        <f>('TE BE'!$AB$19+'TE BF'!$AB$19+'TE CVA'!$AB$19)*(1-CUSTOS!$M$36)</f>
        <v>202.03165175558053</v>
      </c>
      <c r="AB186" s="6">
        <f t="shared" si="14"/>
        <v>0</v>
      </c>
      <c r="AC186" s="6">
        <f>(L186-M186)*(W186+X186)+($W$193+$X$193-$W$186-$X$186)*(L186)</f>
        <v>-847.44050000000072</v>
      </c>
      <c r="AD186" s="6">
        <f t="shared" si="15"/>
        <v>0</v>
      </c>
      <c r="AE186" s="6">
        <f ca="1">(L186-M186)*(Z186+AA186)+($Z$193+$AA$193-$Z$186-$AA$186)*(L186)</f>
        <v>-1086.6541530156469</v>
      </c>
      <c r="AF186" s="4" t="s">
        <v>844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31</v>
      </c>
      <c r="F187" s="4" t="s">
        <v>25</v>
      </c>
      <c r="G187" s="4" t="s">
        <v>25</v>
      </c>
      <c r="H187" s="4" t="s">
        <v>25</v>
      </c>
      <c r="I187" s="5">
        <v>44805</v>
      </c>
      <c r="J187" s="6">
        <v>0</v>
      </c>
      <c r="K187" s="6">
        <v>0</v>
      </c>
      <c r="L187" s="6">
        <v>2478.875</v>
      </c>
      <c r="M187" s="6">
        <v>2478.875</v>
      </c>
      <c r="N187" s="6">
        <v>2478.875</v>
      </c>
      <c r="O187" s="6">
        <v>2478.875</v>
      </c>
      <c r="P187" s="6">
        <v>11784</v>
      </c>
      <c r="Q187" s="4" t="s">
        <v>26</v>
      </c>
      <c r="R187" s="4">
        <v>0</v>
      </c>
      <c r="S187" s="4">
        <v>0</v>
      </c>
      <c r="T187" s="4">
        <v>32</v>
      </c>
      <c r="U187" s="4">
        <v>83</v>
      </c>
      <c r="V187" s="6">
        <f>IF(ISERROR(VLOOKUP($S$187,'TAR FIN'!$A$1:$O$108,15,0)),0,VLOOKUP($S$187,'TAR FIN'!$A$1:$O$108,15,0))</f>
        <v>0</v>
      </c>
      <c r="W187" s="6">
        <f>IF(ISERROR(VLOOKUP($T$187,'TAR FIN'!$A$1:$O$108,15,0)),0,VLOOKUP($T$187,'TAR FIN'!$A$1:$O$108,15,0))</f>
        <v>339.46</v>
      </c>
      <c r="X187" s="6">
        <f>IF(ISERROR(VLOOKUP($U$187,'TAR FIN'!$A$1:$O$108,15,0)),0,VLOOKUP($U$187,'TAR FIN'!$A$1:$O$108,15,0))</f>
        <v>97.01</v>
      </c>
      <c r="Y187" s="6"/>
      <c r="Z187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7" s="6">
        <f>('TE BE'!$AB$19+'TE BF'!$AB$19+'TE CVA'!$AB$19)*(1-CUSTOS!$M$36)</f>
        <v>202.03165175558053</v>
      </c>
      <c r="AB187" s="6">
        <f t="shared" si="14"/>
        <v>0</v>
      </c>
      <c r="AC187" s="6">
        <f>(L187-M187)*(W187+X187)+($W$193+$X$193-$W$187-$X$187)*(L187)</f>
        <v>120225.4375000001</v>
      </c>
      <c r="AD187" s="6">
        <f t="shared" si="15"/>
        <v>0</v>
      </c>
      <c r="AE187" s="6">
        <f ca="1">(L187-M187)*(Z187+AA187)+($Z$193+$AA$193-$Z$187-$AA$187)*(L187)</f>
        <v>154162.41135218117</v>
      </c>
      <c r="AF187" s="4" t="s">
        <v>844</v>
      </c>
    </row>
    <row r="188" spans="1:32" ht="11.25" customHeight="1" x14ac:dyDescent="0.25">
      <c r="A188" s="4" t="s">
        <v>27</v>
      </c>
      <c r="B188" s="4" t="s">
        <v>22</v>
      </c>
      <c r="C188" s="4" t="s">
        <v>23</v>
      </c>
      <c r="D188" s="4" t="s">
        <v>24</v>
      </c>
      <c r="E188" s="4" t="s">
        <v>31</v>
      </c>
      <c r="F188" s="4" t="s">
        <v>25</v>
      </c>
      <c r="G188" s="4" t="s">
        <v>25</v>
      </c>
      <c r="H188" s="4" t="s">
        <v>25</v>
      </c>
      <c r="I188" s="5">
        <v>44805</v>
      </c>
      <c r="J188" s="6">
        <v>0</v>
      </c>
      <c r="K188" s="6">
        <v>0</v>
      </c>
      <c r="L188" s="6">
        <v>-6.4969999999999999</v>
      </c>
      <c r="M188" s="6">
        <v>-6.4969999999999999</v>
      </c>
      <c r="N188" s="6">
        <v>-6.4969999999999999</v>
      </c>
      <c r="O188" s="6">
        <v>-6.4969999999999999</v>
      </c>
      <c r="P188" s="6">
        <v>-8</v>
      </c>
      <c r="Q188" s="4" t="s">
        <v>26</v>
      </c>
      <c r="R188" s="4">
        <v>0</v>
      </c>
      <c r="S188" s="4">
        <v>0</v>
      </c>
      <c r="T188" s="4">
        <v>32</v>
      </c>
      <c r="U188" s="4">
        <v>83</v>
      </c>
      <c r="V188" s="6">
        <f>IF(ISERROR(VLOOKUP($S$188,'TAR FIN'!$A$1:$O$108,15,0)),0,VLOOKUP($S$188,'TAR FIN'!$A$1:$O$108,15,0))</f>
        <v>0</v>
      </c>
      <c r="W188" s="6">
        <f>IF(ISERROR(VLOOKUP($T$188,'TAR FIN'!$A$1:$O$108,15,0)),0,VLOOKUP($T$188,'TAR FIN'!$A$1:$O$108,15,0))</f>
        <v>339.46</v>
      </c>
      <c r="X188" s="6">
        <f>IF(ISERROR(VLOOKUP($U$188,'TAR FIN'!$A$1:$O$108,15,0)),0,VLOOKUP($U$188,'TAR FIN'!$A$1:$O$108,15,0))</f>
        <v>97.01</v>
      </c>
      <c r="Y188" s="6"/>
      <c r="Z188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8" s="6">
        <f>('TE BE'!$AB$19+'TE BF'!$AB$19+'TE CVA'!$AB$19)*(1-CUSTOS!$M$36)</f>
        <v>202.03165175558053</v>
      </c>
      <c r="AB188" s="6">
        <f t="shared" si="14"/>
        <v>0</v>
      </c>
      <c r="AC188" s="6">
        <f>(L188-M188)*(W188+X188)+($W$193+$X$193-$W$188-$X$188)*(L188)</f>
        <v>-315.10450000000026</v>
      </c>
      <c r="AD188" s="6">
        <f t="shared" si="15"/>
        <v>0</v>
      </c>
      <c r="AE188" s="6">
        <f ca="1">(L188-M188)*(Z188+AA188)+($Z$193+$AA$193-$Z$188-$AA$188)*(L188)</f>
        <v>-404.05150988053902</v>
      </c>
      <c r="AF188" s="4" t="s">
        <v>844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31</v>
      </c>
      <c r="F189" s="4" t="s">
        <v>25</v>
      </c>
      <c r="G189" s="4" t="s">
        <v>25</v>
      </c>
      <c r="H189" s="4" t="s">
        <v>25</v>
      </c>
      <c r="I189" s="5">
        <v>44835</v>
      </c>
      <c r="J189" s="6">
        <v>0</v>
      </c>
      <c r="K189" s="6">
        <v>0</v>
      </c>
      <c r="L189" s="6">
        <v>3078.2750000000001</v>
      </c>
      <c r="M189" s="6">
        <v>3078.2750000000001</v>
      </c>
      <c r="N189" s="6">
        <v>3078.2750000000001</v>
      </c>
      <c r="O189" s="6">
        <v>3078.2750000000001</v>
      </c>
      <c r="P189" s="6">
        <v>13481</v>
      </c>
      <c r="Q189" s="4" t="s">
        <v>26</v>
      </c>
      <c r="R189" s="4">
        <v>0</v>
      </c>
      <c r="S189" s="4">
        <v>0</v>
      </c>
      <c r="T189" s="4">
        <v>32</v>
      </c>
      <c r="U189" s="4">
        <v>83</v>
      </c>
      <c r="V189" s="6">
        <f>IF(ISERROR(VLOOKUP($S$189,'TAR FIN'!$A$1:$O$108,15,0)),0,VLOOKUP($S$189,'TAR FIN'!$A$1:$O$108,15,0))</f>
        <v>0</v>
      </c>
      <c r="W189" s="6">
        <f>IF(ISERROR(VLOOKUP($T$189,'TAR FIN'!$A$1:$O$108,15,0)),0,VLOOKUP($T$189,'TAR FIN'!$A$1:$O$108,15,0))</f>
        <v>339.46</v>
      </c>
      <c r="X189" s="6">
        <f>IF(ISERROR(VLOOKUP($U$189,'TAR FIN'!$A$1:$O$108,15,0)),0,VLOOKUP($U$189,'TAR FIN'!$A$1:$O$108,15,0))</f>
        <v>97.01</v>
      </c>
      <c r="Y189" s="6"/>
      <c r="Z189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89" s="6">
        <f>('TE BE'!$AB$19+'TE BF'!$AB$19+'TE CVA'!$AB$19)*(1-CUSTOS!$M$36)</f>
        <v>202.03165175558053</v>
      </c>
      <c r="AB189" s="6">
        <f t="shared" si="14"/>
        <v>0</v>
      </c>
      <c r="AC189" s="6">
        <f>(L189-M189)*(W189+X189)+($W$193+$X$193-$W$189-$X$189)*(L189)</f>
        <v>149296.33750000014</v>
      </c>
      <c r="AD189" s="6">
        <f t="shared" si="15"/>
        <v>0</v>
      </c>
      <c r="AE189" s="6">
        <f ca="1">(L189-M189)*(Z189+AA189)+($Z$193+$AA$193-$Z$189-$AA$189)*(L189)</f>
        <v>191439.38149569283</v>
      </c>
      <c r="AF189" s="4" t="s">
        <v>844</v>
      </c>
    </row>
    <row r="190" spans="1:32" ht="11.25" customHeight="1" x14ac:dyDescent="0.25">
      <c r="A190" s="4" t="s">
        <v>27</v>
      </c>
      <c r="B190" s="4" t="s">
        <v>22</v>
      </c>
      <c r="C190" s="4" t="s">
        <v>23</v>
      </c>
      <c r="D190" s="4" t="s">
        <v>24</v>
      </c>
      <c r="E190" s="4" t="s">
        <v>31</v>
      </c>
      <c r="F190" s="4" t="s">
        <v>25</v>
      </c>
      <c r="G190" s="4" t="s">
        <v>25</v>
      </c>
      <c r="H190" s="4" t="s">
        <v>25</v>
      </c>
      <c r="I190" s="5">
        <v>44835</v>
      </c>
      <c r="J190" s="6">
        <v>0</v>
      </c>
      <c r="K190" s="6">
        <v>0</v>
      </c>
      <c r="L190" s="6">
        <v>-6.1369999999999996</v>
      </c>
      <c r="M190" s="6">
        <v>-6.1369999999999996</v>
      </c>
      <c r="N190" s="6">
        <v>-6.1369999999999996</v>
      </c>
      <c r="O190" s="6">
        <v>-6.1369999999999996</v>
      </c>
      <c r="P190" s="6">
        <v>4</v>
      </c>
      <c r="Q190" s="4" t="s">
        <v>26</v>
      </c>
      <c r="R190" s="4">
        <v>0</v>
      </c>
      <c r="S190" s="4">
        <v>0</v>
      </c>
      <c r="T190" s="4">
        <v>32</v>
      </c>
      <c r="U190" s="4">
        <v>83</v>
      </c>
      <c r="V190" s="6">
        <f>IF(ISERROR(VLOOKUP($S$190,'TAR FIN'!$A$1:$O$108,15,0)),0,VLOOKUP($S$190,'TAR FIN'!$A$1:$O$108,15,0))</f>
        <v>0</v>
      </c>
      <c r="W190" s="6">
        <f>IF(ISERROR(VLOOKUP($T$190,'TAR FIN'!$A$1:$O$108,15,0)),0,VLOOKUP($T$190,'TAR FIN'!$A$1:$O$108,15,0))</f>
        <v>339.46</v>
      </c>
      <c r="X190" s="6">
        <f>IF(ISERROR(VLOOKUP($U$190,'TAR FIN'!$A$1:$O$108,15,0)),0,VLOOKUP($U$190,'TAR FIN'!$A$1:$O$108,15,0))</f>
        <v>97.01</v>
      </c>
      <c r="Y190" s="6"/>
      <c r="Z190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90" s="6">
        <f>('TE BE'!$AB$19+'TE BF'!$AB$19+'TE CVA'!$AB$19)*(1-CUSTOS!$M$36)</f>
        <v>202.03165175558053</v>
      </c>
      <c r="AB190" s="6">
        <f t="shared" si="14"/>
        <v>0</v>
      </c>
      <c r="AC190" s="6">
        <f>(L190-M190)*(W190+X190)+($W$193+$X$193-$W$190-$X$190)*(L190)</f>
        <v>-297.64450000000022</v>
      </c>
      <c r="AD190" s="6">
        <f t="shared" si="15"/>
        <v>0</v>
      </c>
      <c r="AE190" s="6">
        <f ca="1">(L190-M190)*(Z190+AA190)+($Z$193+$AA$193-$Z$190-$AA$190)*(L190)</f>
        <v>-381.66293922377525</v>
      </c>
      <c r="AF190" s="4" t="s">
        <v>844</v>
      </c>
    </row>
    <row r="191" spans="1:32" ht="11.25" customHeight="1" x14ac:dyDescent="0.25">
      <c r="A191" s="4" t="s">
        <v>54</v>
      </c>
      <c r="B191" s="4" t="s">
        <v>22</v>
      </c>
      <c r="C191" s="4" t="s">
        <v>23</v>
      </c>
      <c r="D191" s="4" t="s">
        <v>24</v>
      </c>
      <c r="E191" s="4" t="s">
        <v>31</v>
      </c>
      <c r="F191" s="4" t="s">
        <v>25</v>
      </c>
      <c r="G191" s="4" t="s">
        <v>25</v>
      </c>
      <c r="H191" s="4" t="s">
        <v>25</v>
      </c>
      <c r="I191" s="5">
        <v>44866</v>
      </c>
      <c r="J191" s="6">
        <v>0</v>
      </c>
      <c r="K191" s="6">
        <v>0</v>
      </c>
      <c r="L191" s="6">
        <v>3078.2750000000001</v>
      </c>
      <c r="M191" s="6">
        <v>3078.2750000000001</v>
      </c>
      <c r="N191" s="6">
        <v>3078.2750000000001</v>
      </c>
      <c r="O191" s="6">
        <v>3078.2750000000001</v>
      </c>
      <c r="P191" s="6">
        <v>13481</v>
      </c>
      <c r="Q191" s="4" t="s">
        <v>26</v>
      </c>
      <c r="R191" s="4">
        <v>0</v>
      </c>
      <c r="S191" s="4">
        <v>0</v>
      </c>
      <c r="T191" s="4">
        <v>32</v>
      </c>
      <c r="U191" s="4">
        <v>83</v>
      </c>
      <c r="V191" s="6">
        <f>IF(ISERROR(VLOOKUP($S$191,'TAR FIN'!$A$1:$O$108,15,0)),0,VLOOKUP($S$191,'TAR FIN'!$A$1:$O$108,15,0))</f>
        <v>0</v>
      </c>
      <c r="W191" s="6">
        <f>IF(ISERROR(VLOOKUP($T$191,'TAR FIN'!$A$1:$O$108,15,0)),0,VLOOKUP($T$191,'TAR FIN'!$A$1:$O$108,15,0))</f>
        <v>339.46</v>
      </c>
      <c r="X191" s="6">
        <f>IF(ISERROR(VLOOKUP($U$191,'TAR FIN'!$A$1:$O$108,15,0)),0,VLOOKUP($U$191,'TAR FIN'!$A$1:$O$108,15,0))</f>
        <v>97.01</v>
      </c>
      <c r="Y191" s="6"/>
      <c r="Z191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91" s="6">
        <f>('TE BE'!$AB$19+'TE BF'!$AB$19+'TE CVA'!$AB$19)*(1-CUSTOS!$M$36)</f>
        <v>202.03165175558053</v>
      </c>
      <c r="AB191" s="6">
        <f t="shared" si="14"/>
        <v>0</v>
      </c>
      <c r="AC191" s="6">
        <f>(L191-M191)*(W191+X191)+($W$193+$X$193-$W$191-$X$191)*(L191)</f>
        <v>149296.33750000014</v>
      </c>
      <c r="AD191" s="6">
        <f t="shared" si="15"/>
        <v>0</v>
      </c>
      <c r="AE191" s="6">
        <f ca="1">(L191-M191)*(Z191+AA191)+($Z$193+$AA$193-$Z$191-$AA$191)*(L191)</f>
        <v>191439.38149569283</v>
      </c>
      <c r="AF191" s="4" t="s">
        <v>844</v>
      </c>
    </row>
    <row r="192" spans="1:32" ht="11.25" customHeight="1" x14ac:dyDescent="0.25">
      <c r="A192" s="4" t="s">
        <v>54</v>
      </c>
      <c r="B192" s="4" t="s">
        <v>22</v>
      </c>
      <c r="C192" s="4" t="s">
        <v>23</v>
      </c>
      <c r="D192" s="4" t="s">
        <v>24</v>
      </c>
      <c r="E192" s="4" t="s">
        <v>31</v>
      </c>
      <c r="F192" s="4" t="s">
        <v>25</v>
      </c>
      <c r="G192" s="4" t="s">
        <v>25</v>
      </c>
      <c r="H192" s="4" t="s">
        <v>25</v>
      </c>
      <c r="I192" s="5">
        <v>44866</v>
      </c>
      <c r="J192" s="6">
        <v>0</v>
      </c>
      <c r="K192" s="6">
        <v>0</v>
      </c>
      <c r="L192" s="6">
        <v>-6.1369999999999996</v>
      </c>
      <c r="M192" s="6">
        <v>-6.1369999999999996</v>
      </c>
      <c r="N192" s="6">
        <v>-6.1369999999999996</v>
      </c>
      <c r="O192" s="6">
        <v>-6.1369999999999996</v>
      </c>
      <c r="P192" s="6">
        <v>4</v>
      </c>
      <c r="Q192" s="4" t="s">
        <v>26</v>
      </c>
      <c r="R192" s="4">
        <v>0</v>
      </c>
      <c r="S192" s="4">
        <v>0</v>
      </c>
      <c r="T192" s="4">
        <v>32</v>
      </c>
      <c r="U192" s="4">
        <v>83</v>
      </c>
      <c r="V192" s="6">
        <f>IF(ISERROR(VLOOKUP($S$192,'TAR FIN'!$A$1:$O$108,15,0)),0,VLOOKUP($S$192,'TAR FIN'!$A$1:$O$108,15,0))</f>
        <v>0</v>
      </c>
      <c r="W192" s="6">
        <f>IF(ISERROR(VLOOKUP($T$192,'TAR FIN'!$A$1:$O$108,15,0)),0,VLOOKUP($T$192,'TAR FIN'!$A$1:$O$108,15,0))</f>
        <v>339.46</v>
      </c>
      <c r="X192" s="6">
        <f>IF(ISERROR(VLOOKUP($U$192,'TAR FIN'!$A$1:$O$108,15,0)),0,VLOOKUP($U$192,'TAR FIN'!$A$1:$O$108,15,0))</f>
        <v>97.01</v>
      </c>
      <c r="Y192" s="6"/>
      <c r="Z192" s="6">
        <f ca="1">('TUSD BE'!$AM$39+'TUSD BF'!$AM$39+'TUSD CVA'!$AM$39-('TUSD BE'!$P$39+'TUSD BF'!$P$39+'TUSD CVA'!$P$39)-('TUSD BE'!$Q$39+'TUSD BF'!$Q$39+'TUSD CVA'!$Q$39)-('TUSD BE'!$R$39+'TUSD BF'!$R$39+'TUSD CVA'!$R$39))*(1-CUSTOS!$M$36)</f>
        <v>357.68261466351248</v>
      </c>
      <c r="AA192" s="6">
        <f>('TE BE'!$AB$19+'TE BF'!$AB$19+'TE CVA'!$AB$19)*(1-CUSTOS!$M$36)</f>
        <v>202.03165175558053</v>
      </c>
      <c r="AB192" s="6">
        <f t="shared" si="14"/>
        <v>0</v>
      </c>
      <c r="AC192" s="6">
        <f>(L192-M192)*(W192+X192)+($W$193+$X$193-$W$192-$X$192)*(L192)</f>
        <v>-297.64450000000022</v>
      </c>
      <c r="AD192" s="6">
        <f t="shared" si="15"/>
        <v>0</v>
      </c>
      <c r="AE192" s="6">
        <f ca="1">(L192-M192)*(Z192+AA192)+($Z$193+$AA$193-$Z$192-$AA$192)*(L192)</f>
        <v>-381.66293922377525</v>
      </c>
      <c r="AF192" s="4" t="s">
        <v>844</v>
      </c>
    </row>
    <row r="193" spans="1:32" ht="11.25" customHeight="1" x14ac:dyDescent="0.2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32</v>
      </c>
      <c r="F193" s="4" t="s">
        <v>25</v>
      </c>
      <c r="G193" s="4" t="s">
        <v>25</v>
      </c>
      <c r="H193" s="4" t="s">
        <v>25</v>
      </c>
      <c r="I193" s="5">
        <v>44531</v>
      </c>
      <c r="J193" s="6">
        <v>0</v>
      </c>
      <c r="K193" s="6">
        <v>0</v>
      </c>
      <c r="L193" s="6">
        <v>1796.682</v>
      </c>
      <c r="M193" s="6">
        <v>1796.682</v>
      </c>
      <c r="N193" s="6">
        <v>1796.682</v>
      </c>
      <c r="O193" s="6">
        <v>1796.682</v>
      </c>
      <c r="P193" s="6">
        <v>8573</v>
      </c>
      <c r="Q193" s="4" t="s">
        <v>26</v>
      </c>
      <c r="R193" s="4">
        <v>0</v>
      </c>
      <c r="S193" s="4">
        <v>0</v>
      </c>
      <c r="T193" s="4">
        <v>33</v>
      </c>
      <c r="U193" s="4">
        <v>84</v>
      </c>
      <c r="V193" s="6">
        <f>IF(ISERROR(VLOOKUP($S$193,'TAR FIN'!$A$1:$O$108,15,0)),0,VLOOKUP($S$193,'TAR FIN'!$A$1:$O$108,15,0))</f>
        <v>0</v>
      </c>
      <c r="W193" s="6">
        <f>IF(ISERROR(VLOOKUP($T$193,'TAR FIN'!$A$1:$O$108,15,0)),0,VLOOKUP($T$193,'TAR FIN'!$A$1:$O$108,15,0))</f>
        <v>377.18</v>
      </c>
      <c r="X193" s="6">
        <f>IF(ISERROR(VLOOKUP($U$193,'TAR FIN'!$A$1:$O$108,15,0)),0,VLOOKUP($U$193,'TAR FIN'!$A$1:$O$108,15,0))</f>
        <v>107.79</v>
      </c>
      <c r="Y193" s="6"/>
      <c r="Z19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3" s="6">
        <f>('TE BE'!$AB$20+'TE BF'!$AB$20+'TE CVA'!$AB$20)*(1-CUSTOS!$M$37)</f>
        <v>224.47961306175614</v>
      </c>
      <c r="AB193" s="6">
        <f t="shared" si="14"/>
        <v>0</v>
      </c>
      <c r="AC193" s="6">
        <f>(L193-M193)*(W193+X193)+($W$193+$X$193-$W$193-$X$193)*(L193)</f>
        <v>2.5532386871418567E-11</v>
      </c>
      <c r="AD193" s="6">
        <f t="shared" si="15"/>
        <v>0</v>
      </c>
      <c r="AE193" s="6">
        <f ca="1">(L193-M193)*(Z193+AA193)+($Z$193+$AA$193-$Z$193-$AA$193)*(L193)</f>
        <v>1.0212954748567427E-10</v>
      </c>
      <c r="AF193" s="4" t="s">
        <v>844</v>
      </c>
    </row>
    <row r="194" spans="1:32" ht="11.25" customHeight="1" x14ac:dyDescent="0.25">
      <c r="A194" s="4" t="s">
        <v>27</v>
      </c>
      <c r="B194" s="4" t="s">
        <v>22</v>
      </c>
      <c r="C194" s="4" t="s">
        <v>23</v>
      </c>
      <c r="D194" s="4" t="s">
        <v>24</v>
      </c>
      <c r="E194" s="4" t="s">
        <v>32</v>
      </c>
      <c r="F194" s="4" t="s">
        <v>25</v>
      </c>
      <c r="G194" s="4" t="s">
        <v>25</v>
      </c>
      <c r="H194" s="4" t="s">
        <v>25</v>
      </c>
      <c r="I194" s="5">
        <v>44531</v>
      </c>
      <c r="J194" s="6">
        <v>0</v>
      </c>
      <c r="K194" s="6">
        <v>0</v>
      </c>
      <c r="L194" s="6">
        <v>-12.752000000000001</v>
      </c>
      <c r="M194" s="6">
        <v>-12.752000000000001</v>
      </c>
      <c r="N194" s="6">
        <v>-12.752000000000001</v>
      </c>
      <c r="O194" s="6">
        <v>-12.752000000000001</v>
      </c>
      <c r="P194" s="6">
        <v>-62</v>
      </c>
      <c r="Q194" s="4" t="s">
        <v>26</v>
      </c>
      <c r="R194" s="4">
        <v>0</v>
      </c>
      <c r="S194" s="4">
        <v>0</v>
      </c>
      <c r="T194" s="4">
        <v>33</v>
      </c>
      <c r="U194" s="4">
        <v>84</v>
      </c>
      <c r="V194" s="6">
        <f>IF(ISERROR(VLOOKUP($S$194,'TAR FIN'!$A$1:$O$108,15,0)),0,VLOOKUP($S$194,'TAR FIN'!$A$1:$O$108,15,0))</f>
        <v>0</v>
      </c>
      <c r="W194" s="6">
        <f>IF(ISERROR(VLOOKUP($T$194,'TAR FIN'!$A$1:$O$108,15,0)),0,VLOOKUP($T$194,'TAR FIN'!$A$1:$O$108,15,0))</f>
        <v>377.18</v>
      </c>
      <c r="X194" s="6">
        <f>IF(ISERROR(VLOOKUP($U$194,'TAR FIN'!$A$1:$O$108,15,0)),0,VLOOKUP($U$194,'TAR FIN'!$A$1:$O$108,15,0))</f>
        <v>107.79</v>
      </c>
      <c r="Y194" s="6"/>
      <c r="Z194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4" s="6">
        <f>('TE BE'!$AB$20+'TE BF'!$AB$20+'TE CVA'!$AB$20)*(1-CUSTOS!$M$37)</f>
        <v>224.47961306175614</v>
      </c>
      <c r="AB194" s="6">
        <f t="shared" ref="AB194:AB252" si="16">(J194-K194)*V194</f>
        <v>0</v>
      </c>
      <c r="AC194" s="6">
        <f>(L194-M194)*(W194+X194)+($W$193+$X$193-$W$194-$X$194)*(L194)</f>
        <v>-1.8121681932825596E-13</v>
      </c>
      <c r="AD194" s="6">
        <f t="shared" ref="AD194:AD252" si="17">(J194-K194)*Y194</f>
        <v>0</v>
      </c>
      <c r="AE194" s="6">
        <f ca="1">(L194-M194)*(Z194+AA194)+($Z$193+$AA$193-$Z$194-$AA$194)*(L194)</f>
        <v>-7.2486727731302384E-13</v>
      </c>
      <c r="AF194" s="4" t="s">
        <v>844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32</v>
      </c>
      <c r="F195" s="4" t="s">
        <v>25</v>
      </c>
      <c r="G195" s="4" t="s">
        <v>25</v>
      </c>
      <c r="H195" s="4" t="s">
        <v>25</v>
      </c>
      <c r="I195" s="5">
        <v>44562</v>
      </c>
      <c r="J195" s="6">
        <v>0</v>
      </c>
      <c r="K195" s="6">
        <v>0</v>
      </c>
      <c r="L195" s="6">
        <v>1846.6020000000001</v>
      </c>
      <c r="M195" s="6">
        <v>1846.6020000000001</v>
      </c>
      <c r="N195" s="6">
        <v>1846.6020000000001</v>
      </c>
      <c r="O195" s="6">
        <v>1846.6020000000001</v>
      </c>
      <c r="P195" s="6">
        <v>9123</v>
      </c>
      <c r="Q195" s="4" t="s">
        <v>26</v>
      </c>
      <c r="R195" s="4">
        <v>0</v>
      </c>
      <c r="S195" s="4">
        <v>0</v>
      </c>
      <c r="T195" s="4">
        <v>33</v>
      </c>
      <c r="U195" s="4">
        <v>84</v>
      </c>
      <c r="V195" s="6">
        <f>IF(ISERROR(VLOOKUP($S$195,'TAR FIN'!$A$1:$O$108,15,0)),0,VLOOKUP($S$195,'TAR FIN'!$A$1:$O$108,15,0))</f>
        <v>0</v>
      </c>
      <c r="W195" s="6">
        <f>IF(ISERROR(VLOOKUP($T$195,'TAR FIN'!$A$1:$O$108,15,0)),0,VLOOKUP($T$195,'TAR FIN'!$A$1:$O$108,15,0))</f>
        <v>377.18</v>
      </c>
      <c r="X195" s="6">
        <f>IF(ISERROR(VLOOKUP($U$195,'TAR FIN'!$A$1:$O$108,15,0)),0,VLOOKUP($U$195,'TAR FIN'!$A$1:$O$108,15,0))</f>
        <v>107.79</v>
      </c>
      <c r="Y195" s="6"/>
      <c r="Z195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5" s="6">
        <f>('TE BE'!$AB$20+'TE BF'!$AB$20+'TE CVA'!$AB$20)*(1-CUSTOS!$M$37)</f>
        <v>224.47961306175614</v>
      </c>
      <c r="AB195" s="6">
        <f t="shared" si="16"/>
        <v>0</v>
      </c>
      <c r="AC195" s="6">
        <f>(L195-M195)*(W195+X195)+($W$193+$X$193-$W$195-$X$195)*(L195)</f>
        <v>2.6241792738801452E-11</v>
      </c>
      <c r="AD195" s="6">
        <f t="shared" si="17"/>
        <v>0</v>
      </c>
      <c r="AE195" s="6">
        <f ca="1">(L195-M195)*(Z195+AA195)+($Z$193+$AA$193-$Z$195-$AA$195)*(L195)</f>
        <v>1.0496717095520581E-10</v>
      </c>
      <c r="AF195" s="4" t="s">
        <v>844</v>
      </c>
    </row>
    <row r="196" spans="1:32" ht="11.25" customHeight="1" x14ac:dyDescent="0.25">
      <c r="A196" s="4" t="s">
        <v>27</v>
      </c>
      <c r="B196" s="4" t="s">
        <v>22</v>
      </c>
      <c r="C196" s="4" t="s">
        <v>23</v>
      </c>
      <c r="D196" s="4" t="s">
        <v>24</v>
      </c>
      <c r="E196" s="4" t="s">
        <v>32</v>
      </c>
      <c r="F196" s="4" t="s">
        <v>25</v>
      </c>
      <c r="G196" s="4" t="s">
        <v>25</v>
      </c>
      <c r="H196" s="4" t="s">
        <v>25</v>
      </c>
      <c r="I196" s="5">
        <v>44562</v>
      </c>
      <c r="J196" s="6">
        <v>0</v>
      </c>
      <c r="K196" s="6">
        <v>0</v>
      </c>
      <c r="L196" s="6">
        <v>-55.451000000000001</v>
      </c>
      <c r="M196" s="6">
        <v>-55.451000000000001</v>
      </c>
      <c r="N196" s="6">
        <v>-55.451000000000001</v>
      </c>
      <c r="O196" s="6">
        <v>-55.451000000000001</v>
      </c>
      <c r="P196" s="6">
        <v>-99</v>
      </c>
      <c r="Q196" s="4" t="s">
        <v>26</v>
      </c>
      <c r="R196" s="4">
        <v>0</v>
      </c>
      <c r="S196" s="4">
        <v>0</v>
      </c>
      <c r="T196" s="4">
        <v>33</v>
      </c>
      <c r="U196" s="4">
        <v>84</v>
      </c>
      <c r="V196" s="6">
        <f>IF(ISERROR(VLOOKUP($S$196,'TAR FIN'!$A$1:$O$108,15,0)),0,VLOOKUP($S$196,'TAR FIN'!$A$1:$O$108,15,0))</f>
        <v>0</v>
      </c>
      <c r="W196" s="6">
        <f>IF(ISERROR(VLOOKUP($T$196,'TAR FIN'!$A$1:$O$108,15,0)),0,VLOOKUP($T$196,'TAR FIN'!$A$1:$O$108,15,0))</f>
        <v>377.18</v>
      </c>
      <c r="X196" s="6">
        <f>IF(ISERROR(VLOOKUP($U$196,'TAR FIN'!$A$1:$O$108,15,0)),0,VLOOKUP($U$196,'TAR FIN'!$A$1:$O$108,15,0))</f>
        <v>107.79</v>
      </c>
      <c r="Y196" s="6"/>
      <c r="Z196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6" s="6">
        <f>('TE BE'!$AB$20+'TE BF'!$AB$20+'TE CVA'!$AB$20)*(1-CUSTOS!$M$37)</f>
        <v>224.47961306175614</v>
      </c>
      <c r="AB196" s="6">
        <f t="shared" si="16"/>
        <v>0</v>
      </c>
      <c r="AC196" s="6">
        <f>(L196-M196)*(W196+X196)+($W$193+$X$193-$W$196-$X$196)*(L196)</f>
        <v>-7.8800610481266632E-13</v>
      </c>
      <c r="AD196" s="6">
        <f t="shared" si="17"/>
        <v>0</v>
      </c>
      <c r="AE196" s="6">
        <f ca="1">(L196-M196)*(Z196+AA196)+($Z$193+$AA$193-$Z$196-$AA$196)*(L196)</f>
        <v>-3.1520244192506653E-12</v>
      </c>
      <c r="AF196" s="4" t="s">
        <v>844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32</v>
      </c>
      <c r="F197" s="4" t="s">
        <v>25</v>
      </c>
      <c r="G197" s="4" t="s">
        <v>25</v>
      </c>
      <c r="H197" s="4" t="s">
        <v>25</v>
      </c>
      <c r="I197" s="5">
        <v>44593</v>
      </c>
      <c r="J197" s="6">
        <v>0</v>
      </c>
      <c r="K197" s="6">
        <v>0</v>
      </c>
      <c r="L197" s="6">
        <v>1427.7460000000001</v>
      </c>
      <c r="M197" s="6">
        <v>1427.7460000000001</v>
      </c>
      <c r="N197" s="6">
        <v>1427.7460000000001</v>
      </c>
      <c r="O197" s="6">
        <v>1427.7460000000001</v>
      </c>
      <c r="P197" s="6">
        <v>8158</v>
      </c>
      <c r="Q197" s="4" t="s">
        <v>26</v>
      </c>
      <c r="R197" s="4">
        <v>0</v>
      </c>
      <c r="S197" s="4">
        <v>0</v>
      </c>
      <c r="T197" s="4">
        <v>33</v>
      </c>
      <c r="U197" s="4">
        <v>84</v>
      </c>
      <c r="V197" s="6">
        <f>IF(ISERROR(VLOOKUP($S$197,'TAR FIN'!$A$1:$O$108,15,0)),0,VLOOKUP($S$197,'TAR FIN'!$A$1:$O$108,15,0))</f>
        <v>0</v>
      </c>
      <c r="W197" s="6">
        <f>IF(ISERROR(VLOOKUP($T$197,'TAR FIN'!$A$1:$O$108,15,0)),0,VLOOKUP($T$197,'TAR FIN'!$A$1:$O$108,15,0))</f>
        <v>377.18</v>
      </c>
      <c r="X197" s="6">
        <f>IF(ISERROR(VLOOKUP($U$197,'TAR FIN'!$A$1:$O$108,15,0)),0,VLOOKUP($U$197,'TAR FIN'!$A$1:$O$108,15,0))</f>
        <v>107.79</v>
      </c>
      <c r="Y197" s="6"/>
      <c r="Z197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7" s="6">
        <f>('TE BE'!$AB$20+'TE BF'!$AB$20+'TE CVA'!$AB$20)*(1-CUSTOS!$M$37)</f>
        <v>224.47961306175614</v>
      </c>
      <c r="AB197" s="6">
        <f t="shared" si="16"/>
        <v>0</v>
      </c>
      <c r="AC197" s="6">
        <f>(L197-M197)*(W197+X197)+($W$193+$X$193-$W$197-$X$197)*(L197)</f>
        <v>2.0289490976210801E-11</v>
      </c>
      <c r="AD197" s="6">
        <f t="shared" si="17"/>
        <v>0</v>
      </c>
      <c r="AE197" s="6">
        <f ca="1">(L197-M197)*(Z197+AA197)+($Z$193+$AA$193-$Z$197-$AA$197)*(L197)</f>
        <v>8.1157963904843205E-11</v>
      </c>
      <c r="AF197" s="4" t="s">
        <v>844</v>
      </c>
    </row>
    <row r="198" spans="1:32" ht="11.25" customHeight="1" x14ac:dyDescent="0.25">
      <c r="A198" s="4" t="s">
        <v>27</v>
      </c>
      <c r="B198" s="4" t="s">
        <v>22</v>
      </c>
      <c r="C198" s="4" t="s">
        <v>23</v>
      </c>
      <c r="D198" s="4" t="s">
        <v>24</v>
      </c>
      <c r="E198" s="4" t="s">
        <v>32</v>
      </c>
      <c r="F198" s="4" t="s">
        <v>25</v>
      </c>
      <c r="G198" s="4" t="s">
        <v>25</v>
      </c>
      <c r="H198" s="4" t="s">
        <v>25</v>
      </c>
      <c r="I198" s="5">
        <v>44593</v>
      </c>
      <c r="J198" s="6">
        <v>0</v>
      </c>
      <c r="K198" s="6">
        <v>0</v>
      </c>
      <c r="L198" s="6">
        <v>-59.71</v>
      </c>
      <c r="M198" s="6">
        <v>-59.71</v>
      </c>
      <c r="N198" s="6">
        <v>-59.71</v>
      </c>
      <c r="O198" s="6">
        <v>-59.71</v>
      </c>
      <c r="P198" s="6">
        <v>-81</v>
      </c>
      <c r="Q198" s="4" t="s">
        <v>26</v>
      </c>
      <c r="R198" s="4">
        <v>0</v>
      </c>
      <c r="S198" s="4">
        <v>0</v>
      </c>
      <c r="T198" s="4">
        <v>33</v>
      </c>
      <c r="U198" s="4">
        <v>84</v>
      </c>
      <c r="V198" s="6">
        <f>IF(ISERROR(VLOOKUP($S$198,'TAR FIN'!$A$1:$O$108,15,0)),0,VLOOKUP($S$198,'TAR FIN'!$A$1:$O$108,15,0))</f>
        <v>0</v>
      </c>
      <c r="W198" s="6">
        <f>IF(ISERROR(VLOOKUP($T$198,'TAR FIN'!$A$1:$O$108,15,0)),0,VLOOKUP($T$198,'TAR FIN'!$A$1:$O$108,15,0))</f>
        <v>377.18</v>
      </c>
      <c r="X198" s="6">
        <f>IF(ISERROR(VLOOKUP($U$198,'TAR FIN'!$A$1:$O$108,15,0)),0,VLOOKUP($U$198,'TAR FIN'!$A$1:$O$108,15,0))</f>
        <v>107.79</v>
      </c>
      <c r="Y198" s="6"/>
      <c r="Z198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8" s="6">
        <f>('TE BE'!$AB$20+'TE BF'!$AB$20+'TE CVA'!$AB$20)*(1-CUSTOS!$M$37)</f>
        <v>224.47961306175614</v>
      </c>
      <c r="AB198" s="6">
        <f t="shared" si="16"/>
        <v>0</v>
      </c>
      <c r="AC198" s="6">
        <f>(L198-M198)*(W198+X198)+($W$193+$X$193-$W$198-$X$198)*(L198)</f>
        <v>-8.4853013504471165E-13</v>
      </c>
      <c r="AD198" s="6">
        <f t="shared" si="17"/>
        <v>0</v>
      </c>
      <c r="AE198" s="6">
        <f ca="1">(L198-M198)*(Z198+AA198)+($Z$193+$AA$193-$Z$198-$AA$198)*(L198)</f>
        <v>-3.3941205401788466E-12</v>
      </c>
      <c r="AF198" s="4" t="s">
        <v>844</v>
      </c>
    </row>
    <row r="199" spans="1:32" ht="11.25" customHeight="1" x14ac:dyDescent="0.2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32</v>
      </c>
      <c r="F199" s="4" t="s">
        <v>25</v>
      </c>
      <c r="G199" s="4" t="s">
        <v>25</v>
      </c>
      <c r="H199" s="4" t="s">
        <v>25</v>
      </c>
      <c r="I199" s="5">
        <v>44621</v>
      </c>
      <c r="J199" s="6">
        <v>0</v>
      </c>
      <c r="K199" s="6">
        <v>0</v>
      </c>
      <c r="L199" s="6">
        <v>1669.0609999999999</v>
      </c>
      <c r="M199" s="6">
        <v>1669.0609999999999</v>
      </c>
      <c r="N199" s="6">
        <v>1669.0609999999999</v>
      </c>
      <c r="O199" s="6">
        <v>1669.0609999999999</v>
      </c>
      <c r="P199" s="6">
        <v>8976</v>
      </c>
      <c r="Q199" s="4" t="s">
        <v>26</v>
      </c>
      <c r="R199" s="4">
        <v>0</v>
      </c>
      <c r="S199" s="4">
        <v>0</v>
      </c>
      <c r="T199" s="4">
        <v>33</v>
      </c>
      <c r="U199" s="4">
        <v>84</v>
      </c>
      <c r="V199" s="6">
        <f>IF(ISERROR(VLOOKUP($S$199,'TAR FIN'!$A$1:$O$108,15,0)),0,VLOOKUP($S$199,'TAR FIN'!$A$1:$O$108,15,0))</f>
        <v>0</v>
      </c>
      <c r="W199" s="6">
        <f>IF(ISERROR(VLOOKUP($T$199,'TAR FIN'!$A$1:$O$108,15,0)),0,VLOOKUP($T$199,'TAR FIN'!$A$1:$O$108,15,0))</f>
        <v>377.18</v>
      </c>
      <c r="X199" s="6">
        <f>IF(ISERROR(VLOOKUP($U$199,'TAR FIN'!$A$1:$O$108,15,0)),0,VLOOKUP($U$199,'TAR FIN'!$A$1:$O$108,15,0))</f>
        <v>107.79</v>
      </c>
      <c r="Y199" s="6"/>
      <c r="Z199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199" s="6">
        <f>('TE BE'!$AB$20+'TE BF'!$AB$20+'TE CVA'!$AB$20)*(1-CUSTOS!$M$37)</f>
        <v>224.47961306175614</v>
      </c>
      <c r="AB199" s="6">
        <f t="shared" si="16"/>
        <v>0</v>
      </c>
      <c r="AC199" s="6">
        <f>(L199-M199)*(W199+X199)+($W$193+$X$193-$W$199-$X$199)*(L199)</f>
        <v>2.371878338180977E-11</v>
      </c>
      <c r="AD199" s="6">
        <f t="shared" si="17"/>
        <v>0</v>
      </c>
      <c r="AE199" s="6">
        <f ca="1">(L199-M199)*(Z199+AA199)+($Z$193+$AA$193-$Z$199-$AA$199)*(L199)</f>
        <v>9.4875133527239082E-11</v>
      </c>
      <c r="AF199" s="4" t="s">
        <v>844</v>
      </c>
    </row>
    <row r="200" spans="1:32" ht="11.25" customHeight="1" x14ac:dyDescent="0.25">
      <c r="A200" s="4" t="s">
        <v>27</v>
      </c>
      <c r="B200" s="4" t="s">
        <v>22</v>
      </c>
      <c r="C200" s="4" t="s">
        <v>23</v>
      </c>
      <c r="D200" s="4" t="s">
        <v>24</v>
      </c>
      <c r="E200" s="4" t="s">
        <v>32</v>
      </c>
      <c r="F200" s="4" t="s">
        <v>25</v>
      </c>
      <c r="G200" s="4" t="s">
        <v>25</v>
      </c>
      <c r="H200" s="4" t="s">
        <v>25</v>
      </c>
      <c r="I200" s="5">
        <v>44621</v>
      </c>
      <c r="J200" s="6">
        <v>0</v>
      </c>
      <c r="K200" s="6">
        <v>0</v>
      </c>
      <c r="L200" s="6">
        <v>-164.14400000000001</v>
      </c>
      <c r="M200" s="6">
        <v>-164.14400000000001</v>
      </c>
      <c r="N200" s="6">
        <v>-164.14400000000001</v>
      </c>
      <c r="O200" s="6">
        <v>-164.14400000000001</v>
      </c>
      <c r="P200" s="6">
        <v>-127</v>
      </c>
      <c r="Q200" s="4" t="s">
        <v>26</v>
      </c>
      <c r="R200" s="4">
        <v>0</v>
      </c>
      <c r="S200" s="4">
        <v>0</v>
      </c>
      <c r="T200" s="4">
        <v>33</v>
      </c>
      <c r="U200" s="4">
        <v>84</v>
      </c>
      <c r="V200" s="6">
        <f>IF(ISERROR(VLOOKUP($S$200,'TAR FIN'!$A$1:$O$108,15,0)),0,VLOOKUP($S$200,'TAR FIN'!$A$1:$O$108,15,0))</f>
        <v>0</v>
      </c>
      <c r="W200" s="6">
        <f>IF(ISERROR(VLOOKUP($T$200,'TAR FIN'!$A$1:$O$108,15,0)),0,VLOOKUP($T$200,'TAR FIN'!$A$1:$O$108,15,0))</f>
        <v>377.18</v>
      </c>
      <c r="X200" s="6">
        <f>IF(ISERROR(VLOOKUP($U$200,'TAR FIN'!$A$1:$O$108,15,0)),0,VLOOKUP($U$200,'TAR FIN'!$A$1:$O$108,15,0))</f>
        <v>107.79</v>
      </c>
      <c r="Y200" s="6"/>
      <c r="Z200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0" s="6">
        <f>('TE BE'!$AB$20+'TE BF'!$AB$20+'TE CVA'!$AB$20)*(1-CUSTOS!$M$37)</f>
        <v>224.47961306175614</v>
      </c>
      <c r="AB200" s="6">
        <f t="shared" si="16"/>
        <v>0</v>
      </c>
      <c r="AC200" s="6">
        <f>(L200-M200)*(W200+X200)+($W$193+$X$193-$W$200-$X$200)*(L200)</f>
        <v>-2.3326265363721178E-12</v>
      </c>
      <c r="AD200" s="6">
        <f t="shared" si="17"/>
        <v>0</v>
      </c>
      <c r="AE200" s="6">
        <f ca="1">(L200-M200)*(Z200+AA200)+($Z$193+$AA$193-$Z$200-$AA$200)*(L200)</f>
        <v>-9.3305061454884711E-12</v>
      </c>
      <c r="AF200" s="4" t="s">
        <v>844</v>
      </c>
    </row>
    <row r="201" spans="1:32" ht="11.25" customHeight="1" x14ac:dyDescent="0.25">
      <c r="A201" s="4" t="s">
        <v>21</v>
      </c>
      <c r="B201" s="4" t="s">
        <v>22</v>
      </c>
      <c r="C201" s="4" t="s">
        <v>23</v>
      </c>
      <c r="D201" s="4" t="s">
        <v>24</v>
      </c>
      <c r="E201" s="4" t="s">
        <v>32</v>
      </c>
      <c r="F201" s="4" t="s">
        <v>25</v>
      </c>
      <c r="G201" s="4" t="s">
        <v>25</v>
      </c>
      <c r="H201" s="4" t="s">
        <v>25</v>
      </c>
      <c r="I201" s="5">
        <v>44652</v>
      </c>
      <c r="J201" s="6">
        <v>0</v>
      </c>
      <c r="K201" s="6">
        <v>0</v>
      </c>
      <c r="L201" s="6">
        <v>1654.9190000000001</v>
      </c>
      <c r="M201" s="6">
        <v>1654.9190000000001</v>
      </c>
      <c r="N201" s="6">
        <v>1654.9190000000001</v>
      </c>
      <c r="O201" s="6">
        <v>1654.9190000000001</v>
      </c>
      <c r="P201" s="6">
        <v>9165</v>
      </c>
      <c r="Q201" s="4" t="s">
        <v>26</v>
      </c>
      <c r="R201" s="4">
        <v>0</v>
      </c>
      <c r="S201" s="4">
        <v>0</v>
      </c>
      <c r="T201" s="4">
        <v>33</v>
      </c>
      <c r="U201" s="4">
        <v>84</v>
      </c>
      <c r="V201" s="6">
        <f>IF(ISERROR(VLOOKUP($S$201,'TAR FIN'!$A$1:$O$108,15,0)),0,VLOOKUP($S$201,'TAR FIN'!$A$1:$O$108,15,0))</f>
        <v>0</v>
      </c>
      <c r="W201" s="6">
        <f>IF(ISERROR(VLOOKUP($T$201,'TAR FIN'!$A$1:$O$108,15,0)),0,VLOOKUP($T$201,'TAR FIN'!$A$1:$O$108,15,0))</f>
        <v>377.18</v>
      </c>
      <c r="X201" s="6">
        <f>IF(ISERROR(VLOOKUP($U$201,'TAR FIN'!$A$1:$O$108,15,0)),0,VLOOKUP($U$201,'TAR FIN'!$A$1:$O$108,15,0))</f>
        <v>107.79</v>
      </c>
      <c r="Y201" s="6"/>
      <c r="Z201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1" s="6">
        <f>('TE BE'!$AB$20+'TE BF'!$AB$20+'TE CVA'!$AB$20)*(1-CUSTOS!$M$37)</f>
        <v>224.47961306175614</v>
      </c>
      <c r="AB201" s="6">
        <f t="shared" si="16"/>
        <v>0</v>
      </c>
      <c r="AC201" s="6">
        <f>(L201-M201)*(W201+X201)+($W$193+$X$193-$W$201-$X$201)*(L201)</f>
        <v>2.3517813474427386E-11</v>
      </c>
      <c r="AD201" s="6">
        <f t="shared" si="17"/>
        <v>0</v>
      </c>
      <c r="AE201" s="6">
        <f ca="1">(L201-M201)*(Z201+AA201)+($Z$193+$AA$193-$Z$201-$AA$201)*(L201)</f>
        <v>9.4071253897709545E-11</v>
      </c>
      <c r="AF201" s="4" t="s">
        <v>844</v>
      </c>
    </row>
    <row r="202" spans="1:32" ht="11.25" customHeight="1" x14ac:dyDescent="0.25">
      <c r="A202" s="4" t="s">
        <v>27</v>
      </c>
      <c r="B202" s="4" t="s">
        <v>22</v>
      </c>
      <c r="C202" s="4" t="s">
        <v>23</v>
      </c>
      <c r="D202" s="4" t="s">
        <v>24</v>
      </c>
      <c r="E202" s="4" t="s">
        <v>32</v>
      </c>
      <c r="F202" s="4" t="s">
        <v>25</v>
      </c>
      <c r="G202" s="4" t="s">
        <v>25</v>
      </c>
      <c r="H202" s="4" t="s">
        <v>25</v>
      </c>
      <c r="I202" s="5">
        <v>44652</v>
      </c>
      <c r="J202" s="6">
        <v>0</v>
      </c>
      <c r="K202" s="6">
        <v>0</v>
      </c>
      <c r="L202" s="6">
        <v>-69.838999999999999</v>
      </c>
      <c r="M202" s="6">
        <v>-69.838999999999999</v>
      </c>
      <c r="N202" s="6">
        <v>-69.838999999999999</v>
      </c>
      <c r="O202" s="6">
        <v>-69.838999999999999</v>
      </c>
      <c r="P202" s="6">
        <v>-174</v>
      </c>
      <c r="Q202" s="4" t="s">
        <v>26</v>
      </c>
      <c r="R202" s="4">
        <v>0</v>
      </c>
      <c r="S202" s="4">
        <v>0</v>
      </c>
      <c r="T202" s="4">
        <v>33</v>
      </c>
      <c r="U202" s="4">
        <v>84</v>
      </c>
      <c r="V202" s="6">
        <f>IF(ISERROR(VLOOKUP($S$202,'TAR FIN'!$A$1:$O$108,15,0)),0,VLOOKUP($S$202,'TAR FIN'!$A$1:$O$108,15,0))</f>
        <v>0</v>
      </c>
      <c r="W202" s="6">
        <f>IF(ISERROR(VLOOKUP($T$202,'TAR FIN'!$A$1:$O$108,15,0)),0,VLOOKUP($T$202,'TAR FIN'!$A$1:$O$108,15,0))</f>
        <v>377.18</v>
      </c>
      <c r="X202" s="6">
        <f>IF(ISERROR(VLOOKUP($U$202,'TAR FIN'!$A$1:$O$108,15,0)),0,VLOOKUP($U$202,'TAR FIN'!$A$1:$O$108,15,0))</f>
        <v>107.79</v>
      </c>
      <c r="Y202" s="6"/>
      <c r="Z202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2" s="6">
        <f>('TE BE'!$AB$20+'TE BF'!$AB$20+'TE CVA'!$AB$20)*(1-CUSTOS!$M$37)</f>
        <v>224.47961306175614</v>
      </c>
      <c r="AB202" s="6">
        <f t="shared" si="16"/>
        <v>0</v>
      </c>
      <c r="AC202" s="6">
        <f>(L202-M202)*(W202+X202)+($W$193+$X$193-$W$202-$X$202)*(L202)</f>
        <v>-9.9247188245499272E-13</v>
      </c>
      <c r="AD202" s="6">
        <f t="shared" si="17"/>
        <v>0</v>
      </c>
      <c r="AE202" s="6">
        <f ca="1">(L202-M202)*(Z202+AA202)+($Z$193+$AA$193-$Z$202-$AA$202)*(L202)</f>
        <v>-3.9698875298199709E-12</v>
      </c>
      <c r="AF202" s="4" t="s">
        <v>844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32</v>
      </c>
      <c r="F203" s="4" t="s">
        <v>25</v>
      </c>
      <c r="G203" s="4" t="s">
        <v>25</v>
      </c>
      <c r="H203" s="4" t="s">
        <v>25</v>
      </c>
      <c r="I203" s="5">
        <v>44682</v>
      </c>
      <c r="J203" s="6">
        <v>0</v>
      </c>
      <c r="K203" s="6">
        <v>0</v>
      </c>
      <c r="L203" s="6">
        <v>2099.8310000000001</v>
      </c>
      <c r="M203" s="6">
        <v>2099.8310000000001</v>
      </c>
      <c r="N203" s="6">
        <v>2099.8310000000001</v>
      </c>
      <c r="O203" s="6">
        <v>2099.8310000000001</v>
      </c>
      <c r="P203" s="6">
        <v>10220</v>
      </c>
      <c r="Q203" s="4" t="s">
        <v>26</v>
      </c>
      <c r="R203" s="4">
        <v>0</v>
      </c>
      <c r="S203" s="4">
        <v>0</v>
      </c>
      <c r="T203" s="4">
        <v>33</v>
      </c>
      <c r="U203" s="4">
        <v>84</v>
      </c>
      <c r="V203" s="6">
        <f>IF(ISERROR(VLOOKUP($S$203,'TAR FIN'!$A$1:$O$108,15,0)),0,VLOOKUP($S$203,'TAR FIN'!$A$1:$O$108,15,0))</f>
        <v>0</v>
      </c>
      <c r="W203" s="6">
        <f>IF(ISERROR(VLOOKUP($T$203,'TAR FIN'!$A$1:$O$108,15,0)),0,VLOOKUP($T$203,'TAR FIN'!$A$1:$O$108,15,0))</f>
        <v>377.18</v>
      </c>
      <c r="X203" s="6">
        <f>IF(ISERROR(VLOOKUP($U$203,'TAR FIN'!$A$1:$O$108,15,0)),0,VLOOKUP($U$203,'TAR FIN'!$A$1:$O$108,15,0))</f>
        <v>107.79</v>
      </c>
      <c r="Y203" s="6"/>
      <c r="Z20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3" s="6">
        <f>('TE BE'!$AB$20+'TE BF'!$AB$20+'TE CVA'!$AB$20)*(1-CUSTOS!$M$37)</f>
        <v>224.47961306175614</v>
      </c>
      <c r="AB203" s="6">
        <f t="shared" si="16"/>
        <v>0</v>
      </c>
      <c r="AC203" s="6">
        <f>(L203-M203)*(W203+X203)+($W$193+$X$193-$W$203-$X$203)*(L203)</f>
        <v>2.9840393267477341E-11</v>
      </c>
      <c r="AD203" s="6">
        <f t="shared" si="17"/>
        <v>0</v>
      </c>
      <c r="AE203" s="6">
        <f ca="1">(L203-M203)*(Z203+AA203)+($Z$193+$AA$193-$Z$203-$AA$203)*(L203)</f>
        <v>1.1936157306990936E-10</v>
      </c>
      <c r="AF203" s="4" t="s">
        <v>844</v>
      </c>
    </row>
    <row r="204" spans="1:32" ht="11.25" customHeight="1" x14ac:dyDescent="0.25">
      <c r="A204" s="4" t="s">
        <v>27</v>
      </c>
      <c r="B204" s="4" t="s">
        <v>22</v>
      </c>
      <c r="C204" s="4" t="s">
        <v>23</v>
      </c>
      <c r="D204" s="4" t="s">
        <v>24</v>
      </c>
      <c r="E204" s="4" t="s">
        <v>32</v>
      </c>
      <c r="F204" s="4" t="s">
        <v>25</v>
      </c>
      <c r="G204" s="4" t="s">
        <v>25</v>
      </c>
      <c r="H204" s="4" t="s">
        <v>25</v>
      </c>
      <c r="I204" s="5">
        <v>44682</v>
      </c>
      <c r="J204" s="6">
        <v>0</v>
      </c>
      <c r="K204" s="6">
        <v>0</v>
      </c>
      <c r="L204" s="6">
        <v>-39.298000000000002</v>
      </c>
      <c r="M204" s="6">
        <v>-39.298000000000002</v>
      </c>
      <c r="N204" s="6">
        <v>-39.298000000000002</v>
      </c>
      <c r="O204" s="6">
        <v>-39.298000000000002</v>
      </c>
      <c r="P204" s="6">
        <v>-100</v>
      </c>
      <c r="Q204" s="4" t="s">
        <v>26</v>
      </c>
      <c r="R204" s="4">
        <v>0</v>
      </c>
      <c r="S204" s="4">
        <v>0</v>
      </c>
      <c r="T204" s="4">
        <v>33</v>
      </c>
      <c r="U204" s="4">
        <v>84</v>
      </c>
      <c r="V204" s="6">
        <f>IF(ISERROR(VLOOKUP($S$204,'TAR FIN'!$A$1:$O$108,15,0)),0,VLOOKUP($S$204,'TAR FIN'!$A$1:$O$108,15,0))</f>
        <v>0</v>
      </c>
      <c r="W204" s="6">
        <f>IF(ISERROR(VLOOKUP($T$204,'TAR FIN'!$A$1:$O$108,15,0)),0,VLOOKUP($T$204,'TAR FIN'!$A$1:$O$108,15,0))</f>
        <v>377.18</v>
      </c>
      <c r="X204" s="6">
        <f>IF(ISERROR(VLOOKUP($U$204,'TAR FIN'!$A$1:$O$108,15,0)),0,VLOOKUP($U$204,'TAR FIN'!$A$1:$O$108,15,0))</f>
        <v>107.79</v>
      </c>
      <c r="Y204" s="6"/>
      <c r="Z204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4" s="6">
        <f>('TE BE'!$AB$20+'TE BF'!$AB$20+'TE CVA'!$AB$20)*(1-CUSTOS!$M$37)</f>
        <v>224.47961306175614</v>
      </c>
      <c r="AB204" s="6">
        <f t="shared" si="16"/>
        <v>0</v>
      </c>
      <c r="AC204" s="6">
        <f>(L204-M204)*(W204+X204)+($W$193+$X$193-$W$204-$X$204)*(L204)</f>
        <v>-5.5845816859800837E-13</v>
      </c>
      <c r="AD204" s="6">
        <f t="shared" si="17"/>
        <v>0</v>
      </c>
      <c r="AE204" s="6">
        <f ca="1">(L204-M204)*(Z204+AA204)+($Z$193+$AA$193-$Z$204-$AA$204)*(L204)</f>
        <v>-2.2338326743920335E-12</v>
      </c>
      <c r="AF204" s="4" t="s">
        <v>844</v>
      </c>
    </row>
    <row r="205" spans="1:32" ht="11.25" customHeight="1" x14ac:dyDescent="0.25">
      <c r="A205" s="4" t="s">
        <v>21</v>
      </c>
      <c r="B205" s="4" t="s">
        <v>22</v>
      </c>
      <c r="C205" s="4" t="s">
        <v>23</v>
      </c>
      <c r="D205" s="4" t="s">
        <v>24</v>
      </c>
      <c r="E205" s="4" t="s">
        <v>32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0</v>
      </c>
      <c r="K205" s="6">
        <v>0</v>
      </c>
      <c r="L205" s="6">
        <v>2218.1909999999998</v>
      </c>
      <c r="M205" s="6">
        <v>2218.1909999999998</v>
      </c>
      <c r="N205" s="6">
        <v>2218.1909999999998</v>
      </c>
      <c r="O205" s="6">
        <v>2218.1909999999998</v>
      </c>
      <c r="P205" s="6">
        <v>10963</v>
      </c>
      <c r="Q205" s="4" t="s">
        <v>26</v>
      </c>
      <c r="R205" s="4">
        <v>0</v>
      </c>
      <c r="S205" s="4">
        <v>0</v>
      </c>
      <c r="T205" s="4">
        <v>33</v>
      </c>
      <c r="U205" s="4">
        <v>84</v>
      </c>
      <c r="V205" s="6">
        <f>IF(ISERROR(VLOOKUP($S$205,'TAR FIN'!$A$1:$O$108,15,0)),0,VLOOKUP($S$205,'TAR FIN'!$A$1:$O$108,15,0))</f>
        <v>0</v>
      </c>
      <c r="W205" s="6">
        <f>IF(ISERROR(VLOOKUP($T$205,'TAR FIN'!$A$1:$O$108,15,0)),0,VLOOKUP($T$205,'TAR FIN'!$A$1:$O$108,15,0))</f>
        <v>377.18</v>
      </c>
      <c r="X205" s="6">
        <f>IF(ISERROR(VLOOKUP($U$205,'TAR FIN'!$A$1:$O$108,15,0)),0,VLOOKUP($U$205,'TAR FIN'!$A$1:$O$108,15,0))</f>
        <v>107.79</v>
      </c>
      <c r="Y205" s="6"/>
      <c r="Z205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5" s="6">
        <f>('TE BE'!$AB$20+'TE BF'!$AB$20+'TE CVA'!$AB$20)*(1-CUSTOS!$M$37)</f>
        <v>224.47961306175614</v>
      </c>
      <c r="AB205" s="6">
        <f t="shared" si="16"/>
        <v>0</v>
      </c>
      <c r="AC205" s="6">
        <f>(L205-M205)*(W205+X205)+($W$193+$X$193-$W$205-$X$205)*(L205)</f>
        <v>3.1522390031568645E-11</v>
      </c>
      <c r="AD205" s="6">
        <f t="shared" si="17"/>
        <v>0</v>
      </c>
      <c r="AE205" s="6">
        <f ca="1">(L205-M205)*(Z205+AA205)+($Z$193+$AA$193-$Z$205-$AA$205)*(L205)</f>
        <v>1.2608956012627458E-10</v>
      </c>
      <c r="AF205" s="4" t="s">
        <v>844</v>
      </c>
    </row>
    <row r="206" spans="1:32" ht="11.25" customHeight="1" x14ac:dyDescent="0.25">
      <c r="A206" s="4" t="s">
        <v>27</v>
      </c>
      <c r="B206" s="4" t="s">
        <v>22</v>
      </c>
      <c r="C206" s="4" t="s">
        <v>23</v>
      </c>
      <c r="D206" s="4" t="s">
        <v>24</v>
      </c>
      <c r="E206" s="4" t="s">
        <v>32</v>
      </c>
      <c r="F206" s="4" t="s">
        <v>25</v>
      </c>
      <c r="G206" s="4" t="s">
        <v>25</v>
      </c>
      <c r="H206" s="4" t="s">
        <v>25</v>
      </c>
      <c r="I206" s="5">
        <v>44713</v>
      </c>
      <c r="J206" s="6">
        <v>0</v>
      </c>
      <c r="K206" s="6">
        <v>0</v>
      </c>
      <c r="L206" s="6">
        <v>-16.390999999999998</v>
      </c>
      <c r="M206" s="6">
        <v>-16.390999999999998</v>
      </c>
      <c r="N206" s="6">
        <v>-16.390999999999998</v>
      </c>
      <c r="O206" s="6">
        <v>-16.390999999999998</v>
      </c>
      <c r="P206" s="6">
        <v>-38</v>
      </c>
      <c r="Q206" s="4" t="s">
        <v>26</v>
      </c>
      <c r="R206" s="4">
        <v>0</v>
      </c>
      <c r="S206" s="4">
        <v>0</v>
      </c>
      <c r="T206" s="4">
        <v>33</v>
      </c>
      <c r="U206" s="4">
        <v>84</v>
      </c>
      <c r="V206" s="6">
        <f>IF(ISERROR(VLOOKUP($S$206,'TAR FIN'!$A$1:$O$108,15,0)),0,VLOOKUP($S$206,'TAR FIN'!$A$1:$O$108,15,0))</f>
        <v>0</v>
      </c>
      <c r="W206" s="6">
        <f>IF(ISERROR(VLOOKUP($T$206,'TAR FIN'!$A$1:$O$108,15,0)),0,VLOOKUP($T$206,'TAR FIN'!$A$1:$O$108,15,0))</f>
        <v>377.18</v>
      </c>
      <c r="X206" s="6">
        <f>IF(ISERROR(VLOOKUP($U$206,'TAR FIN'!$A$1:$O$108,15,0)),0,VLOOKUP($U$206,'TAR FIN'!$A$1:$O$108,15,0))</f>
        <v>107.79</v>
      </c>
      <c r="Y206" s="6"/>
      <c r="Z206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6" s="6">
        <f>('TE BE'!$AB$20+'TE BF'!$AB$20+'TE CVA'!$AB$20)*(1-CUSTOS!$M$37)</f>
        <v>224.47961306175614</v>
      </c>
      <c r="AB206" s="6">
        <f t="shared" si="16"/>
        <v>0</v>
      </c>
      <c r="AC206" s="6">
        <f>(L206-M206)*(W206+X206)+($W$193+$X$193-$W$206-$X$206)*(L206)</f>
        <v>-2.3293011963687602E-13</v>
      </c>
      <c r="AD206" s="6">
        <f t="shared" si="17"/>
        <v>0</v>
      </c>
      <c r="AE206" s="6">
        <f ca="1">(L206-M206)*(Z206+AA206)+($Z$193+$AA$193-$Z$206-$AA$206)*(L206)</f>
        <v>-9.3172047854750407E-13</v>
      </c>
      <c r="AF206" s="4" t="s">
        <v>844</v>
      </c>
    </row>
    <row r="207" spans="1:32" ht="11.25" customHeight="1" x14ac:dyDescent="0.25">
      <c r="A207" s="4" t="s">
        <v>21</v>
      </c>
      <c r="B207" s="4" t="s">
        <v>22</v>
      </c>
      <c r="C207" s="4" t="s">
        <v>23</v>
      </c>
      <c r="D207" s="4" t="s">
        <v>24</v>
      </c>
      <c r="E207" s="4" t="s">
        <v>32</v>
      </c>
      <c r="F207" s="4" t="s">
        <v>25</v>
      </c>
      <c r="G207" s="4" t="s">
        <v>25</v>
      </c>
      <c r="H207" s="4" t="s">
        <v>25</v>
      </c>
      <c r="I207" s="5">
        <v>44743</v>
      </c>
      <c r="J207" s="6">
        <v>0</v>
      </c>
      <c r="K207" s="6">
        <v>0</v>
      </c>
      <c r="L207" s="6">
        <v>2324.4229999999998</v>
      </c>
      <c r="M207" s="6">
        <v>2324.4229999999998</v>
      </c>
      <c r="N207" s="6">
        <v>2324.4229999999998</v>
      </c>
      <c r="O207" s="6">
        <v>2324.4229999999998</v>
      </c>
      <c r="P207" s="6">
        <v>11246</v>
      </c>
      <c r="Q207" s="4" t="s">
        <v>26</v>
      </c>
      <c r="R207" s="4">
        <v>0</v>
      </c>
      <c r="S207" s="4">
        <v>0</v>
      </c>
      <c r="T207" s="4">
        <v>33</v>
      </c>
      <c r="U207" s="4">
        <v>84</v>
      </c>
      <c r="V207" s="6">
        <f>IF(ISERROR(VLOOKUP($S$207,'TAR FIN'!$A$1:$O$108,15,0)),0,VLOOKUP($S$207,'TAR FIN'!$A$1:$O$108,15,0))</f>
        <v>0</v>
      </c>
      <c r="W207" s="6">
        <f>IF(ISERROR(VLOOKUP($T$207,'TAR FIN'!$A$1:$O$108,15,0)),0,VLOOKUP($T$207,'TAR FIN'!$A$1:$O$108,15,0))</f>
        <v>377.18</v>
      </c>
      <c r="X207" s="6">
        <f>IF(ISERROR(VLOOKUP($U$207,'TAR FIN'!$A$1:$O$108,15,0)),0,VLOOKUP($U$207,'TAR FIN'!$A$1:$O$108,15,0))</f>
        <v>107.79</v>
      </c>
      <c r="Y207" s="6"/>
      <c r="Z207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7" s="6">
        <f>('TE BE'!$AB$20+'TE BF'!$AB$20+'TE CVA'!$AB$20)*(1-CUSTOS!$M$37)</f>
        <v>224.47961306175614</v>
      </c>
      <c r="AB207" s="6">
        <f t="shared" si="16"/>
        <v>0</v>
      </c>
      <c r="AC207" s="6">
        <f>(L207-M207)*(W207+X207)+($W$193+$X$193-$W$207-$X$207)*(L207)</f>
        <v>3.3032037549673984E-11</v>
      </c>
      <c r="AD207" s="6">
        <f t="shared" si="17"/>
        <v>0</v>
      </c>
      <c r="AE207" s="6">
        <f ca="1">(L207-M207)*(Z207+AA207)+($Z$193+$AA$193-$Z$207-$AA$207)*(L207)</f>
        <v>1.3212815019869594E-10</v>
      </c>
      <c r="AF207" s="4" t="s">
        <v>844</v>
      </c>
    </row>
    <row r="208" spans="1:32" ht="11.25" customHeight="1" x14ac:dyDescent="0.25">
      <c r="A208" s="4" t="s">
        <v>27</v>
      </c>
      <c r="B208" s="4" t="s">
        <v>22</v>
      </c>
      <c r="C208" s="4" t="s">
        <v>23</v>
      </c>
      <c r="D208" s="4" t="s">
        <v>24</v>
      </c>
      <c r="E208" s="4" t="s">
        <v>32</v>
      </c>
      <c r="F208" s="4" t="s">
        <v>25</v>
      </c>
      <c r="G208" s="4" t="s">
        <v>25</v>
      </c>
      <c r="H208" s="4" t="s">
        <v>25</v>
      </c>
      <c r="I208" s="5">
        <v>44743</v>
      </c>
      <c r="J208" s="6">
        <v>0</v>
      </c>
      <c r="K208" s="6">
        <v>0</v>
      </c>
      <c r="L208" s="6">
        <v>-36.485999999999997</v>
      </c>
      <c r="M208" s="6">
        <v>-36.485999999999997</v>
      </c>
      <c r="N208" s="6">
        <v>-36.485999999999997</v>
      </c>
      <c r="O208" s="6">
        <v>-36.485999999999997</v>
      </c>
      <c r="P208" s="6">
        <v>-37</v>
      </c>
      <c r="Q208" s="4" t="s">
        <v>26</v>
      </c>
      <c r="R208" s="4">
        <v>0</v>
      </c>
      <c r="S208" s="4">
        <v>0</v>
      </c>
      <c r="T208" s="4">
        <v>33</v>
      </c>
      <c r="U208" s="4">
        <v>84</v>
      </c>
      <c r="V208" s="6">
        <f>IF(ISERROR(VLOOKUP($S$208,'TAR FIN'!$A$1:$O$108,15,0)),0,VLOOKUP($S$208,'TAR FIN'!$A$1:$O$108,15,0))</f>
        <v>0</v>
      </c>
      <c r="W208" s="6">
        <f>IF(ISERROR(VLOOKUP($T$208,'TAR FIN'!$A$1:$O$108,15,0)),0,VLOOKUP($T$208,'TAR FIN'!$A$1:$O$108,15,0))</f>
        <v>377.18</v>
      </c>
      <c r="X208" s="6">
        <f>IF(ISERROR(VLOOKUP($U$208,'TAR FIN'!$A$1:$O$108,15,0)),0,VLOOKUP($U$208,'TAR FIN'!$A$1:$O$108,15,0))</f>
        <v>107.79</v>
      </c>
      <c r="Y208" s="6"/>
      <c r="Z208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8" s="6">
        <f>('TE BE'!$AB$20+'TE BF'!$AB$20+'TE CVA'!$AB$20)*(1-CUSTOS!$M$37)</f>
        <v>224.47961306175614</v>
      </c>
      <c r="AB208" s="6">
        <f t="shared" si="16"/>
        <v>0</v>
      </c>
      <c r="AC208" s="6">
        <f>(L208-M208)*(W208+X208)+($W$193+$X$193-$W$208-$X$208)*(L208)</f>
        <v>-5.1849724513886027E-13</v>
      </c>
      <c r="AD208" s="6">
        <f t="shared" si="17"/>
        <v>0</v>
      </c>
      <c r="AE208" s="6">
        <f ca="1">(L208-M208)*(Z208+AA208)+($Z$193+$AA$193-$Z$208-$AA$208)*(L208)</f>
        <v>-2.0739889805554411E-12</v>
      </c>
      <c r="AF208" s="4" t="s">
        <v>844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32</v>
      </c>
      <c r="F209" s="4" t="s">
        <v>25</v>
      </c>
      <c r="G209" s="4" t="s">
        <v>25</v>
      </c>
      <c r="H209" s="4" t="s">
        <v>25</v>
      </c>
      <c r="I209" s="5">
        <v>44774</v>
      </c>
      <c r="J209" s="6">
        <v>0</v>
      </c>
      <c r="K209" s="6">
        <v>0</v>
      </c>
      <c r="L209" s="6">
        <v>2751.3339999999998</v>
      </c>
      <c r="M209" s="6">
        <v>2751.3339999999998</v>
      </c>
      <c r="N209" s="6">
        <v>2751.3339999999998</v>
      </c>
      <c r="O209" s="6">
        <v>2751.3339999999998</v>
      </c>
      <c r="P209" s="6">
        <v>12752</v>
      </c>
      <c r="Q209" s="4" t="s">
        <v>26</v>
      </c>
      <c r="R209" s="4">
        <v>0</v>
      </c>
      <c r="S209" s="4">
        <v>0</v>
      </c>
      <c r="T209" s="4">
        <v>33</v>
      </c>
      <c r="U209" s="4">
        <v>84</v>
      </c>
      <c r="V209" s="6">
        <f>IF(ISERROR(VLOOKUP($S$209,'TAR FIN'!$A$1:$O$108,15,0)),0,VLOOKUP($S$209,'TAR FIN'!$A$1:$O$108,15,0))</f>
        <v>0</v>
      </c>
      <c r="W209" s="6">
        <f>IF(ISERROR(VLOOKUP($T$209,'TAR FIN'!$A$1:$O$108,15,0)),0,VLOOKUP($T$209,'TAR FIN'!$A$1:$O$108,15,0))</f>
        <v>377.18</v>
      </c>
      <c r="X209" s="6">
        <f>IF(ISERROR(VLOOKUP($U$209,'TAR FIN'!$A$1:$O$108,15,0)),0,VLOOKUP($U$209,'TAR FIN'!$A$1:$O$108,15,0))</f>
        <v>107.79</v>
      </c>
      <c r="Y209" s="6"/>
      <c r="Z209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09" s="6">
        <f>('TE BE'!$AB$20+'TE BF'!$AB$20+'TE CVA'!$AB$20)*(1-CUSTOS!$M$37)</f>
        <v>224.47961306175614</v>
      </c>
      <c r="AB209" s="6">
        <f t="shared" si="16"/>
        <v>0</v>
      </c>
      <c r="AC209" s="6">
        <f>(L209-M209)*(W209+X209)+($W$193+$X$193-$W$209-$X$209)*(L209)</f>
        <v>3.9098807746995587E-11</v>
      </c>
      <c r="AD209" s="6">
        <f t="shared" si="17"/>
        <v>0</v>
      </c>
      <c r="AE209" s="6">
        <f ca="1">(L209-M209)*(Z209+AA209)+($Z$193+$AA$193-$Z$209-$AA$209)*(L209)</f>
        <v>1.5639523098798235E-10</v>
      </c>
      <c r="AF209" s="4" t="s">
        <v>844</v>
      </c>
    </row>
    <row r="210" spans="1:32" ht="11.25" customHeight="1" x14ac:dyDescent="0.25">
      <c r="A210" s="4" t="s">
        <v>27</v>
      </c>
      <c r="B210" s="4" t="s">
        <v>22</v>
      </c>
      <c r="C210" s="4" t="s">
        <v>23</v>
      </c>
      <c r="D210" s="4" t="s">
        <v>24</v>
      </c>
      <c r="E210" s="4" t="s">
        <v>32</v>
      </c>
      <c r="F210" s="4" t="s">
        <v>25</v>
      </c>
      <c r="G210" s="4" t="s">
        <v>25</v>
      </c>
      <c r="H210" s="4" t="s">
        <v>25</v>
      </c>
      <c r="I210" s="5">
        <v>44774</v>
      </c>
      <c r="J210" s="6">
        <v>0</v>
      </c>
      <c r="K210" s="6">
        <v>0</v>
      </c>
      <c r="L210" s="6">
        <v>-76.405000000000001</v>
      </c>
      <c r="M210" s="6">
        <v>-76.405000000000001</v>
      </c>
      <c r="N210" s="6">
        <v>-76.405000000000001</v>
      </c>
      <c r="O210" s="6">
        <v>-76.405000000000001</v>
      </c>
      <c r="P210" s="6">
        <v>-98</v>
      </c>
      <c r="Q210" s="4" t="s">
        <v>26</v>
      </c>
      <c r="R210" s="4">
        <v>0</v>
      </c>
      <c r="S210" s="4">
        <v>0</v>
      </c>
      <c r="T210" s="4">
        <v>33</v>
      </c>
      <c r="U210" s="4">
        <v>84</v>
      </c>
      <c r="V210" s="6">
        <f>IF(ISERROR(VLOOKUP($S$210,'TAR FIN'!$A$1:$O$108,15,0)),0,VLOOKUP($S$210,'TAR FIN'!$A$1:$O$108,15,0))</f>
        <v>0</v>
      </c>
      <c r="W210" s="6">
        <f>IF(ISERROR(VLOOKUP($T$210,'TAR FIN'!$A$1:$O$108,15,0)),0,VLOOKUP($T$210,'TAR FIN'!$A$1:$O$108,15,0))</f>
        <v>377.18</v>
      </c>
      <c r="X210" s="6">
        <f>IF(ISERROR(VLOOKUP($U$210,'TAR FIN'!$A$1:$O$108,15,0)),0,VLOOKUP($U$210,'TAR FIN'!$A$1:$O$108,15,0))</f>
        <v>107.79</v>
      </c>
      <c r="Y210" s="6"/>
      <c r="Z210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0" s="6">
        <f>('TE BE'!$AB$20+'TE BF'!$AB$20+'TE CVA'!$AB$20)*(1-CUSTOS!$M$37)</f>
        <v>224.47961306175614</v>
      </c>
      <c r="AB210" s="6">
        <f t="shared" si="16"/>
        <v>0</v>
      </c>
      <c r="AC210" s="6">
        <f>(L210-M210)*(W210+X210)+($W$193+$X$193-$W$210-$X$210)*(L210)</f>
        <v>-1.0857803545150091E-12</v>
      </c>
      <c r="AD210" s="6">
        <f t="shared" si="17"/>
        <v>0</v>
      </c>
      <c r="AE210" s="6">
        <f ca="1">(L210-M210)*(Z210+AA210)+($Z$193+$AA$193-$Z$210-$AA$210)*(L210)</f>
        <v>-4.3431214180600364E-12</v>
      </c>
      <c r="AF210" s="4" t="s">
        <v>844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32</v>
      </c>
      <c r="F211" s="4" t="s">
        <v>25</v>
      </c>
      <c r="G211" s="4" t="s">
        <v>25</v>
      </c>
      <c r="H211" s="4" t="s">
        <v>25</v>
      </c>
      <c r="I211" s="5">
        <v>44805</v>
      </c>
      <c r="J211" s="6">
        <v>0</v>
      </c>
      <c r="K211" s="6">
        <v>0</v>
      </c>
      <c r="L211" s="6">
        <v>3566.9639999999999</v>
      </c>
      <c r="M211" s="6">
        <v>3566.9639999999999</v>
      </c>
      <c r="N211" s="6">
        <v>3566.9639999999999</v>
      </c>
      <c r="O211" s="6">
        <v>3566.9639999999999</v>
      </c>
      <c r="P211" s="6">
        <v>15120</v>
      </c>
      <c r="Q211" s="4" t="s">
        <v>26</v>
      </c>
      <c r="R211" s="4">
        <v>0</v>
      </c>
      <c r="S211" s="4">
        <v>0</v>
      </c>
      <c r="T211" s="4">
        <v>33</v>
      </c>
      <c r="U211" s="4">
        <v>84</v>
      </c>
      <c r="V211" s="6">
        <f>IF(ISERROR(VLOOKUP($S$211,'TAR FIN'!$A$1:$O$108,15,0)),0,VLOOKUP($S$211,'TAR FIN'!$A$1:$O$108,15,0))</f>
        <v>0</v>
      </c>
      <c r="W211" s="6">
        <f>IF(ISERROR(VLOOKUP($T$211,'TAR FIN'!$A$1:$O$108,15,0)),0,VLOOKUP($T$211,'TAR FIN'!$A$1:$O$108,15,0))</f>
        <v>377.18</v>
      </c>
      <c r="X211" s="6">
        <f>IF(ISERROR(VLOOKUP($U$211,'TAR FIN'!$A$1:$O$108,15,0)),0,VLOOKUP($U$211,'TAR FIN'!$A$1:$O$108,15,0))</f>
        <v>107.79</v>
      </c>
      <c r="Y211" s="6"/>
      <c r="Z211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1" s="6">
        <f>('TE BE'!$AB$20+'TE BF'!$AB$20+'TE CVA'!$AB$20)*(1-CUSTOS!$M$37)</f>
        <v>224.47961306175614</v>
      </c>
      <c r="AB211" s="6">
        <f t="shared" si="16"/>
        <v>0</v>
      </c>
      <c r="AC211" s="6">
        <f>(L211-M211)*(W211+X211)+($W$193+$X$193-$W$211-$X$211)*(L211)</f>
        <v>5.0689607178355799E-11</v>
      </c>
      <c r="AD211" s="6">
        <f t="shared" si="17"/>
        <v>0</v>
      </c>
      <c r="AE211" s="6">
        <f ca="1">(L211-M211)*(Z211+AA211)+($Z$193+$AA$193-$Z$211-$AA$211)*(L211)</f>
        <v>2.027584287134232E-10</v>
      </c>
      <c r="AF211" s="4" t="s">
        <v>844</v>
      </c>
    </row>
    <row r="212" spans="1:32" ht="11.25" customHeight="1" x14ac:dyDescent="0.25">
      <c r="A212" s="4" t="s">
        <v>27</v>
      </c>
      <c r="B212" s="4" t="s">
        <v>22</v>
      </c>
      <c r="C212" s="4" t="s">
        <v>23</v>
      </c>
      <c r="D212" s="4" t="s">
        <v>24</v>
      </c>
      <c r="E212" s="4" t="s">
        <v>32</v>
      </c>
      <c r="F212" s="4" t="s">
        <v>25</v>
      </c>
      <c r="G212" s="4" t="s">
        <v>25</v>
      </c>
      <c r="H212" s="4" t="s">
        <v>25</v>
      </c>
      <c r="I212" s="5">
        <v>44805</v>
      </c>
      <c r="J212" s="6">
        <v>0</v>
      </c>
      <c r="K212" s="6">
        <v>0</v>
      </c>
      <c r="L212" s="6">
        <v>-29.074000000000002</v>
      </c>
      <c r="M212" s="6">
        <v>-29.074000000000002</v>
      </c>
      <c r="N212" s="6">
        <v>-29.074000000000002</v>
      </c>
      <c r="O212" s="6">
        <v>-29.074000000000002</v>
      </c>
      <c r="P212" s="6">
        <v>-53</v>
      </c>
      <c r="Q212" s="4" t="s">
        <v>26</v>
      </c>
      <c r="R212" s="4">
        <v>0</v>
      </c>
      <c r="S212" s="4">
        <v>0</v>
      </c>
      <c r="T212" s="4">
        <v>33</v>
      </c>
      <c r="U212" s="4">
        <v>84</v>
      </c>
      <c r="V212" s="6">
        <f>IF(ISERROR(VLOOKUP($S$212,'TAR FIN'!$A$1:$O$108,15,0)),0,VLOOKUP($S$212,'TAR FIN'!$A$1:$O$108,15,0))</f>
        <v>0</v>
      </c>
      <c r="W212" s="6">
        <f>IF(ISERROR(VLOOKUP($T$212,'TAR FIN'!$A$1:$O$108,15,0)),0,VLOOKUP($T$212,'TAR FIN'!$A$1:$O$108,15,0))</f>
        <v>377.18</v>
      </c>
      <c r="X212" s="6">
        <f>IF(ISERROR(VLOOKUP($U$212,'TAR FIN'!$A$1:$O$108,15,0)),0,VLOOKUP($U$212,'TAR FIN'!$A$1:$O$108,15,0))</f>
        <v>107.79</v>
      </c>
      <c r="Y212" s="6"/>
      <c r="Z212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2" s="6">
        <f>('TE BE'!$AB$20+'TE BF'!$AB$20+'TE CVA'!$AB$20)*(1-CUSTOS!$M$37)</f>
        <v>224.47961306175614</v>
      </c>
      <c r="AB212" s="6">
        <f t="shared" si="16"/>
        <v>0</v>
      </c>
      <c r="AC212" s="6">
        <f>(L212-M212)*(W212+X212)+($W$193+$X$193-$W$212-$X$212)*(L212)</f>
        <v>-4.1316638998978308E-13</v>
      </c>
      <c r="AD212" s="6">
        <f t="shared" si="17"/>
        <v>0</v>
      </c>
      <c r="AE212" s="6">
        <f ca="1">(L212-M212)*(Z212+AA212)+($Z$193+$AA$193-$Z$212-$AA$212)*(L212)</f>
        <v>-1.6526655599591323E-12</v>
      </c>
      <c r="AF212" s="4" t="s">
        <v>844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32</v>
      </c>
      <c r="F213" s="4" t="s">
        <v>25</v>
      </c>
      <c r="G213" s="4" t="s">
        <v>25</v>
      </c>
      <c r="H213" s="4" t="s">
        <v>25</v>
      </c>
      <c r="I213" s="5">
        <v>44835</v>
      </c>
      <c r="J213" s="6">
        <v>0</v>
      </c>
      <c r="K213" s="6">
        <v>0</v>
      </c>
      <c r="L213" s="6">
        <v>4809.5410000000002</v>
      </c>
      <c r="M213" s="6">
        <v>4809.5410000000002</v>
      </c>
      <c r="N213" s="6">
        <v>4809.5410000000002</v>
      </c>
      <c r="O213" s="6">
        <v>4809.5410000000002</v>
      </c>
      <c r="P213" s="6">
        <v>19336</v>
      </c>
      <c r="Q213" s="4" t="s">
        <v>26</v>
      </c>
      <c r="R213" s="4">
        <v>0</v>
      </c>
      <c r="S213" s="4">
        <v>0</v>
      </c>
      <c r="T213" s="4">
        <v>33</v>
      </c>
      <c r="U213" s="4">
        <v>84</v>
      </c>
      <c r="V213" s="6">
        <f>IF(ISERROR(VLOOKUP($S$213,'TAR FIN'!$A$1:$O$108,15,0)),0,VLOOKUP($S$213,'TAR FIN'!$A$1:$O$108,15,0))</f>
        <v>0</v>
      </c>
      <c r="W213" s="6">
        <f>IF(ISERROR(VLOOKUP($T$213,'TAR FIN'!$A$1:$O$108,15,0)),0,VLOOKUP($T$213,'TAR FIN'!$A$1:$O$108,15,0))</f>
        <v>377.18</v>
      </c>
      <c r="X213" s="6">
        <f>IF(ISERROR(VLOOKUP($U$213,'TAR FIN'!$A$1:$O$108,15,0)),0,VLOOKUP($U$213,'TAR FIN'!$A$1:$O$108,15,0))</f>
        <v>107.79</v>
      </c>
      <c r="Y213" s="6"/>
      <c r="Z213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3" s="6">
        <f>('TE BE'!$AB$20+'TE BF'!$AB$20+'TE CVA'!$AB$20)*(1-CUSTOS!$M$37)</f>
        <v>224.47961306175614</v>
      </c>
      <c r="AB213" s="6">
        <f t="shared" si="16"/>
        <v>0</v>
      </c>
      <c r="AC213" s="6">
        <f>(L213-M213)*(W213+X213)+($W$193+$X$193-$W$213-$X$213)*(L213)</f>
        <v>6.8347688397807363E-11</v>
      </c>
      <c r="AD213" s="6">
        <f t="shared" si="17"/>
        <v>0</v>
      </c>
      <c r="AE213" s="6">
        <f ca="1">(L213-M213)*(Z213+AA213)+($Z$193+$AA$193-$Z$213-$AA$213)*(L213)</f>
        <v>2.7339075359122945E-10</v>
      </c>
      <c r="AF213" s="4" t="s">
        <v>844</v>
      </c>
    </row>
    <row r="214" spans="1:32" ht="11.25" customHeight="1" x14ac:dyDescent="0.25">
      <c r="A214" s="4" t="s">
        <v>27</v>
      </c>
      <c r="B214" s="4" t="s">
        <v>22</v>
      </c>
      <c r="C214" s="4" t="s">
        <v>23</v>
      </c>
      <c r="D214" s="4" t="s">
        <v>24</v>
      </c>
      <c r="E214" s="4" t="s">
        <v>32</v>
      </c>
      <c r="F214" s="4" t="s">
        <v>25</v>
      </c>
      <c r="G214" s="4" t="s">
        <v>25</v>
      </c>
      <c r="H214" s="4" t="s">
        <v>25</v>
      </c>
      <c r="I214" s="5">
        <v>44835</v>
      </c>
      <c r="J214" s="6">
        <v>0</v>
      </c>
      <c r="K214" s="6">
        <v>0</v>
      </c>
      <c r="L214" s="6">
        <v>-22.074000000000002</v>
      </c>
      <c r="M214" s="6">
        <v>-22.074000000000002</v>
      </c>
      <c r="N214" s="6">
        <v>-22.074000000000002</v>
      </c>
      <c r="O214" s="6">
        <v>-22.074000000000002</v>
      </c>
      <c r="P214" s="6">
        <v>-53</v>
      </c>
      <c r="Q214" s="4" t="s">
        <v>26</v>
      </c>
      <c r="R214" s="4">
        <v>0</v>
      </c>
      <c r="S214" s="4">
        <v>0</v>
      </c>
      <c r="T214" s="4">
        <v>33</v>
      </c>
      <c r="U214" s="4">
        <v>84</v>
      </c>
      <c r="V214" s="6">
        <f>IF(ISERROR(VLOOKUP($S$214,'TAR FIN'!$A$1:$O$108,15,0)),0,VLOOKUP($S$214,'TAR FIN'!$A$1:$O$108,15,0))</f>
        <v>0</v>
      </c>
      <c r="W214" s="6">
        <f>IF(ISERROR(VLOOKUP($T$214,'TAR FIN'!$A$1:$O$108,15,0)),0,VLOOKUP($T$214,'TAR FIN'!$A$1:$O$108,15,0))</f>
        <v>377.18</v>
      </c>
      <c r="X214" s="6">
        <f>IF(ISERROR(VLOOKUP($U$214,'TAR FIN'!$A$1:$O$108,15,0)),0,VLOOKUP($U$214,'TAR FIN'!$A$1:$O$108,15,0))</f>
        <v>107.79</v>
      </c>
      <c r="Y214" s="6"/>
      <c r="Z214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4" s="6">
        <f>('TE BE'!$AB$20+'TE BF'!$AB$20+'TE CVA'!$AB$20)*(1-CUSTOS!$M$37)</f>
        <v>224.47961306175614</v>
      </c>
      <c r="AB214" s="6">
        <f t="shared" si="16"/>
        <v>0</v>
      </c>
      <c r="AC214" s="6">
        <f>(L214-M214)*(W214+X214)+($W$193+$X$193-$W$214-$X$214)*(L214)</f>
        <v>-3.1369040698336905E-13</v>
      </c>
      <c r="AD214" s="6">
        <f t="shared" si="17"/>
        <v>0</v>
      </c>
      <c r="AE214" s="6">
        <f ca="1">(L214-M214)*(Z214+AA214)+($Z$193+$AA$193-$Z$214-$AA$214)*(L214)</f>
        <v>-1.2547616279334762E-12</v>
      </c>
      <c r="AF214" s="4" t="s">
        <v>844</v>
      </c>
    </row>
    <row r="215" spans="1:32" ht="11.25" customHeight="1" x14ac:dyDescent="0.25">
      <c r="A215" s="4" t="s">
        <v>54</v>
      </c>
      <c r="B215" s="4" t="s">
        <v>22</v>
      </c>
      <c r="C215" s="4" t="s">
        <v>23</v>
      </c>
      <c r="D215" s="4" t="s">
        <v>24</v>
      </c>
      <c r="E215" s="4" t="s">
        <v>32</v>
      </c>
      <c r="F215" s="4" t="s">
        <v>25</v>
      </c>
      <c r="G215" s="4" t="s">
        <v>25</v>
      </c>
      <c r="H215" s="4" t="s">
        <v>25</v>
      </c>
      <c r="I215" s="5">
        <v>44866</v>
      </c>
      <c r="J215" s="6">
        <v>0</v>
      </c>
      <c r="K215" s="6">
        <v>0</v>
      </c>
      <c r="L215" s="6">
        <v>4809.5410000000002</v>
      </c>
      <c r="M215" s="6">
        <v>4809.5410000000002</v>
      </c>
      <c r="N215" s="6">
        <v>4809.5410000000002</v>
      </c>
      <c r="O215" s="6">
        <v>4809.5410000000002</v>
      </c>
      <c r="P215" s="6">
        <v>19336</v>
      </c>
      <c r="Q215" s="4" t="s">
        <v>26</v>
      </c>
      <c r="R215" s="4">
        <v>0</v>
      </c>
      <c r="S215" s="4">
        <v>0</v>
      </c>
      <c r="T215" s="4">
        <v>33</v>
      </c>
      <c r="U215" s="4">
        <v>84</v>
      </c>
      <c r="V215" s="6">
        <f>IF(ISERROR(VLOOKUP($S$215,'TAR FIN'!$A$1:$O$108,15,0)),0,VLOOKUP($S$215,'TAR FIN'!$A$1:$O$108,15,0))</f>
        <v>0</v>
      </c>
      <c r="W215" s="6">
        <f>IF(ISERROR(VLOOKUP($T$215,'TAR FIN'!$A$1:$O$108,15,0)),0,VLOOKUP($T$215,'TAR FIN'!$A$1:$O$108,15,0))</f>
        <v>377.18</v>
      </c>
      <c r="X215" s="6">
        <f>IF(ISERROR(VLOOKUP($U$215,'TAR FIN'!$A$1:$O$108,15,0)),0,VLOOKUP($U$215,'TAR FIN'!$A$1:$O$108,15,0))</f>
        <v>107.79</v>
      </c>
      <c r="Y215" s="6"/>
      <c r="Z215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5" s="6">
        <f>('TE BE'!$AB$20+'TE BF'!$AB$20+'TE CVA'!$AB$20)*(1-CUSTOS!$M$37)</f>
        <v>224.47961306175614</v>
      </c>
      <c r="AB215" s="6">
        <f t="shared" si="16"/>
        <v>0</v>
      </c>
      <c r="AC215" s="6">
        <f>(L215-M215)*(W215+X215)+($W$193+$X$193-$W$215-$X$215)*(L215)</f>
        <v>6.8347688397807363E-11</v>
      </c>
      <c r="AD215" s="6">
        <f t="shared" si="17"/>
        <v>0</v>
      </c>
      <c r="AE215" s="6">
        <f ca="1">(L215-M215)*(Z215+AA215)+($Z$193+$AA$193-$Z$215-$AA$215)*(L215)</f>
        <v>2.7339075359122945E-10</v>
      </c>
      <c r="AF215" s="4" t="s">
        <v>844</v>
      </c>
    </row>
    <row r="216" spans="1:32" ht="11.25" customHeight="1" x14ac:dyDescent="0.25">
      <c r="A216" s="4" t="s">
        <v>54</v>
      </c>
      <c r="B216" s="4" t="s">
        <v>22</v>
      </c>
      <c r="C216" s="4" t="s">
        <v>23</v>
      </c>
      <c r="D216" s="4" t="s">
        <v>24</v>
      </c>
      <c r="E216" s="4" t="s">
        <v>32</v>
      </c>
      <c r="F216" s="4" t="s">
        <v>25</v>
      </c>
      <c r="G216" s="4" t="s">
        <v>25</v>
      </c>
      <c r="H216" s="4" t="s">
        <v>25</v>
      </c>
      <c r="I216" s="5">
        <v>44866</v>
      </c>
      <c r="J216" s="6">
        <v>0</v>
      </c>
      <c r="K216" s="6">
        <v>0</v>
      </c>
      <c r="L216" s="6">
        <v>-22.074000000000002</v>
      </c>
      <c r="M216" s="6">
        <v>-22.074000000000002</v>
      </c>
      <c r="N216" s="6">
        <v>-22.074000000000002</v>
      </c>
      <c r="O216" s="6">
        <v>-22.074000000000002</v>
      </c>
      <c r="P216" s="6">
        <v>-53</v>
      </c>
      <c r="Q216" s="4" t="s">
        <v>26</v>
      </c>
      <c r="R216" s="4">
        <v>0</v>
      </c>
      <c r="S216" s="4">
        <v>0</v>
      </c>
      <c r="T216" s="4">
        <v>33</v>
      </c>
      <c r="U216" s="4">
        <v>84</v>
      </c>
      <c r="V216" s="6">
        <f>IF(ISERROR(VLOOKUP($S$216,'TAR FIN'!$A$1:$O$108,15,0)),0,VLOOKUP($S$216,'TAR FIN'!$A$1:$O$108,15,0))</f>
        <v>0</v>
      </c>
      <c r="W216" s="6">
        <f>IF(ISERROR(VLOOKUP($T$216,'TAR FIN'!$A$1:$O$108,15,0)),0,VLOOKUP($T$216,'TAR FIN'!$A$1:$O$108,15,0))</f>
        <v>377.18</v>
      </c>
      <c r="X216" s="6">
        <f>IF(ISERROR(VLOOKUP($U$216,'TAR FIN'!$A$1:$O$108,15,0)),0,VLOOKUP($U$216,'TAR FIN'!$A$1:$O$108,15,0))</f>
        <v>107.79</v>
      </c>
      <c r="Y216" s="6"/>
      <c r="Z216" s="6">
        <f ca="1">('TUSD BE'!$AM$40+'TUSD BF'!$AM$40+'TUSD CVA'!$AM$40-('TUSD BE'!$P$40+'TUSD BF'!$P$40+'TUSD CVA'!$P$40)-('TUSD BE'!$Q$40+'TUSD BF'!$Q$40+'TUSD CVA'!$Q$40)-('TUSD BE'!$R$40+'TUSD BF'!$R$40+'TUSD CVA'!$R$40))*(1-CUSTOS!$M$37)</f>
        <v>397.42512740390276</v>
      </c>
      <c r="AA216" s="6">
        <f>('TE BE'!$AB$20+'TE BF'!$AB$20+'TE CVA'!$AB$20)*(1-CUSTOS!$M$37)</f>
        <v>224.47961306175614</v>
      </c>
      <c r="AB216" s="6">
        <f t="shared" si="16"/>
        <v>0</v>
      </c>
      <c r="AC216" s="6">
        <f>(L216-M216)*(W216+X216)+($W$193+$X$193-$W$216-$X$216)*(L216)</f>
        <v>-3.1369040698336905E-13</v>
      </c>
      <c r="AD216" s="6">
        <f t="shared" si="17"/>
        <v>0</v>
      </c>
      <c r="AE216" s="6">
        <f ca="1">(L216-M216)*(Z216+AA216)+($Z$193+$AA$193-$Z$216-$AA$216)*(L216)</f>
        <v>-1.2547616279334762E-12</v>
      </c>
      <c r="AF216" s="4" t="s">
        <v>844</v>
      </c>
    </row>
    <row r="217" spans="1:32" ht="11.25" customHeight="1" x14ac:dyDescent="0.25">
      <c r="A217" s="4" t="s">
        <v>21</v>
      </c>
      <c r="B217" s="4" t="s">
        <v>45</v>
      </c>
      <c r="C217" s="4" t="s">
        <v>23</v>
      </c>
      <c r="D217" s="4" t="s">
        <v>46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44531</v>
      </c>
      <c r="J217" s="6">
        <v>0</v>
      </c>
      <c r="K217" s="6">
        <v>0</v>
      </c>
      <c r="L217" s="6">
        <v>352.37299999999999</v>
      </c>
      <c r="M217" s="6">
        <v>352.37299999999999</v>
      </c>
      <c r="N217" s="6">
        <v>352.37299999999999</v>
      </c>
      <c r="O217" s="6">
        <v>352.37299999999999</v>
      </c>
      <c r="P217" s="6">
        <v>2547</v>
      </c>
      <c r="Q217" s="4" t="s">
        <v>26</v>
      </c>
      <c r="R217" s="4">
        <v>0</v>
      </c>
      <c r="S217" s="4">
        <v>0</v>
      </c>
      <c r="T217" s="4">
        <v>51</v>
      </c>
      <c r="U217" s="4">
        <v>93</v>
      </c>
      <c r="V217" s="6">
        <f>IF(ISERROR(VLOOKUP($S$217,'TAR FIN'!$A$1:$O$108,15,0)),0,VLOOKUP($S$217,'TAR FIN'!$A$1:$O$108,15,0))</f>
        <v>0</v>
      </c>
      <c r="W217" s="6">
        <f>IF(ISERROR(VLOOKUP($T$217,'TAR FIN'!$A$1:$O$108,15,0)),0,VLOOKUP($T$217,'TAR FIN'!$A$1:$O$108,15,0))</f>
        <v>380.18</v>
      </c>
      <c r="X217" s="6">
        <f>IF(ISERROR(VLOOKUP($U$217,'TAR FIN'!$A$1:$O$108,15,0)),0,VLOOKUP($U$217,'TAR FIN'!$A$1:$O$108,15,0))</f>
        <v>94.86</v>
      </c>
      <c r="Y217" s="6"/>
      <c r="Z217" s="6">
        <f ca="1">('TUSD BE'!$AM$49+'TUSD BF'!$AM$49+'TUSD CVA'!$AM$49)*(1-CUSTOS!$M$38)</f>
        <v>467.36052318380649</v>
      </c>
      <c r="AA217" s="6">
        <f>('TE BE'!$AB$29+'TE BF'!$AB$29+'TE CVA'!$AB$29)*(1-CUSTOS!$M$38)</f>
        <v>211.01083627805076</v>
      </c>
      <c r="AB217" s="6">
        <f t="shared" si="16"/>
        <v>0</v>
      </c>
      <c r="AC217" s="6">
        <f>(L217-M217)*(W217+X217)+($W$120+$X$120-$W$217-$X$217)*(L217)</f>
        <v>22823.199209999977</v>
      </c>
      <c r="AD217" s="6">
        <f t="shared" si="17"/>
        <v>0</v>
      </c>
      <c r="AE217" s="6">
        <f ca="1">(L217-M217)*(Z217+AA217)+($Z$120+$AA$120-$Z$217-$AA$217)*(L217)</f>
        <v>15257.856449850211</v>
      </c>
      <c r="AF217" s="4" t="s">
        <v>845</v>
      </c>
    </row>
    <row r="218" spans="1:32" ht="11.25" customHeight="1" x14ac:dyDescent="0.25">
      <c r="A218" s="4" t="s">
        <v>27</v>
      </c>
      <c r="B218" s="4" t="s">
        <v>45</v>
      </c>
      <c r="C218" s="4" t="s">
        <v>23</v>
      </c>
      <c r="D218" s="4" t="s">
        <v>46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44531</v>
      </c>
      <c r="J218" s="6">
        <v>0</v>
      </c>
      <c r="K218" s="6">
        <v>0</v>
      </c>
      <c r="L218" s="6">
        <v>-3.8420000000000001</v>
      </c>
      <c r="M218" s="6">
        <v>-3.8420000000000001</v>
      </c>
      <c r="N218" s="6">
        <v>-3.8420000000000001</v>
      </c>
      <c r="O218" s="6">
        <v>-3.8420000000000001</v>
      </c>
      <c r="P218" s="6">
        <v>-3</v>
      </c>
      <c r="Q218" s="4" t="s">
        <v>26</v>
      </c>
      <c r="R218" s="4">
        <v>0</v>
      </c>
      <c r="S218" s="4">
        <v>0</v>
      </c>
      <c r="T218" s="4">
        <v>51</v>
      </c>
      <c r="U218" s="4">
        <v>93</v>
      </c>
      <c r="V218" s="6">
        <f>IF(ISERROR(VLOOKUP($S$218,'TAR FIN'!$A$1:$O$108,15,0)),0,VLOOKUP($S$218,'TAR FIN'!$A$1:$O$108,15,0))</f>
        <v>0</v>
      </c>
      <c r="W218" s="6">
        <f>IF(ISERROR(VLOOKUP($T$218,'TAR FIN'!$A$1:$O$108,15,0)),0,VLOOKUP($T$218,'TAR FIN'!$A$1:$O$108,15,0))</f>
        <v>380.18</v>
      </c>
      <c r="X218" s="6">
        <f>IF(ISERROR(VLOOKUP($U$218,'TAR FIN'!$A$1:$O$108,15,0)),0,VLOOKUP($U$218,'TAR FIN'!$A$1:$O$108,15,0))</f>
        <v>94.86</v>
      </c>
      <c r="Y218" s="6"/>
      <c r="Z218" s="6">
        <f ca="1">('TUSD BE'!$AM$49+'TUSD BF'!$AM$49+'TUSD CVA'!$AM$49)*(1-CUSTOS!$M$38)</f>
        <v>467.36052318380649</v>
      </c>
      <c r="AA218" s="6">
        <f>('TE BE'!$AB$29+'TE BF'!$AB$29+'TE CVA'!$AB$29)*(1-CUSTOS!$M$38)</f>
        <v>211.01083627805076</v>
      </c>
      <c r="AB218" s="6">
        <f t="shared" si="16"/>
        <v>0</v>
      </c>
      <c r="AC218" s="6">
        <f>(L218-M218)*(W218+X218)+($W$120+$X$120-$W$218-$X$218)*(L218)</f>
        <v>-248.84633999999977</v>
      </c>
      <c r="AD218" s="6">
        <f t="shared" si="17"/>
        <v>0</v>
      </c>
      <c r="AE218" s="6">
        <f ca="1">(L218-M218)*(Z218+AA218)+($Z$120+$AA$120-$Z$218-$AA$218)*(L218)</f>
        <v>-166.35975083313568</v>
      </c>
      <c r="AF218" s="4" t="s">
        <v>845</v>
      </c>
    </row>
    <row r="219" spans="1:32" ht="11.25" customHeight="1" x14ac:dyDescent="0.25">
      <c r="A219" s="4" t="s">
        <v>28</v>
      </c>
      <c r="B219" s="4" t="s">
        <v>45</v>
      </c>
      <c r="C219" s="4" t="s">
        <v>23</v>
      </c>
      <c r="D219" s="4" t="s">
        <v>46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44531</v>
      </c>
      <c r="J219" s="6">
        <v>0</v>
      </c>
      <c r="K219" s="6">
        <v>0</v>
      </c>
      <c r="L219" s="6">
        <v>2.8730000000000002</v>
      </c>
      <c r="M219" s="6">
        <v>2.8730000000000002</v>
      </c>
      <c r="N219" s="6">
        <v>2.8730000000000002</v>
      </c>
      <c r="O219" s="6">
        <v>2.8730000000000002</v>
      </c>
      <c r="P219" s="6">
        <v>4</v>
      </c>
      <c r="Q219" s="4" t="s">
        <v>26</v>
      </c>
      <c r="R219" s="4">
        <v>0</v>
      </c>
      <c r="S219" s="4">
        <v>0</v>
      </c>
      <c r="T219" s="4">
        <v>51</v>
      </c>
      <c r="U219" s="4">
        <v>93</v>
      </c>
      <c r="V219" s="6">
        <f>IF(ISERROR(VLOOKUP($S$219,'TAR FIN'!$A$1:$O$108,15,0)),0,VLOOKUP($S$219,'TAR FIN'!$A$1:$O$108,15,0))</f>
        <v>0</v>
      </c>
      <c r="W219" s="6">
        <f>IF(ISERROR(VLOOKUP($T$219,'TAR FIN'!$A$1:$O$108,15,0)),0,VLOOKUP($T$219,'TAR FIN'!$A$1:$O$108,15,0))</f>
        <v>380.18</v>
      </c>
      <c r="X219" s="6">
        <f>IF(ISERROR(VLOOKUP($U$219,'TAR FIN'!$A$1:$O$108,15,0)),0,VLOOKUP($U$219,'TAR FIN'!$A$1:$O$108,15,0))</f>
        <v>94.86</v>
      </c>
      <c r="Y219" s="6"/>
      <c r="Z219" s="6">
        <f ca="1">('TUSD BE'!$AM$49+'TUSD BF'!$AM$49+'TUSD CVA'!$AM$49)*(1-CUSTOS!$M$38)</f>
        <v>467.36052318380649</v>
      </c>
      <c r="AA219" s="6">
        <f>('TE BE'!$AB$29+'TE BF'!$AB$29+'TE CVA'!$AB$29)*(1-CUSTOS!$M$38)</f>
        <v>211.01083627805076</v>
      </c>
      <c r="AB219" s="6">
        <f t="shared" si="16"/>
        <v>0</v>
      </c>
      <c r="AC219" s="6">
        <f>(L219-M219)*(W219+X219)+($W$120+$X$120-$W$219-$X$219)*(L219)</f>
        <v>186.08420999999984</v>
      </c>
      <c r="AD219" s="6">
        <f t="shared" si="17"/>
        <v>0</v>
      </c>
      <c r="AE219" s="6">
        <f ca="1">(L219-M219)*(Z219+AA219)+($Z$120+$AA$120-$Z$219-$AA$219)*(L219)</f>
        <v>124.40176057876076</v>
      </c>
      <c r="AF219" s="4" t="s">
        <v>845</v>
      </c>
    </row>
    <row r="220" spans="1:32" ht="11.25" customHeight="1" x14ac:dyDescent="0.25">
      <c r="A220" s="4" t="s">
        <v>21</v>
      </c>
      <c r="B220" s="4" t="s">
        <v>45</v>
      </c>
      <c r="C220" s="4" t="s">
        <v>23</v>
      </c>
      <c r="D220" s="4" t="s">
        <v>46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44562</v>
      </c>
      <c r="J220" s="6">
        <v>0</v>
      </c>
      <c r="K220" s="6">
        <v>0</v>
      </c>
      <c r="L220" s="6">
        <v>337.36799999999999</v>
      </c>
      <c r="M220" s="6">
        <v>337.36799999999999</v>
      </c>
      <c r="N220" s="6">
        <v>337.36799999999999</v>
      </c>
      <c r="O220" s="6">
        <v>337.36799999999999</v>
      </c>
      <c r="P220" s="6">
        <v>2401</v>
      </c>
      <c r="Q220" s="4" t="s">
        <v>26</v>
      </c>
      <c r="R220" s="4">
        <v>0</v>
      </c>
      <c r="S220" s="4">
        <v>0</v>
      </c>
      <c r="T220" s="4">
        <v>51</v>
      </c>
      <c r="U220" s="4">
        <v>93</v>
      </c>
      <c r="V220" s="6">
        <f>IF(ISERROR(VLOOKUP($S$220,'TAR FIN'!$A$1:$O$108,15,0)),0,VLOOKUP($S$220,'TAR FIN'!$A$1:$O$108,15,0))</f>
        <v>0</v>
      </c>
      <c r="W220" s="6">
        <f>IF(ISERROR(VLOOKUP($T$220,'TAR FIN'!$A$1:$O$108,15,0)),0,VLOOKUP($T$220,'TAR FIN'!$A$1:$O$108,15,0))</f>
        <v>380.18</v>
      </c>
      <c r="X220" s="6">
        <f>IF(ISERROR(VLOOKUP($U$220,'TAR FIN'!$A$1:$O$108,15,0)),0,VLOOKUP($U$220,'TAR FIN'!$A$1:$O$108,15,0))</f>
        <v>94.86</v>
      </c>
      <c r="Y220" s="6"/>
      <c r="Z220" s="6">
        <f ca="1">('TUSD BE'!$AM$49+'TUSD BF'!$AM$49+'TUSD CVA'!$AM$49)*(1-CUSTOS!$M$38)</f>
        <v>467.36052318380649</v>
      </c>
      <c r="AA220" s="6">
        <f>('TE BE'!$AB$29+'TE BF'!$AB$29+'TE CVA'!$AB$29)*(1-CUSTOS!$M$38)</f>
        <v>211.01083627805076</v>
      </c>
      <c r="AB220" s="6">
        <f t="shared" si="16"/>
        <v>0</v>
      </c>
      <c r="AC220" s="6">
        <f>(L220-M220)*(W220+X220)+($W$120+$X$120-$W$220-$X$220)*(L220)</f>
        <v>21851.325359999981</v>
      </c>
      <c r="AD220" s="6">
        <f t="shared" si="17"/>
        <v>0</v>
      </c>
      <c r="AE220" s="6">
        <f ca="1">(L220-M220)*(Z220+AA220)+($Z$120+$AA$120-$Z$220-$AA$220)*(L220)</f>
        <v>14608.135455250733</v>
      </c>
      <c r="AF220" s="4" t="s">
        <v>845</v>
      </c>
    </row>
    <row r="221" spans="1:32" ht="11.25" customHeight="1" x14ac:dyDescent="0.25">
      <c r="A221" s="4" t="s">
        <v>27</v>
      </c>
      <c r="B221" s="4" t="s">
        <v>45</v>
      </c>
      <c r="C221" s="4" t="s">
        <v>23</v>
      </c>
      <c r="D221" s="4" t="s">
        <v>46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44562</v>
      </c>
      <c r="J221" s="6">
        <v>0</v>
      </c>
      <c r="K221" s="6">
        <v>0</v>
      </c>
      <c r="L221" s="6">
        <v>-2.2610000000000001</v>
      </c>
      <c r="M221" s="6">
        <v>-2.2610000000000001</v>
      </c>
      <c r="N221" s="6">
        <v>-2.2610000000000001</v>
      </c>
      <c r="O221" s="6">
        <v>-2.2610000000000001</v>
      </c>
      <c r="P221" s="6">
        <v>2</v>
      </c>
      <c r="Q221" s="4" t="s">
        <v>26</v>
      </c>
      <c r="R221" s="4">
        <v>0</v>
      </c>
      <c r="S221" s="4">
        <v>0</v>
      </c>
      <c r="T221" s="4">
        <v>51</v>
      </c>
      <c r="U221" s="4">
        <v>93</v>
      </c>
      <c r="V221" s="6">
        <f>IF(ISERROR(VLOOKUP($S$221,'TAR FIN'!$A$1:$O$108,15,0)),0,VLOOKUP($S$221,'TAR FIN'!$A$1:$O$108,15,0))</f>
        <v>0</v>
      </c>
      <c r="W221" s="6">
        <f>IF(ISERROR(VLOOKUP($T$221,'TAR FIN'!$A$1:$O$108,15,0)),0,VLOOKUP($T$221,'TAR FIN'!$A$1:$O$108,15,0))</f>
        <v>380.18</v>
      </c>
      <c r="X221" s="6">
        <f>IF(ISERROR(VLOOKUP($U$221,'TAR FIN'!$A$1:$O$108,15,0)),0,VLOOKUP($U$221,'TAR FIN'!$A$1:$O$108,15,0))</f>
        <v>94.86</v>
      </c>
      <c r="Y221" s="6"/>
      <c r="Z221" s="6">
        <f ca="1">('TUSD BE'!$AM$49+'TUSD BF'!$AM$49+'TUSD CVA'!$AM$49)*(1-CUSTOS!$M$38)</f>
        <v>467.36052318380649</v>
      </c>
      <c r="AA221" s="6">
        <f>('TE BE'!$AB$29+'TE BF'!$AB$29+'TE CVA'!$AB$29)*(1-CUSTOS!$M$38)</f>
        <v>211.01083627805076</v>
      </c>
      <c r="AB221" s="6">
        <f t="shared" si="16"/>
        <v>0</v>
      </c>
      <c r="AC221" s="6">
        <f>(L221-M221)*(W221+X221)+($W$120+$X$120-$W$221-$X$221)*(L221)</f>
        <v>-146.44496999999987</v>
      </c>
      <c r="AD221" s="6">
        <f t="shared" si="17"/>
        <v>0</v>
      </c>
      <c r="AE221" s="6">
        <f ca="1">(L221-M221)*(Z221+AA221)+($Z$120+$AA$120-$Z$221-$AA$221)*(L221)</f>
        <v>-97.901977260208156</v>
      </c>
      <c r="AF221" s="4" t="s">
        <v>845</v>
      </c>
    </row>
    <row r="222" spans="1:32" ht="11.25" customHeight="1" x14ac:dyDescent="0.25">
      <c r="A222" s="4" t="s">
        <v>28</v>
      </c>
      <c r="B222" s="4" t="s">
        <v>45</v>
      </c>
      <c r="C222" s="4" t="s">
        <v>23</v>
      </c>
      <c r="D222" s="4" t="s">
        <v>46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44562</v>
      </c>
      <c r="J222" s="6">
        <v>0</v>
      </c>
      <c r="K222" s="6">
        <v>0</v>
      </c>
      <c r="L222" s="6">
        <v>3.2839999999999998</v>
      </c>
      <c r="M222" s="6">
        <v>3.2839999999999998</v>
      </c>
      <c r="N222" s="6">
        <v>3.2839999999999998</v>
      </c>
      <c r="O222" s="6">
        <v>3.2839999999999998</v>
      </c>
      <c r="P222" s="6">
        <v>4</v>
      </c>
      <c r="Q222" s="4" t="s">
        <v>26</v>
      </c>
      <c r="R222" s="4">
        <v>0</v>
      </c>
      <c r="S222" s="4">
        <v>0</v>
      </c>
      <c r="T222" s="4">
        <v>51</v>
      </c>
      <c r="U222" s="4">
        <v>93</v>
      </c>
      <c r="V222" s="6">
        <f>IF(ISERROR(VLOOKUP($S$222,'TAR FIN'!$A$1:$O$108,15,0)),0,VLOOKUP($S$222,'TAR FIN'!$A$1:$O$108,15,0))</f>
        <v>0</v>
      </c>
      <c r="W222" s="6">
        <f>IF(ISERROR(VLOOKUP($T$222,'TAR FIN'!$A$1:$O$108,15,0)),0,VLOOKUP($T$222,'TAR FIN'!$A$1:$O$108,15,0))</f>
        <v>380.18</v>
      </c>
      <c r="X222" s="6">
        <f>IF(ISERROR(VLOOKUP($U$222,'TAR FIN'!$A$1:$O$108,15,0)),0,VLOOKUP($U$222,'TAR FIN'!$A$1:$O$108,15,0))</f>
        <v>94.86</v>
      </c>
      <c r="Y222" s="6"/>
      <c r="Z222" s="6">
        <f ca="1">('TUSD BE'!$AM$49+'TUSD BF'!$AM$49+'TUSD CVA'!$AM$49)*(1-CUSTOS!$M$38)</f>
        <v>467.36052318380649</v>
      </c>
      <c r="AA222" s="6">
        <f>('TE BE'!$AB$29+'TE BF'!$AB$29+'TE CVA'!$AB$29)*(1-CUSTOS!$M$38)</f>
        <v>211.01083627805076</v>
      </c>
      <c r="AB222" s="6">
        <f t="shared" si="16"/>
        <v>0</v>
      </c>
      <c r="AC222" s="6">
        <f>(L222-M222)*(W222+X222)+($W$120+$X$120-$W$222-$X$222)*(L222)</f>
        <v>212.7046799999998</v>
      </c>
      <c r="AD222" s="6">
        <f t="shared" si="17"/>
        <v>0</v>
      </c>
      <c r="AE222" s="6">
        <f ca="1">(L222-M222)*(Z222+AA222)+($Z$120+$AA$120-$Z$222-$AA$222)*(L222)</f>
        <v>142.19818368974947</v>
      </c>
      <c r="AF222" s="4" t="s">
        <v>845</v>
      </c>
    </row>
    <row r="223" spans="1:32" ht="11.25" customHeight="1" x14ac:dyDescent="0.25">
      <c r="A223" s="4" t="s">
        <v>21</v>
      </c>
      <c r="B223" s="4" t="s">
        <v>45</v>
      </c>
      <c r="C223" s="4" t="s">
        <v>23</v>
      </c>
      <c r="D223" s="4" t="s">
        <v>46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44593</v>
      </c>
      <c r="J223" s="6">
        <v>0</v>
      </c>
      <c r="K223" s="6">
        <v>0</v>
      </c>
      <c r="L223" s="6">
        <v>284.05799999999999</v>
      </c>
      <c r="M223" s="6">
        <v>284.05799999999999</v>
      </c>
      <c r="N223" s="6">
        <v>284.05799999999999</v>
      </c>
      <c r="O223" s="6">
        <v>284.05799999999999</v>
      </c>
      <c r="P223" s="6">
        <v>2362</v>
      </c>
      <c r="Q223" s="4" t="s">
        <v>26</v>
      </c>
      <c r="R223" s="4">
        <v>0</v>
      </c>
      <c r="S223" s="4">
        <v>0</v>
      </c>
      <c r="T223" s="4">
        <v>51</v>
      </c>
      <c r="U223" s="4">
        <v>93</v>
      </c>
      <c r="V223" s="6">
        <f>IF(ISERROR(VLOOKUP($S$223,'TAR FIN'!$A$1:$O$108,15,0)),0,VLOOKUP($S$223,'TAR FIN'!$A$1:$O$108,15,0))</f>
        <v>0</v>
      </c>
      <c r="W223" s="6">
        <f>IF(ISERROR(VLOOKUP($T$223,'TAR FIN'!$A$1:$O$108,15,0)),0,VLOOKUP($T$223,'TAR FIN'!$A$1:$O$108,15,0))</f>
        <v>380.18</v>
      </c>
      <c r="X223" s="6">
        <f>IF(ISERROR(VLOOKUP($U$223,'TAR FIN'!$A$1:$O$108,15,0)),0,VLOOKUP($U$223,'TAR FIN'!$A$1:$O$108,15,0))</f>
        <v>94.86</v>
      </c>
      <c r="Y223" s="6"/>
      <c r="Z223" s="6">
        <f ca="1">('TUSD BE'!$AM$49+'TUSD BF'!$AM$49+'TUSD CVA'!$AM$49)*(1-CUSTOS!$M$38)</f>
        <v>467.36052318380649</v>
      </c>
      <c r="AA223" s="6">
        <f>('TE BE'!$AB$29+'TE BF'!$AB$29+'TE CVA'!$AB$29)*(1-CUSTOS!$M$38)</f>
        <v>211.01083627805076</v>
      </c>
      <c r="AB223" s="6">
        <f t="shared" si="16"/>
        <v>0</v>
      </c>
      <c r="AC223" s="6">
        <f>(L223-M223)*(W223+X223)+($W$120+$X$120-$W$223-$X$223)*(L223)</f>
        <v>18398.436659999981</v>
      </c>
      <c r="AD223" s="6">
        <f t="shared" si="17"/>
        <v>0</v>
      </c>
      <c r="AE223" s="6">
        <f ca="1">(L223-M223)*(Z223+AA223)+($Z$120+$AA$120-$Z$223-$AA$223)*(L223)</f>
        <v>12299.796486767009</v>
      </c>
      <c r="AF223" s="4" t="s">
        <v>845</v>
      </c>
    </row>
    <row r="224" spans="1:32" ht="11.25" customHeight="1" x14ac:dyDescent="0.25">
      <c r="A224" s="4" t="s">
        <v>27</v>
      </c>
      <c r="B224" s="4" t="s">
        <v>45</v>
      </c>
      <c r="C224" s="4" t="s">
        <v>23</v>
      </c>
      <c r="D224" s="4" t="s">
        <v>46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44593</v>
      </c>
      <c r="J224" s="6">
        <v>0</v>
      </c>
      <c r="K224" s="6">
        <v>0</v>
      </c>
      <c r="L224" s="6">
        <v>-29.545000000000002</v>
      </c>
      <c r="M224" s="6">
        <v>-29.545000000000002</v>
      </c>
      <c r="N224" s="6">
        <v>-29.545000000000002</v>
      </c>
      <c r="O224" s="6">
        <v>-29.545000000000002</v>
      </c>
      <c r="P224" s="6">
        <v>4</v>
      </c>
      <c r="Q224" s="4" t="s">
        <v>26</v>
      </c>
      <c r="R224" s="4">
        <v>0</v>
      </c>
      <c r="S224" s="4">
        <v>0</v>
      </c>
      <c r="T224" s="4">
        <v>51</v>
      </c>
      <c r="U224" s="4">
        <v>93</v>
      </c>
      <c r="V224" s="6">
        <f>IF(ISERROR(VLOOKUP($S$224,'TAR FIN'!$A$1:$O$108,15,0)),0,VLOOKUP($S$224,'TAR FIN'!$A$1:$O$108,15,0))</f>
        <v>0</v>
      </c>
      <c r="W224" s="6">
        <f>IF(ISERROR(VLOOKUP($T$224,'TAR FIN'!$A$1:$O$108,15,0)),0,VLOOKUP($T$224,'TAR FIN'!$A$1:$O$108,15,0))</f>
        <v>380.18</v>
      </c>
      <c r="X224" s="6">
        <f>IF(ISERROR(VLOOKUP($U$224,'TAR FIN'!$A$1:$O$108,15,0)),0,VLOOKUP($U$224,'TAR FIN'!$A$1:$O$108,15,0))</f>
        <v>94.86</v>
      </c>
      <c r="Y224" s="6"/>
      <c r="Z224" s="6">
        <f ca="1">('TUSD BE'!$AM$49+'TUSD BF'!$AM$49+'TUSD CVA'!$AM$49)*(1-CUSTOS!$M$38)</f>
        <v>467.36052318380649</v>
      </c>
      <c r="AA224" s="6">
        <f>('TE BE'!$AB$29+'TE BF'!$AB$29+'TE CVA'!$AB$29)*(1-CUSTOS!$M$38)</f>
        <v>211.01083627805076</v>
      </c>
      <c r="AB224" s="6">
        <f t="shared" si="16"/>
        <v>0</v>
      </c>
      <c r="AC224" s="6">
        <f>(L224-M224)*(W224+X224)+($W$120+$X$120-$W$224-$X$224)*(L224)</f>
        <v>-1913.6296499999983</v>
      </c>
      <c r="AD224" s="6">
        <f t="shared" si="17"/>
        <v>0</v>
      </c>
      <c r="AE224" s="6">
        <f ca="1">(L224-M224)*(Z224+AA224)+($Z$120+$AA$120-$Z$224-$AA$224)*(L224)</f>
        <v>-1279.3073499128041</v>
      </c>
      <c r="AF224" s="4" t="s">
        <v>845</v>
      </c>
    </row>
    <row r="225" spans="1:32" ht="11.25" customHeight="1" x14ac:dyDescent="0.25">
      <c r="A225" s="4" t="s">
        <v>28</v>
      </c>
      <c r="B225" s="4" t="s">
        <v>45</v>
      </c>
      <c r="C225" s="4" t="s">
        <v>23</v>
      </c>
      <c r="D225" s="4" t="s">
        <v>46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44593</v>
      </c>
      <c r="J225" s="6">
        <v>0</v>
      </c>
      <c r="K225" s="6">
        <v>0</v>
      </c>
      <c r="L225" s="6">
        <v>4.9169999999999998</v>
      </c>
      <c r="M225" s="6">
        <v>4.9169999999999998</v>
      </c>
      <c r="N225" s="6">
        <v>4.9169999999999998</v>
      </c>
      <c r="O225" s="6">
        <v>4.9169999999999998</v>
      </c>
      <c r="P225" s="6">
        <v>4</v>
      </c>
      <c r="Q225" s="4" t="s">
        <v>26</v>
      </c>
      <c r="R225" s="4">
        <v>0</v>
      </c>
      <c r="S225" s="4">
        <v>0</v>
      </c>
      <c r="T225" s="4">
        <v>51</v>
      </c>
      <c r="U225" s="4">
        <v>93</v>
      </c>
      <c r="V225" s="6">
        <f>IF(ISERROR(VLOOKUP($S$225,'TAR FIN'!$A$1:$O$108,15,0)),0,VLOOKUP($S$225,'TAR FIN'!$A$1:$O$108,15,0))</f>
        <v>0</v>
      </c>
      <c r="W225" s="6">
        <f>IF(ISERROR(VLOOKUP($T$225,'TAR FIN'!$A$1:$O$108,15,0)),0,VLOOKUP($T$225,'TAR FIN'!$A$1:$O$108,15,0))</f>
        <v>380.18</v>
      </c>
      <c r="X225" s="6">
        <f>IF(ISERROR(VLOOKUP($U$225,'TAR FIN'!$A$1:$O$108,15,0)),0,VLOOKUP($U$225,'TAR FIN'!$A$1:$O$108,15,0))</f>
        <v>94.86</v>
      </c>
      <c r="Y225" s="6"/>
      <c r="Z225" s="6">
        <f ca="1">('TUSD BE'!$AM$49+'TUSD BF'!$AM$49+'TUSD CVA'!$AM$49)*(1-CUSTOS!$M$38)</f>
        <v>467.36052318380649</v>
      </c>
      <c r="AA225" s="6">
        <f>('TE BE'!$AB$29+'TE BF'!$AB$29+'TE CVA'!$AB$29)*(1-CUSTOS!$M$38)</f>
        <v>211.01083627805076</v>
      </c>
      <c r="AB225" s="6">
        <f t="shared" si="16"/>
        <v>0</v>
      </c>
      <c r="AC225" s="6">
        <f>(L225-M225)*(W225+X225)+($W$120+$X$120-$W$225-$X$225)*(L225)</f>
        <v>318.47408999999971</v>
      </c>
      <c r="AD225" s="6">
        <f t="shared" si="17"/>
        <v>0</v>
      </c>
      <c r="AE225" s="6">
        <f ca="1">(L225-M225)*(Z225+AA225)+($Z$120+$AA$120-$Z$225-$AA$225)*(L225)</f>
        <v>212.90757283876314</v>
      </c>
      <c r="AF225" s="4" t="s">
        <v>845</v>
      </c>
    </row>
    <row r="226" spans="1:32" ht="11.25" customHeight="1" x14ac:dyDescent="0.25">
      <c r="A226" s="4" t="s">
        <v>21</v>
      </c>
      <c r="B226" s="4" t="s">
        <v>45</v>
      </c>
      <c r="C226" s="4" t="s">
        <v>23</v>
      </c>
      <c r="D226" s="4" t="s">
        <v>46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44621</v>
      </c>
      <c r="J226" s="6">
        <v>0</v>
      </c>
      <c r="K226" s="6">
        <v>0</v>
      </c>
      <c r="L226" s="6">
        <v>315.51100000000002</v>
      </c>
      <c r="M226" s="6">
        <v>315.51100000000002</v>
      </c>
      <c r="N226" s="6">
        <v>315.51100000000002</v>
      </c>
      <c r="O226" s="6">
        <v>315.51100000000002</v>
      </c>
      <c r="P226" s="6">
        <v>2441</v>
      </c>
      <c r="Q226" s="4" t="s">
        <v>26</v>
      </c>
      <c r="R226" s="4">
        <v>0</v>
      </c>
      <c r="S226" s="4">
        <v>0</v>
      </c>
      <c r="T226" s="4">
        <v>51</v>
      </c>
      <c r="U226" s="4">
        <v>93</v>
      </c>
      <c r="V226" s="6">
        <f>IF(ISERROR(VLOOKUP($S$226,'TAR FIN'!$A$1:$O$108,15,0)),0,VLOOKUP($S$226,'TAR FIN'!$A$1:$O$108,15,0))</f>
        <v>0</v>
      </c>
      <c r="W226" s="6">
        <f>IF(ISERROR(VLOOKUP($T$226,'TAR FIN'!$A$1:$O$108,15,0)),0,VLOOKUP($T$226,'TAR FIN'!$A$1:$O$108,15,0))</f>
        <v>380.18</v>
      </c>
      <c r="X226" s="6">
        <f>IF(ISERROR(VLOOKUP($U$226,'TAR FIN'!$A$1:$O$108,15,0)),0,VLOOKUP($U$226,'TAR FIN'!$A$1:$O$108,15,0))</f>
        <v>94.86</v>
      </c>
      <c r="Y226" s="6"/>
      <c r="Z226" s="6">
        <f ca="1">('TUSD BE'!$AM$49+'TUSD BF'!$AM$49+'TUSD CVA'!$AM$49)*(1-CUSTOS!$M$38)</f>
        <v>467.36052318380649</v>
      </c>
      <c r="AA226" s="6">
        <f>('TE BE'!$AB$29+'TE BF'!$AB$29+'TE CVA'!$AB$29)*(1-CUSTOS!$M$38)</f>
        <v>211.01083627805076</v>
      </c>
      <c r="AB226" s="6">
        <f t="shared" si="16"/>
        <v>0</v>
      </c>
      <c r="AC226" s="6">
        <f>(L226-M226)*(W226+X226)+($W$120+$X$120-$W$226-$X$226)*(L226)</f>
        <v>20435.647469999982</v>
      </c>
      <c r="AD226" s="6">
        <f t="shared" si="17"/>
        <v>0</v>
      </c>
      <c r="AE226" s="6">
        <f ca="1">(L226-M226)*(Z226+AA226)+($Z$120+$AA$120-$Z$226-$AA$226)*(L226)</f>
        <v>13661.720808202361</v>
      </c>
      <c r="AF226" s="4" t="s">
        <v>845</v>
      </c>
    </row>
    <row r="227" spans="1:32" ht="11.25" customHeight="1" x14ac:dyDescent="0.25">
      <c r="A227" s="4" t="s">
        <v>27</v>
      </c>
      <c r="B227" s="4" t="s">
        <v>45</v>
      </c>
      <c r="C227" s="4" t="s">
        <v>23</v>
      </c>
      <c r="D227" s="4" t="s">
        <v>46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0</v>
      </c>
      <c r="K227" s="6">
        <v>0</v>
      </c>
      <c r="L227" s="6">
        <v>-10.433999999999999</v>
      </c>
      <c r="M227" s="6">
        <v>-10.433999999999999</v>
      </c>
      <c r="N227" s="6">
        <v>-10.433999999999999</v>
      </c>
      <c r="O227" s="6">
        <v>-10.433999999999999</v>
      </c>
      <c r="P227" s="6">
        <v>0</v>
      </c>
      <c r="Q227" s="4" t="s">
        <v>26</v>
      </c>
      <c r="R227" s="4">
        <v>0</v>
      </c>
      <c r="S227" s="4">
        <v>0</v>
      </c>
      <c r="T227" s="4">
        <v>51</v>
      </c>
      <c r="U227" s="4">
        <v>93</v>
      </c>
      <c r="V227" s="6">
        <f>IF(ISERROR(VLOOKUP($S$227,'TAR FIN'!$A$1:$O$108,15,0)),0,VLOOKUP($S$227,'TAR FIN'!$A$1:$O$108,15,0))</f>
        <v>0</v>
      </c>
      <c r="W227" s="6">
        <f>IF(ISERROR(VLOOKUP($T$227,'TAR FIN'!$A$1:$O$108,15,0)),0,VLOOKUP($T$227,'TAR FIN'!$A$1:$O$108,15,0))</f>
        <v>380.18</v>
      </c>
      <c r="X227" s="6">
        <f>IF(ISERROR(VLOOKUP($U$227,'TAR FIN'!$A$1:$O$108,15,0)),0,VLOOKUP($U$227,'TAR FIN'!$A$1:$O$108,15,0))</f>
        <v>94.86</v>
      </c>
      <c r="Y227" s="6"/>
      <c r="Z227" s="6">
        <f ca="1">('TUSD BE'!$AM$49+'TUSD BF'!$AM$49+'TUSD CVA'!$AM$49)*(1-CUSTOS!$M$38)</f>
        <v>467.36052318380649</v>
      </c>
      <c r="AA227" s="6">
        <f>('TE BE'!$AB$29+'TE BF'!$AB$29+'TE CVA'!$AB$29)*(1-CUSTOS!$M$38)</f>
        <v>211.01083627805076</v>
      </c>
      <c r="AB227" s="6">
        <f t="shared" si="16"/>
        <v>0</v>
      </c>
      <c r="AC227" s="6">
        <f>(L227-M227)*(W227+X227)+($W$120+$X$120-$W$227-$X$227)*(L227)</f>
        <v>-675.81017999999926</v>
      </c>
      <c r="AD227" s="6">
        <f t="shared" si="17"/>
        <v>0</v>
      </c>
      <c r="AE227" s="6">
        <f ca="1">(L227-M227)*(Z227+AA227)+($Z$120+$AA$120-$Z$227-$AA$227)*(L227)</f>
        <v>-451.79532540159744</v>
      </c>
      <c r="AF227" s="4" t="s">
        <v>845</v>
      </c>
    </row>
    <row r="228" spans="1:32" ht="11.25" customHeight="1" x14ac:dyDescent="0.25">
      <c r="A228" s="4" t="s">
        <v>28</v>
      </c>
      <c r="B228" s="4" t="s">
        <v>45</v>
      </c>
      <c r="C228" s="4" t="s">
        <v>23</v>
      </c>
      <c r="D228" s="4" t="s">
        <v>46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44621</v>
      </c>
      <c r="J228" s="6">
        <v>0</v>
      </c>
      <c r="K228" s="6">
        <v>0</v>
      </c>
      <c r="L228" s="6">
        <v>2.7290000000000001</v>
      </c>
      <c r="M228" s="6">
        <v>2.7290000000000001</v>
      </c>
      <c r="N228" s="6">
        <v>2.7290000000000001</v>
      </c>
      <c r="O228" s="6">
        <v>2.7290000000000001</v>
      </c>
      <c r="P228" s="6">
        <v>4</v>
      </c>
      <c r="Q228" s="4" t="s">
        <v>26</v>
      </c>
      <c r="R228" s="4">
        <v>0</v>
      </c>
      <c r="S228" s="4">
        <v>0</v>
      </c>
      <c r="T228" s="4">
        <v>51</v>
      </c>
      <c r="U228" s="4">
        <v>93</v>
      </c>
      <c r="V228" s="6">
        <f>IF(ISERROR(VLOOKUP($S$228,'TAR FIN'!$A$1:$O$108,15,0)),0,VLOOKUP($S$228,'TAR FIN'!$A$1:$O$108,15,0))</f>
        <v>0</v>
      </c>
      <c r="W228" s="6">
        <f>IF(ISERROR(VLOOKUP($T$228,'TAR FIN'!$A$1:$O$108,15,0)),0,VLOOKUP($T$228,'TAR FIN'!$A$1:$O$108,15,0))</f>
        <v>380.18</v>
      </c>
      <c r="X228" s="6">
        <f>IF(ISERROR(VLOOKUP($U$228,'TAR FIN'!$A$1:$O$108,15,0)),0,VLOOKUP($U$228,'TAR FIN'!$A$1:$O$108,15,0))</f>
        <v>94.86</v>
      </c>
      <c r="Y228" s="6"/>
      <c r="Z228" s="6">
        <f ca="1">('TUSD BE'!$AM$49+'TUSD BF'!$AM$49+'TUSD CVA'!$AM$49)*(1-CUSTOS!$M$38)</f>
        <v>467.36052318380649</v>
      </c>
      <c r="AA228" s="6">
        <f>('TE BE'!$AB$29+'TE BF'!$AB$29+'TE CVA'!$AB$29)*(1-CUSTOS!$M$38)</f>
        <v>211.01083627805076</v>
      </c>
      <c r="AB228" s="6">
        <f t="shared" si="16"/>
        <v>0</v>
      </c>
      <c r="AC228" s="6">
        <f>(L228-M228)*(W228+X228)+($W$120+$X$120-$W$228-$X$228)*(L228)</f>
        <v>176.75732999999985</v>
      </c>
      <c r="AD228" s="6">
        <f t="shared" si="17"/>
        <v>0</v>
      </c>
      <c r="AE228" s="6">
        <f ca="1">(L228-M228)*(Z228+AA228)+($Z$120+$AA$120-$Z$228-$AA$228)*(L228)</f>
        <v>118.16651744498367</v>
      </c>
      <c r="AF228" s="4" t="s">
        <v>845</v>
      </c>
    </row>
    <row r="229" spans="1:32" ht="11.25" customHeight="1" x14ac:dyDescent="0.25">
      <c r="A229" s="4" t="s">
        <v>21</v>
      </c>
      <c r="B229" s="4" t="s">
        <v>45</v>
      </c>
      <c r="C229" s="4" t="s">
        <v>23</v>
      </c>
      <c r="D229" s="4" t="s">
        <v>46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44652</v>
      </c>
      <c r="J229" s="6">
        <v>0</v>
      </c>
      <c r="K229" s="6">
        <v>0</v>
      </c>
      <c r="L229" s="6">
        <v>305.85700000000003</v>
      </c>
      <c r="M229" s="6">
        <v>305.85700000000003</v>
      </c>
      <c r="N229" s="6">
        <v>305.85700000000003</v>
      </c>
      <c r="O229" s="6">
        <v>305.85700000000003</v>
      </c>
      <c r="P229" s="6">
        <v>2361</v>
      </c>
      <c r="Q229" s="4" t="s">
        <v>26</v>
      </c>
      <c r="R229" s="4">
        <v>0</v>
      </c>
      <c r="S229" s="4">
        <v>0</v>
      </c>
      <c r="T229" s="4">
        <v>51</v>
      </c>
      <c r="U229" s="4">
        <v>93</v>
      </c>
      <c r="V229" s="6">
        <f>IF(ISERROR(VLOOKUP($S$229,'TAR FIN'!$A$1:$O$108,15,0)),0,VLOOKUP($S$229,'TAR FIN'!$A$1:$O$108,15,0))</f>
        <v>0</v>
      </c>
      <c r="W229" s="6">
        <f>IF(ISERROR(VLOOKUP($T$229,'TAR FIN'!$A$1:$O$108,15,0)),0,VLOOKUP($T$229,'TAR FIN'!$A$1:$O$108,15,0))</f>
        <v>380.18</v>
      </c>
      <c r="X229" s="6">
        <f>IF(ISERROR(VLOOKUP($U$229,'TAR FIN'!$A$1:$O$108,15,0)),0,VLOOKUP($U$229,'TAR FIN'!$A$1:$O$108,15,0))</f>
        <v>94.86</v>
      </c>
      <c r="Y229" s="6"/>
      <c r="Z229" s="6">
        <f ca="1">('TUSD BE'!$AM$49+'TUSD BF'!$AM$49+'TUSD CVA'!$AM$49)*(1-CUSTOS!$M$38)</f>
        <v>467.36052318380649</v>
      </c>
      <c r="AA229" s="6">
        <f>('TE BE'!$AB$29+'TE BF'!$AB$29+'TE CVA'!$AB$29)*(1-CUSTOS!$M$38)</f>
        <v>211.01083627805076</v>
      </c>
      <c r="AB229" s="6">
        <f t="shared" si="16"/>
        <v>0</v>
      </c>
      <c r="AC229" s="6">
        <f>(L229-M229)*(W229+X229)+($W$120+$X$120-$W$229-$X$229)*(L229)</f>
        <v>19810.357889999985</v>
      </c>
      <c r="AD229" s="6">
        <f t="shared" si="17"/>
        <v>0</v>
      </c>
      <c r="AE229" s="6">
        <f ca="1">(L229-M229)*(Z229+AA229)+($Z$120+$AA$120-$Z$229-$AA$229)*(L229)</f>
        <v>13243.699716442055</v>
      </c>
      <c r="AF229" s="4" t="s">
        <v>845</v>
      </c>
    </row>
    <row r="230" spans="1:32" ht="11.25" customHeight="1" x14ac:dyDescent="0.25">
      <c r="A230" s="4" t="s">
        <v>27</v>
      </c>
      <c r="B230" s="4" t="s">
        <v>45</v>
      </c>
      <c r="C230" s="4" t="s">
        <v>23</v>
      </c>
      <c r="D230" s="4" t="s">
        <v>46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44652</v>
      </c>
      <c r="J230" s="6">
        <v>0</v>
      </c>
      <c r="K230" s="6">
        <v>0</v>
      </c>
      <c r="L230" s="6">
        <v>-20.111999999999998</v>
      </c>
      <c r="M230" s="6">
        <v>-20.111999999999998</v>
      </c>
      <c r="N230" s="6">
        <v>-20.111999999999998</v>
      </c>
      <c r="O230" s="6">
        <v>-20.111999999999998</v>
      </c>
      <c r="P230" s="6">
        <v>-1</v>
      </c>
      <c r="Q230" s="4" t="s">
        <v>26</v>
      </c>
      <c r="R230" s="4">
        <v>0</v>
      </c>
      <c r="S230" s="4">
        <v>0</v>
      </c>
      <c r="T230" s="4">
        <v>51</v>
      </c>
      <c r="U230" s="4">
        <v>93</v>
      </c>
      <c r="V230" s="6">
        <f>IF(ISERROR(VLOOKUP($S$230,'TAR FIN'!$A$1:$O$108,15,0)),0,VLOOKUP($S$230,'TAR FIN'!$A$1:$O$108,15,0))</f>
        <v>0</v>
      </c>
      <c r="W230" s="6">
        <f>IF(ISERROR(VLOOKUP($T$230,'TAR FIN'!$A$1:$O$108,15,0)),0,VLOOKUP($T$230,'TAR FIN'!$A$1:$O$108,15,0))</f>
        <v>380.18</v>
      </c>
      <c r="X230" s="6">
        <f>IF(ISERROR(VLOOKUP($U$230,'TAR FIN'!$A$1:$O$108,15,0)),0,VLOOKUP($U$230,'TAR FIN'!$A$1:$O$108,15,0))</f>
        <v>94.86</v>
      </c>
      <c r="Y230" s="6"/>
      <c r="Z230" s="6">
        <f ca="1">('TUSD BE'!$AM$49+'TUSD BF'!$AM$49+'TUSD CVA'!$AM$49)*(1-CUSTOS!$M$38)</f>
        <v>467.36052318380649</v>
      </c>
      <c r="AA230" s="6">
        <f>('TE BE'!$AB$29+'TE BF'!$AB$29+'TE CVA'!$AB$29)*(1-CUSTOS!$M$38)</f>
        <v>211.01083627805076</v>
      </c>
      <c r="AB230" s="6">
        <f t="shared" si="16"/>
        <v>0</v>
      </c>
      <c r="AC230" s="6">
        <f>(L230-M230)*(W230+X230)+($W$120+$X$120-$W$230-$X$230)*(L230)</f>
        <v>-1302.6542399999987</v>
      </c>
      <c r="AD230" s="6">
        <f t="shared" si="17"/>
        <v>0</v>
      </c>
      <c r="AE230" s="6">
        <f ca="1">(L230-M230)*(Z230+AA230)+($Z$120+$AA$120-$Z$230-$AA$230)*(L230)</f>
        <v>-870.85562435086524</v>
      </c>
      <c r="AF230" s="4" t="s">
        <v>845</v>
      </c>
    </row>
    <row r="231" spans="1:32" ht="11.25" customHeight="1" x14ac:dyDescent="0.25">
      <c r="A231" s="4" t="s">
        <v>28</v>
      </c>
      <c r="B231" s="4" t="s">
        <v>45</v>
      </c>
      <c r="C231" s="4" t="s">
        <v>23</v>
      </c>
      <c r="D231" s="4" t="s">
        <v>46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44652</v>
      </c>
      <c r="J231" s="6">
        <v>0</v>
      </c>
      <c r="K231" s="6">
        <v>0</v>
      </c>
      <c r="L231" s="6">
        <v>2.37</v>
      </c>
      <c r="M231" s="6">
        <v>2.37</v>
      </c>
      <c r="N231" s="6">
        <v>2.37</v>
      </c>
      <c r="O231" s="6">
        <v>2.37</v>
      </c>
      <c r="P231" s="6">
        <v>4</v>
      </c>
      <c r="Q231" s="4" t="s">
        <v>26</v>
      </c>
      <c r="R231" s="4">
        <v>0</v>
      </c>
      <c r="S231" s="4">
        <v>0</v>
      </c>
      <c r="T231" s="4">
        <v>51</v>
      </c>
      <c r="U231" s="4">
        <v>93</v>
      </c>
      <c r="V231" s="6">
        <f>IF(ISERROR(VLOOKUP($S$231,'TAR FIN'!$A$1:$O$108,15,0)),0,VLOOKUP($S$231,'TAR FIN'!$A$1:$O$108,15,0))</f>
        <v>0</v>
      </c>
      <c r="W231" s="6">
        <f>IF(ISERROR(VLOOKUP($T$231,'TAR FIN'!$A$1:$O$108,15,0)),0,VLOOKUP($T$231,'TAR FIN'!$A$1:$O$108,15,0))</f>
        <v>380.18</v>
      </c>
      <c r="X231" s="6">
        <f>IF(ISERROR(VLOOKUP($U$231,'TAR FIN'!$A$1:$O$108,15,0)),0,VLOOKUP($U$231,'TAR FIN'!$A$1:$O$108,15,0))</f>
        <v>94.86</v>
      </c>
      <c r="Y231" s="6"/>
      <c r="Z231" s="6">
        <f ca="1">('TUSD BE'!$AM$49+'TUSD BF'!$AM$49+'TUSD CVA'!$AM$49)*(1-CUSTOS!$M$38)</f>
        <v>467.36052318380649</v>
      </c>
      <c r="AA231" s="6">
        <f>('TE BE'!$AB$29+'TE BF'!$AB$29+'TE CVA'!$AB$29)*(1-CUSTOS!$M$38)</f>
        <v>211.01083627805076</v>
      </c>
      <c r="AB231" s="6">
        <f t="shared" si="16"/>
        <v>0</v>
      </c>
      <c r="AC231" s="6">
        <f>(L231-M231)*(W231+X231)+($W$120+$X$120-$W$231-$X$231)*(L231)</f>
        <v>153.50489999999985</v>
      </c>
      <c r="AD231" s="6">
        <f t="shared" si="17"/>
        <v>0</v>
      </c>
      <c r="AE231" s="6">
        <f ca="1">(L231-M231)*(Z231+AA231)+($Z$120+$AA$120-$Z$231-$AA$231)*(L231)</f>
        <v>102.62170991008109</v>
      </c>
      <c r="AF231" s="4" t="s">
        <v>845</v>
      </c>
    </row>
    <row r="232" spans="1:32" ht="11.25" customHeight="1" x14ac:dyDescent="0.25">
      <c r="A232" s="4" t="s">
        <v>21</v>
      </c>
      <c r="B232" s="4" t="s">
        <v>45</v>
      </c>
      <c r="C232" s="4" t="s">
        <v>23</v>
      </c>
      <c r="D232" s="4" t="s">
        <v>46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44682</v>
      </c>
      <c r="J232" s="6">
        <v>0</v>
      </c>
      <c r="K232" s="6">
        <v>0</v>
      </c>
      <c r="L232" s="6">
        <v>329.78399999999999</v>
      </c>
      <c r="M232" s="6">
        <v>329.78399999999999</v>
      </c>
      <c r="N232" s="6">
        <v>329.78399999999999</v>
      </c>
      <c r="O232" s="6">
        <v>329.78399999999999</v>
      </c>
      <c r="P232" s="6">
        <v>2390</v>
      </c>
      <c r="Q232" s="4" t="s">
        <v>26</v>
      </c>
      <c r="R232" s="4">
        <v>0</v>
      </c>
      <c r="S232" s="4">
        <v>0</v>
      </c>
      <c r="T232" s="4">
        <v>51</v>
      </c>
      <c r="U232" s="4">
        <v>93</v>
      </c>
      <c r="V232" s="6">
        <f>IF(ISERROR(VLOOKUP($S$232,'TAR FIN'!$A$1:$O$108,15,0)),0,VLOOKUP($S$232,'TAR FIN'!$A$1:$O$108,15,0))</f>
        <v>0</v>
      </c>
      <c r="W232" s="6">
        <f>IF(ISERROR(VLOOKUP($T$232,'TAR FIN'!$A$1:$O$108,15,0)),0,VLOOKUP($T$232,'TAR FIN'!$A$1:$O$108,15,0))</f>
        <v>380.18</v>
      </c>
      <c r="X232" s="6">
        <f>IF(ISERROR(VLOOKUP($U$232,'TAR FIN'!$A$1:$O$108,15,0)),0,VLOOKUP($U$232,'TAR FIN'!$A$1:$O$108,15,0))</f>
        <v>94.86</v>
      </c>
      <c r="Y232" s="6"/>
      <c r="Z232" s="6">
        <f ca="1">('TUSD BE'!$AM$49+'TUSD BF'!$AM$49+'TUSD CVA'!$AM$49)*(1-CUSTOS!$M$38)</f>
        <v>467.36052318380649</v>
      </c>
      <c r="AA232" s="6">
        <f>('TE BE'!$AB$29+'TE BF'!$AB$29+'TE CVA'!$AB$29)*(1-CUSTOS!$M$38)</f>
        <v>211.01083627805076</v>
      </c>
      <c r="AB232" s="6">
        <f t="shared" si="16"/>
        <v>0</v>
      </c>
      <c r="AC232" s="6">
        <f>(L232-M232)*(W232+X232)+($W$120+$X$120-$W$232-$X$232)*(L232)</f>
        <v>21360.10967999998</v>
      </c>
      <c r="AD232" s="6">
        <f t="shared" si="17"/>
        <v>0</v>
      </c>
      <c r="AE232" s="6">
        <f ca="1">(L232-M232)*(Z232+AA232)+($Z$120+$AA$120-$Z$232-$AA$232)*(L232)</f>
        <v>14279.745983538473</v>
      </c>
      <c r="AF232" s="4" t="s">
        <v>845</v>
      </c>
    </row>
    <row r="233" spans="1:32" ht="11.25" customHeight="1" x14ac:dyDescent="0.25">
      <c r="A233" s="4" t="s">
        <v>27</v>
      </c>
      <c r="B233" s="4" t="s">
        <v>45</v>
      </c>
      <c r="C233" s="4" t="s">
        <v>23</v>
      </c>
      <c r="D233" s="4" t="s">
        <v>46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44682</v>
      </c>
      <c r="J233" s="6">
        <v>0</v>
      </c>
      <c r="K233" s="6">
        <v>0</v>
      </c>
      <c r="L233" s="6">
        <v>-3.359</v>
      </c>
      <c r="M233" s="6">
        <v>-3.359</v>
      </c>
      <c r="N233" s="6">
        <v>-3.359</v>
      </c>
      <c r="O233" s="6">
        <v>-3.359</v>
      </c>
      <c r="P233" s="6">
        <v>-1</v>
      </c>
      <c r="Q233" s="4" t="s">
        <v>26</v>
      </c>
      <c r="R233" s="4">
        <v>0</v>
      </c>
      <c r="S233" s="4">
        <v>0</v>
      </c>
      <c r="T233" s="4">
        <v>51</v>
      </c>
      <c r="U233" s="4">
        <v>93</v>
      </c>
      <c r="V233" s="6">
        <f>IF(ISERROR(VLOOKUP($S$233,'TAR FIN'!$A$1:$O$108,15,0)),0,VLOOKUP($S$233,'TAR FIN'!$A$1:$O$108,15,0))</f>
        <v>0</v>
      </c>
      <c r="W233" s="6">
        <f>IF(ISERROR(VLOOKUP($T$233,'TAR FIN'!$A$1:$O$108,15,0)),0,VLOOKUP($T$233,'TAR FIN'!$A$1:$O$108,15,0))</f>
        <v>380.18</v>
      </c>
      <c r="X233" s="6">
        <f>IF(ISERROR(VLOOKUP($U$233,'TAR FIN'!$A$1:$O$108,15,0)),0,VLOOKUP($U$233,'TAR FIN'!$A$1:$O$108,15,0))</f>
        <v>94.86</v>
      </c>
      <c r="Y233" s="6"/>
      <c r="Z233" s="6">
        <f ca="1">('TUSD BE'!$AM$49+'TUSD BF'!$AM$49+'TUSD CVA'!$AM$49)*(1-CUSTOS!$M$38)</f>
        <v>467.36052318380649</v>
      </c>
      <c r="AA233" s="6">
        <f>('TE BE'!$AB$29+'TE BF'!$AB$29+'TE CVA'!$AB$29)*(1-CUSTOS!$M$38)</f>
        <v>211.01083627805076</v>
      </c>
      <c r="AB233" s="6">
        <f t="shared" si="16"/>
        <v>0</v>
      </c>
      <c r="AC233" s="6">
        <f>(L233-M233)*(W233+X233)+($W$120+$X$120-$W$233-$X$233)*(L233)</f>
        <v>-217.56242999999981</v>
      </c>
      <c r="AD233" s="6">
        <f t="shared" si="17"/>
        <v>0</v>
      </c>
      <c r="AE233" s="6">
        <f ca="1">(L233-M233)*(Z233+AA233)+($Z$120+$AA$120-$Z$233-$AA$233)*(L233)</f>
        <v>-145.44570615525839</v>
      </c>
      <c r="AF233" s="4" t="s">
        <v>845</v>
      </c>
    </row>
    <row r="234" spans="1:32" ht="11.25" customHeight="1" x14ac:dyDescent="0.25">
      <c r="A234" s="4" t="s">
        <v>28</v>
      </c>
      <c r="B234" s="4" t="s">
        <v>45</v>
      </c>
      <c r="C234" s="4" t="s">
        <v>23</v>
      </c>
      <c r="D234" s="4" t="s">
        <v>46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44682</v>
      </c>
      <c r="J234" s="6">
        <v>0</v>
      </c>
      <c r="K234" s="6">
        <v>0</v>
      </c>
      <c r="L234" s="6">
        <v>1.5449999999999999</v>
      </c>
      <c r="M234" s="6">
        <v>1.5449999999999999</v>
      </c>
      <c r="N234" s="6">
        <v>1.5449999999999999</v>
      </c>
      <c r="O234" s="6">
        <v>1.5449999999999999</v>
      </c>
      <c r="P234" s="6">
        <v>5</v>
      </c>
      <c r="Q234" s="4" t="s">
        <v>26</v>
      </c>
      <c r="R234" s="4">
        <v>0</v>
      </c>
      <c r="S234" s="4">
        <v>0</v>
      </c>
      <c r="T234" s="4">
        <v>51</v>
      </c>
      <c r="U234" s="4">
        <v>93</v>
      </c>
      <c r="V234" s="6">
        <f>IF(ISERROR(VLOOKUP($S$234,'TAR FIN'!$A$1:$O$108,15,0)),0,VLOOKUP($S$234,'TAR FIN'!$A$1:$O$108,15,0))</f>
        <v>0</v>
      </c>
      <c r="W234" s="6">
        <f>IF(ISERROR(VLOOKUP($T$234,'TAR FIN'!$A$1:$O$108,15,0)),0,VLOOKUP($T$234,'TAR FIN'!$A$1:$O$108,15,0))</f>
        <v>380.18</v>
      </c>
      <c r="X234" s="6">
        <f>IF(ISERROR(VLOOKUP($U$234,'TAR FIN'!$A$1:$O$108,15,0)),0,VLOOKUP($U$234,'TAR FIN'!$A$1:$O$108,15,0))</f>
        <v>94.86</v>
      </c>
      <c r="Y234" s="6"/>
      <c r="Z234" s="6">
        <f ca="1">('TUSD BE'!$AM$49+'TUSD BF'!$AM$49+'TUSD CVA'!$AM$49)*(1-CUSTOS!$M$38)</f>
        <v>467.36052318380649</v>
      </c>
      <c r="AA234" s="6">
        <f>('TE BE'!$AB$29+'TE BF'!$AB$29+'TE CVA'!$AB$29)*(1-CUSTOS!$M$38)</f>
        <v>211.01083627805076</v>
      </c>
      <c r="AB234" s="6">
        <f t="shared" si="16"/>
        <v>0</v>
      </c>
      <c r="AC234" s="6">
        <f>(L234-M234)*(W234+X234)+($W$120+$X$120-$W$234-$X$234)*(L234)</f>
        <v>100.0696499999999</v>
      </c>
      <c r="AD234" s="6">
        <f t="shared" si="17"/>
        <v>0</v>
      </c>
      <c r="AE234" s="6">
        <f ca="1">(L234-M234)*(Z234+AA234)+($Z$120+$AA$120-$Z$234-$AA$234)*(L234)</f>
        <v>66.898962789483235</v>
      </c>
      <c r="AF234" s="4" t="s">
        <v>845</v>
      </c>
    </row>
    <row r="235" spans="1:32" ht="11.25" customHeight="1" x14ac:dyDescent="0.25">
      <c r="A235" s="4" t="s">
        <v>21</v>
      </c>
      <c r="B235" s="4" t="s">
        <v>45</v>
      </c>
      <c r="C235" s="4" t="s">
        <v>23</v>
      </c>
      <c r="D235" s="4" t="s">
        <v>46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44713</v>
      </c>
      <c r="J235" s="6">
        <v>0</v>
      </c>
      <c r="K235" s="6">
        <v>0</v>
      </c>
      <c r="L235" s="6">
        <v>378.04899999999998</v>
      </c>
      <c r="M235" s="6">
        <v>378.04899999999998</v>
      </c>
      <c r="N235" s="6">
        <v>378.04899999999998</v>
      </c>
      <c r="O235" s="6">
        <v>378.04899999999998</v>
      </c>
      <c r="P235" s="6">
        <v>2428</v>
      </c>
      <c r="Q235" s="4" t="s">
        <v>26</v>
      </c>
      <c r="R235" s="4">
        <v>0</v>
      </c>
      <c r="S235" s="4">
        <v>0</v>
      </c>
      <c r="T235" s="4">
        <v>51</v>
      </c>
      <c r="U235" s="4">
        <v>93</v>
      </c>
      <c r="V235" s="6">
        <f>IF(ISERROR(VLOOKUP($S$235,'TAR FIN'!$A$1:$O$108,15,0)),0,VLOOKUP($S$235,'TAR FIN'!$A$1:$O$108,15,0))</f>
        <v>0</v>
      </c>
      <c r="W235" s="6">
        <f>IF(ISERROR(VLOOKUP($T$235,'TAR FIN'!$A$1:$O$108,15,0)),0,VLOOKUP($T$235,'TAR FIN'!$A$1:$O$108,15,0))</f>
        <v>380.18</v>
      </c>
      <c r="X235" s="6">
        <f>IF(ISERROR(VLOOKUP($U$235,'TAR FIN'!$A$1:$O$108,15,0)),0,VLOOKUP($U$235,'TAR FIN'!$A$1:$O$108,15,0))</f>
        <v>94.86</v>
      </c>
      <c r="Y235" s="6"/>
      <c r="Z235" s="6">
        <f ca="1">('TUSD BE'!$AM$49+'TUSD BF'!$AM$49+'TUSD CVA'!$AM$49)*(1-CUSTOS!$M$38)</f>
        <v>467.36052318380649</v>
      </c>
      <c r="AA235" s="6">
        <f>('TE BE'!$AB$29+'TE BF'!$AB$29+'TE CVA'!$AB$29)*(1-CUSTOS!$M$38)</f>
        <v>211.01083627805076</v>
      </c>
      <c r="AB235" s="6">
        <f t="shared" si="16"/>
        <v>0</v>
      </c>
      <c r="AC235" s="6">
        <f>(L235-M235)*(W235+X235)+($W$120+$X$120-$W$235-$X$235)*(L235)</f>
        <v>24486.233729999974</v>
      </c>
      <c r="AD235" s="6">
        <f t="shared" si="17"/>
        <v>0</v>
      </c>
      <c r="AE235" s="6">
        <f ca="1">(L235-M235)*(Z235+AA235)+($Z$120+$AA$120-$Z$235-$AA$235)*(L235)</f>
        <v>16369.634940842296</v>
      </c>
      <c r="AF235" s="4" t="s">
        <v>845</v>
      </c>
    </row>
    <row r="236" spans="1:32" ht="11.25" customHeight="1" x14ac:dyDescent="0.25">
      <c r="A236" s="4" t="s">
        <v>27</v>
      </c>
      <c r="B236" s="4" t="s">
        <v>45</v>
      </c>
      <c r="C236" s="4" t="s">
        <v>23</v>
      </c>
      <c r="D236" s="4" t="s">
        <v>46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44713</v>
      </c>
      <c r="J236" s="6">
        <v>0</v>
      </c>
      <c r="K236" s="6">
        <v>0</v>
      </c>
      <c r="L236" s="6">
        <v>-1.4390000000000001</v>
      </c>
      <c r="M236" s="6">
        <v>-1.4390000000000001</v>
      </c>
      <c r="N236" s="6">
        <v>-1.4390000000000001</v>
      </c>
      <c r="O236" s="6">
        <v>-1.4390000000000001</v>
      </c>
      <c r="P236" s="6">
        <v>-70</v>
      </c>
      <c r="Q236" s="4" t="s">
        <v>26</v>
      </c>
      <c r="R236" s="4">
        <v>0</v>
      </c>
      <c r="S236" s="4">
        <v>0</v>
      </c>
      <c r="T236" s="4">
        <v>51</v>
      </c>
      <c r="U236" s="4">
        <v>93</v>
      </c>
      <c r="V236" s="6">
        <f>IF(ISERROR(VLOOKUP($S$236,'TAR FIN'!$A$1:$O$108,15,0)),0,VLOOKUP($S$236,'TAR FIN'!$A$1:$O$108,15,0))</f>
        <v>0</v>
      </c>
      <c r="W236" s="6">
        <f>IF(ISERROR(VLOOKUP($T$236,'TAR FIN'!$A$1:$O$108,15,0)),0,VLOOKUP($T$236,'TAR FIN'!$A$1:$O$108,15,0))</f>
        <v>380.18</v>
      </c>
      <c r="X236" s="6">
        <f>IF(ISERROR(VLOOKUP($U$236,'TAR FIN'!$A$1:$O$108,15,0)),0,VLOOKUP($U$236,'TAR FIN'!$A$1:$O$108,15,0))</f>
        <v>94.86</v>
      </c>
      <c r="Y236" s="6"/>
      <c r="Z236" s="6">
        <f ca="1">('TUSD BE'!$AM$49+'TUSD BF'!$AM$49+'TUSD CVA'!$AM$49)*(1-CUSTOS!$M$38)</f>
        <v>467.36052318380649</v>
      </c>
      <c r="AA236" s="6">
        <f>('TE BE'!$AB$29+'TE BF'!$AB$29+'TE CVA'!$AB$29)*(1-CUSTOS!$M$38)</f>
        <v>211.01083627805076</v>
      </c>
      <c r="AB236" s="6">
        <f t="shared" si="16"/>
        <v>0</v>
      </c>
      <c r="AC236" s="6">
        <f>(L236-M236)*(W236+X236)+($W$120+$X$120-$W$236-$X$236)*(L236)</f>
        <v>-93.204029999999918</v>
      </c>
      <c r="AD236" s="6">
        <f t="shared" si="17"/>
        <v>0</v>
      </c>
      <c r="AE236" s="6">
        <f ca="1">(L236-M236)*(Z236+AA236)+($Z$120+$AA$120-$Z$236-$AA$236)*(L236)</f>
        <v>-62.309131038230667</v>
      </c>
      <c r="AF236" s="4" t="s">
        <v>845</v>
      </c>
    </row>
    <row r="237" spans="1:32" ht="11.25" customHeight="1" x14ac:dyDescent="0.25">
      <c r="A237" s="4" t="s">
        <v>28</v>
      </c>
      <c r="B237" s="4" t="s">
        <v>45</v>
      </c>
      <c r="C237" s="4" t="s">
        <v>23</v>
      </c>
      <c r="D237" s="4" t="s">
        <v>46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44713</v>
      </c>
      <c r="J237" s="6">
        <v>0</v>
      </c>
      <c r="K237" s="6">
        <v>0</v>
      </c>
      <c r="L237" s="6">
        <v>1.83</v>
      </c>
      <c r="M237" s="6">
        <v>1.83</v>
      </c>
      <c r="N237" s="6">
        <v>1.83</v>
      </c>
      <c r="O237" s="6">
        <v>1.83</v>
      </c>
      <c r="P237" s="6">
        <v>5</v>
      </c>
      <c r="Q237" s="4" t="s">
        <v>26</v>
      </c>
      <c r="R237" s="4">
        <v>0</v>
      </c>
      <c r="S237" s="4">
        <v>0</v>
      </c>
      <c r="T237" s="4">
        <v>51</v>
      </c>
      <c r="U237" s="4">
        <v>93</v>
      </c>
      <c r="V237" s="6">
        <f>IF(ISERROR(VLOOKUP($S$237,'TAR FIN'!$A$1:$O$108,15,0)),0,VLOOKUP($S$237,'TAR FIN'!$A$1:$O$108,15,0))</f>
        <v>0</v>
      </c>
      <c r="W237" s="6">
        <f>IF(ISERROR(VLOOKUP($T$237,'TAR FIN'!$A$1:$O$108,15,0)),0,VLOOKUP($T$237,'TAR FIN'!$A$1:$O$108,15,0))</f>
        <v>380.18</v>
      </c>
      <c r="X237" s="6">
        <f>IF(ISERROR(VLOOKUP($U$237,'TAR FIN'!$A$1:$O$108,15,0)),0,VLOOKUP($U$237,'TAR FIN'!$A$1:$O$108,15,0))</f>
        <v>94.86</v>
      </c>
      <c r="Y237" s="6"/>
      <c r="Z237" s="6">
        <f ca="1">('TUSD BE'!$AM$49+'TUSD BF'!$AM$49+'TUSD CVA'!$AM$49)*(1-CUSTOS!$M$38)</f>
        <v>467.36052318380649</v>
      </c>
      <c r="AA237" s="6">
        <f>('TE BE'!$AB$29+'TE BF'!$AB$29+'TE CVA'!$AB$29)*(1-CUSTOS!$M$38)</f>
        <v>211.01083627805076</v>
      </c>
      <c r="AB237" s="6">
        <f t="shared" si="16"/>
        <v>0</v>
      </c>
      <c r="AC237" s="6">
        <f>(L237-M237)*(W237+X237)+($W$120+$X$120-$W$237-$X$237)*(L237)</f>
        <v>118.5290999999999</v>
      </c>
      <c r="AD237" s="6">
        <f t="shared" si="17"/>
        <v>0</v>
      </c>
      <c r="AE237" s="6">
        <f ca="1">(L237-M237)*(Z237+AA237)+($Z$120+$AA$120-$Z$237-$AA$237)*(L237)</f>
        <v>79.239548158417037</v>
      </c>
      <c r="AF237" s="4" t="s">
        <v>845</v>
      </c>
    </row>
    <row r="238" spans="1:32" ht="11.25" customHeight="1" x14ac:dyDescent="0.25">
      <c r="A238" s="4" t="s">
        <v>21</v>
      </c>
      <c r="B238" s="4" t="s">
        <v>45</v>
      </c>
      <c r="C238" s="4" t="s">
        <v>23</v>
      </c>
      <c r="D238" s="4" t="s">
        <v>46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44743</v>
      </c>
      <c r="J238" s="6">
        <v>0</v>
      </c>
      <c r="K238" s="6">
        <v>0</v>
      </c>
      <c r="L238" s="6">
        <v>368.03899999999999</v>
      </c>
      <c r="M238" s="6">
        <v>368.03899999999999</v>
      </c>
      <c r="N238" s="6">
        <v>368.03899999999999</v>
      </c>
      <c r="O238" s="6">
        <v>368.03899999999999</v>
      </c>
      <c r="P238" s="6">
        <v>2429</v>
      </c>
      <c r="Q238" s="4" t="s">
        <v>26</v>
      </c>
      <c r="R238" s="4">
        <v>0</v>
      </c>
      <c r="S238" s="4">
        <v>0</v>
      </c>
      <c r="T238" s="4">
        <v>51</v>
      </c>
      <c r="U238" s="4">
        <v>93</v>
      </c>
      <c r="V238" s="6">
        <f>IF(ISERROR(VLOOKUP($S$238,'TAR FIN'!$A$1:$O$108,15,0)),0,VLOOKUP($S$238,'TAR FIN'!$A$1:$O$108,15,0))</f>
        <v>0</v>
      </c>
      <c r="W238" s="6">
        <f>IF(ISERROR(VLOOKUP($T$238,'TAR FIN'!$A$1:$O$108,15,0)),0,VLOOKUP($T$238,'TAR FIN'!$A$1:$O$108,15,0))</f>
        <v>380.18</v>
      </c>
      <c r="X238" s="6">
        <f>IF(ISERROR(VLOOKUP($U$238,'TAR FIN'!$A$1:$O$108,15,0)),0,VLOOKUP($U$238,'TAR FIN'!$A$1:$O$108,15,0))</f>
        <v>94.86</v>
      </c>
      <c r="Y238" s="6"/>
      <c r="Z238" s="6">
        <f ca="1">('TUSD BE'!$AM$49+'TUSD BF'!$AM$49+'TUSD CVA'!$AM$49)*(1-CUSTOS!$M$38)</f>
        <v>467.36052318380649</v>
      </c>
      <c r="AA238" s="6">
        <f>('TE BE'!$AB$29+'TE BF'!$AB$29+'TE CVA'!$AB$29)*(1-CUSTOS!$M$38)</f>
        <v>211.01083627805076</v>
      </c>
      <c r="AB238" s="6">
        <f t="shared" si="16"/>
        <v>0</v>
      </c>
      <c r="AC238" s="6">
        <f>(L238-M238)*(W238+X238)+($W$120+$X$120-$W$238-$X$238)*(L238)</f>
        <v>23837.886029999976</v>
      </c>
      <c r="AD238" s="6">
        <f t="shared" si="17"/>
        <v>0</v>
      </c>
      <c r="AE238" s="6">
        <f ca="1">(L238-M238)*(Z238+AA238)+($Z$120+$AA$120-$Z$238-$AA$238)*(L238)</f>
        <v>15936.19894244571</v>
      </c>
      <c r="AF238" s="4" t="s">
        <v>845</v>
      </c>
    </row>
    <row r="239" spans="1:32" ht="11.25" customHeight="1" x14ac:dyDescent="0.25">
      <c r="A239" s="4" t="s">
        <v>27</v>
      </c>
      <c r="B239" s="4" t="s">
        <v>45</v>
      </c>
      <c r="C239" s="4" t="s">
        <v>23</v>
      </c>
      <c r="D239" s="4" t="s">
        <v>46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44743</v>
      </c>
      <c r="J239" s="6">
        <v>0</v>
      </c>
      <c r="K239" s="6">
        <v>0</v>
      </c>
      <c r="L239" s="6">
        <v>-2.6469999999999998</v>
      </c>
      <c r="M239" s="6">
        <v>-2.6469999999999998</v>
      </c>
      <c r="N239" s="6">
        <v>-2.6469999999999998</v>
      </c>
      <c r="O239" s="6">
        <v>-2.6469999999999998</v>
      </c>
      <c r="P239" s="6">
        <v>3</v>
      </c>
      <c r="Q239" s="4" t="s">
        <v>26</v>
      </c>
      <c r="R239" s="4">
        <v>0</v>
      </c>
      <c r="S239" s="4">
        <v>0</v>
      </c>
      <c r="T239" s="4">
        <v>51</v>
      </c>
      <c r="U239" s="4">
        <v>93</v>
      </c>
      <c r="V239" s="6">
        <f>IF(ISERROR(VLOOKUP($S$239,'TAR FIN'!$A$1:$O$108,15,0)),0,VLOOKUP($S$239,'TAR FIN'!$A$1:$O$108,15,0))</f>
        <v>0</v>
      </c>
      <c r="W239" s="6">
        <f>IF(ISERROR(VLOOKUP($T$239,'TAR FIN'!$A$1:$O$108,15,0)),0,VLOOKUP($T$239,'TAR FIN'!$A$1:$O$108,15,0))</f>
        <v>380.18</v>
      </c>
      <c r="X239" s="6">
        <f>IF(ISERROR(VLOOKUP($U$239,'TAR FIN'!$A$1:$O$108,15,0)),0,VLOOKUP($U$239,'TAR FIN'!$A$1:$O$108,15,0))</f>
        <v>94.86</v>
      </c>
      <c r="Y239" s="6"/>
      <c r="Z239" s="6">
        <f ca="1">('TUSD BE'!$AM$49+'TUSD BF'!$AM$49+'TUSD CVA'!$AM$49)*(1-CUSTOS!$M$38)</f>
        <v>467.36052318380649</v>
      </c>
      <c r="AA239" s="6">
        <f>('TE BE'!$AB$29+'TE BF'!$AB$29+'TE CVA'!$AB$29)*(1-CUSTOS!$M$38)</f>
        <v>211.01083627805076</v>
      </c>
      <c r="AB239" s="6">
        <f t="shared" si="16"/>
        <v>0</v>
      </c>
      <c r="AC239" s="6">
        <f>(L239-M239)*(W239+X239)+($W$120+$X$120-$W$239-$X$239)*(L239)</f>
        <v>-171.44618999999983</v>
      </c>
      <c r="AD239" s="6">
        <f t="shared" si="17"/>
        <v>0</v>
      </c>
      <c r="AE239" s="6">
        <f ca="1">(L239-M239)*(Z239+AA239)+($Z$120+$AA$120-$Z$239-$AA$239)*(L239)</f>
        <v>-114.61589288269393</v>
      </c>
      <c r="AF239" s="4" t="s">
        <v>845</v>
      </c>
    </row>
    <row r="240" spans="1:32" ht="11.25" customHeight="1" x14ac:dyDescent="0.25">
      <c r="A240" s="4" t="s">
        <v>28</v>
      </c>
      <c r="B240" s="4" t="s">
        <v>45</v>
      </c>
      <c r="C240" s="4" t="s">
        <v>23</v>
      </c>
      <c r="D240" s="4" t="s">
        <v>46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44743</v>
      </c>
      <c r="J240" s="6">
        <v>0</v>
      </c>
      <c r="K240" s="6">
        <v>0</v>
      </c>
      <c r="L240" s="6">
        <v>1.6519999999999999</v>
      </c>
      <c r="M240" s="6">
        <v>1.6519999999999999</v>
      </c>
      <c r="N240" s="6">
        <v>1.6519999999999999</v>
      </c>
      <c r="O240" s="6">
        <v>1.6519999999999999</v>
      </c>
      <c r="P240" s="6">
        <v>5</v>
      </c>
      <c r="Q240" s="4" t="s">
        <v>26</v>
      </c>
      <c r="R240" s="4">
        <v>0</v>
      </c>
      <c r="S240" s="4">
        <v>0</v>
      </c>
      <c r="T240" s="4">
        <v>51</v>
      </c>
      <c r="U240" s="4">
        <v>93</v>
      </c>
      <c r="V240" s="6">
        <f>IF(ISERROR(VLOOKUP($S$240,'TAR FIN'!$A$1:$O$108,15,0)),0,VLOOKUP($S$240,'TAR FIN'!$A$1:$O$108,15,0))</f>
        <v>0</v>
      </c>
      <c r="W240" s="6">
        <f>IF(ISERROR(VLOOKUP($T$240,'TAR FIN'!$A$1:$O$108,15,0)),0,VLOOKUP($T$240,'TAR FIN'!$A$1:$O$108,15,0))</f>
        <v>380.18</v>
      </c>
      <c r="X240" s="6">
        <f>IF(ISERROR(VLOOKUP($U$240,'TAR FIN'!$A$1:$O$108,15,0)),0,VLOOKUP($U$240,'TAR FIN'!$A$1:$O$108,15,0))</f>
        <v>94.86</v>
      </c>
      <c r="Y240" s="6"/>
      <c r="Z240" s="6">
        <f ca="1">('TUSD BE'!$AM$49+'TUSD BF'!$AM$49+'TUSD CVA'!$AM$49)*(1-CUSTOS!$M$38)</f>
        <v>467.36052318380649</v>
      </c>
      <c r="AA240" s="6">
        <f>('TE BE'!$AB$29+'TE BF'!$AB$29+'TE CVA'!$AB$29)*(1-CUSTOS!$M$38)</f>
        <v>211.01083627805076</v>
      </c>
      <c r="AB240" s="6">
        <f t="shared" si="16"/>
        <v>0</v>
      </c>
      <c r="AC240" s="6">
        <f>(L240-M240)*(W240+X240)+($W$120+$X$120-$W$240-$X$240)*(L240)</f>
        <v>107.0000399999999</v>
      </c>
      <c r="AD240" s="6">
        <f t="shared" si="17"/>
        <v>0</v>
      </c>
      <c r="AE240" s="6">
        <f ca="1">(L240-M240)*(Z240+AA240)+($Z$120+$AA$120-$Z$240-$AA$240)*(L240)</f>
        <v>71.532094840275931</v>
      </c>
      <c r="AF240" s="4" t="s">
        <v>845</v>
      </c>
    </row>
    <row r="241" spans="1:32" ht="11.25" customHeight="1" x14ac:dyDescent="0.25">
      <c r="A241" s="4" t="s">
        <v>21</v>
      </c>
      <c r="B241" s="4" t="s">
        <v>45</v>
      </c>
      <c r="C241" s="4" t="s">
        <v>23</v>
      </c>
      <c r="D241" s="4" t="s">
        <v>46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44774</v>
      </c>
      <c r="J241" s="6">
        <v>0</v>
      </c>
      <c r="K241" s="6">
        <v>0</v>
      </c>
      <c r="L241" s="6">
        <v>357.86599999999999</v>
      </c>
      <c r="M241" s="6">
        <v>357.86599999999999</v>
      </c>
      <c r="N241" s="6">
        <v>357.86599999999999</v>
      </c>
      <c r="O241" s="6">
        <v>357.86599999999999</v>
      </c>
      <c r="P241" s="6">
        <v>2432</v>
      </c>
      <c r="Q241" s="4" t="s">
        <v>26</v>
      </c>
      <c r="R241" s="4">
        <v>0</v>
      </c>
      <c r="S241" s="4">
        <v>0</v>
      </c>
      <c r="T241" s="4">
        <v>51</v>
      </c>
      <c r="U241" s="4">
        <v>93</v>
      </c>
      <c r="V241" s="6">
        <f>IF(ISERROR(VLOOKUP($S$241,'TAR FIN'!$A$1:$O$108,15,0)),0,VLOOKUP($S$241,'TAR FIN'!$A$1:$O$108,15,0))</f>
        <v>0</v>
      </c>
      <c r="W241" s="6">
        <f>IF(ISERROR(VLOOKUP($T$241,'TAR FIN'!$A$1:$O$108,15,0)),0,VLOOKUP($T$241,'TAR FIN'!$A$1:$O$108,15,0))</f>
        <v>380.18</v>
      </c>
      <c r="X241" s="6">
        <f>IF(ISERROR(VLOOKUP($U$241,'TAR FIN'!$A$1:$O$108,15,0)),0,VLOOKUP($U$241,'TAR FIN'!$A$1:$O$108,15,0))</f>
        <v>94.86</v>
      </c>
      <c r="Y241" s="6"/>
      <c r="Z241" s="6">
        <f ca="1">('TUSD BE'!$AM$49+'TUSD BF'!$AM$49+'TUSD CVA'!$AM$49)*(1-CUSTOS!$M$38)</f>
        <v>467.36052318380649</v>
      </c>
      <c r="AA241" s="6">
        <f>('TE BE'!$AB$29+'TE BF'!$AB$29+'TE CVA'!$AB$29)*(1-CUSTOS!$M$38)</f>
        <v>211.01083627805076</v>
      </c>
      <c r="AB241" s="6">
        <f t="shared" si="16"/>
        <v>0</v>
      </c>
      <c r="AC241" s="6">
        <f>(L241-M241)*(W241+X241)+($W$120+$X$120-$W$241-$X$241)*(L241)</f>
        <v>23178.980819999979</v>
      </c>
      <c r="AD241" s="6">
        <f t="shared" si="17"/>
        <v>0</v>
      </c>
      <c r="AE241" s="6">
        <f ca="1">(L241-M241)*(Z241+AA241)+($Z$120+$AA$120-$Z$241-$AA$241)*(L241)</f>
        <v>15495.704995224083</v>
      </c>
      <c r="AF241" s="4" t="s">
        <v>845</v>
      </c>
    </row>
    <row r="242" spans="1:32" ht="11.25" customHeight="1" x14ac:dyDescent="0.25">
      <c r="A242" s="4" t="s">
        <v>27</v>
      </c>
      <c r="B242" s="4" t="s">
        <v>45</v>
      </c>
      <c r="C242" s="4" t="s">
        <v>23</v>
      </c>
      <c r="D242" s="4" t="s">
        <v>46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44774</v>
      </c>
      <c r="J242" s="6">
        <v>0</v>
      </c>
      <c r="K242" s="6">
        <v>0</v>
      </c>
      <c r="L242" s="6">
        <v>0.192</v>
      </c>
      <c r="M242" s="6">
        <v>0.192</v>
      </c>
      <c r="N242" s="6">
        <v>0.192</v>
      </c>
      <c r="O242" s="6">
        <v>0.192</v>
      </c>
      <c r="P242" s="6">
        <v>1</v>
      </c>
      <c r="Q242" s="4" t="s">
        <v>26</v>
      </c>
      <c r="R242" s="4">
        <v>0</v>
      </c>
      <c r="S242" s="4">
        <v>0</v>
      </c>
      <c r="T242" s="4">
        <v>51</v>
      </c>
      <c r="U242" s="4">
        <v>93</v>
      </c>
      <c r="V242" s="6">
        <f>IF(ISERROR(VLOOKUP($S$242,'TAR FIN'!$A$1:$O$108,15,0)),0,VLOOKUP($S$242,'TAR FIN'!$A$1:$O$108,15,0))</f>
        <v>0</v>
      </c>
      <c r="W242" s="6">
        <f>IF(ISERROR(VLOOKUP($T$242,'TAR FIN'!$A$1:$O$108,15,0)),0,VLOOKUP($T$242,'TAR FIN'!$A$1:$O$108,15,0))</f>
        <v>380.18</v>
      </c>
      <c r="X242" s="6">
        <f>IF(ISERROR(VLOOKUP($U$242,'TAR FIN'!$A$1:$O$108,15,0)),0,VLOOKUP($U$242,'TAR FIN'!$A$1:$O$108,15,0))</f>
        <v>94.86</v>
      </c>
      <c r="Y242" s="6"/>
      <c r="Z242" s="6">
        <f ca="1">('TUSD BE'!$AM$49+'TUSD BF'!$AM$49+'TUSD CVA'!$AM$49)*(1-CUSTOS!$M$38)</f>
        <v>467.36052318380649</v>
      </c>
      <c r="AA242" s="6">
        <f>('TE BE'!$AB$29+'TE BF'!$AB$29+'TE CVA'!$AB$29)*(1-CUSTOS!$M$38)</f>
        <v>211.01083627805076</v>
      </c>
      <c r="AB242" s="6">
        <f t="shared" si="16"/>
        <v>0</v>
      </c>
      <c r="AC242" s="6">
        <f>(L242-M242)*(W242+X242)+($W$120+$X$120-$W$242-$X$242)*(L242)</f>
        <v>12.435839999999988</v>
      </c>
      <c r="AD242" s="6">
        <f t="shared" si="17"/>
        <v>0</v>
      </c>
      <c r="AE242" s="6">
        <f ca="1">(L242-M242)*(Z242+AA242)+($Z$120+$AA$120-$Z$242-$AA$242)*(L242)</f>
        <v>8.3136575117027718</v>
      </c>
      <c r="AF242" s="4" t="s">
        <v>845</v>
      </c>
    </row>
    <row r="243" spans="1:32" ht="11.25" customHeight="1" x14ac:dyDescent="0.25">
      <c r="A243" s="4" t="s">
        <v>28</v>
      </c>
      <c r="B243" s="4" t="s">
        <v>45</v>
      </c>
      <c r="C243" s="4" t="s">
        <v>23</v>
      </c>
      <c r="D243" s="4" t="s">
        <v>46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44774</v>
      </c>
      <c r="J243" s="6">
        <v>0</v>
      </c>
      <c r="K243" s="6">
        <v>0</v>
      </c>
      <c r="L243" s="6">
        <v>2.2200000000000002</v>
      </c>
      <c r="M243" s="6">
        <v>2.2200000000000002</v>
      </c>
      <c r="N243" s="6">
        <v>2.2200000000000002</v>
      </c>
      <c r="O243" s="6">
        <v>2.2200000000000002</v>
      </c>
      <c r="P243" s="6">
        <v>6</v>
      </c>
      <c r="Q243" s="4" t="s">
        <v>26</v>
      </c>
      <c r="R243" s="4">
        <v>0</v>
      </c>
      <c r="S243" s="4">
        <v>0</v>
      </c>
      <c r="T243" s="4">
        <v>51</v>
      </c>
      <c r="U243" s="4">
        <v>93</v>
      </c>
      <c r="V243" s="6">
        <f>IF(ISERROR(VLOOKUP($S$243,'TAR FIN'!$A$1:$O$108,15,0)),0,VLOOKUP($S$243,'TAR FIN'!$A$1:$O$108,15,0))</f>
        <v>0</v>
      </c>
      <c r="W243" s="6">
        <f>IF(ISERROR(VLOOKUP($T$243,'TAR FIN'!$A$1:$O$108,15,0)),0,VLOOKUP($T$243,'TAR FIN'!$A$1:$O$108,15,0))</f>
        <v>380.18</v>
      </c>
      <c r="X243" s="6">
        <f>IF(ISERROR(VLOOKUP($U$243,'TAR FIN'!$A$1:$O$108,15,0)),0,VLOOKUP($U$243,'TAR FIN'!$A$1:$O$108,15,0))</f>
        <v>94.86</v>
      </c>
      <c r="Y243" s="6"/>
      <c r="Z243" s="6">
        <f ca="1">('TUSD BE'!$AM$49+'TUSD BF'!$AM$49+'TUSD CVA'!$AM$49)*(1-CUSTOS!$M$38)</f>
        <v>467.36052318380649</v>
      </c>
      <c r="AA243" s="6">
        <f>('TE BE'!$AB$29+'TE BF'!$AB$29+'TE CVA'!$AB$29)*(1-CUSTOS!$M$38)</f>
        <v>211.01083627805076</v>
      </c>
      <c r="AB243" s="6">
        <f t="shared" si="16"/>
        <v>0</v>
      </c>
      <c r="AC243" s="6">
        <f>(L243-M243)*(W243+X243)+($W$120+$X$120-$W$243-$X$243)*(L243)</f>
        <v>143.78939999999989</v>
      </c>
      <c r="AD243" s="6">
        <f t="shared" si="17"/>
        <v>0</v>
      </c>
      <c r="AE243" s="6">
        <f ca="1">(L243-M243)*(Z243+AA243)+($Z$120+$AA$120-$Z$243-$AA$243)*(L243)</f>
        <v>96.126664979063307</v>
      </c>
      <c r="AF243" s="4" t="s">
        <v>845</v>
      </c>
    </row>
    <row r="244" spans="1:32" ht="11.25" customHeight="1" x14ac:dyDescent="0.25">
      <c r="A244" s="4" t="s">
        <v>21</v>
      </c>
      <c r="B244" s="4" t="s">
        <v>45</v>
      </c>
      <c r="C244" s="4" t="s">
        <v>23</v>
      </c>
      <c r="D244" s="4" t="s">
        <v>46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44805</v>
      </c>
      <c r="J244" s="6">
        <v>0</v>
      </c>
      <c r="K244" s="6">
        <v>0</v>
      </c>
      <c r="L244" s="6">
        <v>383.43799999999999</v>
      </c>
      <c r="M244" s="6">
        <v>383.43799999999999</v>
      </c>
      <c r="N244" s="6">
        <v>383.43799999999999</v>
      </c>
      <c r="O244" s="6">
        <v>383.43799999999999</v>
      </c>
      <c r="P244" s="6">
        <v>2393</v>
      </c>
      <c r="Q244" s="4" t="s">
        <v>26</v>
      </c>
      <c r="R244" s="4">
        <v>0</v>
      </c>
      <c r="S244" s="4">
        <v>0</v>
      </c>
      <c r="T244" s="4">
        <v>51</v>
      </c>
      <c r="U244" s="4">
        <v>93</v>
      </c>
      <c r="V244" s="6">
        <f>IF(ISERROR(VLOOKUP($S$244,'TAR FIN'!$A$1:$O$108,15,0)),0,VLOOKUP($S$244,'TAR FIN'!$A$1:$O$108,15,0))</f>
        <v>0</v>
      </c>
      <c r="W244" s="6">
        <f>IF(ISERROR(VLOOKUP($T$244,'TAR FIN'!$A$1:$O$108,15,0)),0,VLOOKUP($T$244,'TAR FIN'!$A$1:$O$108,15,0))</f>
        <v>380.18</v>
      </c>
      <c r="X244" s="6">
        <f>IF(ISERROR(VLOOKUP($U$244,'TAR FIN'!$A$1:$O$108,15,0)),0,VLOOKUP($U$244,'TAR FIN'!$A$1:$O$108,15,0))</f>
        <v>94.86</v>
      </c>
      <c r="Y244" s="6"/>
      <c r="Z244" s="6">
        <f ca="1">('TUSD BE'!$AM$49+'TUSD BF'!$AM$49+'TUSD CVA'!$AM$49)*(1-CUSTOS!$M$38)</f>
        <v>467.36052318380649</v>
      </c>
      <c r="AA244" s="6">
        <f>('TE BE'!$AB$29+'TE BF'!$AB$29+'TE CVA'!$AB$29)*(1-CUSTOS!$M$38)</f>
        <v>211.01083627805076</v>
      </c>
      <c r="AB244" s="6">
        <f t="shared" si="16"/>
        <v>0</v>
      </c>
      <c r="AC244" s="6">
        <f>(L244-M244)*(W244+X244)+($W$120+$X$120-$W$244-$X$244)*(L244)</f>
        <v>24835.279259999978</v>
      </c>
      <c r="AD244" s="6">
        <f t="shared" si="17"/>
        <v>0</v>
      </c>
      <c r="AE244" s="6">
        <f ca="1">(L244-M244)*(Z244+AA244)+($Z$120+$AA$120-$Z$244-$AA$244)*(L244)</f>
        <v>16602.980255063994</v>
      </c>
      <c r="AF244" s="4" t="s">
        <v>845</v>
      </c>
    </row>
    <row r="245" spans="1:32" ht="11.25" customHeight="1" x14ac:dyDescent="0.25">
      <c r="A245" s="4" t="s">
        <v>27</v>
      </c>
      <c r="B245" s="4" t="s">
        <v>45</v>
      </c>
      <c r="C245" s="4" t="s">
        <v>23</v>
      </c>
      <c r="D245" s="4" t="s">
        <v>46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44805</v>
      </c>
      <c r="J245" s="6">
        <v>0</v>
      </c>
      <c r="K245" s="6">
        <v>0</v>
      </c>
      <c r="L245" s="6">
        <v>-20.170999999999999</v>
      </c>
      <c r="M245" s="6">
        <v>-20.170999999999999</v>
      </c>
      <c r="N245" s="6">
        <v>-20.170999999999999</v>
      </c>
      <c r="O245" s="6">
        <v>-20.170999999999999</v>
      </c>
      <c r="P245" s="6">
        <v>-76</v>
      </c>
      <c r="Q245" s="4" t="s">
        <v>26</v>
      </c>
      <c r="R245" s="4">
        <v>0</v>
      </c>
      <c r="S245" s="4">
        <v>0</v>
      </c>
      <c r="T245" s="4">
        <v>51</v>
      </c>
      <c r="U245" s="4">
        <v>93</v>
      </c>
      <c r="V245" s="6">
        <f>IF(ISERROR(VLOOKUP($S$245,'TAR FIN'!$A$1:$O$108,15,0)),0,VLOOKUP($S$245,'TAR FIN'!$A$1:$O$108,15,0))</f>
        <v>0</v>
      </c>
      <c r="W245" s="6">
        <f>IF(ISERROR(VLOOKUP($T$245,'TAR FIN'!$A$1:$O$108,15,0)),0,VLOOKUP($T$245,'TAR FIN'!$A$1:$O$108,15,0))</f>
        <v>380.18</v>
      </c>
      <c r="X245" s="6">
        <f>IF(ISERROR(VLOOKUP($U$245,'TAR FIN'!$A$1:$O$108,15,0)),0,VLOOKUP($U$245,'TAR FIN'!$A$1:$O$108,15,0))</f>
        <v>94.86</v>
      </c>
      <c r="Y245" s="6"/>
      <c r="Z245" s="6">
        <f ca="1">('TUSD BE'!$AM$49+'TUSD BF'!$AM$49+'TUSD CVA'!$AM$49)*(1-CUSTOS!$M$38)</f>
        <v>467.36052318380649</v>
      </c>
      <c r="AA245" s="6">
        <f>('TE BE'!$AB$29+'TE BF'!$AB$29+'TE CVA'!$AB$29)*(1-CUSTOS!$M$38)</f>
        <v>211.01083627805076</v>
      </c>
      <c r="AB245" s="6">
        <f t="shared" si="16"/>
        <v>0</v>
      </c>
      <c r="AC245" s="6">
        <f>(L245-M245)*(W245+X245)+($W$120+$X$120-$W$245-$X$245)*(L245)</f>
        <v>-1306.4756699999987</v>
      </c>
      <c r="AD245" s="6">
        <f t="shared" si="17"/>
        <v>0</v>
      </c>
      <c r="AE245" s="6">
        <f ca="1">(L245-M245)*(Z245+AA245)+($Z$120+$AA$120-$Z$245-$AA$245)*(L245)</f>
        <v>-873.41034202373226</v>
      </c>
      <c r="AF245" s="4" t="s">
        <v>845</v>
      </c>
    </row>
    <row r="246" spans="1:32" ht="11.25" customHeight="1" x14ac:dyDescent="0.25">
      <c r="A246" s="4" t="s">
        <v>28</v>
      </c>
      <c r="B246" s="4" t="s">
        <v>45</v>
      </c>
      <c r="C246" s="4" t="s">
        <v>23</v>
      </c>
      <c r="D246" s="4" t="s">
        <v>46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44805</v>
      </c>
      <c r="J246" s="6">
        <v>0</v>
      </c>
      <c r="K246" s="6">
        <v>0</v>
      </c>
      <c r="L246" s="6">
        <v>1.9279999999999999</v>
      </c>
      <c r="M246" s="6">
        <v>1.9279999999999999</v>
      </c>
      <c r="N246" s="6">
        <v>1.9279999999999999</v>
      </c>
      <c r="O246" s="6">
        <v>1.9279999999999999</v>
      </c>
      <c r="P246" s="6">
        <v>5</v>
      </c>
      <c r="Q246" s="4" t="s">
        <v>26</v>
      </c>
      <c r="R246" s="4">
        <v>0</v>
      </c>
      <c r="S246" s="4">
        <v>0</v>
      </c>
      <c r="T246" s="4">
        <v>51</v>
      </c>
      <c r="U246" s="4">
        <v>93</v>
      </c>
      <c r="V246" s="6">
        <f>IF(ISERROR(VLOOKUP($S$246,'TAR FIN'!$A$1:$O$108,15,0)),0,VLOOKUP($S$246,'TAR FIN'!$A$1:$O$108,15,0))</f>
        <v>0</v>
      </c>
      <c r="W246" s="6">
        <f>IF(ISERROR(VLOOKUP($T$246,'TAR FIN'!$A$1:$O$108,15,0)),0,VLOOKUP($T$246,'TAR FIN'!$A$1:$O$108,15,0))</f>
        <v>380.18</v>
      </c>
      <c r="X246" s="6">
        <f>IF(ISERROR(VLOOKUP($U$246,'TAR FIN'!$A$1:$O$108,15,0)),0,VLOOKUP($U$246,'TAR FIN'!$A$1:$O$108,15,0))</f>
        <v>94.86</v>
      </c>
      <c r="Y246" s="6"/>
      <c r="Z246" s="6">
        <f ca="1">('TUSD BE'!$AM$49+'TUSD BF'!$AM$49+'TUSD CVA'!$AM$49)*(1-CUSTOS!$M$38)</f>
        <v>467.36052318380649</v>
      </c>
      <c r="AA246" s="6">
        <f>('TE BE'!$AB$29+'TE BF'!$AB$29+'TE CVA'!$AB$29)*(1-CUSTOS!$M$38)</f>
        <v>211.01083627805076</v>
      </c>
      <c r="AB246" s="6">
        <f t="shared" si="16"/>
        <v>0</v>
      </c>
      <c r="AC246" s="6">
        <f>(L246-M246)*(W246+X246)+($W$120+$X$120-$W$246-$X$246)*(L246)</f>
        <v>124.87655999999988</v>
      </c>
      <c r="AD246" s="6">
        <f t="shared" si="17"/>
        <v>0</v>
      </c>
      <c r="AE246" s="6">
        <f ca="1">(L246-M246)*(Z246+AA246)+($Z$120+$AA$120-$Z$246-$AA$246)*(L246)</f>
        <v>83.482977513348658</v>
      </c>
      <c r="AF246" s="4" t="s">
        <v>845</v>
      </c>
    </row>
    <row r="247" spans="1:32" ht="11.25" customHeight="1" x14ac:dyDescent="0.25">
      <c r="A247" s="4" t="s">
        <v>21</v>
      </c>
      <c r="B247" s="4" t="s">
        <v>45</v>
      </c>
      <c r="C247" s="4" t="s">
        <v>23</v>
      </c>
      <c r="D247" s="4" t="s">
        <v>46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44835</v>
      </c>
      <c r="J247" s="6">
        <v>0</v>
      </c>
      <c r="K247" s="6">
        <v>0</v>
      </c>
      <c r="L247" s="6">
        <v>412.11599999999999</v>
      </c>
      <c r="M247" s="6">
        <v>412.11599999999999</v>
      </c>
      <c r="N247" s="6">
        <v>412.11599999999999</v>
      </c>
      <c r="O247" s="6">
        <v>412.11599999999999</v>
      </c>
      <c r="P247" s="6">
        <v>2393</v>
      </c>
      <c r="Q247" s="4" t="s">
        <v>26</v>
      </c>
      <c r="R247" s="4">
        <v>0</v>
      </c>
      <c r="S247" s="4">
        <v>0</v>
      </c>
      <c r="T247" s="4">
        <v>51</v>
      </c>
      <c r="U247" s="4">
        <v>93</v>
      </c>
      <c r="V247" s="6">
        <f>IF(ISERROR(VLOOKUP($S$247,'TAR FIN'!$A$1:$O$108,15,0)),0,VLOOKUP($S$247,'TAR FIN'!$A$1:$O$108,15,0))</f>
        <v>0</v>
      </c>
      <c r="W247" s="6">
        <f>IF(ISERROR(VLOOKUP($T$247,'TAR FIN'!$A$1:$O$108,15,0)),0,VLOOKUP($T$247,'TAR FIN'!$A$1:$O$108,15,0))</f>
        <v>380.18</v>
      </c>
      <c r="X247" s="6">
        <f>IF(ISERROR(VLOOKUP($U$247,'TAR FIN'!$A$1:$O$108,15,0)),0,VLOOKUP($U$247,'TAR FIN'!$A$1:$O$108,15,0))</f>
        <v>94.86</v>
      </c>
      <c r="Y247" s="6"/>
      <c r="Z247" s="6">
        <f ca="1">('TUSD BE'!$AM$49+'TUSD BF'!$AM$49+'TUSD CVA'!$AM$49)*(1-CUSTOS!$M$38)</f>
        <v>467.36052318380649</v>
      </c>
      <c r="AA247" s="6">
        <f>('TE BE'!$AB$29+'TE BF'!$AB$29+'TE CVA'!$AB$29)*(1-CUSTOS!$M$38)</f>
        <v>211.01083627805076</v>
      </c>
      <c r="AB247" s="6">
        <f t="shared" si="16"/>
        <v>0</v>
      </c>
      <c r="AC247" s="6">
        <f>(L247-M247)*(W247+X247)+($W$120+$X$120-$W$247-$X$247)*(L247)</f>
        <v>26692.753319999974</v>
      </c>
      <c r="AD247" s="6">
        <f t="shared" si="17"/>
        <v>0</v>
      </c>
      <c r="AE247" s="6">
        <f ca="1">(L247-M247)*(Z247+AA247)+($Z$120+$AA$120-$Z$247-$AA$247)*(L247)</f>
        <v>17844.746245275517</v>
      </c>
      <c r="AF247" s="4" t="s">
        <v>845</v>
      </c>
    </row>
    <row r="248" spans="1:32" ht="11.25" customHeight="1" x14ac:dyDescent="0.25">
      <c r="A248" s="4" t="s">
        <v>27</v>
      </c>
      <c r="B248" s="4" t="s">
        <v>45</v>
      </c>
      <c r="C248" s="4" t="s">
        <v>23</v>
      </c>
      <c r="D248" s="4" t="s">
        <v>46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44835</v>
      </c>
      <c r="J248" s="6">
        <v>0</v>
      </c>
      <c r="K248" s="6">
        <v>0</v>
      </c>
      <c r="L248" s="6">
        <v>-13.420999999999999</v>
      </c>
      <c r="M248" s="6">
        <v>-13.420999999999999</v>
      </c>
      <c r="N248" s="6">
        <v>-13.420999999999999</v>
      </c>
      <c r="O248" s="6">
        <v>-13.420999999999999</v>
      </c>
      <c r="P248" s="6">
        <v>-3</v>
      </c>
      <c r="Q248" s="4" t="s">
        <v>26</v>
      </c>
      <c r="R248" s="4">
        <v>0</v>
      </c>
      <c r="S248" s="4">
        <v>0</v>
      </c>
      <c r="T248" s="4">
        <v>51</v>
      </c>
      <c r="U248" s="4">
        <v>93</v>
      </c>
      <c r="V248" s="6">
        <f>IF(ISERROR(VLOOKUP($S$248,'TAR FIN'!$A$1:$O$108,15,0)),0,VLOOKUP($S$248,'TAR FIN'!$A$1:$O$108,15,0))</f>
        <v>0</v>
      </c>
      <c r="W248" s="6">
        <f>IF(ISERROR(VLOOKUP($T$248,'TAR FIN'!$A$1:$O$108,15,0)),0,VLOOKUP($T$248,'TAR FIN'!$A$1:$O$108,15,0))</f>
        <v>380.18</v>
      </c>
      <c r="X248" s="6">
        <f>IF(ISERROR(VLOOKUP($U$248,'TAR FIN'!$A$1:$O$108,15,0)),0,VLOOKUP($U$248,'TAR FIN'!$A$1:$O$108,15,0))</f>
        <v>94.86</v>
      </c>
      <c r="Y248" s="6"/>
      <c r="Z248" s="6">
        <f ca="1">('TUSD BE'!$AM$49+'TUSD BF'!$AM$49+'TUSD CVA'!$AM$49)*(1-CUSTOS!$M$38)</f>
        <v>467.36052318380649</v>
      </c>
      <c r="AA248" s="6">
        <f>('TE BE'!$AB$29+'TE BF'!$AB$29+'TE CVA'!$AB$29)*(1-CUSTOS!$M$38)</f>
        <v>211.01083627805076</v>
      </c>
      <c r="AB248" s="6">
        <f t="shared" si="16"/>
        <v>0</v>
      </c>
      <c r="AC248" s="6">
        <f>(L248-M248)*(W248+X248)+($W$120+$X$120-$W$248-$X$248)*(L248)</f>
        <v>-869.27816999999914</v>
      </c>
      <c r="AD248" s="6">
        <f t="shared" si="17"/>
        <v>0</v>
      </c>
      <c r="AE248" s="6">
        <f ca="1">(L248-M248)*(Z248+AA248)+($Z$120+$AA$120-$Z$248-$AA$248)*(L248)</f>
        <v>-581.13332012793171</v>
      </c>
      <c r="AF248" s="4" t="s">
        <v>845</v>
      </c>
    </row>
    <row r="249" spans="1:32" ht="11.25" customHeight="1" x14ac:dyDescent="0.25">
      <c r="A249" s="4" t="s">
        <v>28</v>
      </c>
      <c r="B249" s="4" t="s">
        <v>45</v>
      </c>
      <c r="C249" s="4" t="s">
        <v>23</v>
      </c>
      <c r="D249" s="4" t="s">
        <v>46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44835</v>
      </c>
      <c r="J249" s="6">
        <v>0</v>
      </c>
      <c r="K249" s="6">
        <v>0</v>
      </c>
      <c r="L249" s="6">
        <v>2.3210000000000002</v>
      </c>
      <c r="M249" s="6">
        <v>2.3210000000000002</v>
      </c>
      <c r="N249" s="6">
        <v>2.3210000000000002</v>
      </c>
      <c r="O249" s="6">
        <v>2.3210000000000002</v>
      </c>
      <c r="P249" s="6">
        <v>6</v>
      </c>
      <c r="Q249" s="4" t="s">
        <v>26</v>
      </c>
      <c r="R249" s="4">
        <v>0</v>
      </c>
      <c r="S249" s="4">
        <v>0</v>
      </c>
      <c r="T249" s="4">
        <v>51</v>
      </c>
      <c r="U249" s="4">
        <v>93</v>
      </c>
      <c r="V249" s="6">
        <f>IF(ISERROR(VLOOKUP($S$249,'TAR FIN'!$A$1:$O$108,15,0)),0,VLOOKUP($S$249,'TAR FIN'!$A$1:$O$108,15,0))</f>
        <v>0</v>
      </c>
      <c r="W249" s="6">
        <f>IF(ISERROR(VLOOKUP($T$249,'TAR FIN'!$A$1:$O$108,15,0)),0,VLOOKUP($T$249,'TAR FIN'!$A$1:$O$108,15,0))</f>
        <v>380.18</v>
      </c>
      <c r="X249" s="6">
        <f>IF(ISERROR(VLOOKUP($U$249,'TAR FIN'!$A$1:$O$108,15,0)),0,VLOOKUP($U$249,'TAR FIN'!$A$1:$O$108,15,0))</f>
        <v>94.86</v>
      </c>
      <c r="Y249" s="6"/>
      <c r="Z249" s="6">
        <f ca="1">('TUSD BE'!$AM$49+'TUSD BF'!$AM$49+'TUSD CVA'!$AM$49)*(1-CUSTOS!$M$38)</f>
        <v>467.36052318380649</v>
      </c>
      <c r="AA249" s="6">
        <f>('TE BE'!$AB$29+'TE BF'!$AB$29+'TE CVA'!$AB$29)*(1-CUSTOS!$M$38)</f>
        <v>211.01083627805076</v>
      </c>
      <c r="AB249" s="6">
        <f t="shared" si="16"/>
        <v>0</v>
      </c>
      <c r="AC249" s="6">
        <f>(L249-M249)*(W249+X249)+($W$120+$X$120-$W$249-$X$249)*(L249)</f>
        <v>150.33116999999987</v>
      </c>
      <c r="AD249" s="6">
        <f t="shared" si="17"/>
        <v>0</v>
      </c>
      <c r="AE249" s="6">
        <f ca="1">(L249-M249)*(Z249+AA249)+($Z$120+$AA$120-$Z$249-$AA$249)*(L249)</f>
        <v>100.49999523261528</v>
      </c>
      <c r="AF249" s="4" t="s">
        <v>845</v>
      </c>
    </row>
    <row r="250" spans="1:32" ht="11.25" customHeight="1" x14ac:dyDescent="0.25">
      <c r="A250" s="4" t="s">
        <v>54</v>
      </c>
      <c r="B250" s="4" t="s">
        <v>45</v>
      </c>
      <c r="C250" s="4" t="s">
        <v>23</v>
      </c>
      <c r="D250" s="4" t="s">
        <v>46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44866</v>
      </c>
      <c r="J250" s="6">
        <v>0</v>
      </c>
      <c r="K250" s="6">
        <v>0</v>
      </c>
      <c r="L250" s="6">
        <v>412.11599999999999</v>
      </c>
      <c r="M250" s="6">
        <v>412.11599999999999</v>
      </c>
      <c r="N250" s="6">
        <v>412.11599999999999</v>
      </c>
      <c r="O250" s="6">
        <v>412.11599999999999</v>
      </c>
      <c r="P250" s="6">
        <v>2393</v>
      </c>
      <c r="Q250" s="4" t="s">
        <v>26</v>
      </c>
      <c r="R250" s="4">
        <v>0</v>
      </c>
      <c r="S250" s="4">
        <v>0</v>
      </c>
      <c r="T250" s="4">
        <v>51</v>
      </c>
      <c r="U250" s="4">
        <v>93</v>
      </c>
      <c r="V250" s="6">
        <f>IF(ISERROR(VLOOKUP($S$250,'TAR FIN'!$A$1:$O$108,15,0)),0,VLOOKUP($S$250,'TAR FIN'!$A$1:$O$108,15,0))</f>
        <v>0</v>
      </c>
      <c r="W250" s="6">
        <f>IF(ISERROR(VLOOKUP($T$250,'TAR FIN'!$A$1:$O$108,15,0)),0,VLOOKUP($T$250,'TAR FIN'!$A$1:$O$108,15,0))</f>
        <v>380.18</v>
      </c>
      <c r="X250" s="6">
        <f>IF(ISERROR(VLOOKUP($U$250,'TAR FIN'!$A$1:$O$108,15,0)),0,VLOOKUP($U$250,'TAR FIN'!$A$1:$O$108,15,0))</f>
        <v>94.86</v>
      </c>
      <c r="Y250" s="6"/>
      <c r="Z250" s="6">
        <f ca="1">('TUSD BE'!$AM$49+'TUSD BF'!$AM$49+'TUSD CVA'!$AM$49)*(1-CUSTOS!$M$38)</f>
        <v>467.36052318380649</v>
      </c>
      <c r="AA250" s="6">
        <f>('TE BE'!$AB$29+'TE BF'!$AB$29+'TE CVA'!$AB$29)*(1-CUSTOS!$M$38)</f>
        <v>211.01083627805076</v>
      </c>
      <c r="AB250" s="6">
        <f t="shared" si="16"/>
        <v>0</v>
      </c>
      <c r="AC250" s="6">
        <f>(L250-M250)*(W250+X250)+($W$120+$X$120-$W$250-$X$250)*(L250)</f>
        <v>26692.753319999974</v>
      </c>
      <c r="AD250" s="6">
        <f t="shared" si="17"/>
        <v>0</v>
      </c>
      <c r="AE250" s="6">
        <f ca="1">(L250-M250)*(Z250+AA250)+($Z$120+$AA$120-$Z$250-$AA$250)*(L250)</f>
        <v>17844.746245275517</v>
      </c>
      <c r="AF250" s="4" t="s">
        <v>845</v>
      </c>
    </row>
    <row r="251" spans="1:32" ht="11.25" customHeight="1" x14ac:dyDescent="0.25">
      <c r="A251" s="4" t="s">
        <v>54</v>
      </c>
      <c r="B251" s="4" t="s">
        <v>45</v>
      </c>
      <c r="C251" s="4" t="s">
        <v>23</v>
      </c>
      <c r="D251" s="4" t="s">
        <v>46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44866</v>
      </c>
      <c r="J251" s="6">
        <v>0</v>
      </c>
      <c r="K251" s="6">
        <v>0</v>
      </c>
      <c r="L251" s="6">
        <v>-13.420999999999999</v>
      </c>
      <c r="M251" s="6">
        <v>-13.420999999999999</v>
      </c>
      <c r="N251" s="6">
        <v>-13.420999999999999</v>
      </c>
      <c r="O251" s="6">
        <v>-13.420999999999999</v>
      </c>
      <c r="P251" s="6">
        <v>-3</v>
      </c>
      <c r="Q251" s="4" t="s">
        <v>26</v>
      </c>
      <c r="R251" s="4">
        <v>0</v>
      </c>
      <c r="S251" s="4">
        <v>0</v>
      </c>
      <c r="T251" s="4">
        <v>51</v>
      </c>
      <c r="U251" s="4">
        <v>93</v>
      </c>
      <c r="V251" s="6">
        <f>IF(ISERROR(VLOOKUP($S$251,'TAR FIN'!$A$1:$O$108,15,0)),0,VLOOKUP($S$251,'TAR FIN'!$A$1:$O$108,15,0))</f>
        <v>0</v>
      </c>
      <c r="W251" s="6">
        <f>IF(ISERROR(VLOOKUP($T$251,'TAR FIN'!$A$1:$O$108,15,0)),0,VLOOKUP($T$251,'TAR FIN'!$A$1:$O$108,15,0))</f>
        <v>380.18</v>
      </c>
      <c r="X251" s="6">
        <f>IF(ISERROR(VLOOKUP($U$251,'TAR FIN'!$A$1:$O$108,15,0)),0,VLOOKUP($U$251,'TAR FIN'!$A$1:$O$108,15,0))</f>
        <v>94.86</v>
      </c>
      <c r="Y251" s="6"/>
      <c r="Z251" s="6">
        <f ca="1">('TUSD BE'!$AM$49+'TUSD BF'!$AM$49+'TUSD CVA'!$AM$49)*(1-CUSTOS!$M$38)</f>
        <v>467.36052318380649</v>
      </c>
      <c r="AA251" s="6">
        <f>('TE BE'!$AB$29+'TE BF'!$AB$29+'TE CVA'!$AB$29)*(1-CUSTOS!$M$38)</f>
        <v>211.01083627805076</v>
      </c>
      <c r="AB251" s="6">
        <f t="shared" si="16"/>
        <v>0</v>
      </c>
      <c r="AC251" s="6">
        <f>(L251-M251)*(W251+X251)+($W$120+$X$120-$W$251-$X$251)*(L251)</f>
        <v>-869.27816999999914</v>
      </c>
      <c r="AD251" s="6">
        <f t="shared" si="17"/>
        <v>0</v>
      </c>
      <c r="AE251" s="6">
        <f ca="1">(L251-M251)*(Z251+AA251)+($Z$120+$AA$120-$Z$251-$AA$251)*(L251)</f>
        <v>-581.13332012793171</v>
      </c>
      <c r="AF251" s="4" t="s">
        <v>845</v>
      </c>
    </row>
    <row r="252" spans="1:32" ht="11.25" customHeight="1" x14ac:dyDescent="0.25">
      <c r="A252" s="4" t="s">
        <v>54</v>
      </c>
      <c r="B252" s="4" t="s">
        <v>45</v>
      </c>
      <c r="C252" s="4" t="s">
        <v>23</v>
      </c>
      <c r="D252" s="4" t="s">
        <v>46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44866</v>
      </c>
      <c r="J252" s="6">
        <v>0</v>
      </c>
      <c r="K252" s="6">
        <v>0</v>
      </c>
      <c r="L252" s="6">
        <v>2.3210000000000002</v>
      </c>
      <c r="M252" s="6">
        <v>2.3210000000000002</v>
      </c>
      <c r="N252" s="6">
        <v>2.3210000000000002</v>
      </c>
      <c r="O252" s="6">
        <v>2.3210000000000002</v>
      </c>
      <c r="P252" s="6">
        <v>6</v>
      </c>
      <c r="Q252" s="4" t="s">
        <v>26</v>
      </c>
      <c r="R252" s="4">
        <v>0</v>
      </c>
      <c r="S252" s="4">
        <v>0</v>
      </c>
      <c r="T252" s="4">
        <v>51</v>
      </c>
      <c r="U252" s="4">
        <v>93</v>
      </c>
      <c r="V252" s="6">
        <f>IF(ISERROR(VLOOKUP($S$252,'TAR FIN'!$A$1:$O$108,15,0)),0,VLOOKUP($S$252,'TAR FIN'!$A$1:$O$108,15,0))</f>
        <v>0</v>
      </c>
      <c r="W252" s="6">
        <f>IF(ISERROR(VLOOKUP($T$252,'TAR FIN'!$A$1:$O$108,15,0)),0,VLOOKUP($T$252,'TAR FIN'!$A$1:$O$108,15,0))</f>
        <v>380.18</v>
      </c>
      <c r="X252" s="6">
        <f>IF(ISERROR(VLOOKUP($U$252,'TAR FIN'!$A$1:$O$108,15,0)),0,VLOOKUP($U$252,'TAR FIN'!$A$1:$O$108,15,0))</f>
        <v>94.86</v>
      </c>
      <c r="Y252" s="6"/>
      <c r="Z252" s="6">
        <f ca="1">('TUSD BE'!$AM$49+'TUSD BF'!$AM$49+'TUSD CVA'!$AM$49)*(1-CUSTOS!$M$38)</f>
        <v>467.36052318380649</v>
      </c>
      <c r="AA252" s="6">
        <f>('TE BE'!$AB$29+'TE BF'!$AB$29+'TE CVA'!$AB$29)*(1-CUSTOS!$M$38)</f>
        <v>211.01083627805076</v>
      </c>
      <c r="AB252" s="6">
        <f t="shared" si="16"/>
        <v>0</v>
      </c>
      <c r="AC252" s="6">
        <f>(L252-M252)*(W252+X252)+($W$120+$X$120-$W$252-$X$252)*(L252)</f>
        <v>150.33116999999987</v>
      </c>
      <c r="AD252" s="6">
        <f t="shared" si="17"/>
        <v>0</v>
      </c>
      <c r="AE252" s="6">
        <f ca="1">(L252-M252)*(Z252+AA252)+($Z$120+$AA$120-$Z$252-$AA$252)*(L252)</f>
        <v>100.49999523261528</v>
      </c>
      <c r="AF252" s="4" t="s">
        <v>845</v>
      </c>
    </row>
    <row r="253" spans="1:32" ht="11.25" customHeight="1" x14ac:dyDescent="0.25">
      <c r="A253" s="4" t="s">
        <v>21</v>
      </c>
      <c r="B253" s="4" t="s">
        <v>37</v>
      </c>
      <c r="C253" s="4" t="s">
        <v>23</v>
      </c>
      <c r="D253" s="4" t="s">
        <v>51</v>
      </c>
      <c r="E253" s="4" t="s">
        <v>52</v>
      </c>
      <c r="F253" s="4" t="s">
        <v>25</v>
      </c>
      <c r="G253" s="4" t="s">
        <v>25</v>
      </c>
      <c r="H253" s="4" t="s">
        <v>25</v>
      </c>
      <c r="I253" s="5">
        <v>44531</v>
      </c>
      <c r="J253" s="6">
        <v>0</v>
      </c>
      <c r="K253" s="71">
        <v>0</v>
      </c>
      <c r="L253" s="6">
        <v>328.87</v>
      </c>
      <c r="M253" s="71">
        <v>328.87</v>
      </c>
      <c r="N253" s="6">
        <v>328.87</v>
      </c>
      <c r="O253" s="71">
        <v>328.87</v>
      </c>
      <c r="P253" s="6">
        <v>87</v>
      </c>
      <c r="Q253" s="4" t="s">
        <v>26</v>
      </c>
      <c r="R253" s="4">
        <v>0</v>
      </c>
      <c r="S253" s="4">
        <v>0</v>
      </c>
      <c r="T253" s="4">
        <v>66</v>
      </c>
      <c r="U253" s="4">
        <v>3</v>
      </c>
      <c r="V253" s="71">
        <f>IF(ISERROR(VLOOKUP($S$253,'TAR FIN'!$A$1:$O$108,15,0)),0,VLOOKUP($S$253,'TAR FIN'!$A$1:$O$108,15,0))</f>
        <v>0</v>
      </c>
      <c r="W253" s="71">
        <f>IF(ISERROR(VLOOKUP($T$253,'TAR FIN'!$A$1:$O$108,15,0)),0,VLOOKUP($T$253,'TAR FIN'!$A$1:$O$108,15,0))*(1-0.06)</f>
        <v>406.09879999999998</v>
      </c>
      <c r="X253" s="71">
        <f>IF(ISERROR(VLOOKUP($U$253,'TAR FIN'!$A$1:$O$108,15,0)),0,VLOOKUP($U$253,'TAR FIN'!$A$1:$O$108,15,0))*(1-0.06)</f>
        <v>101.32259999999999</v>
      </c>
      <c r="Y253" s="71"/>
      <c r="Z253" s="71">
        <f ca="1">('TUSD BE'!$AM$64+'TUSD BF'!$AM$64+'TUSD CVA'!$AM$64)*1*(1-0.03)</f>
        <v>482.27628456201313</v>
      </c>
      <c r="AA253" s="71">
        <f>('TE BE'!$AB$44+'TE BF'!$AB$44+'TE CVA'!$AB$44)*1*(1-0.03)</f>
        <v>217.74522466990345</v>
      </c>
      <c r="AB253" s="71">
        <f>(SUBSIDIO!$J$253*SUBSIDIO!$V$253)*(0.06)/(1-0.06)</f>
        <v>0</v>
      </c>
      <c r="AC253" s="71">
        <f>((SUBSIDIO!$L$253*SUBSIDIO!$W$253)+(SUBSIDIO!$N$253*SUBSIDIO!$X$253))*(0.06)/(1-0.06)</f>
        <v>10651.638881999999</v>
      </c>
      <c r="AD253" s="71">
        <f>(SUBSIDIO!$J$253*SUBSIDIO!$Y$253)*(0.03)/(1-0.03)</f>
        <v>0</v>
      </c>
      <c r="AE253" s="71">
        <f ca="1">((SUBSIDIO!$L$253*SUBSIDIO!$Z$253)+(SUBSIDIO!$N$253*SUBSIDIO!$AA$253))*(0.03)/(1-0.03)</f>
        <v>7120.0847548793945</v>
      </c>
      <c r="AF253" s="4" t="s">
        <v>842</v>
      </c>
    </row>
    <row r="254" spans="1:32" ht="11.25" customHeight="1" x14ac:dyDescent="0.25">
      <c r="A254" s="4" t="s">
        <v>27</v>
      </c>
      <c r="B254" s="4" t="s">
        <v>37</v>
      </c>
      <c r="C254" s="4" t="s">
        <v>23</v>
      </c>
      <c r="D254" s="4" t="s">
        <v>51</v>
      </c>
      <c r="E254" s="4" t="s">
        <v>52</v>
      </c>
      <c r="F254" s="4" t="s">
        <v>25</v>
      </c>
      <c r="G254" s="4" t="s">
        <v>25</v>
      </c>
      <c r="H254" s="4" t="s">
        <v>25</v>
      </c>
      <c r="I254" s="5">
        <v>44531</v>
      </c>
      <c r="J254" s="6">
        <v>0</v>
      </c>
      <c r="K254" s="71">
        <v>0</v>
      </c>
      <c r="L254" s="6">
        <v>-81.617999999999995</v>
      </c>
      <c r="M254" s="71">
        <v>-81.617999999999995</v>
      </c>
      <c r="N254" s="6">
        <v>-81.617999999999995</v>
      </c>
      <c r="O254" s="71">
        <v>-81.617999999999995</v>
      </c>
      <c r="P254" s="6">
        <v>-15</v>
      </c>
      <c r="Q254" s="4" t="s">
        <v>26</v>
      </c>
      <c r="R254" s="4">
        <v>0</v>
      </c>
      <c r="S254" s="4">
        <v>0</v>
      </c>
      <c r="T254" s="4">
        <v>66</v>
      </c>
      <c r="U254" s="4">
        <v>3</v>
      </c>
      <c r="V254" s="71">
        <f>IF(ISERROR(VLOOKUP($S$254,'TAR FIN'!$A$1:$O$108,15,0)),0,VLOOKUP($S$254,'TAR FIN'!$A$1:$O$108,15,0))</f>
        <v>0</v>
      </c>
      <c r="W254" s="71">
        <f>IF(ISERROR(VLOOKUP($T$254,'TAR FIN'!$A$1:$O$108,15,0)),0,VLOOKUP($T$254,'TAR FIN'!$A$1:$O$108,15,0))*(1-0.06)</f>
        <v>406.09879999999998</v>
      </c>
      <c r="X254" s="71">
        <f>IF(ISERROR(VLOOKUP($U$254,'TAR FIN'!$A$1:$O$108,15,0)),0,VLOOKUP($U$254,'TAR FIN'!$A$1:$O$108,15,0))*(1-0.06)</f>
        <v>101.32259999999999</v>
      </c>
      <c r="Y254" s="71"/>
      <c r="Z254" s="71">
        <f ca="1">('TUSD BE'!$AM$64+'TUSD BF'!$AM$64+'TUSD CVA'!$AM$64)*1*(1-0.03)</f>
        <v>482.27628456201313</v>
      </c>
      <c r="AA254" s="71">
        <f>('TE BE'!$AB$44+'TE BF'!$AB$44+'TE CVA'!$AB$44)*1*(1-0.03)</f>
        <v>217.74522466990345</v>
      </c>
      <c r="AB254" s="71">
        <f>(SUBSIDIO!$J$254*SUBSIDIO!$V$254)*(0.06)/(1-0.06)</f>
        <v>0</v>
      </c>
      <c r="AC254" s="71">
        <f>((SUBSIDIO!$L$254*SUBSIDIO!$W$254)+(SUBSIDIO!$N$254*SUBSIDIO!$X$254))*(0.06)/(1-0.06)</f>
        <v>-2643.4927548000005</v>
      </c>
      <c r="AD254" s="71">
        <f>(SUBSIDIO!$J$254*SUBSIDIO!$Y$254)*(0.03)/(1-0.03)</f>
        <v>0</v>
      </c>
      <c r="AE254" s="71">
        <f ca="1">((SUBSIDIO!$L$254*SUBSIDIO!$Z$254)+(SUBSIDIO!$N$254*SUBSIDIO!$AA$254))*(0.03)/(1-0.03)</f>
        <v>-1767.0419239326977</v>
      </c>
      <c r="AF254" s="4" t="s">
        <v>842</v>
      </c>
    </row>
    <row r="255" spans="1:32" ht="11.25" customHeight="1" x14ac:dyDescent="0.25">
      <c r="A255" s="4" t="s">
        <v>21</v>
      </c>
      <c r="B255" s="4" t="s">
        <v>37</v>
      </c>
      <c r="C255" s="4" t="s">
        <v>23</v>
      </c>
      <c r="D255" s="4" t="s">
        <v>51</v>
      </c>
      <c r="E255" s="4" t="s">
        <v>52</v>
      </c>
      <c r="F255" s="4" t="s">
        <v>25</v>
      </c>
      <c r="G255" s="4" t="s">
        <v>25</v>
      </c>
      <c r="H255" s="4" t="s">
        <v>25</v>
      </c>
      <c r="I255" s="5">
        <v>44562</v>
      </c>
      <c r="J255" s="6">
        <v>0</v>
      </c>
      <c r="K255" s="71">
        <v>0</v>
      </c>
      <c r="L255" s="6">
        <v>317.13900000000001</v>
      </c>
      <c r="M255" s="71">
        <v>317.13900000000001</v>
      </c>
      <c r="N255" s="6">
        <v>317.13900000000001</v>
      </c>
      <c r="O255" s="71">
        <v>317.13900000000001</v>
      </c>
      <c r="P255" s="6">
        <v>87</v>
      </c>
      <c r="Q255" s="4" t="s">
        <v>26</v>
      </c>
      <c r="R255" s="4">
        <v>0</v>
      </c>
      <c r="S255" s="4">
        <v>0</v>
      </c>
      <c r="T255" s="4">
        <v>66</v>
      </c>
      <c r="U255" s="4">
        <v>3</v>
      </c>
      <c r="V255" s="71">
        <f>IF(ISERROR(VLOOKUP($S$255,'TAR FIN'!$A$1:$O$108,15,0)),0,VLOOKUP($S$255,'TAR FIN'!$A$1:$O$108,15,0))</f>
        <v>0</v>
      </c>
      <c r="W255" s="71">
        <f>IF(ISERROR(VLOOKUP($T$255,'TAR FIN'!$A$1:$O$108,15,0)),0,VLOOKUP($T$255,'TAR FIN'!$A$1:$O$108,15,0))*(1-0.06)</f>
        <v>406.09879999999998</v>
      </c>
      <c r="X255" s="71">
        <f>IF(ISERROR(VLOOKUP($U$255,'TAR FIN'!$A$1:$O$108,15,0)),0,VLOOKUP($U$255,'TAR FIN'!$A$1:$O$108,15,0))*(1-0.06)</f>
        <v>101.32259999999999</v>
      </c>
      <c r="Y255" s="71"/>
      <c r="Z255" s="71">
        <f ca="1">('TUSD BE'!$AM$64+'TUSD BF'!$AM$64+'TUSD CVA'!$AM$64)*1*(1-0.03)</f>
        <v>482.27628456201313</v>
      </c>
      <c r="AA255" s="71">
        <f>('TE BE'!$AB$44+'TE BF'!$AB$44+'TE CVA'!$AB$44)*1*(1-0.03)</f>
        <v>217.74522466990345</v>
      </c>
      <c r="AB255" s="71">
        <f>(SUBSIDIO!$J$255*SUBSIDIO!$V$255)*(0.06)/(1-0.06)</f>
        <v>0</v>
      </c>
      <c r="AC255" s="71">
        <f>((SUBSIDIO!$L$255*SUBSIDIO!$W$255)+(SUBSIDIO!$N$255*SUBSIDIO!$X$255))*(0.06)/(1-0.06)</f>
        <v>10271.6882154</v>
      </c>
      <c r="AD255" s="71">
        <f>(SUBSIDIO!$J$255*SUBSIDIO!$Y$255)*(0.03)/(1-0.03)</f>
        <v>0</v>
      </c>
      <c r="AE255" s="71">
        <f ca="1">((SUBSIDIO!$L$255*SUBSIDIO!$Z$255)+(SUBSIDIO!$N$255*SUBSIDIO!$AA$255))*(0.03)/(1-0.03)</f>
        <v>6866.1068479268288</v>
      </c>
      <c r="AF255" s="4" t="s">
        <v>842</v>
      </c>
    </row>
    <row r="256" spans="1:32" ht="11.25" customHeight="1" x14ac:dyDescent="0.25">
      <c r="A256" s="4" t="s">
        <v>21</v>
      </c>
      <c r="B256" s="4" t="s">
        <v>37</v>
      </c>
      <c r="C256" s="4" t="s">
        <v>23</v>
      </c>
      <c r="D256" s="4" t="s">
        <v>51</v>
      </c>
      <c r="E256" s="4" t="s">
        <v>52</v>
      </c>
      <c r="F256" s="4" t="s">
        <v>25</v>
      </c>
      <c r="G256" s="4" t="s">
        <v>25</v>
      </c>
      <c r="H256" s="4" t="s">
        <v>25</v>
      </c>
      <c r="I256" s="5">
        <v>44593</v>
      </c>
      <c r="J256" s="6">
        <v>0</v>
      </c>
      <c r="K256" s="71">
        <v>0</v>
      </c>
      <c r="L256" s="6">
        <v>295.197</v>
      </c>
      <c r="M256" s="71">
        <v>295.197</v>
      </c>
      <c r="N256" s="6">
        <v>295.197</v>
      </c>
      <c r="O256" s="71">
        <v>295.197</v>
      </c>
      <c r="P256" s="6">
        <v>90</v>
      </c>
      <c r="Q256" s="4" t="s">
        <v>26</v>
      </c>
      <c r="R256" s="4">
        <v>0</v>
      </c>
      <c r="S256" s="4">
        <v>0</v>
      </c>
      <c r="T256" s="4">
        <v>66</v>
      </c>
      <c r="U256" s="4">
        <v>3</v>
      </c>
      <c r="V256" s="71">
        <f>IF(ISERROR(VLOOKUP($S$256,'TAR FIN'!$A$1:$O$108,15,0)),0,VLOOKUP($S$256,'TAR FIN'!$A$1:$O$108,15,0))</f>
        <v>0</v>
      </c>
      <c r="W256" s="71">
        <f>IF(ISERROR(VLOOKUP($T$256,'TAR FIN'!$A$1:$O$108,15,0)),0,VLOOKUP($T$256,'TAR FIN'!$A$1:$O$108,15,0))*(1-0.06)</f>
        <v>406.09879999999998</v>
      </c>
      <c r="X256" s="71">
        <f>IF(ISERROR(VLOOKUP($U$256,'TAR FIN'!$A$1:$O$108,15,0)),0,VLOOKUP($U$256,'TAR FIN'!$A$1:$O$108,15,0))*(1-0.06)</f>
        <v>101.32259999999999</v>
      </c>
      <c r="Y256" s="71"/>
      <c r="Z256" s="71">
        <f ca="1">('TUSD BE'!$AM$64+'TUSD BF'!$AM$64+'TUSD CVA'!$AM$64)*1*(1-0.03)</f>
        <v>482.27628456201313</v>
      </c>
      <c r="AA256" s="71">
        <f>('TE BE'!$AB$44+'TE BF'!$AB$44+'TE CVA'!$AB$44)*1*(1-0.03)</f>
        <v>217.74522466990345</v>
      </c>
      <c r="AB256" s="71">
        <f>(SUBSIDIO!$J$256*SUBSIDIO!$V$256)*(0.06)/(1-0.06)</f>
        <v>0</v>
      </c>
      <c r="AC256" s="71">
        <f>((SUBSIDIO!$L$256*SUBSIDIO!$W$256)+(SUBSIDIO!$N$256*SUBSIDIO!$X$256))*(0.06)/(1-0.06)</f>
        <v>9561.0175541999997</v>
      </c>
      <c r="AD256" s="71">
        <f>(SUBSIDIO!$J$256*SUBSIDIO!$Y$256)*(0.03)/(1-0.03)</f>
        <v>0</v>
      </c>
      <c r="AE256" s="71">
        <f ca="1">((SUBSIDIO!$L$256*SUBSIDIO!$Z$256)+(SUBSIDIO!$N$256*SUBSIDIO!$AA$256))*(0.03)/(1-0.03)</f>
        <v>6391.0592616721879</v>
      </c>
      <c r="AF256" s="4" t="s">
        <v>842</v>
      </c>
    </row>
    <row r="257" spans="1:32" ht="11.25" customHeight="1" x14ac:dyDescent="0.25">
      <c r="A257" s="4" t="s">
        <v>21</v>
      </c>
      <c r="B257" s="4" t="s">
        <v>37</v>
      </c>
      <c r="C257" s="4" t="s">
        <v>23</v>
      </c>
      <c r="D257" s="4" t="s">
        <v>51</v>
      </c>
      <c r="E257" s="4" t="s">
        <v>52</v>
      </c>
      <c r="F257" s="4" t="s">
        <v>25</v>
      </c>
      <c r="G257" s="4" t="s">
        <v>25</v>
      </c>
      <c r="H257" s="4" t="s">
        <v>25</v>
      </c>
      <c r="I257" s="5">
        <v>44621</v>
      </c>
      <c r="J257" s="6">
        <v>0</v>
      </c>
      <c r="K257" s="71">
        <v>0</v>
      </c>
      <c r="L257" s="6">
        <v>341.46100000000001</v>
      </c>
      <c r="M257" s="71">
        <v>341.46100000000001</v>
      </c>
      <c r="N257" s="6">
        <v>341.46100000000001</v>
      </c>
      <c r="O257" s="71">
        <v>341.46100000000001</v>
      </c>
      <c r="P257" s="6">
        <v>92</v>
      </c>
      <c r="Q257" s="4" t="s">
        <v>26</v>
      </c>
      <c r="R257" s="4">
        <v>0</v>
      </c>
      <c r="S257" s="4">
        <v>0</v>
      </c>
      <c r="T257" s="4">
        <v>66</v>
      </c>
      <c r="U257" s="4">
        <v>3</v>
      </c>
      <c r="V257" s="71">
        <f>IF(ISERROR(VLOOKUP($S$257,'TAR FIN'!$A$1:$O$108,15,0)),0,VLOOKUP($S$257,'TAR FIN'!$A$1:$O$108,15,0))</f>
        <v>0</v>
      </c>
      <c r="W257" s="71">
        <f>IF(ISERROR(VLOOKUP($T$257,'TAR FIN'!$A$1:$O$108,15,0)),0,VLOOKUP($T$257,'TAR FIN'!$A$1:$O$108,15,0))*(1-0.06)</f>
        <v>406.09879999999998</v>
      </c>
      <c r="X257" s="71">
        <f>IF(ISERROR(VLOOKUP($U$257,'TAR FIN'!$A$1:$O$108,15,0)),0,VLOOKUP($U$257,'TAR FIN'!$A$1:$O$108,15,0))*(1-0.06)</f>
        <v>101.32259999999999</v>
      </c>
      <c r="Y257" s="71"/>
      <c r="Z257" s="71">
        <f ca="1">('TUSD BE'!$AM$64+'TUSD BF'!$AM$64+'TUSD CVA'!$AM$64)*1*(1-0.03)</f>
        <v>482.27628456201313</v>
      </c>
      <c r="AA257" s="71">
        <f>('TE BE'!$AB$44+'TE BF'!$AB$44+'TE CVA'!$AB$44)*1*(1-0.03)</f>
        <v>217.74522466990345</v>
      </c>
      <c r="AB257" s="71">
        <f>(SUBSIDIO!$J$257*SUBSIDIO!$V$257)*(0.06)/(1-0.06)</f>
        <v>0</v>
      </c>
      <c r="AC257" s="71">
        <f>((SUBSIDIO!$L$257*SUBSIDIO!$W$257)+(SUBSIDIO!$N$257*SUBSIDIO!$X$257))*(0.06)/(1-0.06)</f>
        <v>11059.443744599999</v>
      </c>
      <c r="AD257" s="71">
        <f>(SUBSIDIO!$J$257*SUBSIDIO!$Y$257)*(0.03)/(1-0.03)</f>
        <v>0</v>
      </c>
      <c r="AE257" s="71">
        <f ca="1">((SUBSIDIO!$L$257*SUBSIDIO!$Z$257)+(SUBSIDIO!$N$257*SUBSIDIO!$AA$257))*(0.03)/(1-0.03)</f>
        <v>7392.6817906342112</v>
      </c>
      <c r="AF257" s="4" t="s">
        <v>842</v>
      </c>
    </row>
    <row r="258" spans="1:32" ht="11.25" customHeight="1" x14ac:dyDescent="0.25">
      <c r="A258" s="4" t="s">
        <v>21</v>
      </c>
      <c r="B258" s="4" t="s">
        <v>37</v>
      </c>
      <c r="C258" s="4" t="s">
        <v>23</v>
      </c>
      <c r="D258" s="4" t="s">
        <v>51</v>
      </c>
      <c r="E258" s="4" t="s">
        <v>52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0</v>
      </c>
      <c r="K258" s="71">
        <v>0</v>
      </c>
      <c r="L258" s="6">
        <v>628.62199999999996</v>
      </c>
      <c r="M258" s="71">
        <v>628.62199999999996</v>
      </c>
      <c r="N258" s="6">
        <v>628.62199999999996</v>
      </c>
      <c r="O258" s="71">
        <v>628.62199999999996</v>
      </c>
      <c r="P258" s="6">
        <v>93</v>
      </c>
      <c r="Q258" s="4" t="s">
        <v>26</v>
      </c>
      <c r="R258" s="4">
        <v>0</v>
      </c>
      <c r="S258" s="4">
        <v>0</v>
      </c>
      <c r="T258" s="4">
        <v>66</v>
      </c>
      <c r="U258" s="4">
        <v>3</v>
      </c>
      <c r="V258" s="71">
        <f>IF(ISERROR(VLOOKUP($S$258,'TAR FIN'!$A$1:$O$108,15,0)),0,VLOOKUP($S$258,'TAR FIN'!$A$1:$O$108,15,0))</f>
        <v>0</v>
      </c>
      <c r="W258" s="71">
        <f>IF(ISERROR(VLOOKUP($T$258,'TAR FIN'!$A$1:$O$108,15,0)),0,VLOOKUP($T$258,'TAR FIN'!$A$1:$O$108,15,0))*(1-0.06)</f>
        <v>406.09879999999998</v>
      </c>
      <c r="X258" s="71">
        <f>IF(ISERROR(VLOOKUP($U$258,'TAR FIN'!$A$1:$O$108,15,0)),0,VLOOKUP($U$258,'TAR FIN'!$A$1:$O$108,15,0))*(1-0.06)</f>
        <v>101.32259999999999</v>
      </c>
      <c r="Y258" s="71"/>
      <c r="Z258" s="71">
        <f ca="1">('TUSD BE'!$AM$64+'TUSD BF'!$AM$64+'TUSD CVA'!$AM$64)*1*(1-0.03)</f>
        <v>482.27628456201313</v>
      </c>
      <c r="AA258" s="71">
        <f>('TE BE'!$AB$44+'TE BF'!$AB$44+'TE CVA'!$AB$44)*1*(1-0.03)</f>
        <v>217.74522466990345</v>
      </c>
      <c r="AB258" s="71">
        <f>(SUBSIDIO!$J$258*SUBSIDIO!$V$258)*(0.06)/(1-0.06)</f>
        <v>0</v>
      </c>
      <c r="AC258" s="71">
        <f>((SUBSIDIO!$L$258*SUBSIDIO!$W$258)+(SUBSIDIO!$N$258*SUBSIDIO!$X$258))*(0.06)/(1-0.06)</f>
        <v>20360.186509200001</v>
      </c>
      <c r="AD258" s="71">
        <f>(SUBSIDIO!$J$258*SUBSIDIO!$Y$258)*(0.03)/(1-0.03)</f>
        <v>0</v>
      </c>
      <c r="AE258" s="71">
        <f ca="1">((SUBSIDIO!$L$258*SUBSIDIO!$Z$258)+(SUBSIDIO!$N$258*SUBSIDIO!$AA$258))*(0.03)/(1-0.03)</f>
        <v>13609.760448754201</v>
      </c>
      <c r="AF258" s="4" t="s">
        <v>842</v>
      </c>
    </row>
    <row r="259" spans="1:32" ht="11.25" customHeight="1" x14ac:dyDescent="0.25">
      <c r="A259" s="4" t="s">
        <v>21</v>
      </c>
      <c r="B259" s="4" t="s">
        <v>37</v>
      </c>
      <c r="C259" s="4" t="s">
        <v>23</v>
      </c>
      <c r="D259" s="4" t="s">
        <v>51</v>
      </c>
      <c r="E259" s="4" t="s">
        <v>52</v>
      </c>
      <c r="F259" s="4" t="s">
        <v>25</v>
      </c>
      <c r="G259" s="4" t="s">
        <v>25</v>
      </c>
      <c r="H259" s="4" t="s">
        <v>25</v>
      </c>
      <c r="I259" s="5">
        <v>44682</v>
      </c>
      <c r="J259" s="6">
        <v>0</v>
      </c>
      <c r="K259" s="71">
        <v>0</v>
      </c>
      <c r="L259" s="6">
        <v>398.37599999999998</v>
      </c>
      <c r="M259" s="71">
        <v>398.37599999999998</v>
      </c>
      <c r="N259" s="6">
        <v>398.37599999999998</v>
      </c>
      <c r="O259" s="71">
        <v>398.37599999999998</v>
      </c>
      <c r="P259" s="6">
        <v>91</v>
      </c>
      <c r="Q259" s="4" t="s">
        <v>26</v>
      </c>
      <c r="R259" s="4">
        <v>0</v>
      </c>
      <c r="S259" s="4">
        <v>0</v>
      </c>
      <c r="T259" s="4">
        <v>66</v>
      </c>
      <c r="U259" s="4">
        <v>3</v>
      </c>
      <c r="V259" s="71">
        <f>IF(ISERROR(VLOOKUP($S$259,'TAR FIN'!$A$1:$O$108,15,0)),0,VLOOKUP($S$259,'TAR FIN'!$A$1:$O$108,15,0))</f>
        <v>0</v>
      </c>
      <c r="W259" s="71">
        <f>IF(ISERROR(VLOOKUP($T$259,'TAR FIN'!$A$1:$O$108,15,0)),0,VLOOKUP($T$259,'TAR FIN'!$A$1:$O$108,15,0))*(1-0.06)</f>
        <v>406.09879999999998</v>
      </c>
      <c r="X259" s="71">
        <f>IF(ISERROR(VLOOKUP($U$259,'TAR FIN'!$A$1:$O$108,15,0)),0,VLOOKUP($U$259,'TAR FIN'!$A$1:$O$108,15,0))*(1-0.06)</f>
        <v>101.32259999999999</v>
      </c>
      <c r="Y259" s="71"/>
      <c r="Z259" s="71">
        <f ca="1">('TUSD BE'!$AM$64+'TUSD BF'!$AM$64+'TUSD CVA'!$AM$64)*1*(1-0.03)</f>
        <v>482.27628456201313</v>
      </c>
      <c r="AA259" s="71">
        <f>('TE BE'!$AB$44+'TE BF'!$AB$44+'TE CVA'!$AB$44)*1*(1-0.03)</f>
        <v>217.74522466990345</v>
      </c>
      <c r="AB259" s="71">
        <f>(SUBSIDIO!$J$259*SUBSIDIO!$V$259)*(0.06)/(1-0.06)</f>
        <v>0</v>
      </c>
      <c r="AC259" s="71">
        <f>((SUBSIDIO!$L$259*SUBSIDIO!$W$259)+(SUBSIDIO!$N$259*SUBSIDIO!$X$259))*(0.06)/(1-0.06)</f>
        <v>12902.840913599999</v>
      </c>
      <c r="AD259" s="71">
        <f>(SUBSIDIO!$J$259*SUBSIDIO!$Y$259)*(0.03)/(1-0.03)</f>
        <v>0</v>
      </c>
      <c r="AE259" s="71">
        <f ca="1">((SUBSIDIO!$L$259*SUBSIDIO!$Z$259)+(SUBSIDIO!$N$259*SUBSIDIO!$AA$259))*(0.03)/(1-0.03)</f>
        <v>8624.9000647971352</v>
      </c>
      <c r="AF259" s="4" t="s">
        <v>842</v>
      </c>
    </row>
    <row r="260" spans="1:32" ht="11.25" customHeight="1" x14ac:dyDescent="0.25">
      <c r="A260" s="4" t="s">
        <v>27</v>
      </c>
      <c r="B260" s="4" t="s">
        <v>37</v>
      </c>
      <c r="C260" s="4" t="s">
        <v>23</v>
      </c>
      <c r="D260" s="4" t="s">
        <v>51</v>
      </c>
      <c r="E260" s="4" t="s">
        <v>52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0</v>
      </c>
      <c r="K260" s="71">
        <v>0</v>
      </c>
      <c r="L260" s="6">
        <v>9.8970000000000002</v>
      </c>
      <c r="M260" s="71">
        <v>9.8970000000000002</v>
      </c>
      <c r="N260" s="6">
        <v>9.8970000000000002</v>
      </c>
      <c r="O260" s="71">
        <v>9.8970000000000002</v>
      </c>
      <c r="P260" s="6">
        <v>0</v>
      </c>
      <c r="Q260" s="4" t="s">
        <v>26</v>
      </c>
      <c r="R260" s="4">
        <v>0</v>
      </c>
      <c r="S260" s="4">
        <v>0</v>
      </c>
      <c r="T260" s="4">
        <v>66</v>
      </c>
      <c r="U260" s="4">
        <v>3</v>
      </c>
      <c r="V260" s="71">
        <f>IF(ISERROR(VLOOKUP($S$260,'TAR FIN'!$A$1:$O$108,15,0)),0,VLOOKUP($S$260,'TAR FIN'!$A$1:$O$108,15,0))</f>
        <v>0</v>
      </c>
      <c r="W260" s="71">
        <f>IF(ISERROR(VLOOKUP($T$260,'TAR FIN'!$A$1:$O$108,15,0)),0,VLOOKUP($T$260,'TAR FIN'!$A$1:$O$108,15,0))*(1-0.06)</f>
        <v>406.09879999999998</v>
      </c>
      <c r="X260" s="71">
        <f>IF(ISERROR(VLOOKUP($U$260,'TAR FIN'!$A$1:$O$108,15,0)),0,VLOOKUP($U$260,'TAR FIN'!$A$1:$O$108,15,0))*(1-0.06)</f>
        <v>101.32259999999999</v>
      </c>
      <c r="Y260" s="71"/>
      <c r="Z260" s="71">
        <f ca="1">('TUSD BE'!$AM$64+'TUSD BF'!$AM$64+'TUSD CVA'!$AM$64)*1*(1-0.03)</f>
        <v>482.27628456201313</v>
      </c>
      <c r="AA260" s="71">
        <f>('TE BE'!$AB$44+'TE BF'!$AB$44+'TE CVA'!$AB$44)*1*(1-0.03)</f>
        <v>217.74522466990345</v>
      </c>
      <c r="AB260" s="71">
        <f>(SUBSIDIO!$J$260*SUBSIDIO!$V$260)*(0.06)/(1-0.06)</f>
        <v>0</v>
      </c>
      <c r="AC260" s="71">
        <f>((SUBSIDIO!$L$260*SUBSIDIO!$W$260)+(SUBSIDIO!$N$260*SUBSIDIO!$X$260))*(0.06)/(1-0.06)</f>
        <v>320.54997419999995</v>
      </c>
      <c r="AD260" s="71">
        <f>(SUBSIDIO!$J$260*SUBSIDIO!$Y$260)*(0.03)/(1-0.03)</f>
        <v>0</v>
      </c>
      <c r="AE260" s="71">
        <f ca="1">((SUBSIDIO!$L$260*SUBSIDIO!$Z$260)+(SUBSIDIO!$N$260*SUBSIDIO!$AA$260))*(0.03)/(1-0.03)</f>
        <v>214.27153227427667</v>
      </c>
      <c r="AF260" s="4" t="s">
        <v>842</v>
      </c>
    </row>
    <row r="261" spans="1:32" ht="11.25" customHeight="1" x14ac:dyDescent="0.25">
      <c r="A261" s="4" t="s">
        <v>21</v>
      </c>
      <c r="B261" s="4" t="s">
        <v>37</v>
      </c>
      <c r="C261" s="4" t="s">
        <v>23</v>
      </c>
      <c r="D261" s="4" t="s">
        <v>51</v>
      </c>
      <c r="E261" s="4" t="s">
        <v>52</v>
      </c>
      <c r="F261" s="4" t="s">
        <v>25</v>
      </c>
      <c r="G261" s="4" t="s">
        <v>25</v>
      </c>
      <c r="H261" s="4" t="s">
        <v>25</v>
      </c>
      <c r="I261" s="5">
        <v>44713</v>
      </c>
      <c r="J261" s="6">
        <v>0</v>
      </c>
      <c r="K261" s="71">
        <v>0</v>
      </c>
      <c r="L261" s="6">
        <v>470.43299999999999</v>
      </c>
      <c r="M261" s="71">
        <v>470.43299999999999</v>
      </c>
      <c r="N261" s="6">
        <v>470.43299999999999</v>
      </c>
      <c r="O261" s="71">
        <v>470.43299999999999</v>
      </c>
      <c r="P261" s="6">
        <v>95</v>
      </c>
      <c r="Q261" s="4" t="s">
        <v>26</v>
      </c>
      <c r="R261" s="4">
        <v>0</v>
      </c>
      <c r="S261" s="4">
        <v>0</v>
      </c>
      <c r="T261" s="4">
        <v>66</v>
      </c>
      <c r="U261" s="4">
        <v>3</v>
      </c>
      <c r="V261" s="71">
        <f>IF(ISERROR(VLOOKUP($S$261,'TAR FIN'!$A$1:$O$108,15,0)),0,VLOOKUP($S$261,'TAR FIN'!$A$1:$O$108,15,0))</f>
        <v>0</v>
      </c>
      <c r="W261" s="71">
        <f>IF(ISERROR(VLOOKUP($T$261,'TAR FIN'!$A$1:$O$108,15,0)),0,VLOOKUP($T$261,'TAR FIN'!$A$1:$O$108,15,0))*(1-0.06)</f>
        <v>406.09879999999998</v>
      </c>
      <c r="X261" s="71">
        <f>IF(ISERROR(VLOOKUP($U$261,'TAR FIN'!$A$1:$O$108,15,0)),0,VLOOKUP($U$261,'TAR FIN'!$A$1:$O$108,15,0))*(1-0.06)</f>
        <v>101.32259999999999</v>
      </c>
      <c r="Y261" s="71"/>
      <c r="Z261" s="71">
        <f ca="1">('TUSD BE'!$AM$64+'TUSD BF'!$AM$64+'TUSD CVA'!$AM$64)*1*(1-0.03)</f>
        <v>482.27628456201313</v>
      </c>
      <c r="AA261" s="71">
        <f>('TE BE'!$AB$44+'TE BF'!$AB$44+'TE CVA'!$AB$44)*1*(1-0.03)</f>
        <v>217.74522466990345</v>
      </c>
      <c r="AB261" s="71">
        <f>(SUBSIDIO!$J$261*SUBSIDIO!$V$261)*(0.06)/(1-0.06)</f>
        <v>0</v>
      </c>
      <c r="AC261" s="71">
        <f>((SUBSIDIO!$L$261*SUBSIDIO!$W$261)+(SUBSIDIO!$N$261*SUBSIDIO!$X$261))*(0.06)/(1-0.06)</f>
        <v>15236.666263799998</v>
      </c>
      <c r="AD261" s="71">
        <f>(SUBSIDIO!$J$261*SUBSIDIO!$Y$261)*(0.03)/(1-0.03)</f>
        <v>0</v>
      </c>
      <c r="AE261" s="71">
        <f ca="1">((SUBSIDIO!$L$261*SUBSIDIO!$Z$261)+(SUBSIDIO!$N$261*SUBSIDIO!$AA$261))*(0.03)/(1-0.03)</f>
        <v>10184.944906778293</v>
      </c>
      <c r="AF261" s="4" t="s">
        <v>842</v>
      </c>
    </row>
    <row r="262" spans="1:32" ht="11.25" customHeight="1" x14ac:dyDescent="0.25">
      <c r="A262" s="4" t="s">
        <v>27</v>
      </c>
      <c r="B262" s="4" t="s">
        <v>37</v>
      </c>
      <c r="C262" s="4" t="s">
        <v>23</v>
      </c>
      <c r="D262" s="4" t="s">
        <v>51</v>
      </c>
      <c r="E262" s="4" t="s">
        <v>52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0</v>
      </c>
      <c r="K262" s="71">
        <v>0</v>
      </c>
      <c r="L262" s="6">
        <v>0.74299999999999999</v>
      </c>
      <c r="M262" s="71">
        <v>0.74299999999999999</v>
      </c>
      <c r="N262" s="6">
        <v>0.74299999999999999</v>
      </c>
      <c r="O262" s="71">
        <v>0.74299999999999999</v>
      </c>
      <c r="P262" s="6">
        <v>0</v>
      </c>
      <c r="Q262" s="4" t="s">
        <v>26</v>
      </c>
      <c r="R262" s="4">
        <v>0</v>
      </c>
      <c r="S262" s="4">
        <v>0</v>
      </c>
      <c r="T262" s="4">
        <v>66</v>
      </c>
      <c r="U262" s="4">
        <v>3</v>
      </c>
      <c r="V262" s="71">
        <f>IF(ISERROR(VLOOKUP($S$262,'TAR FIN'!$A$1:$O$108,15,0)),0,VLOOKUP($S$262,'TAR FIN'!$A$1:$O$108,15,0))</f>
        <v>0</v>
      </c>
      <c r="W262" s="71">
        <f>IF(ISERROR(VLOOKUP($T$262,'TAR FIN'!$A$1:$O$108,15,0)),0,VLOOKUP($T$262,'TAR FIN'!$A$1:$O$108,15,0))*(1-0.06)</f>
        <v>406.09879999999998</v>
      </c>
      <c r="X262" s="71">
        <f>IF(ISERROR(VLOOKUP($U$262,'TAR FIN'!$A$1:$O$108,15,0)),0,VLOOKUP($U$262,'TAR FIN'!$A$1:$O$108,15,0))*(1-0.06)</f>
        <v>101.32259999999999</v>
      </c>
      <c r="Y262" s="71"/>
      <c r="Z262" s="71">
        <f ca="1">('TUSD BE'!$AM$64+'TUSD BF'!$AM$64+'TUSD CVA'!$AM$64)*1*(1-0.03)</f>
        <v>482.27628456201313</v>
      </c>
      <c r="AA262" s="71">
        <f>('TE BE'!$AB$44+'TE BF'!$AB$44+'TE CVA'!$AB$44)*1*(1-0.03)</f>
        <v>217.74522466990345</v>
      </c>
      <c r="AB262" s="71">
        <f>(SUBSIDIO!$J$262*SUBSIDIO!$V$262)*(0.06)/(1-0.06)</f>
        <v>0</v>
      </c>
      <c r="AC262" s="71">
        <f>((SUBSIDIO!$L$262*SUBSIDIO!$W$262)+(SUBSIDIO!$N$262*SUBSIDIO!$X$262))*(0.06)/(1-0.06)</f>
        <v>24.064729799999999</v>
      </c>
      <c r="AD262" s="71">
        <f>(SUBSIDIO!$J$262*SUBSIDIO!$Y$262)*(0.03)/(1-0.03)</f>
        <v>0</v>
      </c>
      <c r="AE262" s="71">
        <f ca="1">((SUBSIDIO!$L$262*SUBSIDIO!$Z$262)+(SUBSIDIO!$N$262*SUBSIDIO!$AA$262))*(0.03)/(1-0.03)</f>
        <v>16.086061279154041</v>
      </c>
      <c r="AF262" s="4" t="s">
        <v>842</v>
      </c>
    </row>
    <row r="263" spans="1:32" ht="11.25" customHeight="1" x14ac:dyDescent="0.25">
      <c r="A263" s="4" t="s">
        <v>21</v>
      </c>
      <c r="B263" s="4" t="s">
        <v>37</v>
      </c>
      <c r="C263" s="4" t="s">
        <v>23</v>
      </c>
      <c r="D263" s="4" t="s">
        <v>51</v>
      </c>
      <c r="E263" s="4" t="s">
        <v>52</v>
      </c>
      <c r="F263" s="4" t="s">
        <v>25</v>
      </c>
      <c r="G263" s="4" t="s">
        <v>25</v>
      </c>
      <c r="H263" s="4" t="s">
        <v>25</v>
      </c>
      <c r="I263" s="5">
        <v>44743</v>
      </c>
      <c r="J263" s="6">
        <v>0</v>
      </c>
      <c r="K263" s="71">
        <v>0</v>
      </c>
      <c r="L263" s="6">
        <v>176.07900000000001</v>
      </c>
      <c r="M263" s="71">
        <v>176.07900000000001</v>
      </c>
      <c r="N263" s="6">
        <v>176.07900000000001</v>
      </c>
      <c r="O263" s="71">
        <v>176.07900000000001</v>
      </c>
      <c r="P263" s="6">
        <v>64</v>
      </c>
      <c r="Q263" s="4" t="s">
        <v>26</v>
      </c>
      <c r="R263" s="4">
        <v>0</v>
      </c>
      <c r="S263" s="4">
        <v>0</v>
      </c>
      <c r="T263" s="4">
        <v>66</v>
      </c>
      <c r="U263" s="4">
        <v>3</v>
      </c>
      <c r="V263" s="71">
        <f>IF(ISERROR(VLOOKUP($S$263,'TAR FIN'!$A$1:$O$108,15,0)),0,VLOOKUP($S$263,'TAR FIN'!$A$1:$O$108,15,0))</f>
        <v>0</v>
      </c>
      <c r="W263" s="71">
        <f>IF(ISERROR(VLOOKUP($T$263,'TAR FIN'!$A$1:$O$108,15,0)),0,VLOOKUP($T$263,'TAR FIN'!$A$1:$O$108,15,0))*(1-0.06)</f>
        <v>406.09879999999998</v>
      </c>
      <c r="X263" s="71">
        <f>IF(ISERROR(VLOOKUP($U$263,'TAR FIN'!$A$1:$O$108,15,0)),0,VLOOKUP($U$263,'TAR FIN'!$A$1:$O$108,15,0))*(1-0.06)</f>
        <v>101.32259999999999</v>
      </c>
      <c r="Y263" s="71"/>
      <c r="Z263" s="71">
        <f ca="1">('TUSD BE'!$AM$64+'TUSD BF'!$AM$64+'TUSD CVA'!$AM$64)*1*(1-0.03)</f>
        <v>482.27628456201313</v>
      </c>
      <c r="AA263" s="71">
        <f>('TE BE'!$AB$44+'TE BF'!$AB$44+'TE CVA'!$AB$44)*1*(1-0.03)</f>
        <v>217.74522466990345</v>
      </c>
      <c r="AB263" s="71">
        <f>(SUBSIDIO!$J$263*SUBSIDIO!$V$263)*(0.06)/(1-0.06)</f>
        <v>0</v>
      </c>
      <c r="AC263" s="71">
        <f>((SUBSIDIO!$L$263*SUBSIDIO!$W$263)+(SUBSIDIO!$N$263*SUBSIDIO!$X$263))*(0.06)/(1-0.06)</f>
        <v>5702.9522993999999</v>
      </c>
      <c r="AD263" s="71">
        <f>(SUBSIDIO!$J$263*SUBSIDIO!$Y$263)*(0.03)/(1-0.03)</f>
        <v>0</v>
      </c>
      <c r="AE263" s="71">
        <f ca="1">((SUBSIDIO!$L$263*SUBSIDIO!$Z$263)+(SUBSIDIO!$N$263*SUBSIDIO!$AA$263))*(0.03)/(1-0.03)</f>
        <v>3812.1367213622675</v>
      </c>
      <c r="AF263" s="4" t="s">
        <v>842</v>
      </c>
    </row>
    <row r="264" spans="1:32" ht="11.25" customHeight="1" x14ac:dyDescent="0.25">
      <c r="A264" s="4" t="s">
        <v>27</v>
      </c>
      <c r="B264" s="4" t="s">
        <v>37</v>
      </c>
      <c r="C264" s="4" t="s">
        <v>23</v>
      </c>
      <c r="D264" s="4" t="s">
        <v>51</v>
      </c>
      <c r="E264" s="4" t="s">
        <v>52</v>
      </c>
      <c r="F264" s="4" t="s">
        <v>25</v>
      </c>
      <c r="G264" s="4" t="s">
        <v>25</v>
      </c>
      <c r="H264" s="4" t="s">
        <v>25</v>
      </c>
      <c r="I264" s="5">
        <v>44743</v>
      </c>
      <c r="J264" s="6">
        <v>0</v>
      </c>
      <c r="K264" s="71">
        <v>0</v>
      </c>
      <c r="L264" s="6">
        <v>44.823999999999998</v>
      </c>
      <c r="M264" s="71">
        <v>44.823999999999998</v>
      </c>
      <c r="N264" s="6">
        <v>44.823999999999998</v>
      </c>
      <c r="O264" s="71">
        <v>44.823999999999998</v>
      </c>
      <c r="P264" s="6">
        <v>10</v>
      </c>
      <c r="Q264" s="4" t="s">
        <v>26</v>
      </c>
      <c r="R264" s="4">
        <v>0</v>
      </c>
      <c r="S264" s="4">
        <v>0</v>
      </c>
      <c r="T264" s="4">
        <v>66</v>
      </c>
      <c r="U264" s="4">
        <v>3</v>
      </c>
      <c r="V264" s="71">
        <f>IF(ISERROR(VLOOKUP($S$264,'TAR FIN'!$A$1:$O$108,15,0)),0,VLOOKUP($S$264,'TAR FIN'!$A$1:$O$108,15,0))</f>
        <v>0</v>
      </c>
      <c r="W264" s="71">
        <f>IF(ISERROR(VLOOKUP($T$264,'TAR FIN'!$A$1:$O$108,15,0)),0,VLOOKUP($T$264,'TAR FIN'!$A$1:$O$108,15,0))*(1-0.06)</f>
        <v>406.09879999999998</v>
      </c>
      <c r="X264" s="71">
        <f>IF(ISERROR(VLOOKUP($U$264,'TAR FIN'!$A$1:$O$108,15,0)),0,VLOOKUP($U$264,'TAR FIN'!$A$1:$O$108,15,0))*(1-0.06)</f>
        <v>101.32259999999999</v>
      </c>
      <c r="Y264" s="71"/>
      <c r="Z264" s="71">
        <f ca="1">('TUSD BE'!$AM$64+'TUSD BF'!$AM$64+'TUSD CVA'!$AM$64)*1*(1-0.03)</f>
        <v>482.27628456201313</v>
      </c>
      <c r="AA264" s="71">
        <f>('TE BE'!$AB$44+'TE BF'!$AB$44+'TE CVA'!$AB$44)*1*(1-0.03)</f>
        <v>217.74522466990345</v>
      </c>
      <c r="AB264" s="71">
        <f>(SUBSIDIO!$J$264*SUBSIDIO!$V$264)*(0.06)/(1-0.06)</f>
        <v>0</v>
      </c>
      <c r="AC264" s="71">
        <f>((SUBSIDIO!$L$264*SUBSIDIO!$W$264)+(SUBSIDIO!$N$264*SUBSIDIO!$X$264))*(0.06)/(1-0.06)</f>
        <v>1451.7866063999998</v>
      </c>
      <c r="AD264" s="71">
        <f>(SUBSIDIO!$J$264*SUBSIDIO!$Y$264)*(0.03)/(1-0.03)</f>
        <v>0</v>
      </c>
      <c r="AE264" s="71">
        <f ca="1">((SUBSIDIO!$L$264*SUBSIDIO!$Z$264)+(SUBSIDIO!$N$264*SUBSIDIO!$AA$264))*(0.03)/(1-0.03)</f>
        <v>970.44631329313688</v>
      </c>
      <c r="AF264" s="4" t="s">
        <v>842</v>
      </c>
    </row>
    <row r="265" spans="1:32" ht="11.25" customHeight="1" x14ac:dyDescent="0.25">
      <c r="A265" s="4" t="s">
        <v>21</v>
      </c>
      <c r="B265" s="4" t="s">
        <v>37</v>
      </c>
      <c r="C265" s="4" t="s">
        <v>23</v>
      </c>
      <c r="D265" s="4" t="s">
        <v>51</v>
      </c>
      <c r="E265" s="4" t="s">
        <v>52</v>
      </c>
      <c r="F265" s="4" t="s">
        <v>25</v>
      </c>
      <c r="G265" s="4" t="s">
        <v>25</v>
      </c>
      <c r="H265" s="4" t="s">
        <v>25</v>
      </c>
      <c r="I265" s="5">
        <v>44774</v>
      </c>
      <c r="J265" s="6">
        <v>0</v>
      </c>
      <c r="K265" s="71">
        <v>0</v>
      </c>
      <c r="L265" s="6">
        <v>595.03399999999999</v>
      </c>
      <c r="M265" s="71">
        <v>595.03399999999999</v>
      </c>
      <c r="N265" s="6">
        <v>595.03399999999999</v>
      </c>
      <c r="O265" s="71">
        <v>595.03399999999999</v>
      </c>
      <c r="P265" s="6">
        <v>98</v>
      </c>
      <c r="Q265" s="4" t="s">
        <v>26</v>
      </c>
      <c r="R265" s="4">
        <v>0</v>
      </c>
      <c r="S265" s="4">
        <v>0</v>
      </c>
      <c r="T265" s="4">
        <v>66</v>
      </c>
      <c r="U265" s="4">
        <v>3</v>
      </c>
      <c r="V265" s="71">
        <f>IF(ISERROR(VLOOKUP($S$265,'TAR FIN'!$A$1:$O$108,15,0)),0,VLOOKUP($S$265,'TAR FIN'!$A$1:$O$108,15,0))</f>
        <v>0</v>
      </c>
      <c r="W265" s="71">
        <f>IF(ISERROR(VLOOKUP($T$265,'TAR FIN'!$A$1:$O$108,15,0)),0,VLOOKUP($T$265,'TAR FIN'!$A$1:$O$108,15,0))*(1-0.06)</f>
        <v>406.09879999999998</v>
      </c>
      <c r="X265" s="71">
        <f>IF(ISERROR(VLOOKUP($U$265,'TAR FIN'!$A$1:$O$108,15,0)),0,VLOOKUP($U$265,'TAR FIN'!$A$1:$O$108,15,0))*(1-0.06)</f>
        <v>101.32259999999999</v>
      </c>
      <c r="Y265" s="71"/>
      <c r="Z265" s="71">
        <f ca="1">('TUSD BE'!$AM$64+'TUSD BF'!$AM$64+'TUSD CVA'!$AM$64)*1*(1-0.03)</f>
        <v>482.27628456201313</v>
      </c>
      <c r="AA265" s="71">
        <f>('TE BE'!$AB$44+'TE BF'!$AB$44+'TE CVA'!$AB$44)*1*(1-0.03)</f>
        <v>217.74522466990345</v>
      </c>
      <c r="AB265" s="71">
        <f>(SUBSIDIO!$J$265*SUBSIDIO!$V$265)*(0.06)/(1-0.06)</f>
        <v>0</v>
      </c>
      <c r="AC265" s="71">
        <f>((SUBSIDIO!$L$265*SUBSIDIO!$W$265)+(SUBSIDIO!$N$265*SUBSIDIO!$X$265))*(0.06)/(1-0.06)</f>
        <v>19272.318212399998</v>
      </c>
      <c r="AD265" s="71">
        <f>(SUBSIDIO!$J$265*SUBSIDIO!$Y$265)*(0.03)/(1-0.03)</f>
        <v>0</v>
      </c>
      <c r="AE265" s="71">
        <f ca="1">((SUBSIDIO!$L$265*SUBSIDIO!$Z$265)+(SUBSIDIO!$N$265*SUBSIDIO!$AA$265))*(0.03)/(1-0.03)</f>
        <v>12882.57521827745</v>
      </c>
      <c r="AF265" s="4" t="s">
        <v>842</v>
      </c>
    </row>
    <row r="266" spans="1:32" ht="11.25" customHeight="1" x14ac:dyDescent="0.25">
      <c r="A266" s="4" t="s">
        <v>21</v>
      </c>
      <c r="B266" s="4" t="s">
        <v>37</v>
      </c>
      <c r="C266" s="4" t="s">
        <v>23</v>
      </c>
      <c r="D266" s="4" t="s">
        <v>51</v>
      </c>
      <c r="E266" s="4" t="s">
        <v>52</v>
      </c>
      <c r="F266" s="4" t="s">
        <v>25</v>
      </c>
      <c r="G266" s="4" t="s">
        <v>25</v>
      </c>
      <c r="H266" s="4" t="s">
        <v>25</v>
      </c>
      <c r="I266" s="5">
        <v>44805</v>
      </c>
      <c r="J266" s="6">
        <v>0</v>
      </c>
      <c r="K266" s="71">
        <v>0</v>
      </c>
      <c r="L266" s="6">
        <v>467.83499999999998</v>
      </c>
      <c r="M266" s="71">
        <v>467.83499999999998</v>
      </c>
      <c r="N266" s="6">
        <v>467.83499999999998</v>
      </c>
      <c r="O266" s="71">
        <v>467.83499999999998</v>
      </c>
      <c r="P266" s="6">
        <v>116</v>
      </c>
      <c r="Q266" s="4" t="s">
        <v>26</v>
      </c>
      <c r="R266" s="4">
        <v>0</v>
      </c>
      <c r="S266" s="4">
        <v>0</v>
      </c>
      <c r="T266" s="4">
        <v>66</v>
      </c>
      <c r="U266" s="4">
        <v>3</v>
      </c>
      <c r="V266" s="71">
        <f>IF(ISERROR(VLOOKUP($S$266,'TAR FIN'!$A$1:$O$108,15,0)),0,VLOOKUP($S$266,'TAR FIN'!$A$1:$O$108,15,0))</f>
        <v>0</v>
      </c>
      <c r="W266" s="71">
        <f>IF(ISERROR(VLOOKUP($T$266,'TAR FIN'!$A$1:$O$108,15,0)),0,VLOOKUP($T$266,'TAR FIN'!$A$1:$O$108,15,0))*(1-0.06)</f>
        <v>406.09879999999998</v>
      </c>
      <c r="X266" s="71">
        <f>IF(ISERROR(VLOOKUP($U$266,'TAR FIN'!$A$1:$O$108,15,0)),0,VLOOKUP($U$266,'TAR FIN'!$A$1:$O$108,15,0))*(1-0.06)</f>
        <v>101.32259999999999</v>
      </c>
      <c r="Y266" s="71"/>
      <c r="Z266" s="71">
        <f ca="1">('TUSD BE'!$AM$64+'TUSD BF'!$AM$64+'TUSD CVA'!$AM$64)*1*(1-0.03)</f>
        <v>482.27628456201313</v>
      </c>
      <c r="AA266" s="71">
        <f>('TE BE'!$AB$44+'TE BF'!$AB$44+'TE CVA'!$AB$44)*1*(1-0.03)</f>
        <v>217.74522466990345</v>
      </c>
      <c r="AB266" s="71">
        <f>(SUBSIDIO!$J$266*SUBSIDIO!$V$266)*(0.06)/(1-0.06)</f>
        <v>0</v>
      </c>
      <c r="AC266" s="71">
        <f>((SUBSIDIO!$L$266*SUBSIDIO!$W$266)+(SUBSIDIO!$N$266*SUBSIDIO!$X$266))*(0.06)/(1-0.06)</f>
        <v>15152.520680999998</v>
      </c>
      <c r="AD266" s="71">
        <f>(SUBSIDIO!$J$266*SUBSIDIO!$Y$266)*(0.03)/(1-0.03)</f>
        <v>0</v>
      </c>
      <c r="AE266" s="71">
        <f ca="1">((SUBSIDIO!$L$266*SUBSIDIO!$Z$266)+(SUBSIDIO!$N$266*SUBSIDIO!$AA$266))*(0.03)/(1-0.03)</f>
        <v>10128.697817675682</v>
      </c>
      <c r="AF266" s="4" t="s">
        <v>842</v>
      </c>
    </row>
    <row r="267" spans="1:32" ht="11.25" customHeight="1" x14ac:dyDescent="0.25">
      <c r="A267" s="4" t="s">
        <v>21</v>
      </c>
      <c r="B267" s="4" t="s">
        <v>37</v>
      </c>
      <c r="C267" s="4" t="s">
        <v>23</v>
      </c>
      <c r="D267" s="4" t="s">
        <v>51</v>
      </c>
      <c r="E267" s="4" t="s">
        <v>52</v>
      </c>
      <c r="F267" s="4" t="s">
        <v>25</v>
      </c>
      <c r="G267" s="4" t="s">
        <v>25</v>
      </c>
      <c r="H267" s="4" t="s">
        <v>25</v>
      </c>
      <c r="I267" s="5">
        <v>44835</v>
      </c>
      <c r="J267" s="6">
        <v>0</v>
      </c>
      <c r="K267" s="71">
        <v>0</v>
      </c>
      <c r="L267" s="6">
        <v>510.91500000000002</v>
      </c>
      <c r="M267" s="71">
        <v>510.91500000000002</v>
      </c>
      <c r="N267" s="6">
        <v>510.91500000000002</v>
      </c>
      <c r="O267" s="71">
        <v>510.91500000000002</v>
      </c>
      <c r="P267" s="6">
        <v>119</v>
      </c>
      <c r="Q267" s="4" t="s">
        <v>26</v>
      </c>
      <c r="R267" s="4">
        <v>0</v>
      </c>
      <c r="S267" s="4">
        <v>0</v>
      </c>
      <c r="T267" s="4">
        <v>66</v>
      </c>
      <c r="U267" s="4">
        <v>3</v>
      </c>
      <c r="V267" s="71">
        <f>IF(ISERROR(VLOOKUP($S$267,'TAR FIN'!$A$1:$O$108,15,0)),0,VLOOKUP($S$267,'TAR FIN'!$A$1:$O$108,15,0))</f>
        <v>0</v>
      </c>
      <c r="W267" s="71">
        <f>IF(ISERROR(VLOOKUP($T$267,'TAR FIN'!$A$1:$O$108,15,0)),0,VLOOKUP($T$267,'TAR FIN'!$A$1:$O$108,15,0))*(1-0.06)</f>
        <v>406.09879999999998</v>
      </c>
      <c r="X267" s="71">
        <f>IF(ISERROR(VLOOKUP($U$267,'TAR FIN'!$A$1:$O$108,15,0)),0,VLOOKUP($U$267,'TAR FIN'!$A$1:$O$108,15,0))*(1-0.06)</f>
        <v>101.32259999999999</v>
      </c>
      <c r="Y267" s="71"/>
      <c r="Z267" s="71">
        <f ca="1">('TUSD BE'!$AM$64+'TUSD BF'!$AM$64+'TUSD CVA'!$AM$64)*1*(1-0.03)</f>
        <v>482.27628456201313</v>
      </c>
      <c r="AA267" s="71">
        <f>('TE BE'!$AB$44+'TE BF'!$AB$44+'TE CVA'!$AB$44)*1*(1-0.03)</f>
        <v>217.74522466990345</v>
      </c>
      <c r="AB267" s="71">
        <f>(SUBSIDIO!$J$267*SUBSIDIO!$V$267)*(0.06)/(1-0.06)</f>
        <v>0</v>
      </c>
      <c r="AC267" s="71">
        <f>((SUBSIDIO!$L$267*SUBSIDIO!$W$267)+(SUBSIDIO!$N$267*SUBSIDIO!$X$267))*(0.06)/(1-0.06)</f>
        <v>16547.821569</v>
      </c>
      <c r="AD267" s="71">
        <f>(SUBSIDIO!$J$267*SUBSIDIO!$Y$267)*(0.03)/(1-0.03)</f>
        <v>0</v>
      </c>
      <c r="AE267" s="71">
        <f ca="1">((SUBSIDIO!$L$267*SUBSIDIO!$Z$267)+(SUBSIDIO!$N$267*SUBSIDIO!$AA$267))*(0.03)/(1-0.03)</f>
        <v>11061.386269769835</v>
      </c>
      <c r="AF267" s="4" t="s">
        <v>842</v>
      </c>
    </row>
    <row r="268" spans="1:32" ht="11.25" customHeight="1" x14ac:dyDescent="0.25">
      <c r="A268" s="4" t="s">
        <v>54</v>
      </c>
      <c r="B268" s="4" t="s">
        <v>37</v>
      </c>
      <c r="C268" s="4" t="s">
        <v>23</v>
      </c>
      <c r="D268" s="4" t="s">
        <v>51</v>
      </c>
      <c r="E268" s="4" t="s">
        <v>52</v>
      </c>
      <c r="F268" s="4" t="s">
        <v>25</v>
      </c>
      <c r="G268" s="4" t="s">
        <v>25</v>
      </c>
      <c r="H268" s="4" t="s">
        <v>25</v>
      </c>
      <c r="I268" s="5">
        <v>44866</v>
      </c>
      <c r="J268" s="6">
        <v>0</v>
      </c>
      <c r="K268" s="71">
        <v>0</v>
      </c>
      <c r="L268" s="6">
        <v>510.91500000000002</v>
      </c>
      <c r="M268" s="71">
        <v>510.91500000000002</v>
      </c>
      <c r="N268" s="6">
        <v>510.91500000000002</v>
      </c>
      <c r="O268" s="71">
        <v>510.91500000000002</v>
      </c>
      <c r="P268" s="6">
        <v>119</v>
      </c>
      <c r="Q268" s="4" t="s">
        <v>26</v>
      </c>
      <c r="R268" s="4">
        <v>0</v>
      </c>
      <c r="S268" s="4">
        <v>0</v>
      </c>
      <c r="T268" s="4">
        <v>66</v>
      </c>
      <c r="U268" s="4">
        <v>3</v>
      </c>
      <c r="V268" s="71">
        <f>IF(ISERROR(VLOOKUP($S$268,'TAR FIN'!$A$1:$O$108,15,0)),0,VLOOKUP($S$268,'TAR FIN'!$A$1:$O$108,15,0))</f>
        <v>0</v>
      </c>
      <c r="W268" s="71">
        <f>IF(ISERROR(VLOOKUP($T$268,'TAR FIN'!$A$1:$O$108,15,0)),0,VLOOKUP($T$268,'TAR FIN'!$A$1:$O$108,15,0))*(1-0.06)</f>
        <v>406.09879999999998</v>
      </c>
      <c r="X268" s="71">
        <f>IF(ISERROR(VLOOKUP($U$268,'TAR FIN'!$A$1:$O$108,15,0)),0,VLOOKUP($U$268,'TAR FIN'!$A$1:$O$108,15,0))*(1-0.06)</f>
        <v>101.32259999999999</v>
      </c>
      <c r="Y268" s="71"/>
      <c r="Z268" s="71">
        <f ca="1">('TUSD BE'!$AM$64+'TUSD BF'!$AM$64+'TUSD CVA'!$AM$64)*1*(1-0.03)</f>
        <v>482.27628456201313</v>
      </c>
      <c r="AA268" s="71">
        <f>('TE BE'!$AB$44+'TE BF'!$AB$44+'TE CVA'!$AB$44)*1*(1-0.03)</f>
        <v>217.74522466990345</v>
      </c>
      <c r="AB268" s="71">
        <f>(SUBSIDIO!$J$268*SUBSIDIO!$V$268)*(0.06)/(1-0.06)</f>
        <v>0</v>
      </c>
      <c r="AC268" s="71">
        <f>((SUBSIDIO!$L$268*SUBSIDIO!$W$268)+(SUBSIDIO!$N$268*SUBSIDIO!$X$268))*(0.06)/(1-0.06)</f>
        <v>16547.821569</v>
      </c>
      <c r="AD268" s="71">
        <f>(SUBSIDIO!$J$268*SUBSIDIO!$Y$268)*(0.03)/(1-0.03)</f>
        <v>0</v>
      </c>
      <c r="AE268" s="71">
        <f ca="1">((SUBSIDIO!$L$268*SUBSIDIO!$Z$268)+(SUBSIDIO!$N$268*SUBSIDIO!$AA$268))*(0.03)/(1-0.03)</f>
        <v>11061.386269769835</v>
      </c>
      <c r="AF268" s="4" t="s">
        <v>842</v>
      </c>
    </row>
    <row r="269" spans="1:32" ht="11.25" customHeight="1" x14ac:dyDescent="0.25"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1:32" ht="11.25" customHeight="1" x14ac:dyDescent="0.25"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1:32" ht="11.25" customHeight="1" x14ac:dyDescent="0.25"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1:32" ht="11.25" customHeight="1" x14ac:dyDescent="0.25"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22:31" ht="11.25" customHeight="1" x14ac:dyDescent="0.25"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22:31" ht="11.25" customHeight="1" x14ac:dyDescent="0.25"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22:31" ht="11.25" customHeight="1" x14ac:dyDescent="0.25"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22:31" ht="11.25" customHeight="1" x14ac:dyDescent="0.25"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22:31" ht="11.25" customHeight="1" x14ac:dyDescent="0.25"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22:31" ht="11.25" customHeight="1" x14ac:dyDescent="0.25"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22:31" ht="11.25" customHeight="1" x14ac:dyDescent="0.25"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22:31" ht="11.25" customHeight="1" x14ac:dyDescent="0.25"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22:31" ht="11.25" customHeight="1" x14ac:dyDescent="0.25"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22:31" ht="11.25" customHeight="1" x14ac:dyDescent="0.25"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22:31" ht="11.25" customHeight="1" x14ac:dyDescent="0.25"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22:31" ht="11.25" customHeight="1" x14ac:dyDescent="0.25"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22:31" ht="11.25" customHeight="1" x14ac:dyDescent="0.25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22:31" ht="11.25" customHeight="1" x14ac:dyDescent="0.25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22:31" ht="11.25" customHeight="1" x14ac:dyDescent="0.25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22:31" ht="11.25" customHeight="1" x14ac:dyDescent="0.25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25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25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25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25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25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25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25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25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B99E-E427-4DE4-92C5-9F02BEECDADF}">
  <sheetPr codeName="Planilha18"/>
  <dimension ref="A1:J820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4.5703125" style="57" bestFit="1" customWidth="1"/>
    <col min="3" max="3" width="25.5703125" style="57" bestFit="1" customWidth="1"/>
    <col min="4" max="4" width="26" style="57" bestFit="1" customWidth="1"/>
    <col min="5" max="5" width="26.85546875" style="57" bestFit="1" customWidth="1"/>
    <col min="6" max="6" width="23.7109375" style="57" bestFit="1" customWidth="1"/>
    <col min="7" max="7" width="24.5703125" style="57" bestFit="1" customWidth="1"/>
    <col min="8" max="8" width="18.28515625" style="58" bestFit="1" customWidth="1"/>
    <col min="9" max="9" width="16" style="58" bestFit="1" customWidth="1"/>
    <col min="10" max="10" width="13.85546875" style="58" bestFit="1" customWidth="1"/>
    <col min="11" max="16384" width="9.140625" style="16"/>
  </cols>
  <sheetData>
    <row r="1" spans="1:10" ht="11.25" customHeight="1" x14ac:dyDescent="0.2">
      <c r="A1" s="56" t="s">
        <v>826</v>
      </c>
      <c r="B1" s="57" t="s">
        <v>827</v>
      </c>
      <c r="C1" s="57" t="s">
        <v>828</v>
      </c>
      <c r="D1" s="57" t="s">
        <v>829</v>
      </c>
      <c r="E1" s="57" t="s">
        <v>830</v>
      </c>
      <c r="F1" s="57" t="s">
        <v>831</v>
      </c>
      <c r="G1" s="57" t="s">
        <v>832</v>
      </c>
      <c r="H1" s="58" t="s">
        <v>833</v>
      </c>
      <c r="I1" s="58" t="s">
        <v>834</v>
      </c>
      <c r="J1" s="58" t="s">
        <v>835</v>
      </c>
    </row>
    <row r="2" spans="1:10" ht="11.25" customHeight="1" x14ac:dyDescent="0.2">
      <c r="A2" s="59" t="s">
        <v>26</v>
      </c>
      <c r="B2" s="57">
        <v>37219156.86900001</v>
      </c>
      <c r="C2" s="57">
        <v>36963594.264453858</v>
      </c>
      <c r="D2" s="57">
        <v>357618352.66233742</v>
      </c>
      <c r="E2" s="57">
        <v>423654217.14211529</v>
      </c>
      <c r="F2" s="57">
        <v>110681668.03915907</v>
      </c>
      <c r="G2" s="57">
        <v>230663502.55911848</v>
      </c>
      <c r="H2" s="58">
        <v>0.1666009441537406</v>
      </c>
      <c r="I2" s="58">
        <v>1.0840262587794571</v>
      </c>
      <c r="J2" s="58">
        <v>0.36746803017040186</v>
      </c>
    </row>
    <row r="3" spans="1:10" ht="11.25" customHeight="1" x14ac:dyDescent="0.2">
      <c r="A3" s="60" t="s">
        <v>39</v>
      </c>
      <c r="B3" s="57">
        <v>7756127.5399999991</v>
      </c>
      <c r="C3" s="57">
        <v>7869499.3924471634</v>
      </c>
      <c r="D3" s="57">
        <v>5736687.3583600009</v>
      </c>
      <c r="E3" s="57">
        <v>9774609.727288045</v>
      </c>
      <c r="F3" s="57">
        <v>7901637.62084</v>
      </c>
      <c r="G3" s="57">
        <v>16458653.815508286</v>
      </c>
      <c r="H3" s="58">
        <v>0.30766702520167133</v>
      </c>
      <c r="I3" s="58">
        <v>1.0829421197575266</v>
      </c>
      <c r="J3" s="58">
        <v>0.59400026266803008</v>
      </c>
    </row>
    <row r="4" spans="1:10" ht="11.25" customHeight="1" x14ac:dyDescent="0.2">
      <c r="A4" s="61" t="s">
        <v>40</v>
      </c>
      <c r="B4" s="57">
        <v>7756127.5399999991</v>
      </c>
      <c r="C4" s="57">
        <v>7869499.3924471634</v>
      </c>
      <c r="D4" s="57">
        <v>5736687.3583600009</v>
      </c>
      <c r="E4" s="57">
        <v>9774609.727288045</v>
      </c>
      <c r="F4" s="57">
        <v>7901637.62084</v>
      </c>
      <c r="G4" s="57">
        <v>16458653.815508286</v>
      </c>
      <c r="H4" s="58">
        <v>0.30766702520167133</v>
      </c>
      <c r="I4" s="58">
        <v>1.0829421197575266</v>
      </c>
      <c r="J4" s="58">
        <v>0.59400026266803008</v>
      </c>
    </row>
    <row r="5" spans="1:10" ht="11.25" customHeight="1" x14ac:dyDescent="0.2">
      <c r="A5" s="62" t="s">
        <v>38</v>
      </c>
      <c r="B5" s="57">
        <v>7756127.5399999991</v>
      </c>
      <c r="C5" s="57">
        <v>7869499.3924471634</v>
      </c>
      <c r="D5" s="57">
        <v>5736687.3583600009</v>
      </c>
      <c r="E5" s="57">
        <v>9774609.727288045</v>
      </c>
      <c r="F5" s="57">
        <v>7901637.62084</v>
      </c>
      <c r="G5" s="57">
        <v>16458653.815508286</v>
      </c>
      <c r="H5" s="58">
        <v>0.30766702520167133</v>
      </c>
      <c r="I5" s="58">
        <v>1.0829421197575266</v>
      </c>
      <c r="J5" s="58">
        <v>0.59400026266803008</v>
      </c>
    </row>
    <row r="6" spans="1:10" ht="11.25" customHeight="1" x14ac:dyDescent="0.2">
      <c r="A6" s="63" t="s">
        <v>25</v>
      </c>
      <c r="B6" s="57">
        <v>7756127.5399999991</v>
      </c>
      <c r="C6" s="57">
        <v>7869499.3924471634</v>
      </c>
      <c r="D6" s="57">
        <v>5736687.3583600009</v>
      </c>
      <c r="E6" s="57">
        <v>9774609.727288045</v>
      </c>
      <c r="F6" s="57">
        <v>7901637.62084</v>
      </c>
      <c r="G6" s="57">
        <v>16458653.815508286</v>
      </c>
      <c r="H6" s="58">
        <v>0.30766702520167133</v>
      </c>
      <c r="I6" s="58">
        <v>1.0829421197575266</v>
      </c>
      <c r="J6" s="58">
        <v>0.59400026266803008</v>
      </c>
    </row>
    <row r="7" spans="1:10" ht="11.25" customHeight="1" x14ac:dyDescent="0.2">
      <c r="A7" s="64" t="s">
        <v>25</v>
      </c>
      <c r="B7" s="57">
        <v>7756127.5399999991</v>
      </c>
      <c r="C7" s="57">
        <v>7869499.3924471634</v>
      </c>
      <c r="D7" s="57">
        <v>5736687.3583600009</v>
      </c>
      <c r="E7" s="57">
        <v>9774609.727288045</v>
      </c>
      <c r="F7" s="57">
        <v>7901637.62084</v>
      </c>
      <c r="G7" s="57">
        <v>16458653.815508286</v>
      </c>
      <c r="H7" s="58">
        <v>0.30766702520167133</v>
      </c>
      <c r="I7" s="58">
        <v>1.0829421197575266</v>
      </c>
      <c r="J7" s="58">
        <v>0.59400026266803008</v>
      </c>
    </row>
    <row r="8" spans="1:10" ht="11.25" customHeight="1" x14ac:dyDescent="0.2">
      <c r="A8" s="65" t="s">
        <v>25</v>
      </c>
      <c r="B8" s="57">
        <v>7756127.5399999991</v>
      </c>
      <c r="C8" s="57">
        <v>7869499.3924471634</v>
      </c>
      <c r="D8" s="57">
        <v>5736687.3583600009</v>
      </c>
      <c r="E8" s="57">
        <v>9774609.727288045</v>
      </c>
      <c r="F8" s="57">
        <v>7901637.62084</v>
      </c>
      <c r="G8" s="57">
        <v>16458653.815508286</v>
      </c>
      <c r="H8" s="58">
        <v>0.30766702520167133</v>
      </c>
      <c r="I8" s="58">
        <v>1.0829421197575266</v>
      </c>
      <c r="J8" s="58">
        <v>0.59400026266803008</v>
      </c>
    </row>
    <row r="9" spans="1:10" ht="11.25" customHeight="1" x14ac:dyDescent="0.2">
      <c r="A9" s="66" t="s">
        <v>35</v>
      </c>
      <c r="B9" s="57">
        <v>1775920.58</v>
      </c>
      <c r="C9" s="57">
        <v>2005821.9917760293</v>
      </c>
      <c r="D9" s="57">
        <v>5233367.8424399989</v>
      </c>
      <c r="E9" s="57">
        <v>8917015.1733376645</v>
      </c>
      <c r="F9" s="57">
        <v>6878636.2131000003</v>
      </c>
      <c r="G9" s="57">
        <v>14390713.337011619</v>
      </c>
      <c r="H9" s="58">
        <v>0.55833752398383307</v>
      </c>
      <c r="I9" s="58">
        <v>1.0920881539868708</v>
      </c>
      <c r="J9" s="58">
        <v>0.82270217951402769</v>
      </c>
    </row>
    <row r="10" spans="1:10" ht="11.25" customHeight="1" x14ac:dyDescent="0.2">
      <c r="A10" s="67">
        <v>44531</v>
      </c>
      <c r="B10" s="57">
        <v>144165</v>
      </c>
      <c r="C10" s="57">
        <v>162827.84866674122</v>
      </c>
      <c r="D10" s="57">
        <v>458481.8</v>
      </c>
      <c r="E10" s="57">
        <v>781196.60042720125</v>
      </c>
      <c r="F10" s="57">
        <v>602619.5</v>
      </c>
      <c r="G10" s="57">
        <v>1260733.1173114912</v>
      </c>
      <c r="H10" s="58">
        <v>0.56646388746101772</v>
      </c>
      <c r="I10" s="58">
        <v>1.0920881539868708</v>
      </c>
      <c r="J10" s="58">
        <v>0.82927006787249713</v>
      </c>
    </row>
    <row r="11" spans="1:10" ht="11.25" customHeight="1" x14ac:dyDescent="0.2">
      <c r="A11" s="67">
        <v>44562</v>
      </c>
      <c r="B11" s="57">
        <v>149931.6</v>
      </c>
      <c r="C11" s="57">
        <v>169340.96261341087</v>
      </c>
      <c r="D11" s="57">
        <v>471269.16723999998</v>
      </c>
      <c r="E11" s="57">
        <v>802984.7015389622</v>
      </c>
      <c r="F11" s="57">
        <v>619426.96509999991</v>
      </c>
      <c r="G11" s="57">
        <v>1295895.8159457489</v>
      </c>
      <c r="H11" s="58">
        <v>0.56523577469555275</v>
      </c>
      <c r="I11" s="58">
        <v>1.0920881539868712</v>
      </c>
      <c r="J11" s="58">
        <v>0.8282853276380775</v>
      </c>
    </row>
    <row r="12" spans="1:10" ht="11.25" customHeight="1" x14ac:dyDescent="0.2">
      <c r="A12" s="67">
        <v>44593</v>
      </c>
      <c r="B12" s="57">
        <v>152238.24</v>
      </c>
      <c r="C12" s="57">
        <v>171946.20819207872</v>
      </c>
      <c r="D12" s="57">
        <v>439295.37599999993</v>
      </c>
      <c r="E12" s="57">
        <v>748505.29358981992</v>
      </c>
      <c r="F12" s="57">
        <v>577401.23999999987</v>
      </c>
      <c r="G12" s="57">
        <v>1207974.2943013301</v>
      </c>
      <c r="H12" s="58">
        <v>0.55604259315991067</v>
      </c>
      <c r="I12" s="58">
        <v>1.0920881539868712</v>
      </c>
      <c r="J12" s="58">
        <v>0.82082498879922983</v>
      </c>
    </row>
    <row r="13" spans="1:10" ht="11.25" customHeight="1" x14ac:dyDescent="0.2">
      <c r="A13" s="67">
        <v>44621</v>
      </c>
      <c r="B13" s="57">
        <v>150219.93</v>
      </c>
      <c r="C13" s="57">
        <v>169666.61831074435</v>
      </c>
      <c r="D13" s="57">
        <v>277076.04363999999</v>
      </c>
      <c r="E13" s="57">
        <v>472103.50193047326</v>
      </c>
      <c r="F13" s="57">
        <v>364183.32610000001</v>
      </c>
      <c r="G13" s="57">
        <v>761903.62241334771</v>
      </c>
      <c r="H13" s="58">
        <v>0.50193346025280738</v>
      </c>
      <c r="I13" s="58">
        <v>1.0920881539868712</v>
      </c>
      <c r="J13" s="58">
        <v>0.77348130660608616</v>
      </c>
    </row>
    <row r="14" spans="1:10" ht="11.25" customHeight="1" x14ac:dyDescent="0.2">
      <c r="A14" s="67">
        <v>44652</v>
      </c>
      <c r="B14" s="57">
        <v>150796.59</v>
      </c>
      <c r="C14" s="57">
        <v>170317.92970541131</v>
      </c>
      <c r="D14" s="57">
        <v>656956.3356799999</v>
      </c>
      <c r="E14" s="57">
        <v>1119372.7996669163</v>
      </c>
      <c r="F14" s="57">
        <v>863490.54319999996</v>
      </c>
      <c r="G14" s="57">
        <v>1806498.3365084084</v>
      </c>
      <c r="H14" s="58">
        <v>0.59664012146611856</v>
      </c>
      <c r="I14" s="58">
        <v>1.0920881539868712</v>
      </c>
      <c r="J14" s="58">
        <v>0.85262597792270078</v>
      </c>
    </row>
    <row r="15" spans="1:10" ht="11.25" customHeight="1" x14ac:dyDescent="0.2">
      <c r="A15" s="67">
        <v>44682</v>
      </c>
      <c r="B15" s="57">
        <v>152814.9</v>
      </c>
      <c r="C15" s="57">
        <v>172597.51958674568</v>
      </c>
      <c r="D15" s="57">
        <v>505576.62692000001</v>
      </c>
      <c r="E15" s="57">
        <v>861440.39350167324</v>
      </c>
      <c r="F15" s="57">
        <v>664520.0183</v>
      </c>
      <c r="G15" s="57">
        <v>1390234.4583725687</v>
      </c>
      <c r="H15" s="58">
        <v>0.57055167147383878</v>
      </c>
      <c r="I15" s="58">
        <v>1.0920881539868708</v>
      </c>
      <c r="J15" s="58">
        <v>0.832527942038507</v>
      </c>
    </row>
    <row r="16" spans="1:10" ht="11.25" customHeight="1" x14ac:dyDescent="0.2">
      <c r="A16" s="67">
        <v>44713</v>
      </c>
      <c r="B16" s="57">
        <v>151084.92000000001</v>
      </c>
      <c r="C16" s="57">
        <v>170643.58540274479</v>
      </c>
      <c r="D16" s="57">
        <v>479901.48923999997</v>
      </c>
      <c r="E16" s="57">
        <v>817693.11657352396</v>
      </c>
      <c r="F16" s="57">
        <v>630773.12009999994</v>
      </c>
      <c r="G16" s="57">
        <v>1319632.9724145478</v>
      </c>
      <c r="H16" s="58">
        <v>0.56633595827631877</v>
      </c>
      <c r="I16" s="58">
        <v>1.0920881539868712</v>
      </c>
      <c r="J16" s="58">
        <v>0.82916761928326177</v>
      </c>
    </row>
    <row r="17" spans="1:10" ht="11.25" customHeight="1" x14ac:dyDescent="0.2">
      <c r="A17" s="67">
        <v>44743</v>
      </c>
      <c r="B17" s="57">
        <v>146087.20000000001</v>
      </c>
      <c r="C17" s="57">
        <v>164998.88664896443</v>
      </c>
      <c r="D17" s="57">
        <v>460632.78167999996</v>
      </c>
      <c r="E17" s="57">
        <v>784861.60866961605</v>
      </c>
      <c r="F17" s="57">
        <v>605446.70819999988</v>
      </c>
      <c r="G17" s="57">
        <v>1266647.8860955657</v>
      </c>
      <c r="H17" s="58">
        <v>0.5655665282169029</v>
      </c>
      <c r="I17" s="58">
        <v>1.0920881539868712</v>
      </c>
      <c r="J17" s="58">
        <v>0.8285508089927569</v>
      </c>
    </row>
    <row r="18" spans="1:10" ht="11.25" customHeight="1" x14ac:dyDescent="0.2">
      <c r="A18" s="67">
        <v>44774</v>
      </c>
      <c r="B18" s="57">
        <v>144165</v>
      </c>
      <c r="C18" s="57">
        <v>162827.84866674122</v>
      </c>
      <c r="D18" s="57">
        <v>446491.22627999994</v>
      </c>
      <c r="E18" s="57">
        <v>760766.13747919386</v>
      </c>
      <c r="F18" s="57">
        <v>586859.32469999988</v>
      </c>
      <c r="G18" s="57">
        <v>1227761.4412616047</v>
      </c>
      <c r="H18" s="58">
        <v>0.56367434228672009</v>
      </c>
      <c r="I18" s="58">
        <v>1.0920881539868712</v>
      </c>
      <c r="J18" s="58">
        <v>0.82702931236623667</v>
      </c>
    </row>
    <row r="19" spans="1:10" ht="11.25" customHeight="1" x14ac:dyDescent="0.2">
      <c r="A19" s="67">
        <v>44805</v>
      </c>
      <c r="B19" s="57">
        <v>144165</v>
      </c>
      <c r="C19" s="57">
        <v>162827.84866674122</v>
      </c>
      <c r="D19" s="57">
        <v>179746.82879999999</v>
      </c>
      <c r="E19" s="57">
        <v>306266.48995910014</v>
      </c>
      <c r="F19" s="57">
        <v>236255.712</v>
      </c>
      <c r="G19" s="57">
        <v>494267.77638693381</v>
      </c>
      <c r="H19" s="58">
        <v>0.44821614068155746</v>
      </c>
      <c r="I19" s="58">
        <v>1.0920881539868708</v>
      </c>
      <c r="J19" s="58">
        <v>0.71977496881906977</v>
      </c>
    </row>
    <row r="20" spans="1:10" ht="11.25" customHeight="1" x14ac:dyDescent="0.2">
      <c r="A20" s="67">
        <v>44835</v>
      </c>
      <c r="B20" s="57">
        <v>145126.1</v>
      </c>
      <c r="C20" s="57">
        <v>163913.36765785282</v>
      </c>
      <c r="D20" s="57">
        <v>428970.08347999997</v>
      </c>
      <c r="E20" s="57">
        <v>730912.26500059268</v>
      </c>
      <c r="F20" s="57">
        <v>563829.87769999995</v>
      </c>
      <c r="G20" s="57">
        <v>1179581.8080000363</v>
      </c>
      <c r="H20" s="58">
        <v>0.55866849215801984</v>
      </c>
      <c r="I20" s="58">
        <v>1.0920881539868712</v>
      </c>
      <c r="J20" s="58">
        <v>0.82297208177776926</v>
      </c>
    </row>
    <row r="21" spans="1:10" ht="11.25" customHeight="1" x14ac:dyDescent="0.2">
      <c r="A21" s="67">
        <v>44866</v>
      </c>
      <c r="B21" s="57">
        <v>145126.1</v>
      </c>
      <c r="C21" s="57">
        <v>163913.36765785282</v>
      </c>
      <c r="D21" s="57">
        <v>428970.08347999997</v>
      </c>
      <c r="E21" s="57">
        <v>730912.26500059268</v>
      </c>
      <c r="F21" s="57">
        <v>563829.87769999995</v>
      </c>
      <c r="G21" s="57">
        <v>1179581.8080000363</v>
      </c>
      <c r="H21" s="58">
        <v>0.55866849215801984</v>
      </c>
      <c r="I21" s="58">
        <v>1.0920881539868712</v>
      </c>
      <c r="J21" s="58">
        <v>0.82297208177776926</v>
      </c>
    </row>
    <row r="22" spans="1:10" ht="11.25" customHeight="1" x14ac:dyDescent="0.2">
      <c r="A22" s="66" t="s">
        <v>34</v>
      </c>
      <c r="B22" s="57">
        <v>5980206.96</v>
      </c>
      <c r="C22" s="57">
        <v>5863677.4006711338</v>
      </c>
      <c r="D22" s="57">
        <v>503319.51591999998</v>
      </c>
      <c r="E22" s="57">
        <v>857594.55395038263</v>
      </c>
      <c r="F22" s="57">
        <v>1023001.4077400001</v>
      </c>
      <c r="G22" s="57">
        <v>2067940.4784966637</v>
      </c>
      <c r="H22" s="58">
        <v>3.6669161386863935E-2</v>
      </c>
      <c r="I22" s="58">
        <v>1.0214444113670655</v>
      </c>
      <c r="J22" s="58">
        <v>0.17087587888007327</v>
      </c>
    </row>
    <row r="23" spans="1:10" ht="11.25" customHeight="1" x14ac:dyDescent="0.2">
      <c r="A23" s="67">
        <v>44531</v>
      </c>
      <c r="B23" s="57">
        <v>496860</v>
      </c>
      <c r="C23" s="57">
        <v>487178.24864333106</v>
      </c>
      <c r="D23" s="57">
        <v>43926.400000000001</v>
      </c>
      <c r="E23" s="57">
        <v>74845.183274462397</v>
      </c>
      <c r="F23" s="57">
        <v>89280.8</v>
      </c>
      <c r="G23" s="57">
        <v>180476.1742023807</v>
      </c>
      <c r="H23" s="58">
        <v>3.927064718675144E-2</v>
      </c>
      <c r="I23" s="58">
        <v>1.0214444113670655</v>
      </c>
      <c r="J23" s="58">
        <v>0.17844510255441648</v>
      </c>
    </row>
    <row r="24" spans="1:10" ht="11.25" customHeight="1" x14ac:dyDescent="0.2">
      <c r="A24" s="67">
        <v>44562</v>
      </c>
      <c r="B24" s="57">
        <v>496860</v>
      </c>
      <c r="C24" s="57">
        <v>487178.24864333106</v>
      </c>
      <c r="D24" s="57">
        <v>46588.732040000003</v>
      </c>
      <c r="E24" s="57">
        <v>79381.469641459771</v>
      </c>
      <c r="F24" s="57">
        <v>94692.013630000016</v>
      </c>
      <c r="G24" s="57">
        <v>191414.64175345752</v>
      </c>
      <c r="H24" s="58">
        <v>4.2526525286086692E-2</v>
      </c>
      <c r="I24" s="58">
        <v>1.0214444113670655</v>
      </c>
      <c r="J24" s="58">
        <v>0.18778555543014552</v>
      </c>
    </row>
    <row r="25" spans="1:10" ht="11.25" customHeight="1" x14ac:dyDescent="0.2">
      <c r="A25" s="67">
        <v>44593</v>
      </c>
      <c r="B25" s="57">
        <v>509778.36</v>
      </c>
      <c r="C25" s="57">
        <v>499844.88310805766</v>
      </c>
      <c r="D25" s="57">
        <v>44274.51672</v>
      </c>
      <c r="E25" s="57">
        <v>75438.331351912508</v>
      </c>
      <c r="F25" s="57">
        <v>89988.350340000005</v>
      </c>
      <c r="G25" s="57">
        <v>181906.44788293456</v>
      </c>
      <c r="H25" s="58">
        <v>3.8318251979222673E-2</v>
      </c>
      <c r="I25" s="58">
        <v>1.0214444113670651</v>
      </c>
      <c r="J25" s="58">
        <v>0.17568508121664661</v>
      </c>
    </row>
    <row r="26" spans="1:10" ht="11.25" customHeight="1" x14ac:dyDescent="0.2">
      <c r="A26" s="67">
        <v>44621</v>
      </c>
      <c r="B26" s="57">
        <v>496860</v>
      </c>
      <c r="C26" s="57">
        <v>487178.24864333106</v>
      </c>
      <c r="D26" s="57">
        <v>25041.342479999999</v>
      </c>
      <c r="E26" s="57">
        <v>42667.36785518915</v>
      </c>
      <c r="F26" s="57">
        <v>50896.752060000006</v>
      </c>
      <c r="G26" s="57">
        <v>102884.95500842218</v>
      </c>
      <c r="H26" s="58">
        <v>1.5221792649105392E-2</v>
      </c>
      <c r="I26" s="58">
        <v>1.0214444113670655</v>
      </c>
      <c r="J26" s="58">
        <v>0.10463106902454467</v>
      </c>
    </row>
    <row r="27" spans="1:10" ht="11.25" customHeight="1" x14ac:dyDescent="0.2">
      <c r="A27" s="67">
        <v>44652</v>
      </c>
      <c r="B27" s="57">
        <v>496860</v>
      </c>
      <c r="C27" s="57">
        <v>487178.24864333106</v>
      </c>
      <c r="D27" s="57">
        <v>59945.495239999989</v>
      </c>
      <c r="E27" s="57">
        <v>102139.75144141592</v>
      </c>
      <c r="F27" s="57">
        <v>121839.75403</v>
      </c>
      <c r="G27" s="57">
        <v>246292.28986628138</v>
      </c>
      <c r="H27" s="58">
        <v>5.8391135006189421E-2</v>
      </c>
      <c r="I27" s="58">
        <v>1.0214444113670655</v>
      </c>
      <c r="J27" s="58">
        <v>0.23129174019838983</v>
      </c>
    </row>
    <row r="28" spans="1:10" ht="11.25" customHeight="1" x14ac:dyDescent="0.2">
      <c r="A28" s="67">
        <v>44682</v>
      </c>
      <c r="B28" s="57">
        <v>501828.6</v>
      </c>
      <c r="C28" s="57">
        <v>492050.03112976433</v>
      </c>
      <c r="D28" s="57">
        <v>48255.895800000006</v>
      </c>
      <c r="E28" s="57">
        <v>82222.1116509516</v>
      </c>
      <c r="F28" s="57">
        <v>98080.538850000012</v>
      </c>
      <c r="G28" s="57">
        <v>198264.35712220287</v>
      </c>
      <c r="H28" s="58">
        <v>4.3970784789233663E-2</v>
      </c>
      <c r="I28" s="58">
        <v>1.0214444113670655</v>
      </c>
      <c r="J28" s="58">
        <v>0.19188240433252868</v>
      </c>
    </row>
    <row r="29" spans="1:10" ht="11.25" customHeight="1" x14ac:dyDescent="0.2">
      <c r="A29" s="67">
        <v>44713</v>
      </c>
      <c r="B29" s="57">
        <v>496860</v>
      </c>
      <c r="C29" s="57">
        <v>487178.24864333106</v>
      </c>
      <c r="D29" s="57">
        <v>45654.433199999999</v>
      </c>
      <c r="E29" s="57">
        <v>77789.539323634541</v>
      </c>
      <c r="F29" s="57">
        <v>92793.0429</v>
      </c>
      <c r="G29" s="57">
        <v>187575.97798394936</v>
      </c>
      <c r="H29" s="58">
        <v>4.138757126612358E-2</v>
      </c>
      <c r="I29" s="58">
        <v>1.0214444113670655</v>
      </c>
      <c r="J29" s="58">
        <v>0.18453472414743244</v>
      </c>
    </row>
    <row r="30" spans="1:10" ht="11.25" customHeight="1" x14ac:dyDescent="0.2">
      <c r="A30" s="67">
        <v>44743</v>
      </c>
      <c r="B30" s="57">
        <v>496860</v>
      </c>
      <c r="C30" s="57">
        <v>487178.24864333106</v>
      </c>
      <c r="D30" s="57">
        <v>40597.327959999995</v>
      </c>
      <c r="E30" s="57">
        <v>69172.853947049065</v>
      </c>
      <c r="F30" s="57">
        <v>82514.431370000006</v>
      </c>
      <c r="G30" s="57">
        <v>166798.33615001777</v>
      </c>
      <c r="H30" s="58">
        <v>3.5153999485120435E-2</v>
      </c>
      <c r="I30" s="58">
        <v>1.0214444113670655</v>
      </c>
      <c r="J30" s="58">
        <v>0.1664231924400903</v>
      </c>
    </row>
    <row r="31" spans="1:10" ht="11.25" customHeight="1" x14ac:dyDescent="0.2">
      <c r="A31" s="67">
        <v>44774</v>
      </c>
      <c r="B31" s="57">
        <v>496860</v>
      </c>
      <c r="C31" s="57">
        <v>487178.24864333106</v>
      </c>
      <c r="D31" s="57">
        <v>47334.774879999997</v>
      </c>
      <c r="E31" s="57">
        <v>80652.634888108718</v>
      </c>
      <c r="F31" s="57">
        <v>96208.352360000004</v>
      </c>
      <c r="G31" s="57">
        <v>194479.83620495544</v>
      </c>
      <c r="H31" s="58">
        <v>4.3433178234119962E-2</v>
      </c>
      <c r="I31" s="58">
        <v>1.0214444113670655</v>
      </c>
      <c r="J31" s="58">
        <v>0.19036070767141755</v>
      </c>
    </row>
    <row r="32" spans="1:10" ht="11.25" customHeight="1" x14ac:dyDescent="0.2">
      <c r="A32" s="67">
        <v>44805</v>
      </c>
      <c r="B32" s="57">
        <v>496860</v>
      </c>
      <c r="C32" s="57">
        <v>487178.24864333106</v>
      </c>
      <c r="D32" s="57">
        <v>15775.0684</v>
      </c>
      <c r="E32" s="57">
        <v>26878.776443441311</v>
      </c>
      <c r="F32" s="57">
        <v>32062.967300000004</v>
      </c>
      <c r="G32" s="57">
        <v>64813.50606042998</v>
      </c>
      <c r="H32" s="58">
        <v>2.7738185981120989E-3</v>
      </c>
      <c r="I32" s="58">
        <v>1.0214444113670655</v>
      </c>
      <c r="J32" s="58">
        <v>6.2736586525939497E-2</v>
      </c>
    </row>
    <row r="33" spans="1:10" ht="11.25" customHeight="1" x14ac:dyDescent="0.2">
      <c r="A33" s="67">
        <v>44835</v>
      </c>
      <c r="B33" s="57">
        <v>496860</v>
      </c>
      <c r="C33" s="57">
        <v>487178.24864333106</v>
      </c>
      <c r="D33" s="57">
        <v>42962.764600000002</v>
      </c>
      <c r="E33" s="57">
        <v>73203.267066378874</v>
      </c>
      <c r="F33" s="57">
        <v>87322.202450000012</v>
      </c>
      <c r="G33" s="57">
        <v>176516.97813081599</v>
      </c>
      <c r="H33" s="58">
        <v>3.8084261090663096E-2</v>
      </c>
      <c r="I33" s="58">
        <v>1.0214444113670655</v>
      </c>
      <c r="J33" s="58">
        <v>0.17500503481163343</v>
      </c>
    </row>
    <row r="34" spans="1:10" ht="11.25" customHeight="1" x14ac:dyDescent="0.2">
      <c r="A34" s="67">
        <v>44866</v>
      </c>
      <c r="B34" s="57">
        <v>496860</v>
      </c>
      <c r="C34" s="57">
        <v>487178.24864333106</v>
      </c>
      <c r="D34" s="57">
        <v>42962.764600000002</v>
      </c>
      <c r="E34" s="57">
        <v>73203.267066378874</v>
      </c>
      <c r="F34" s="57">
        <v>87322.202450000012</v>
      </c>
      <c r="G34" s="57">
        <v>176516.97813081599</v>
      </c>
      <c r="H34" s="58">
        <v>3.8084261090663096E-2</v>
      </c>
      <c r="I34" s="58">
        <v>1.0214444113670655</v>
      </c>
      <c r="J34" s="58">
        <v>0.17500503481163343</v>
      </c>
    </row>
    <row r="35" spans="1:10" ht="11.25" customHeight="1" x14ac:dyDescent="0.2">
      <c r="A35" s="60" t="s">
        <v>42</v>
      </c>
      <c r="B35" s="57">
        <v>39766.80000000001</v>
      </c>
      <c r="C35" s="57">
        <v>39441.092854794224</v>
      </c>
      <c r="D35" s="57">
        <v>64392.825999999994</v>
      </c>
      <c r="E35" s="57">
        <v>80735.609453431214</v>
      </c>
      <c r="F35" s="57">
        <v>24497.434949999999</v>
      </c>
      <c r="G35" s="57">
        <v>50903.16924230141</v>
      </c>
      <c r="H35" s="58">
        <v>0.15377432622718357</v>
      </c>
      <c r="I35" s="58">
        <v>1.0778979246682892</v>
      </c>
      <c r="J35" s="58">
        <v>0.32973557989960334</v>
      </c>
    </row>
    <row r="36" spans="1:10" ht="11.25" customHeight="1" x14ac:dyDescent="0.2">
      <c r="A36" s="61" t="s">
        <v>43</v>
      </c>
      <c r="B36" s="57">
        <v>39766.80000000001</v>
      </c>
      <c r="C36" s="57">
        <v>39441.092854794224</v>
      </c>
      <c r="D36" s="57">
        <v>64392.825999999994</v>
      </c>
      <c r="E36" s="57">
        <v>80735.609453431214</v>
      </c>
      <c r="F36" s="57">
        <v>24497.434949999999</v>
      </c>
      <c r="G36" s="57">
        <v>50903.16924230141</v>
      </c>
      <c r="H36" s="58">
        <v>0.15377432622718357</v>
      </c>
      <c r="I36" s="58">
        <v>1.0778979246682892</v>
      </c>
      <c r="J36" s="58">
        <v>0.32973557989960334</v>
      </c>
    </row>
    <row r="37" spans="1:10" ht="11.25" customHeight="1" x14ac:dyDescent="0.2">
      <c r="A37" s="62" t="s">
        <v>38</v>
      </c>
      <c r="B37" s="57">
        <v>39766.80000000001</v>
      </c>
      <c r="C37" s="57">
        <v>39441.092854794224</v>
      </c>
      <c r="D37" s="57">
        <v>64392.825999999994</v>
      </c>
      <c r="E37" s="57">
        <v>80735.609453431214</v>
      </c>
      <c r="F37" s="57">
        <v>24497.434949999999</v>
      </c>
      <c r="G37" s="57">
        <v>50903.16924230141</v>
      </c>
      <c r="H37" s="58">
        <v>0.15377432622718357</v>
      </c>
      <c r="I37" s="58">
        <v>1.0778979246682892</v>
      </c>
      <c r="J37" s="58">
        <v>0.32973557989960334</v>
      </c>
    </row>
    <row r="38" spans="1:10" ht="11.25" customHeight="1" x14ac:dyDescent="0.2">
      <c r="A38" s="63" t="s">
        <v>25</v>
      </c>
      <c r="B38" s="57">
        <v>39766.80000000001</v>
      </c>
      <c r="C38" s="57">
        <v>39441.092854794224</v>
      </c>
      <c r="D38" s="57">
        <v>64392.825999999994</v>
      </c>
      <c r="E38" s="57">
        <v>80735.609453431214</v>
      </c>
      <c r="F38" s="57">
        <v>24497.434949999999</v>
      </c>
      <c r="G38" s="57">
        <v>50903.16924230141</v>
      </c>
      <c r="H38" s="58">
        <v>0.15377432622718357</v>
      </c>
      <c r="I38" s="58">
        <v>1.0778979246682892</v>
      </c>
      <c r="J38" s="58">
        <v>0.32973557989960334</v>
      </c>
    </row>
    <row r="39" spans="1:10" ht="11.25" customHeight="1" x14ac:dyDescent="0.2">
      <c r="A39" s="64" t="s">
        <v>25</v>
      </c>
      <c r="B39" s="57">
        <v>39766.80000000001</v>
      </c>
      <c r="C39" s="57">
        <v>39441.092854794224</v>
      </c>
      <c r="D39" s="57">
        <v>64392.825999999994</v>
      </c>
      <c r="E39" s="57">
        <v>80735.609453431214</v>
      </c>
      <c r="F39" s="57">
        <v>24497.434949999999</v>
      </c>
      <c r="G39" s="57">
        <v>50903.16924230141</v>
      </c>
      <c r="H39" s="58">
        <v>0.15377432622718357</v>
      </c>
      <c r="I39" s="58">
        <v>1.0778979246682892</v>
      </c>
      <c r="J39" s="58">
        <v>0.32973557989960334</v>
      </c>
    </row>
    <row r="40" spans="1:10" ht="11.25" customHeight="1" x14ac:dyDescent="0.2">
      <c r="A40" s="65" t="s">
        <v>25</v>
      </c>
      <c r="B40" s="57">
        <v>39766.80000000001</v>
      </c>
      <c r="C40" s="57">
        <v>39441.092854794224</v>
      </c>
      <c r="D40" s="57">
        <v>64392.825999999994</v>
      </c>
      <c r="E40" s="57">
        <v>80735.609453431214</v>
      </c>
      <c r="F40" s="57">
        <v>24497.434949999999</v>
      </c>
      <c r="G40" s="57">
        <v>50903.16924230141</v>
      </c>
      <c r="H40" s="58">
        <v>0.15377432622718357</v>
      </c>
      <c r="I40" s="58">
        <v>1.0778979246682892</v>
      </c>
      <c r="J40" s="58">
        <v>0.32973557989960334</v>
      </c>
    </row>
    <row r="41" spans="1:10" ht="11.25" customHeight="1" x14ac:dyDescent="0.2">
      <c r="A41" s="66" t="s">
        <v>35</v>
      </c>
      <c r="B41" s="57">
        <v>0</v>
      </c>
      <c r="C41" s="57">
        <v>0</v>
      </c>
      <c r="D41" s="57">
        <v>19485.485600000004</v>
      </c>
      <c r="E41" s="57">
        <v>34469.256562104296</v>
      </c>
      <c r="F41" s="57">
        <v>19576.628000000001</v>
      </c>
      <c r="G41" s="57">
        <v>40956.031533807698</v>
      </c>
      <c r="H41" s="58">
        <v>0.76897087759025573</v>
      </c>
      <c r="I41" s="58">
        <v>1.0920881539868712</v>
      </c>
      <c r="J41" s="58">
        <v>0.93090647547325722</v>
      </c>
    </row>
    <row r="42" spans="1:10" ht="11.25" customHeight="1" x14ac:dyDescent="0.2">
      <c r="A42" s="67">
        <v>44531</v>
      </c>
      <c r="B42" s="57">
        <v>0</v>
      </c>
      <c r="C42" s="57">
        <v>0</v>
      </c>
      <c r="D42" s="57">
        <v>2370.5220000000004</v>
      </c>
      <c r="E42" s="57">
        <v>4193.3843826870097</v>
      </c>
      <c r="F42" s="57">
        <v>2381.61</v>
      </c>
      <c r="G42" s="57">
        <v>4982.5380684166721</v>
      </c>
      <c r="H42" s="58">
        <v>0.76897087759025617</v>
      </c>
      <c r="I42" s="58">
        <v>1.0920881539868712</v>
      </c>
      <c r="J42" s="58">
        <v>0.930906475473257</v>
      </c>
    </row>
    <row r="43" spans="1:10" ht="11.25" customHeight="1" x14ac:dyDescent="0.2">
      <c r="A43" s="67">
        <v>44562</v>
      </c>
      <c r="B43" s="57">
        <v>0</v>
      </c>
      <c r="C43" s="57">
        <v>0</v>
      </c>
      <c r="D43" s="57">
        <v>1616.2650000000001</v>
      </c>
      <c r="E43" s="57">
        <v>2859.1257154684154</v>
      </c>
      <c r="F43" s="57">
        <v>1623.8249999999998</v>
      </c>
      <c r="G43" s="57">
        <v>3397.1850466477308</v>
      </c>
      <c r="H43" s="58">
        <v>0.76897087759025595</v>
      </c>
      <c r="I43" s="58">
        <v>1.0920881539868712</v>
      </c>
      <c r="J43" s="58">
        <v>0.93090647547325722</v>
      </c>
    </row>
    <row r="44" spans="1:10" ht="11.25" customHeight="1" x14ac:dyDescent="0.2">
      <c r="A44" s="67">
        <v>44593</v>
      </c>
      <c r="B44" s="57">
        <v>0</v>
      </c>
      <c r="C44" s="57">
        <v>0</v>
      </c>
      <c r="D44" s="57">
        <v>1346.7848800000002</v>
      </c>
      <c r="E44" s="57">
        <v>2382.4232310988878</v>
      </c>
      <c r="F44" s="57">
        <v>1353.0844</v>
      </c>
      <c r="G44" s="57">
        <v>2830.771844584433</v>
      </c>
      <c r="H44" s="58">
        <v>0.76897087759025595</v>
      </c>
      <c r="I44" s="58">
        <v>1.0920881539868712</v>
      </c>
      <c r="J44" s="58">
        <v>0.93090647547325744</v>
      </c>
    </row>
    <row r="45" spans="1:10" ht="11.25" customHeight="1" x14ac:dyDescent="0.2">
      <c r="A45" s="67">
        <v>44621</v>
      </c>
      <c r="B45" s="57">
        <v>0</v>
      </c>
      <c r="C45" s="57">
        <v>0</v>
      </c>
      <c r="D45" s="57">
        <v>1562.3895</v>
      </c>
      <c r="E45" s="57">
        <v>2763.8215249528016</v>
      </c>
      <c r="F45" s="57">
        <v>1569.6974999999998</v>
      </c>
      <c r="G45" s="57">
        <v>3283.9455450928062</v>
      </c>
      <c r="H45" s="58">
        <v>0.76897087759025617</v>
      </c>
      <c r="I45" s="58">
        <v>1.0920881539868712</v>
      </c>
      <c r="J45" s="58">
        <v>0.93090647547325744</v>
      </c>
    </row>
    <row r="46" spans="1:10" ht="11.25" customHeight="1" x14ac:dyDescent="0.2">
      <c r="A46" s="67">
        <v>44652</v>
      </c>
      <c r="B46" s="57">
        <v>0</v>
      </c>
      <c r="C46" s="57">
        <v>0</v>
      </c>
      <c r="D46" s="57">
        <v>1239.03388</v>
      </c>
      <c r="E46" s="57">
        <v>2191.8148500676602</v>
      </c>
      <c r="F46" s="57">
        <v>1244.8293999999999</v>
      </c>
      <c r="G46" s="57">
        <v>2604.2928414745843</v>
      </c>
      <c r="H46" s="58">
        <v>0.7689708775902564</v>
      </c>
      <c r="I46" s="58">
        <v>1.0920881539868712</v>
      </c>
      <c r="J46" s="58">
        <v>0.93090647547325767</v>
      </c>
    </row>
    <row r="47" spans="1:10" ht="11.25" customHeight="1" x14ac:dyDescent="0.2">
      <c r="A47" s="67">
        <v>44682</v>
      </c>
      <c r="B47" s="57">
        <v>0</v>
      </c>
      <c r="C47" s="57">
        <v>0</v>
      </c>
      <c r="D47" s="57">
        <v>1885.6425000000002</v>
      </c>
      <c r="E47" s="57">
        <v>3335.6466680464846</v>
      </c>
      <c r="F47" s="57">
        <v>1894.4624999999999</v>
      </c>
      <c r="G47" s="57">
        <v>3963.3825544223528</v>
      </c>
      <c r="H47" s="58">
        <v>0.76897087759025595</v>
      </c>
      <c r="I47" s="58">
        <v>1.0920881539868712</v>
      </c>
      <c r="J47" s="58">
        <v>0.93090647547325722</v>
      </c>
    </row>
    <row r="48" spans="1:10" ht="11.25" customHeight="1" x14ac:dyDescent="0.2">
      <c r="A48" s="67">
        <v>44713</v>
      </c>
      <c r="B48" s="57">
        <v>0</v>
      </c>
      <c r="C48" s="57">
        <v>0</v>
      </c>
      <c r="D48" s="57">
        <v>1621.0881400000001</v>
      </c>
      <c r="E48" s="57">
        <v>2867.6577096669562</v>
      </c>
      <c r="F48" s="57">
        <v>1628.6706999999999</v>
      </c>
      <c r="G48" s="57">
        <v>3407.3226782155052</v>
      </c>
      <c r="H48" s="58">
        <v>0.76897087759025617</v>
      </c>
      <c r="I48" s="58">
        <v>1.0920881539868712</v>
      </c>
      <c r="J48" s="58">
        <v>0.93090647547325744</v>
      </c>
    </row>
    <row r="49" spans="1:10" ht="11.25" customHeight="1" x14ac:dyDescent="0.2">
      <c r="A49" s="67">
        <v>44743</v>
      </c>
      <c r="B49" s="57">
        <v>0</v>
      </c>
      <c r="C49" s="57">
        <v>0</v>
      </c>
      <c r="D49" s="57">
        <v>1880.7167400000003</v>
      </c>
      <c r="E49" s="57">
        <v>3326.9331420564858</v>
      </c>
      <c r="F49" s="57">
        <v>1889.5137</v>
      </c>
      <c r="G49" s="57">
        <v>3953.0292285659025</v>
      </c>
      <c r="H49" s="58">
        <v>0.76897087759025595</v>
      </c>
      <c r="I49" s="58">
        <v>1.0920881539868712</v>
      </c>
      <c r="J49" s="58">
        <v>0.93090647547325722</v>
      </c>
    </row>
    <row r="50" spans="1:10" ht="11.25" customHeight="1" x14ac:dyDescent="0.2">
      <c r="A50" s="67">
        <v>44774</v>
      </c>
      <c r="B50" s="57">
        <v>0</v>
      </c>
      <c r="C50" s="57">
        <v>0</v>
      </c>
      <c r="D50" s="57">
        <v>1777.8915</v>
      </c>
      <c r="E50" s="57">
        <v>3145.0382870152566</v>
      </c>
      <c r="F50" s="57">
        <v>1786.2074999999998</v>
      </c>
      <c r="G50" s="57">
        <v>3736.9035513125036</v>
      </c>
      <c r="H50" s="58">
        <v>0.76897087759025595</v>
      </c>
      <c r="I50" s="58">
        <v>1.0920881539868712</v>
      </c>
      <c r="J50" s="58">
        <v>0.93090647547325744</v>
      </c>
    </row>
    <row r="51" spans="1:10" ht="11.25" customHeight="1" x14ac:dyDescent="0.2">
      <c r="A51" s="67">
        <v>44805</v>
      </c>
      <c r="B51" s="57">
        <v>0</v>
      </c>
      <c r="C51" s="57">
        <v>0</v>
      </c>
      <c r="D51" s="57">
        <v>1508.41138</v>
      </c>
      <c r="E51" s="57">
        <v>2668.3358026457295</v>
      </c>
      <c r="F51" s="57">
        <v>1515.4668999999999</v>
      </c>
      <c r="G51" s="57">
        <v>3170.4903492492058</v>
      </c>
      <c r="H51" s="58">
        <v>0.76897087759025617</v>
      </c>
      <c r="I51" s="58">
        <v>1.0920881539868712</v>
      </c>
      <c r="J51" s="58">
        <v>0.93090647547325722</v>
      </c>
    </row>
    <row r="52" spans="1:10" ht="11.25" customHeight="1" x14ac:dyDescent="0.2">
      <c r="A52" s="67">
        <v>44835</v>
      </c>
      <c r="B52" s="57">
        <v>0</v>
      </c>
      <c r="C52" s="57">
        <v>0</v>
      </c>
      <c r="D52" s="57">
        <v>1338.37004</v>
      </c>
      <c r="E52" s="57">
        <v>2367.5376241993063</v>
      </c>
      <c r="F52" s="57">
        <v>1344.6301999999998</v>
      </c>
      <c r="G52" s="57">
        <v>2813.084912912997</v>
      </c>
      <c r="H52" s="58">
        <v>0.76897087759025617</v>
      </c>
      <c r="I52" s="58">
        <v>1.0920881539868712</v>
      </c>
      <c r="J52" s="58">
        <v>0.93090647547325744</v>
      </c>
    </row>
    <row r="53" spans="1:10" ht="11.25" customHeight="1" x14ac:dyDescent="0.2">
      <c r="A53" s="67">
        <v>44866</v>
      </c>
      <c r="B53" s="57">
        <v>0</v>
      </c>
      <c r="C53" s="57">
        <v>0</v>
      </c>
      <c r="D53" s="57">
        <v>1338.37004</v>
      </c>
      <c r="E53" s="57">
        <v>2367.5376241993063</v>
      </c>
      <c r="F53" s="57">
        <v>1344.6301999999998</v>
      </c>
      <c r="G53" s="57">
        <v>2813.084912912997</v>
      </c>
      <c r="H53" s="58">
        <v>0.76897087759025617</v>
      </c>
      <c r="I53" s="58">
        <v>1.0920881539868712</v>
      </c>
      <c r="J53" s="58">
        <v>0.93090647547325744</v>
      </c>
    </row>
    <row r="54" spans="1:10" ht="11.25" customHeight="1" x14ac:dyDescent="0.2">
      <c r="A54" s="66" t="s">
        <v>25</v>
      </c>
      <c r="B54" s="57">
        <v>39766.80000000001</v>
      </c>
      <c r="C54" s="57">
        <v>39441.092854794224</v>
      </c>
      <c r="D54" s="57">
        <v>0</v>
      </c>
      <c r="E54" s="57">
        <v>0</v>
      </c>
      <c r="F54" s="57">
        <v>0</v>
      </c>
      <c r="G54" s="57">
        <v>0</v>
      </c>
      <c r="H54" s="58">
        <v>-8.1904288302249162E-3</v>
      </c>
      <c r="I54" s="58">
        <v>0</v>
      </c>
      <c r="J54" s="58">
        <v>-8.1904288302249162E-3</v>
      </c>
    </row>
    <row r="55" spans="1:10" ht="11.25" customHeight="1" x14ac:dyDescent="0.2">
      <c r="A55" s="67">
        <v>44531</v>
      </c>
      <c r="B55" s="57">
        <v>3313.8999999999996</v>
      </c>
      <c r="C55" s="57">
        <v>3286.7577378995179</v>
      </c>
      <c r="D55" s="57">
        <v>0</v>
      </c>
      <c r="E55" s="57">
        <v>0</v>
      </c>
      <c r="F55" s="57">
        <v>0</v>
      </c>
      <c r="G55" s="57">
        <v>0</v>
      </c>
      <c r="H55" s="58">
        <v>-8.1904288302246941E-3</v>
      </c>
      <c r="I55" s="58">
        <v>0</v>
      </c>
      <c r="J55" s="58">
        <v>-8.1904288302246941E-3</v>
      </c>
    </row>
    <row r="56" spans="1:10" ht="11.25" customHeight="1" x14ac:dyDescent="0.2">
      <c r="A56" s="67">
        <v>44562</v>
      </c>
      <c r="B56" s="57">
        <v>3313.8999999999996</v>
      </c>
      <c r="C56" s="57">
        <v>3286.7577378995179</v>
      </c>
      <c r="D56" s="57">
        <v>0</v>
      </c>
      <c r="E56" s="57">
        <v>0</v>
      </c>
      <c r="F56" s="57">
        <v>0</v>
      </c>
      <c r="G56" s="57">
        <v>0</v>
      </c>
      <c r="H56" s="58">
        <v>-8.1904288302246941E-3</v>
      </c>
      <c r="I56" s="58">
        <v>0</v>
      </c>
      <c r="J56" s="58">
        <v>-8.1904288302246941E-3</v>
      </c>
    </row>
    <row r="57" spans="1:10" ht="11.25" customHeight="1" x14ac:dyDescent="0.2">
      <c r="A57" s="67">
        <v>44593</v>
      </c>
      <c r="B57" s="57">
        <v>3313.8999999999996</v>
      </c>
      <c r="C57" s="57">
        <v>3286.7577378995179</v>
      </c>
      <c r="D57" s="57">
        <v>0</v>
      </c>
      <c r="E57" s="57">
        <v>0</v>
      </c>
      <c r="F57" s="57">
        <v>0</v>
      </c>
      <c r="G57" s="57">
        <v>0</v>
      </c>
      <c r="H57" s="58">
        <v>-8.1904288302246941E-3</v>
      </c>
      <c r="I57" s="58">
        <v>0</v>
      </c>
      <c r="J57" s="58">
        <v>-8.1904288302246941E-3</v>
      </c>
    </row>
    <row r="58" spans="1:10" ht="11.25" customHeight="1" x14ac:dyDescent="0.2">
      <c r="A58" s="67">
        <v>44621</v>
      </c>
      <c r="B58" s="57">
        <v>3313.8999999999996</v>
      </c>
      <c r="C58" s="57">
        <v>3286.7577378995179</v>
      </c>
      <c r="D58" s="57">
        <v>0</v>
      </c>
      <c r="E58" s="57">
        <v>0</v>
      </c>
      <c r="F58" s="57">
        <v>0</v>
      </c>
      <c r="G58" s="57">
        <v>0</v>
      </c>
      <c r="H58" s="58">
        <v>-8.1904288302246941E-3</v>
      </c>
      <c r="I58" s="58">
        <v>0</v>
      </c>
      <c r="J58" s="58">
        <v>-8.1904288302246941E-3</v>
      </c>
    </row>
    <row r="59" spans="1:10" ht="11.25" customHeight="1" x14ac:dyDescent="0.2">
      <c r="A59" s="67">
        <v>44652</v>
      </c>
      <c r="B59" s="57">
        <v>3313.8999999999996</v>
      </c>
      <c r="C59" s="57">
        <v>3286.7577378995179</v>
      </c>
      <c r="D59" s="57">
        <v>0</v>
      </c>
      <c r="E59" s="57">
        <v>0</v>
      </c>
      <c r="F59" s="57">
        <v>0</v>
      </c>
      <c r="G59" s="57">
        <v>0</v>
      </c>
      <c r="H59" s="58">
        <v>-8.1904288302246941E-3</v>
      </c>
      <c r="I59" s="58">
        <v>0</v>
      </c>
      <c r="J59" s="58">
        <v>-8.1904288302246941E-3</v>
      </c>
    </row>
    <row r="60" spans="1:10" ht="11.25" customHeight="1" x14ac:dyDescent="0.2">
      <c r="A60" s="67">
        <v>44682</v>
      </c>
      <c r="B60" s="57">
        <v>3313.8999999999996</v>
      </c>
      <c r="C60" s="57">
        <v>3286.7577378995179</v>
      </c>
      <c r="D60" s="57">
        <v>0</v>
      </c>
      <c r="E60" s="57">
        <v>0</v>
      </c>
      <c r="F60" s="57">
        <v>0</v>
      </c>
      <c r="G60" s="57">
        <v>0</v>
      </c>
      <c r="H60" s="58">
        <v>-8.1904288302246941E-3</v>
      </c>
      <c r="I60" s="58">
        <v>0</v>
      </c>
      <c r="J60" s="58">
        <v>-8.1904288302246941E-3</v>
      </c>
    </row>
    <row r="61" spans="1:10" ht="11.25" customHeight="1" x14ac:dyDescent="0.2">
      <c r="A61" s="67">
        <v>44713</v>
      </c>
      <c r="B61" s="57">
        <v>3313.8999999999996</v>
      </c>
      <c r="C61" s="57">
        <v>3286.7577378995179</v>
      </c>
      <c r="D61" s="57">
        <v>0</v>
      </c>
      <c r="E61" s="57">
        <v>0</v>
      </c>
      <c r="F61" s="57">
        <v>0</v>
      </c>
      <c r="G61" s="57">
        <v>0</v>
      </c>
      <c r="H61" s="58">
        <v>-8.1904288302246941E-3</v>
      </c>
      <c r="I61" s="58">
        <v>0</v>
      </c>
      <c r="J61" s="58">
        <v>-8.1904288302246941E-3</v>
      </c>
    </row>
    <row r="62" spans="1:10" ht="11.25" customHeight="1" x14ac:dyDescent="0.2">
      <c r="A62" s="67">
        <v>44743</v>
      </c>
      <c r="B62" s="57">
        <v>3313.8999999999996</v>
      </c>
      <c r="C62" s="57">
        <v>3286.7577378995179</v>
      </c>
      <c r="D62" s="57">
        <v>0</v>
      </c>
      <c r="E62" s="57">
        <v>0</v>
      </c>
      <c r="F62" s="57">
        <v>0</v>
      </c>
      <c r="G62" s="57">
        <v>0</v>
      </c>
      <c r="H62" s="58">
        <v>-8.1904288302246941E-3</v>
      </c>
      <c r="I62" s="58">
        <v>0</v>
      </c>
      <c r="J62" s="58">
        <v>-8.1904288302246941E-3</v>
      </c>
    </row>
    <row r="63" spans="1:10" ht="11.25" customHeight="1" x14ac:dyDescent="0.2">
      <c r="A63" s="67">
        <v>44774</v>
      </c>
      <c r="B63" s="57">
        <v>3313.8999999999996</v>
      </c>
      <c r="C63" s="57">
        <v>3286.7577378995179</v>
      </c>
      <c r="D63" s="57">
        <v>0</v>
      </c>
      <c r="E63" s="57">
        <v>0</v>
      </c>
      <c r="F63" s="57">
        <v>0</v>
      </c>
      <c r="G63" s="57">
        <v>0</v>
      </c>
      <c r="H63" s="58">
        <v>-8.1904288302246941E-3</v>
      </c>
      <c r="I63" s="58">
        <v>0</v>
      </c>
      <c r="J63" s="58">
        <v>-8.1904288302246941E-3</v>
      </c>
    </row>
    <row r="64" spans="1:10" ht="11.25" customHeight="1" x14ac:dyDescent="0.2">
      <c r="A64" s="67">
        <v>44805</v>
      </c>
      <c r="B64" s="57">
        <v>3313.8999999999996</v>
      </c>
      <c r="C64" s="57">
        <v>3286.7577378995179</v>
      </c>
      <c r="D64" s="57">
        <v>0</v>
      </c>
      <c r="E64" s="57">
        <v>0</v>
      </c>
      <c r="F64" s="57">
        <v>0</v>
      </c>
      <c r="G64" s="57">
        <v>0</v>
      </c>
      <c r="H64" s="58">
        <v>-8.1904288302246941E-3</v>
      </c>
      <c r="I64" s="58">
        <v>0</v>
      </c>
      <c r="J64" s="58">
        <v>-8.1904288302246941E-3</v>
      </c>
    </row>
    <row r="65" spans="1:10" ht="11.25" customHeight="1" x14ac:dyDescent="0.2">
      <c r="A65" s="67">
        <v>44835</v>
      </c>
      <c r="B65" s="57">
        <v>3313.8999999999996</v>
      </c>
      <c r="C65" s="57">
        <v>3286.7577378995179</v>
      </c>
      <c r="D65" s="57">
        <v>0</v>
      </c>
      <c r="E65" s="57">
        <v>0</v>
      </c>
      <c r="F65" s="57">
        <v>0</v>
      </c>
      <c r="G65" s="57">
        <v>0</v>
      </c>
      <c r="H65" s="58">
        <v>-8.1904288302246941E-3</v>
      </c>
      <c r="I65" s="58">
        <v>0</v>
      </c>
      <c r="J65" s="58">
        <v>-8.1904288302246941E-3</v>
      </c>
    </row>
    <row r="66" spans="1:10" ht="11.25" customHeight="1" x14ac:dyDescent="0.2">
      <c r="A66" s="67">
        <v>44866</v>
      </c>
      <c r="B66" s="57">
        <v>3313.8999999999996</v>
      </c>
      <c r="C66" s="57">
        <v>3286.7577378995179</v>
      </c>
      <c r="D66" s="57">
        <v>0</v>
      </c>
      <c r="E66" s="57">
        <v>0</v>
      </c>
      <c r="F66" s="57">
        <v>0</v>
      </c>
      <c r="G66" s="57">
        <v>0</v>
      </c>
      <c r="H66" s="58">
        <v>-8.1904288302246941E-3</v>
      </c>
      <c r="I66" s="58">
        <v>0</v>
      </c>
      <c r="J66" s="58">
        <v>-8.1904288302246941E-3</v>
      </c>
    </row>
    <row r="67" spans="1:10" ht="11.25" customHeight="1" x14ac:dyDescent="0.2">
      <c r="A67" s="66" t="s">
        <v>34</v>
      </c>
      <c r="B67" s="57">
        <v>0</v>
      </c>
      <c r="C67" s="57">
        <v>0</v>
      </c>
      <c r="D67" s="57">
        <v>44907.340400000001</v>
      </c>
      <c r="E67" s="57">
        <v>46266.352891326918</v>
      </c>
      <c r="F67" s="57">
        <v>4920.8069500000001</v>
      </c>
      <c r="G67" s="57">
        <v>9947.1377084937176</v>
      </c>
      <c r="H67" s="58">
        <v>3.0262591354150103E-2</v>
      </c>
      <c r="I67" s="58">
        <v>1.021444411367066</v>
      </c>
      <c r="J67" s="58">
        <v>0.12814731410680547</v>
      </c>
    </row>
    <row r="68" spans="1:10" ht="11.25" customHeight="1" x14ac:dyDescent="0.2">
      <c r="A68" s="67">
        <v>44531</v>
      </c>
      <c r="B68" s="57">
        <v>0</v>
      </c>
      <c r="C68" s="57">
        <v>0</v>
      </c>
      <c r="D68" s="57">
        <v>4583.1239999999998</v>
      </c>
      <c r="E68" s="57">
        <v>4721.8212087373977</v>
      </c>
      <c r="F68" s="57">
        <v>502.2045</v>
      </c>
      <c r="G68" s="57">
        <v>1015.1784798883915</v>
      </c>
      <c r="H68" s="58">
        <v>3.0262591354150103E-2</v>
      </c>
      <c r="I68" s="58">
        <v>1.0214444113670655</v>
      </c>
      <c r="J68" s="58">
        <v>0.12814731410680547</v>
      </c>
    </row>
    <row r="69" spans="1:10" ht="11.25" customHeight="1" x14ac:dyDescent="0.2">
      <c r="A69" s="67">
        <v>44562</v>
      </c>
      <c r="B69" s="57">
        <v>0</v>
      </c>
      <c r="C69" s="57">
        <v>0</v>
      </c>
      <c r="D69" s="57">
        <v>3819.27</v>
      </c>
      <c r="E69" s="57">
        <v>3934.851007281165</v>
      </c>
      <c r="F69" s="57">
        <v>418.50375000000003</v>
      </c>
      <c r="G69" s="57">
        <v>845.98206657365961</v>
      </c>
      <c r="H69" s="58">
        <v>3.0262591354150103E-2</v>
      </c>
      <c r="I69" s="58">
        <v>1.0214444113670655</v>
      </c>
      <c r="J69" s="58">
        <v>0.12814731410680547</v>
      </c>
    </row>
    <row r="70" spans="1:10" ht="11.25" customHeight="1" x14ac:dyDescent="0.2">
      <c r="A70" s="67">
        <v>44593</v>
      </c>
      <c r="B70" s="57">
        <v>0</v>
      </c>
      <c r="C70" s="57">
        <v>0</v>
      </c>
      <c r="D70" s="57">
        <v>3817.8150400000004</v>
      </c>
      <c r="E70" s="57">
        <v>3933.3520164212482</v>
      </c>
      <c r="F70" s="57">
        <v>418.34432000000004</v>
      </c>
      <c r="G70" s="57">
        <v>845.65978769115532</v>
      </c>
      <c r="H70" s="58">
        <v>3.0262591354149881E-2</v>
      </c>
      <c r="I70" s="58">
        <v>1.0214444113670655</v>
      </c>
      <c r="J70" s="58">
        <v>0.12814731410680524</v>
      </c>
    </row>
    <row r="71" spans="1:10" ht="11.25" customHeight="1" x14ac:dyDescent="0.2">
      <c r="A71" s="67">
        <v>44621</v>
      </c>
      <c r="B71" s="57">
        <v>0</v>
      </c>
      <c r="C71" s="57">
        <v>0</v>
      </c>
      <c r="D71" s="57">
        <v>3819.27</v>
      </c>
      <c r="E71" s="57">
        <v>3934.851007281165</v>
      </c>
      <c r="F71" s="57">
        <v>418.50375000000003</v>
      </c>
      <c r="G71" s="57">
        <v>845.98206657365961</v>
      </c>
      <c r="H71" s="58">
        <v>3.0262591354150103E-2</v>
      </c>
      <c r="I71" s="58">
        <v>1.0214444113670655</v>
      </c>
      <c r="J71" s="58">
        <v>0.12814731410680547</v>
      </c>
    </row>
    <row r="72" spans="1:10" ht="11.25" customHeight="1" x14ac:dyDescent="0.2">
      <c r="A72" s="67">
        <v>44652</v>
      </c>
      <c r="B72" s="57">
        <v>0</v>
      </c>
      <c r="C72" s="57">
        <v>0</v>
      </c>
      <c r="D72" s="57">
        <v>3053.9610400000001</v>
      </c>
      <c r="E72" s="57">
        <v>3146.3818149650156</v>
      </c>
      <c r="F72" s="57">
        <v>334.64357000000007</v>
      </c>
      <c r="G72" s="57">
        <v>676.46337437642353</v>
      </c>
      <c r="H72" s="58">
        <v>3.0262591354150103E-2</v>
      </c>
      <c r="I72" s="58">
        <v>1.0214444113670655</v>
      </c>
      <c r="J72" s="58">
        <v>0.12814731410680524</v>
      </c>
    </row>
    <row r="73" spans="1:10" ht="11.25" customHeight="1" x14ac:dyDescent="0.2">
      <c r="A73" s="67">
        <v>44682</v>
      </c>
      <c r="B73" s="57">
        <v>0</v>
      </c>
      <c r="C73" s="57">
        <v>0</v>
      </c>
      <c r="D73" s="57">
        <v>3819.27</v>
      </c>
      <c r="E73" s="57">
        <v>3934.851007281165</v>
      </c>
      <c r="F73" s="57">
        <v>418.50375000000003</v>
      </c>
      <c r="G73" s="57">
        <v>845.98206657365961</v>
      </c>
      <c r="H73" s="58">
        <v>3.0262591354150103E-2</v>
      </c>
      <c r="I73" s="58">
        <v>1.0214444113670655</v>
      </c>
      <c r="J73" s="58">
        <v>0.12814731410680547</v>
      </c>
    </row>
    <row r="74" spans="1:10" ht="11.25" customHeight="1" x14ac:dyDescent="0.2">
      <c r="A74" s="67">
        <v>44713</v>
      </c>
      <c r="B74" s="57">
        <v>0</v>
      </c>
      <c r="C74" s="57">
        <v>0</v>
      </c>
      <c r="D74" s="57">
        <v>4583.1239999999998</v>
      </c>
      <c r="E74" s="57">
        <v>4721.8212087373977</v>
      </c>
      <c r="F74" s="57">
        <v>502.2045</v>
      </c>
      <c r="G74" s="57">
        <v>1015.1784798883915</v>
      </c>
      <c r="H74" s="58">
        <v>3.0262591354150103E-2</v>
      </c>
      <c r="I74" s="58">
        <v>1.0214444113670655</v>
      </c>
      <c r="J74" s="58">
        <v>0.12814731410680547</v>
      </c>
    </row>
    <row r="75" spans="1:10" ht="11.25" customHeight="1" x14ac:dyDescent="0.2">
      <c r="A75" s="67">
        <v>44743</v>
      </c>
      <c r="B75" s="57">
        <v>0</v>
      </c>
      <c r="C75" s="57">
        <v>0</v>
      </c>
      <c r="D75" s="57">
        <v>3819.27</v>
      </c>
      <c r="E75" s="57">
        <v>3934.851007281165</v>
      </c>
      <c r="F75" s="57">
        <v>418.50375000000003</v>
      </c>
      <c r="G75" s="57">
        <v>845.98206657365961</v>
      </c>
      <c r="H75" s="58">
        <v>3.0262591354150103E-2</v>
      </c>
      <c r="I75" s="58">
        <v>1.0214444113670655</v>
      </c>
      <c r="J75" s="58">
        <v>0.12814731410680547</v>
      </c>
    </row>
    <row r="76" spans="1:10" ht="11.25" customHeight="1" x14ac:dyDescent="0.2">
      <c r="A76" s="67">
        <v>44774</v>
      </c>
      <c r="B76" s="57">
        <v>0</v>
      </c>
      <c r="C76" s="57">
        <v>0</v>
      </c>
      <c r="D76" s="57">
        <v>3819.27</v>
      </c>
      <c r="E76" s="57">
        <v>3934.851007281165</v>
      </c>
      <c r="F76" s="57">
        <v>418.50375000000003</v>
      </c>
      <c r="G76" s="57">
        <v>845.98206657365961</v>
      </c>
      <c r="H76" s="58">
        <v>3.0262591354150103E-2</v>
      </c>
      <c r="I76" s="58">
        <v>1.0214444113670655</v>
      </c>
      <c r="J76" s="58">
        <v>0.12814731410680547</v>
      </c>
    </row>
    <row r="77" spans="1:10" ht="11.25" customHeight="1" x14ac:dyDescent="0.2">
      <c r="A77" s="67">
        <v>44805</v>
      </c>
      <c r="B77" s="57">
        <v>0</v>
      </c>
      <c r="C77" s="57">
        <v>0</v>
      </c>
      <c r="D77" s="57">
        <v>3053.9610400000001</v>
      </c>
      <c r="E77" s="57">
        <v>3146.3818149650156</v>
      </c>
      <c r="F77" s="57">
        <v>334.64357000000007</v>
      </c>
      <c r="G77" s="57">
        <v>676.46337437642353</v>
      </c>
      <c r="H77" s="58">
        <v>3.0262591354150103E-2</v>
      </c>
      <c r="I77" s="58">
        <v>1.0214444113670655</v>
      </c>
      <c r="J77" s="58">
        <v>0.12814731410680524</v>
      </c>
    </row>
    <row r="78" spans="1:10" ht="11.25" customHeight="1" x14ac:dyDescent="0.2">
      <c r="A78" s="67">
        <v>44835</v>
      </c>
      <c r="B78" s="57">
        <v>0</v>
      </c>
      <c r="C78" s="57">
        <v>0</v>
      </c>
      <c r="D78" s="57">
        <v>3359.5026400000002</v>
      </c>
      <c r="E78" s="57">
        <v>3461.1698955475085</v>
      </c>
      <c r="F78" s="57">
        <v>368.12387000000007</v>
      </c>
      <c r="G78" s="57">
        <v>744.14193970231622</v>
      </c>
      <c r="H78" s="58">
        <v>3.0262591354150103E-2</v>
      </c>
      <c r="I78" s="58">
        <v>1.0214444113670655</v>
      </c>
      <c r="J78" s="58">
        <v>0.12814731410680547</v>
      </c>
    </row>
    <row r="79" spans="1:10" ht="11.25" customHeight="1" x14ac:dyDescent="0.2">
      <c r="A79" s="67">
        <v>44866</v>
      </c>
      <c r="B79" s="57">
        <v>0</v>
      </c>
      <c r="C79" s="57">
        <v>0</v>
      </c>
      <c r="D79" s="57">
        <v>3359.5026400000002</v>
      </c>
      <c r="E79" s="57">
        <v>3461.1698955475085</v>
      </c>
      <c r="F79" s="57">
        <v>368.12387000000007</v>
      </c>
      <c r="G79" s="57">
        <v>744.14193970231622</v>
      </c>
      <c r="H79" s="58">
        <v>3.0262591354150103E-2</v>
      </c>
      <c r="I79" s="58">
        <v>1.0214444113670655</v>
      </c>
      <c r="J79" s="58">
        <v>0.12814731410680547</v>
      </c>
    </row>
    <row r="80" spans="1:10" ht="11.25" customHeight="1" x14ac:dyDescent="0.2">
      <c r="A80" s="60" t="s">
        <v>41</v>
      </c>
      <c r="B80" s="57">
        <v>29423262.528999969</v>
      </c>
      <c r="C80" s="57">
        <v>29054653.779151879</v>
      </c>
      <c r="D80" s="57">
        <v>40506860.211993635</v>
      </c>
      <c r="E80" s="57">
        <v>57749937.335532509</v>
      </c>
      <c r="F80" s="57">
        <v>24107836.804421794</v>
      </c>
      <c r="G80" s="57">
        <v>50237825.007909618</v>
      </c>
      <c r="H80" s="58">
        <v>0.24130471551137234</v>
      </c>
      <c r="I80" s="58">
        <v>1.0838794212633442</v>
      </c>
      <c r="J80" s="58">
        <v>0.45730954590108652</v>
      </c>
    </row>
    <row r="81" spans="1:10" ht="11.25" customHeight="1" x14ac:dyDescent="0.2">
      <c r="A81" s="61" t="s">
        <v>40</v>
      </c>
      <c r="B81" s="57">
        <v>10308085.481999991</v>
      </c>
      <c r="C81" s="57">
        <v>10096038.229332455</v>
      </c>
      <c r="D81" s="57">
        <v>5277992.6683931975</v>
      </c>
      <c r="E81" s="57">
        <v>9336615.3225224577</v>
      </c>
      <c r="F81" s="57">
        <v>5563650.4139821976</v>
      </c>
      <c r="G81" s="57">
        <v>11587468.22587736</v>
      </c>
      <c r="H81" s="58">
        <v>0.24679559311491572</v>
      </c>
      <c r="I81" s="58">
        <v>1.0827096175483097</v>
      </c>
      <c r="J81" s="58">
        <v>0.46669124775353232</v>
      </c>
    </row>
    <row r="82" spans="1:10" ht="11.25" customHeight="1" x14ac:dyDescent="0.2">
      <c r="A82" s="62" t="s">
        <v>44</v>
      </c>
      <c r="B82" s="57">
        <v>5667260.540000001</v>
      </c>
      <c r="C82" s="57">
        <v>5548170.9550610716</v>
      </c>
      <c r="D82" s="57">
        <v>2593565.5438000006</v>
      </c>
      <c r="E82" s="57">
        <v>4587941.9161037346</v>
      </c>
      <c r="F82" s="57">
        <v>2762698.5557399997</v>
      </c>
      <c r="G82" s="57">
        <v>5748417.68296808</v>
      </c>
      <c r="H82" s="58">
        <v>0.22700959544982524</v>
      </c>
      <c r="I82" s="58">
        <v>1.0807256264078164</v>
      </c>
      <c r="J82" s="58">
        <v>0.44096657589506938</v>
      </c>
    </row>
    <row r="83" spans="1:10" ht="11.25" customHeight="1" x14ac:dyDescent="0.2">
      <c r="A83" s="63" t="s">
        <v>25</v>
      </c>
      <c r="B83" s="57">
        <v>5667260.540000001</v>
      </c>
      <c r="C83" s="57">
        <v>5548170.9550610716</v>
      </c>
      <c r="D83" s="57">
        <v>2593565.5438000006</v>
      </c>
      <c r="E83" s="57">
        <v>4587941.9161037346</v>
      </c>
      <c r="F83" s="57">
        <v>2762698.5557399997</v>
      </c>
      <c r="G83" s="57">
        <v>5748417.68296808</v>
      </c>
      <c r="H83" s="58">
        <v>0.22700959544982524</v>
      </c>
      <c r="I83" s="58">
        <v>1.0807256264078164</v>
      </c>
      <c r="J83" s="58">
        <v>0.44096657589506938</v>
      </c>
    </row>
    <row r="84" spans="1:10" ht="11.25" customHeight="1" x14ac:dyDescent="0.2">
      <c r="A84" s="64" t="s">
        <v>25</v>
      </c>
      <c r="B84" s="57">
        <v>5667260.540000001</v>
      </c>
      <c r="C84" s="57">
        <v>5548170.9550610716</v>
      </c>
      <c r="D84" s="57">
        <v>2593565.5438000006</v>
      </c>
      <c r="E84" s="57">
        <v>4587941.9161037346</v>
      </c>
      <c r="F84" s="57">
        <v>2762698.5557399997</v>
      </c>
      <c r="G84" s="57">
        <v>5748417.68296808</v>
      </c>
      <c r="H84" s="58">
        <v>0.22700959544982524</v>
      </c>
      <c r="I84" s="58">
        <v>1.0807256264078164</v>
      </c>
      <c r="J84" s="58">
        <v>0.44096657589506938</v>
      </c>
    </row>
    <row r="85" spans="1:10" ht="11.25" customHeight="1" x14ac:dyDescent="0.2">
      <c r="A85" s="65" t="s">
        <v>25</v>
      </c>
      <c r="B85" s="57">
        <v>5667260.540000001</v>
      </c>
      <c r="C85" s="57">
        <v>5548170.9550610716</v>
      </c>
      <c r="D85" s="57">
        <v>2593565.5438000006</v>
      </c>
      <c r="E85" s="57">
        <v>4587941.9161037346</v>
      </c>
      <c r="F85" s="57">
        <v>2762698.5557399997</v>
      </c>
      <c r="G85" s="57">
        <v>5748417.68296808</v>
      </c>
      <c r="H85" s="58">
        <v>0.22700959544982524</v>
      </c>
      <c r="I85" s="58">
        <v>1.0807256264078164</v>
      </c>
      <c r="J85" s="58">
        <v>0.44096657589506938</v>
      </c>
    </row>
    <row r="86" spans="1:10" ht="11.25" customHeight="1" x14ac:dyDescent="0.2">
      <c r="A86" s="66" t="s">
        <v>35</v>
      </c>
      <c r="B86" s="57">
        <v>1810308.74</v>
      </c>
      <c r="C86" s="57">
        <v>1795481.5351042962</v>
      </c>
      <c r="D86" s="57">
        <v>2307545.3374400004</v>
      </c>
      <c r="E86" s="57">
        <v>4081980.50065054</v>
      </c>
      <c r="F86" s="57">
        <v>2318338.7671999997</v>
      </c>
      <c r="G86" s="57">
        <v>4850169.071787646</v>
      </c>
      <c r="H86" s="58">
        <v>0.42731187779455104</v>
      </c>
      <c r="I86" s="58">
        <v>1.0920881539868716</v>
      </c>
      <c r="J86" s="58">
        <v>0.66676657559699315</v>
      </c>
    </row>
    <row r="87" spans="1:10" ht="11.25" customHeight="1" x14ac:dyDescent="0.2">
      <c r="A87" s="67">
        <v>44531</v>
      </c>
      <c r="B87" s="57">
        <v>146624.03999999998</v>
      </c>
      <c r="C87" s="57">
        <v>145423.12623557996</v>
      </c>
      <c r="D87" s="57">
        <v>193032.73528000002</v>
      </c>
      <c r="E87" s="57">
        <v>341469.28713190922</v>
      </c>
      <c r="F87" s="57">
        <v>193935.63639999999</v>
      </c>
      <c r="G87" s="57">
        <v>405730.44754834502</v>
      </c>
      <c r="H87" s="58">
        <v>0.43348358932664821</v>
      </c>
      <c r="I87" s="58">
        <v>1.0920881539868712</v>
      </c>
      <c r="J87" s="58">
        <v>0.67285523814972814</v>
      </c>
    </row>
    <row r="88" spans="1:10" ht="11.25" customHeight="1" x14ac:dyDescent="0.2">
      <c r="A88" s="67">
        <v>44562</v>
      </c>
      <c r="B88" s="57">
        <v>146068.16</v>
      </c>
      <c r="C88" s="57">
        <v>144871.79913115813</v>
      </c>
      <c r="D88" s="57">
        <v>176194.94829999999</v>
      </c>
      <c r="E88" s="57">
        <v>311683.7323212208</v>
      </c>
      <c r="F88" s="57">
        <v>177019.09149999998</v>
      </c>
      <c r="G88" s="57">
        <v>370339.54435666796</v>
      </c>
      <c r="H88" s="58">
        <v>0.41671671281518208</v>
      </c>
      <c r="I88" s="58">
        <v>1.0920881539868708</v>
      </c>
      <c r="J88" s="58">
        <v>0.65616774669772027</v>
      </c>
    </row>
    <row r="89" spans="1:10" ht="11.25" customHeight="1" x14ac:dyDescent="0.2">
      <c r="A89" s="67">
        <v>44593</v>
      </c>
      <c r="B89" s="57">
        <v>146538.51999999999</v>
      </c>
      <c r="C89" s="57">
        <v>145338.30668105354</v>
      </c>
      <c r="D89" s="57">
        <v>166465.85396000001</v>
      </c>
      <c r="E89" s="57">
        <v>294473.2477684326</v>
      </c>
      <c r="F89" s="57">
        <v>167244.48979999998</v>
      </c>
      <c r="G89" s="57">
        <v>349890.21593015804</v>
      </c>
      <c r="H89" s="58">
        <v>0.40512910054634355</v>
      </c>
      <c r="I89" s="58">
        <v>1.0920881539868712</v>
      </c>
      <c r="J89" s="58">
        <v>0.64435947686966411</v>
      </c>
    </row>
    <row r="90" spans="1:10" ht="11.25" customHeight="1" x14ac:dyDescent="0.2">
      <c r="A90" s="67">
        <v>44621</v>
      </c>
      <c r="B90" s="57">
        <v>147265.44</v>
      </c>
      <c r="C90" s="57">
        <v>146059.27289452826</v>
      </c>
      <c r="D90" s="57">
        <v>177797.66746000003</v>
      </c>
      <c r="E90" s="57">
        <v>314518.89584021672</v>
      </c>
      <c r="F90" s="57">
        <v>178629.30729999999</v>
      </c>
      <c r="G90" s="57">
        <v>373708.25775721052</v>
      </c>
      <c r="H90" s="58">
        <v>0.41688846923799416</v>
      </c>
      <c r="I90" s="58">
        <v>1.0920881539868712</v>
      </c>
      <c r="J90" s="58">
        <v>0.65634105665354792</v>
      </c>
    </row>
    <row r="91" spans="1:10" ht="11.25" customHeight="1" x14ac:dyDescent="0.2">
      <c r="A91" s="67">
        <v>44652</v>
      </c>
      <c r="B91" s="57">
        <v>147030.25999999998</v>
      </c>
      <c r="C91" s="57">
        <v>145826.01911958057</v>
      </c>
      <c r="D91" s="57">
        <v>175043.75714</v>
      </c>
      <c r="E91" s="57">
        <v>309647.3086846415</v>
      </c>
      <c r="F91" s="57">
        <v>175862.51569999999</v>
      </c>
      <c r="G91" s="57">
        <v>367919.88582630013</v>
      </c>
      <c r="H91" s="58">
        <v>0.41418836529814107</v>
      </c>
      <c r="I91" s="58">
        <v>1.0920881539868712</v>
      </c>
      <c r="J91" s="58">
        <v>0.65361077030092085</v>
      </c>
    </row>
    <row r="92" spans="1:10" ht="11.25" customHeight="1" x14ac:dyDescent="0.2">
      <c r="A92" s="67">
        <v>44682</v>
      </c>
      <c r="B92" s="57">
        <v>147628.9</v>
      </c>
      <c r="C92" s="57">
        <v>146419.75600126563</v>
      </c>
      <c r="D92" s="57">
        <v>181995.44118000002</v>
      </c>
      <c r="E92" s="57">
        <v>321944.63530161045</v>
      </c>
      <c r="F92" s="57">
        <v>182846.71589999998</v>
      </c>
      <c r="G92" s="57">
        <v>382531.44832979288</v>
      </c>
      <c r="H92" s="58">
        <v>0.42090353408431525</v>
      </c>
      <c r="I92" s="58">
        <v>1.0920881539868712</v>
      </c>
      <c r="J92" s="58">
        <v>0.66037833332671281</v>
      </c>
    </row>
    <row r="93" spans="1:10" ht="11.25" customHeight="1" x14ac:dyDescent="0.2">
      <c r="A93" s="67">
        <v>44713</v>
      </c>
      <c r="B93" s="57">
        <v>147522</v>
      </c>
      <c r="C93" s="57">
        <v>146313.73155810757</v>
      </c>
      <c r="D93" s="57">
        <v>184900.51076</v>
      </c>
      <c r="E93" s="57">
        <v>327083.61878600379</v>
      </c>
      <c r="F93" s="57">
        <v>185765.3738</v>
      </c>
      <c r="G93" s="57">
        <v>388637.53794792306</v>
      </c>
      <c r="H93" s="58">
        <v>0.42408331271491817</v>
      </c>
      <c r="I93" s="58">
        <v>1.0920881539868712</v>
      </c>
      <c r="J93" s="58">
        <v>0.66355662487940892</v>
      </c>
    </row>
    <row r="94" spans="1:10" ht="11.25" customHeight="1" x14ac:dyDescent="0.2">
      <c r="A94" s="67">
        <v>44743</v>
      </c>
      <c r="B94" s="57">
        <v>161611.41999999998</v>
      </c>
      <c r="C94" s="57">
        <v>160287.75316633843</v>
      </c>
      <c r="D94" s="57">
        <v>198464.92498000001</v>
      </c>
      <c r="E94" s="57">
        <v>351078.67251275497</v>
      </c>
      <c r="F94" s="57">
        <v>199393.23489999998</v>
      </c>
      <c r="G94" s="57">
        <v>417148.22471941152</v>
      </c>
      <c r="H94" s="58">
        <v>0.4201611208520144</v>
      </c>
      <c r="I94" s="58">
        <v>1.0920881539868712</v>
      </c>
      <c r="J94" s="58">
        <v>0.65963384568229966</v>
      </c>
    </row>
    <row r="95" spans="1:10" ht="11.25" customHeight="1" x14ac:dyDescent="0.2">
      <c r="A95" s="67">
        <v>44774</v>
      </c>
      <c r="B95" s="57">
        <v>150964.18</v>
      </c>
      <c r="C95" s="57">
        <v>149727.71862779674</v>
      </c>
      <c r="D95" s="57">
        <v>206956.11426</v>
      </c>
      <c r="E95" s="57">
        <v>366099.3390651815</v>
      </c>
      <c r="F95" s="57">
        <v>207924.14129999999</v>
      </c>
      <c r="G95" s="57">
        <v>434995.63294162229</v>
      </c>
      <c r="H95" s="58">
        <v>0.44117856954563139</v>
      </c>
      <c r="I95" s="58">
        <v>1.0920881539868708</v>
      </c>
      <c r="J95" s="58">
        <v>0.68036059185348119</v>
      </c>
    </row>
    <row r="96" spans="1:10" ht="11.25" customHeight="1" x14ac:dyDescent="0.2">
      <c r="A96" s="67">
        <v>44805</v>
      </c>
      <c r="B96" s="57">
        <v>157378.18</v>
      </c>
      <c r="C96" s="57">
        <v>156089.18521727968</v>
      </c>
      <c r="D96" s="57">
        <v>208035.57404000001</v>
      </c>
      <c r="E96" s="57">
        <v>368008.87197953148</v>
      </c>
      <c r="F96" s="57">
        <v>209008.6502</v>
      </c>
      <c r="G96" s="57">
        <v>437264.52116420568</v>
      </c>
      <c r="H96" s="58">
        <v>0.43425925106103369</v>
      </c>
      <c r="I96" s="58">
        <v>1.0920881539868712</v>
      </c>
      <c r="J96" s="58">
        <v>0.67361609029328351</v>
      </c>
    </row>
    <row r="97" spans="1:10" ht="11.25" customHeight="1" x14ac:dyDescent="0.2">
      <c r="A97" s="67">
        <v>44835</v>
      </c>
      <c r="B97" s="57">
        <v>155838.82</v>
      </c>
      <c r="C97" s="57">
        <v>154562.43323580379</v>
      </c>
      <c r="D97" s="57">
        <v>219328.90504000001</v>
      </c>
      <c r="E97" s="57">
        <v>387986.44562951871</v>
      </c>
      <c r="F97" s="57">
        <v>220354.80519999997</v>
      </c>
      <c r="G97" s="57">
        <v>461001.67763300455</v>
      </c>
      <c r="H97" s="58">
        <v>0.44615019537588552</v>
      </c>
      <c r="I97" s="58">
        <v>1.0920881539868712</v>
      </c>
      <c r="J97" s="58">
        <v>0.68515968001057614</v>
      </c>
    </row>
    <row r="98" spans="1:10" ht="11.25" customHeight="1" x14ac:dyDescent="0.2">
      <c r="A98" s="67">
        <v>44866</v>
      </c>
      <c r="B98" s="57">
        <v>155838.82</v>
      </c>
      <c r="C98" s="57">
        <v>154562.43323580379</v>
      </c>
      <c r="D98" s="57">
        <v>219328.90504000001</v>
      </c>
      <c r="E98" s="57">
        <v>387986.44562951871</v>
      </c>
      <c r="F98" s="57">
        <v>220354.80519999997</v>
      </c>
      <c r="G98" s="57">
        <v>461001.67763300455</v>
      </c>
      <c r="H98" s="58">
        <v>0.44615019537588552</v>
      </c>
      <c r="I98" s="58">
        <v>1.0920881539868712</v>
      </c>
      <c r="J98" s="58">
        <v>0.68515968001057614</v>
      </c>
    </row>
    <row r="99" spans="1:10" ht="11.25" customHeight="1" x14ac:dyDescent="0.2">
      <c r="A99" s="66" t="s">
        <v>34</v>
      </c>
      <c r="B99" s="57">
        <v>3856951.8</v>
      </c>
      <c r="C99" s="57">
        <v>3752689.4199567749</v>
      </c>
      <c r="D99" s="57">
        <v>286020.20636000001</v>
      </c>
      <c r="E99" s="57">
        <v>505961.41545319534</v>
      </c>
      <c r="F99" s="57">
        <v>444359.78854000004</v>
      </c>
      <c r="G99" s="57">
        <v>898248.61118043412</v>
      </c>
      <c r="H99" s="58">
        <v>2.7921701829601631E-2</v>
      </c>
      <c r="I99" s="58">
        <v>1.0214444113670655</v>
      </c>
      <c r="J99" s="58">
        <v>0.12416098881786253</v>
      </c>
    </row>
    <row r="100" spans="1:10" ht="11.25" customHeight="1" x14ac:dyDescent="0.2">
      <c r="A100" s="67">
        <v>44531</v>
      </c>
      <c r="B100" s="57">
        <v>313540.2</v>
      </c>
      <c r="C100" s="57">
        <v>305064.47896785516</v>
      </c>
      <c r="D100" s="57">
        <v>25677.679020000003</v>
      </c>
      <c r="E100" s="57">
        <v>45423.066390490312</v>
      </c>
      <c r="F100" s="57">
        <v>39892.73403</v>
      </c>
      <c r="G100" s="57">
        <v>80640.944259096257</v>
      </c>
      <c r="H100" s="58">
        <v>3.322250103946045E-2</v>
      </c>
      <c r="I100" s="58">
        <v>1.0214444113670655</v>
      </c>
      <c r="J100" s="58">
        <v>0.13721028844049088</v>
      </c>
    </row>
    <row r="101" spans="1:10" ht="11.25" customHeight="1" x14ac:dyDescent="0.2">
      <c r="A101" s="67">
        <v>44562</v>
      </c>
      <c r="B101" s="57">
        <v>311754.59999999998</v>
      </c>
      <c r="C101" s="57">
        <v>303327.1478899105</v>
      </c>
      <c r="D101" s="57">
        <v>22101.474640000004</v>
      </c>
      <c r="E101" s="57">
        <v>39096.864989959591</v>
      </c>
      <c r="F101" s="57">
        <v>34336.757960000003</v>
      </c>
      <c r="G101" s="57">
        <v>69409.847482705605</v>
      </c>
      <c r="H101" s="58">
        <v>2.5663568497619638E-2</v>
      </c>
      <c r="I101" s="58">
        <v>1.0214444113670655</v>
      </c>
      <c r="J101" s="58">
        <v>0.11852764067785837</v>
      </c>
    </row>
    <row r="102" spans="1:10" ht="11.25" customHeight="1" x14ac:dyDescent="0.2">
      <c r="A102" s="67">
        <v>44593</v>
      </c>
      <c r="B102" s="57">
        <v>312982.2</v>
      </c>
      <c r="C102" s="57">
        <v>304521.56300599745</v>
      </c>
      <c r="D102" s="57">
        <v>21215.966660000002</v>
      </c>
      <c r="E102" s="57">
        <v>37530.427161465814</v>
      </c>
      <c r="F102" s="57">
        <v>32961.036489999999</v>
      </c>
      <c r="G102" s="57">
        <v>66628.903005576416</v>
      </c>
      <c r="H102" s="58">
        <v>2.3500498479554599E-2</v>
      </c>
      <c r="I102" s="58">
        <v>1.0214444113670655</v>
      </c>
      <c r="J102" s="58">
        <v>0.11308906236534222</v>
      </c>
    </row>
    <row r="103" spans="1:10" ht="11.25" customHeight="1" x14ac:dyDescent="0.2">
      <c r="A103" s="67">
        <v>44621</v>
      </c>
      <c r="B103" s="57">
        <v>312312.59999999998</v>
      </c>
      <c r="C103" s="57">
        <v>303870.06385176821</v>
      </c>
      <c r="D103" s="57">
        <v>22667.834419999999</v>
      </c>
      <c r="E103" s="57">
        <v>40098.738947018013</v>
      </c>
      <c r="F103" s="57">
        <v>35216.652130000002</v>
      </c>
      <c r="G103" s="57">
        <v>71188.504635246558</v>
      </c>
      <c r="H103" s="58">
        <v>2.68325175300137E-2</v>
      </c>
      <c r="I103" s="58">
        <v>1.0214444113670651</v>
      </c>
      <c r="J103" s="58">
        <v>0.12144941847877133</v>
      </c>
    </row>
    <row r="104" spans="1:10" ht="11.25" customHeight="1" x14ac:dyDescent="0.2">
      <c r="A104" s="67">
        <v>44652</v>
      </c>
      <c r="B104" s="57">
        <v>312535.8</v>
      </c>
      <c r="C104" s="57">
        <v>304087.23023651127</v>
      </c>
      <c r="D104" s="57">
        <v>20479.976020000002</v>
      </c>
      <c r="E104" s="57">
        <v>36228.481153126799</v>
      </c>
      <c r="F104" s="57">
        <v>31817.604530000001</v>
      </c>
      <c r="G104" s="57">
        <v>64317.518860255928</v>
      </c>
      <c r="H104" s="58">
        <v>2.1920689334548715E-2</v>
      </c>
      <c r="I104" s="58">
        <v>1.0214444113670655</v>
      </c>
      <c r="J104" s="58">
        <v>0.10909048300321156</v>
      </c>
    </row>
    <row r="105" spans="1:10" ht="11.25" customHeight="1" x14ac:dyDescent="0.2">
      <c r="A105" s="67">
        <v>44682</v>
      </c>
      <c r="B105" s="57">
        <v>313372.79999999999</v>
      </c>
      <c r="C105" s="57">
        <v>304901.60417929786</v>
      </c>
      <c r="D105" s="57">
        <v>22719.247040000002</v>
      </c>
      <c r="E105" s="57">
        <v>40189.686374538629</v>
      </c>
      <c r="F105" s="57">
        <v>35296.526559999998</v>
      </c>
      <c r="G105" s="57">
        <v>71349.966355381199</v>
      </c>
      <c r="H105" s="58">
        <v>2.6776127531412452E-2</v>
      </c>
      <c r="I105" s="58">
        <v>1.0214444113670655</v>
      </c>
      <c r="J105" s="58">
        <v>0.12130874914245804</v>
      </c>
    </row>
    <row r="106" spans="1:10" ht="11.25" customHeight="1" x14ac:dyDescent="0.2">
      <c r="A106" s="67">
        <v>44713</v>
      </c>
      <c r="B106" s="57">
        <v>313428.59999999998</v>
      </c>
      <c r="C106" s="57">
        <v>304955.89577548363</v>
      </c>
      <c r="D106" s="57">
        <v>23080.67468</v>
      </c>
      <c r="E106" s="57">
        <v>40829.0413440548</v>
      </c>
      <c r="F106" s="57">
        <v>35858.039019999997</v>
      </c>
      <c r="G106" s="57">
        <v>72485.032579561172</v>
      </c>
      <c r="H106" s="58">
        <v>2.7564358956700508E-2</v>
      </c>
      <c r="I106" s="58">
        <v>1.021444411367066</v>
      </c>
      <c r="J106" s="58">
        <v>0.12327251697521824</v>
      </c>
    </row>
    <row r="107" spans="1:10" ht="11.25" customHeight="1" x14ac:dyDescent="0.2">
      <c r="A107" s="67">
        <v>44743</v>
      </c>
      <c r="B107" s="57">
        <v>337924.8</v>
      </c>
      <c r="C107" s="57">
        <v>328789.90650103771</v>
      </c>
      <c r="D107" s="57">
        <v>23709.735280000001</v>
      </c>
      <c r="E107" s="57">
        <v>41941.831225694259</v>
      </c>
      <c r="F107" s="57">
        <v>36835.344920000003</v>
      </c>
      <c r="G107" s="57">
        <v>74460.602129312232</v>
      </c>
      <c r="H107" s="58">
        <v>2.5155790056633709E-2</v>
      </c>
      <c r="I107" s="58">
        <v>1.0214444113670655</v>
      </c>
      <c r="J107" s="58">
        <v>0.1172546834219772</v>
      </c>
    </row>
    <row r="108" spans="1:10" ht="11.25" customHeight="1" x14ac:dyDescent="0.2">
      <c r="A108" s="67">
        <v>44774</v>
      </c>
      <c r="B108" s="57">
        <v>331452</v>
      </c>
      <c r="C108" s="57">
        <v>322492.08134348813</v>
      </c>
      <c r="D108" s="57">
        <v>27027.132020000001</v>
      </c>
      <c r="E108" s="57">
        <v>47810.209448167116</v>
      </c>
      <c r="F108" s="57">
        <v>41989.238530000002</v>
      </c>
      <c r="G108" s="57">
        <v>84878.911564027163</v>
      </c>
      <c r="H108" s="58">
        <v>3.2981442197298039E-2</v>
      </c>
      <c r="I108" s="58">
        <v>1.0214444113670655</v>
      </c>
      <c r="J108" s="58">
        <v>0.13662210508795058</v>
      </c>
    </row>
    <row r="109" spans="1:10" ht="11.25" customHeight="1" x14ac:dyDescent="0.2">
      <c r="A109" s="67">
        <v>44805</v>
      </c>
      <c r="B109" s="57">
        <v>334967.40000000002</v>
      </c>
      <c r="C109" s="57">
        <v>325912.4519031918</v>
      </c>
      <c r="D109" s="57">
        <v>26362.564900000005</v>
      </c>
      <c r="E109" s="57">
        <v>46634.609566683088</v>
      </c>
      <c r="F109" s="57">
        <v>40956.769850000004</v>
      </c>
      <c r="G109" s="57">
        <v>82791.833520929635</v>
      </c>
      <c r="H109" s="58">
        <v>3.1043914591969202E-2</v>
      </c>
      <c r="I109" s="58">
        <v>1.0214444113670655</v>
      </c>
      <c r="J109" s="58">
        <v>0.13187648425388332</v>
      </c>
    </row>
    <row r="110" spans="1:10" ht="11.25" customHeight="1" x14ac:dyDescent="0.2">
      <c r="A110" s="67">
        <v>44835</v>
      </c>
      <c r="B110" s="57">
        <v>331340.39999999997</v>
      </c>
      <c r="C110" s="57">
        <v>322383.4981511166</v>
      </c>
      <c r="D110" s="57">
        <v>25488.960840000003</v>
      </c>
      <c r="E110" s="57">
        <v>45089.22942599847</v>
      </c>
      <c r="F110" s="57">
        <v>39599.542260000002</v>
      </c>
      <c r="G110" s="57">
        <v>80048.273394170945</v>
      </c>
      <c r="H110" s="58">
        <v>2.9827609230529406E-2</v>
      </c>
      <c r="I110" s="58">
        <v>1.0214444113670655</v>
      </c>
      <c r="J110" s="58">
        <v>0.12888085977524666</v>
      </c>
    </row>
    <row r="111" spans="1:10" ht="11.25" customHeight="1" x14ac:dyDescent="0.2">
      <c r="A111" s="67">
        <v>44866</v>
      </c>
      <c r="B111" s="57">
        <v>331340.39999999997</v>
      </c>
      <c r="C111" s="57">
        <v>322383.4981511166</v>
      </c>
      <c r="D111" s="57">
        <v>25488.960840000003</v>
      </c>
      <c r="E111" s="57">
        <v>45089.22942599847</v>
      </c>
      <c r="F111" s="57">
        <v>39599.542260000002</v>
      </c>
      <c r="G111" s="57">
        <v>80048.273394170945</v>
      </c>
      <c r="H111" s="58">
        <v>2.9827609230529406E-2</v>
      </c>
      <c r="I111" s="58">
        <v>1.0214444113670655</v>
      </c>
      <c r="J111" s="58">
        <v>0.12888085977524666</v>
      </c>
    </row>
    <row r="112" spans="1:10" ht="11.25" customHeight="1" x14ac:dyDescent="0.2">
      <c r="A112" s="62" t="s">
        <v>38</v>
      </c>
      <c r="B112" s="57">
        <v>1059506.5399999998</v>
      </c>
      <c r="C112" s="57">
        <v>1041904.6315968396</v>
      </c>
      <c r="D112" s="57">
        <v>804534.64280000003</v>
      </c>
      <c r="E112" s="57">
        <v>1423198.3531256798</v>
      </c>
      <c r="F112" s="57">
        <v>825379.8301700002</v>
      </c>
      <c r="G112" s="57">
        <v>1723351.9530566926</v>
      </c>
      <c r="H112" s="58">
        <v>0.32245092408294118</v>
      </c>
      <c r="I112" s="58">
        <v>1.0879501655640667</v>
      </c>
      <c r="J112" s="58">
        <v>0.55738165113605165</v>
      </c>
    </row>
    <row r="113" spans="1:10" ht="11.25" customHeight="1" x14ac:dyDescent="0.2">
      <c r="A113" s="63" t="s">
        <v>25</v>
      </c>
      <c r="B113" s="57">
        <v>1059506.5399999998</v>
      </c>
      <c r="C113" s="57">
        <v>1041904.6315968396</v>
      </c>
      <c r="D113" s="57">
        <v>804534.64280000003</v>
      </c>
      <c r="E113" s="57">
        <v>1423198.3531256798</v>
      </c>
      <c r="F113" s="57">
        <v>825379.8301700002</v>
      </c>
      <c r="G113" s="57">
        <v>1723351.9530566926</v>
      </c>
      <c r="H113" s="58">
        <v>0.32245092408294118</v>
      </c>
      <c r="I113" s="58">
        <v>1.0879501655640667</v>
      </c>
      <c r="J113" s="58">
        <v>0.55738165113605165</v>
      </c>
    </row>
    <row r="114" spans="1:10" ht="11.25" customHeight="1" x14ac:dyDescent="0.2">
      <c r="A114" s="64" t="s">
        <v>25</v>
      </c>
      <c r="B114" s="57">
        <v>1059506.5399999998</v>
      </c>
      <c r="C114" s="57">
        <v>1041904.6315968396</v>
      </c>
      <c r="D114" s="57">
        <v>804534.64280000003</v>
      </c>
      <c r="E114" s="57">
        <v>1423198.3531256798</v>
      </c>
      <c r="F114" s="57">
        <v>825379.8301700002</v>
      </c>
      <c r="G114" s="57">
        <v>1723351.9530566926</v>
      </c>
      <c r="H114" s="58">
        <v>0.32245092408294118</v>
      </c>
      <c r="I114" s="58">
        <v>1.0879501655640667</v>
      </c>
      <c r="J114" s="58">
        <v>0.55738165113605165</v>
      </c>
    </row>
    <row r="115" spans="1:10" ht="11.25" customHeight="1" x14ac:dyDescent="0.2">
      <c r="A115" s="65" t="s">
        <v>25</v>
      </c>
      <c r="B115" s="57">
        <v>1059506.5399999998</v>
      </c>
      <c r="C115" s="57">
        <v>1041904.6315968396</v>
      </c>
      <c r="D115" s="57">
        <v>804534.64280000003</v>
      </c>
      <c r="E115" s="57">
        <v>1423198.3531256798</v>
      </c>
      <c r="F115" s="57">
        <v>825379.8301700002</v>
      </c>
      <c r="G115" s="57">
        <v>1723351.9530566926</v>
      </c>
      <c r="H115" s="58">
        <v>0.32245092408294118</v>
      </c>
      <c r="I115" s="58">
        <v>1.0879501655640667</v>
      </c>
      <c r="J115" s="58">
        <v>0.55738165113605165</v>
      </c>
    </row>
    <row r="116" spans="1:10" ht="11.25" customHeight="1" x14ac:dyDescent="0.2">
      <c r="A116" s="66" t="s">
        <v>35</v>
      </c>
      <c r="B116" s="57">
        <v>585876.14</v>
      </c>
      <c r="C116" s="57">
        <v>581077.56317200325</v>
      </c>
      <c r="D116" s="57">
        <v>773415.23042000004</v>
      </c>
      <c r="E116" s="57">
        <v>1368149.0188977378</v>
      </c>
      <c r="F116" s="57">
        <v>777032.84210000001</v>
      </c>
      <c r="G116" s="57">
        <v>1625621.2042161608</v>
      </c>
      <c r="H116" s="58">
        <v>0.43400202817991862</v>
      </c>
      <c r="I116" s="58">
        <v>1.0920881539868708</v>
      </c>
      <c r="J116" s="58">
        <v>0.67336388612523601</v>
      </c>
    </row>
    <row r="117" spans="1:10" ht="11.25" customHeight="1" x14ac:dyDescent="0.2">
      <c r="A117" s="67">
        <v>44531</v>
      </c>
      <c r="B117" s="57">
        <v>51525.799999999996</v>
      </c>
      <c r="C117" s="57">
        <v>51103.781602179602</v>
      </c>
      <c r="D117" s="57">
        <v>70654.896200000003</v>
      </c>
      <c r="E117" s="57">
        <v>124986.45373696244</v>
      </c>
      <c r="F117" s="57">
        <v>70985.380999999994</v>
      </c>
      <c r="G117" s="57">
        <v>148507.67469634471</v>
      </c>
      <c r="H117" s="58">
        <v>0.44122795839120466</v>
      </c>
      <c r="I117" s="58">
        <v>1.0920881539868712</v>
      </c>
      <c r="J117" s="58">
        <v>0.68040845856907395</v>
      </c>
    </row>
    <row r="118" spans="1:10" ht="11.25" customHeight="1" x14ac:dyDescent="0.2">
      <c r="A118" s="67">
        <v>44562</v>
      </c>
      <c r="B118" s="57">
        <v>51525.799999999996</v>
      </c>
      <c r="C118" s="57">
        <v>51103.781602179602</v>
      </c>
      <c r="D118" s="57">
        <v>69557.58054000001</v>
      </c>
      <c r="E118" s="57">
        <v>123045.33429089873</v>
      </c>
      <c r="F118" s="57">
        <v>69882.93269999999</v>
      </c>
      <c r="G118" s="57">
        <v>146201.25566753175</v>
      </c>
      <c r="H118" s="58">
        <v>0.43825779488827532</v>
      </c>
      <c r="I118" s="58">
        <v>1.0920881539868712</v>
      </c>
      <c r="J118" s="58">
        <v>0.67752294174525218</v>
      </c>
    </row>
    <row r="119" spans="1:10" ht="11.25" customHeight="1" x14ac:dyDescent="0.2">
      <c r="A119" s="67">
        <v>44593</v>
      </c>
      <c r="B119" s="57">
        <v>51568.56</v>
      </c>
      <c r="C119" s="57">
        <v>51146.191379442826</v>
      </c>
      <c r="D119" s="57">
        <v>62159.191639999997</v>
      </c>
      <c r="E119" s="57">
        <v>109957.79978571172</v>
      </c>
      <c r="F119" s="57">
        <v>62449.938199999997</v>
      </c>
      <c r="G119" s="57">
        <v>130650.77592543217</v>
      </c>
      <c r="H119" s="58">
        <v>0.4165758914774107</v>
      </c>
      <c r="I119" s="58">
        <v>1.0920881539868712</v>
      </c>
      <c r="J119" s="58">
        <v>0.65602561456873909</v>
      </c>
    </row>
    <row r="120" spans="1:10" ht="11.25" customHeight="1" x14ac:dyDescent="0.2">
      <c r="A120" s="67">
        <v>44621</v>
      </c>
      <c r="B120" s="57">
        <v>52808.6</v>
      </c>
      <c r="C120" s="57">
        <v>52376.074920076193</v>
      </c>
      <c r="D120" s="57">
        <v>76109.867540000007</v>
      </c>
      <c r="E120" s="57">
        <v>134636.13917551195</v>
      </c>
      <c r="F120" s="57">
        <v>76465.867700000003</v>
      </c>
      <c r="G120" s="57">
        <v>159973.3359994973</v>
      </c>
      <c r="H120" s="58">
        <v>0.45062393048973504</v>
      </c>
      <c r="I120" s="58">
        <v>1.0920881539868708</v>
      </c>
      <c r="J120" s="58">
        <v>0.68944505767500996</v>
      </c>
    </row>
    <row r="121" spans="1:10" ht="11.25" customHeight="1" x14ac:dyDescent="0.2">
      <c r="A121" s="67">
        <v>44652</v>
      </c>
      <c r="B121" s="57">
        <v>51696.84</v>
      </c>
      <c r="C121" s="57">
        <v>51273.42071123248</v>
      </c>
      <c r="D121" s="57">
        <v>52646.625500000002</v>
      </c>
      <c r="E121" s="57">
        <v>93130.347312900558</v>
      </c>
      <c r="F121" s="57">
        <v>52892.877499999995</v>
      </c>
      <c r="G121" s="57">
        <v>110656.56244802869</v>
      </c>
      <c r="H121" s="58">
        <v>0.38392727644390012</v>
      </c>
      <c r="I121" s="58">
        <v>1.0920881539868712</v>
      </c>
      <c r="J121" s="58">
        <v>0.62214616293996206</v>
      </c>
    </row>
    <row r="122" spans="1:10" ht="11.25" customHeight="1" x14ac:dyDescent="0.2">
      <c r="A122" s="67">
        <v>44682</v>
      </c>
      <c r="B122" s="57">
        <v>47378.079999999994</v>
      </c>
      <c r="C122" s="57">
        <v>46990.033207647306</v>
      </c>
      <c r="D122" s="57">
        <v>62225.792020000001</v>
      </c>
      <c r="E122" s="57">
        <v>110075.61391836815</v>
      </c>
      <c r="F122" s="57">
        <v>62516.850099999996</v>
      </c>
      <c r="G122" s="57">
        <v>130790.76151878292</v>
      </c>
      <c r="H122" s="58">
        <v>0.43303009493455535</v>
      </c>
      <c r="I122" s="58">
        <v>1.0920881539868708</v>
      </c>
      <c r="J122" s="58">
        <v>0.67240995215038213</v>
      </c>
    </row>
    <row r="123" spans="1:10" ht="11.25" customHeight="1" x14ac:dyDescent="0.2">
      <c r="A123" s="67">
        <v>44713</v>
      </c>
      <c r="B123" s="57">
        <v>47805.68</v>
      </c>
      <c r="C123" s="57">
        <v>47414.1309802795</v>
      </c>
      <c r="D123" s="57">
        <v>63446.251680000001</v>
      </c>
      <c r="E123" s="57">
        <v>112234.57151418187</v>
      </c>
      <c r="F123" s="57">
        <v>63743.018400000001</v>
      </c>
      <c r="G123" s="57">
        <v>133356.01369400715</v>
      </c>
      <c r="H123" s="58">
        <v>0.4350195999622517</v>
      </c>
      <c r="I123" s="58">
        <v>1.0920881539868712</v>
      </c>
      <c r="J123" s="58">
        <v>0.67436098044269044</v>
      </c>
    </row>
    <row r="124" spans="1:10" ht="11.25" customHeight="1" x14ac:dyDescent="0.2">
      <c r="A124" s="67">
        <v>44743</v>
      </c>
      <c r="B124" s="57">
        <v>69463.62</v>
      </c>
      <c r="C124" s="57">
        <v>68894.683164100221</v>
      </c>
      <c r="D124" s="57">
        <v>59993.704400000002</v>
      </c>
      <c r="E124" s="57">
        <v>106127.11592235841</v>
      </c>
      <c r="F124" s="57">
        <v>60274.322</v>
      </c>
      <c r="G124" s="57">
        <v>126099.19504579024</v>
      </c>
      <c r="H124" s="58">
        <v>0.35196521245621115</v>
      </c>
      <c r="I124" s="58">
        <v>1.0920881539868708</v>
      </c>
      <c r="J124" s="58">
        <v>0.58708892188398187</v>
      </c>
    </row>
    <row r="125" spans="1:10" ht="11.25" customHeight="1" x14ac:dyDescent="0.2">
      <c r="A125" s="67">
        <v>44774</v>
      </c>
      <c r="B125" s="57">
        <v>20353.759999999998</v>
      </c>
      <c r="C125" s="57">
        <v>20187.053977292522</v>
      </c>
      <c r="D125" s="57">
        <v>58284.055199999995</v>
      </c>
      <c r="E125" s="57">
        <v>103102.79627666292</v>
      </c>
      <c r="F125" s="57">
        <v>58556.675999999992</v>
      </c>
      <c r="G125" s="57">
        <v>122505.72819644731</v>
      </c>
      <c r="H125" s="58">
        <v>0.56781886603018772</v>
      </c>
      <c r="I125" s="58">
        <v>1.0920881539868712</v>
      </c>
      <c r="J125" s="58">
        <v>0.79158489747293004</v>
      </c>
    </row>
    <row r="126" spans="1:10" ht="11.25" customHeight="1" x14ac:dyDescent="0.2">
      <c r="A126" s="67">
        <v>44805</v>
      </c>
      <c r="B126" s="57">
        <v>45411.119999999995</v>
      </c>
      <c r="C126" s="57">
        <v>45039.183453539204</v>
      </c>
      <c r="D126" s="57">
        <v>67550.128100000002</v>
      </c>
      <c r="E126" s="57">
        <v>119494.20938639122</v>
      </c>
      <c r="F126" s="57">
        <v>67866.090499999991</v>
      </c>
      <c r="G126" s="57">
        <v>141981.84399245091</v>
      </c>
      <c r="H126" s="58">
        <v>0.45654722842895379</v>
      </c>
      <c r="I126" s="58">
        <v>1.0920881539868712</v>
      </c>
      <c r="J126" s="58">
        <v>0.69507132718692444</v>
      </c>
    </row>
    <row r="127" spans="1:10" ht="11.25" customHeight="1" x14ac:dyDescent="0.2">
      <c r="A127" s="67">
        <v>44835</v>
      </c>
      <c r="B127" s="57">
        <v>48169.14</v>
      </c>
      <c r="C127" s="57">
        <v>47774.614087016867</v>
      </c>
      <c r="D127" s="57">
        <v>65393.568800000001</v>
      </c>
      <c r="E127" s="57">
        <v>115679.3187888948</v>
      </c>
      <c r="F127" s="57">
        <v>65699.444000000003</v>
      </c>
      <c r="G127" s="57">
        <v>137449.0285159238</v>
      </c>
      <c r="H127" s="58">
        <v>0.43932752752294069</v>
      </c>
      <c r="I127" s="58">
        <v>1.0920881539868708</v>
      </c>
      <c r="J127" s="58">
        <v>0.6785638055320482</v>
      </c>
    </row>
    <row r="128" spans="1:10" ht="11.25" customHeight="1" x14ac:dyDescent="0.2">
      <c r="A128" s="67">
        <v>44866</v>
      </c>
      <c r="B128" s="57">
        <v>48169.14</v>
      </c>
      <c r="C128" s="57">
        <v>47774.614087016867</v>
      </c>
      <c r="D128" s="57">
        <v>65393.568800000001</v>
      </c>
      <c r="E128" s="57">
        <v>115679.3187888948</v>
      </c>
      <c r="F128" s="57">
        <v>65699.444000000003</v>
      </c>
      <c r="G128" s="57">
        <v>137449.0285159238</v>
      </c>
      <c r="H128" s="58">
        <v>0.43932752752294069</v>
      </c>
      <c r="I128" s="58">
        <v>1.0920881539868708</v>
      </c>
      <c r="J128" s="58">
        <v>0.6785638055320482</v>
      </c>
    </row>
    <row r="129" spans="1:10" ht="11.25" customHeight="1" x14ac:dyDescent="0.2">
      <c r="A129" s="66" t="s">
        <v>34</v>
      </c>
      <c r="B129" s="57">
        <v>473630.4</v>
      </c>
      <c r="C129" s="57">
        <v>460827.06842483621</v>
      </c>
      <c r="D129" s="57">
        <v>31119.412380000002</v>
      </c>
      <c r="E129" s="57">
        <v>55049.334227941683</v>
      </c>
      <c r="F129" s="57">
        <v>48346.988069999992</v>
      </c>
      <c r="G129" s="57">
        <v>97730.748840531684</v>
      </c>
      <c r="H129" s="58">
        <v>2.2043772974007947E-2</v>
      </c>
      <c r="I129" s="58">
        <v>1.021444411367066</v>
      </c>
      <c r="J129" s="58">
        <v>0.10940282242471522</v>
      </c>
    </row>
    <row r="130" spans="1:10" ht="11.25" customHeight="1" x14ac:dyDescent="0.2">
      <c r="A130" s="67">
        <v>44531</v>
      </c>
      <c r="B130" s="57">
        <v>40287.599999999999</v>
      </c>
      <c r="C130" s="57">
        <v>39198.532446127683</v>
      </c>
      <c r="D130" s="57">
        <v>3166.3401000000003</v>
      </c>
      <c r="E130" s="57">
        <v>5601.1634254462197</v>
      </c>
      <c r="F130" s="57">
        <v>4919.2126500000004</v>
      </c>
      <c r="G130" s="57">
        <v>9943.914919668674</v>
      </c>
      <c r="H130" s="58">
        <v>3.0969706509396566E-2</v>
      </c>
      <c r="I130" s="58">
        <v>1.0214444113670655</v>
      </c>
      <c r="J130" s="58">
        <v>0.13169408399254223</v>
      </c>
    </row>
    <row r="131" spans="1:10" ht="11.25" customHeight="1" x14ac:dyDescent="0.2">
      <c r="A131" s="67">
        <v>44562</v>
      </c>
      <c r="B131" s="57">
        <v>40566.6</v>
      </c>
      <c r="C131" s="57">
        <v>39469.990427056546</v>
      </c>
      <c r="D131" s="57">
        <v>2994.2463600000001</v>
      </c>
      <c r="E131" s="57">
        <v>5296.7346111706302</v>
      </c>
      <c r="F131" s="57">
        <v>4651.84854</v>
      </c>
      <c r="G131" s="57">
        <v>9403.4532337090441</v>
      </c>
      <c r="H131" s="58">
        <v>2.7682627381971248E-2</v>
      </c>
      <c r="I131" s="58">
        <v>1.0214444113670655</v>
      </c>
      <c r="J131" s="58">
        <v>0.12356669512651997</v>
      </c>
    </row>
    <row r="132" spans="1:10" ht="11.25" customHeight="1" x14ac:dyDescent="0.2">
      <c r="A132" s="67">
        <v>44593</v>
      </c>
      <c r="B132" s="57">
        <v>40678.199999999997</v>
      </c>
      <c r="C132" s="57">
        <v>39578.573619428091</v>
      </c>
      <c r="D132" s="57">
        <v>2708.6549</v>
      </c>
      <c r="E132" s="57">
        <v>4791.5316355421473</v>
      </c>
      <c r="F132" s="57">
        <v>4208.1548499999999</v>
      </c>
      <c r="G132" s="57">
        <v>8506.5511036997123</v>
      </c>
      <c r="H132" s="58">
        <v>2.2662402177721308E-2</v>
      </c>
      <c r="I132" s="58">
        <v>1.0214444113670655</v>
      </c>
      <c r="J132" s="58">
        <v>0.11097059621192651</v>
      </c>
    </row>
    <row r="133" spans="1:10" ht="11.25" customHeight="1" x14ac:dyDescent="0.2">
      <c r="A133" s="67">
        <v>44621</v>
      </c>
      <c r="B133" s="57">
        <v>48267</v>
      </c>
      <c r="C133" s="57">
        <v>46962.230700693137</v>
      </c>
      <c r="D133" s="57">
        <v>3272.4491800000001</v>
      </c>
      <c r="E133" s="57">
        <v>5788.867297814114</v>
      </c>
      <c r="F133" s="57">
        <v>5084.0632700000006</v>
      </c>
      <c r="G133" s="57">
        <v>10277.151284178068</v>
      </c>
      <c r="H133" s="58">
        <v>2.3509153430716578E-2</v>
      </c>
      <c r="I133" s="58">
        <v>1.0214444113670651</v>
      </c>
      <c r="J133" s="58">
        <v>0.11311090668105162</v>
      </c>
    </row>
    <row r="134" spans="1:10" ht="11.25" customHeight="1" x14ac:dyDescent="0.2">
      <c r="A134" s="67">
        <v>44652</v>
      </c>
      <c r="B134" s="57">
        <v>47597.399999999994</v>
      </c>
      <c r="C134" s="57">
        <v>46310.731546463867</v>
      </c>
      <c r="D134" s="57">
        <v>2115.7165400000004</v>
      </c>
      <c r="E134" s="57">
        <v>3742.6409444960204</v>
      </c>
      <c r="F134" s="57">
        <v>3286.9683100000002</v>
      </c>
      <c r="G134" s="57">
        <v>6644.4237205901491</v>
      </c>
      <c r="H134" s="58">
        <v>6.8443898641139533E-3</v>
      </c>
      <c r="I134" s="58">
        <v>1.0214444113670655</v>
      </c>
      <c r="J134" s="58">
        <v>6.9768027202508298E-2</v>
      </c>
    </row>
    <row r="135" spans="1:10" ht="11.25" customHeight="1" x14ac:dyDescent="0.2">
      <c r="A135" s="67">
        <v>44682</v>
      </c>
      <c r="B135" s="57">
        <v>38725.199999999997</v>
      </c>
      <c r="C135" s="57">
        <v>37678.367752926053</v>
      </c>
      <c r="D135" s="57">
        <v>2649.4431600000003</v>
      </c>
      <c r="E135" s="57">
        <v>4686.7877918707018</v>
      </c>
      <c r="F135" s="57">
        <v>4116.16374</v>
      </c>
      <c r="G135" s="57">
        <v>8320.5961884947592</v>
      </c>
      <c r="H135" s="58">
        <v>2.3940082841714005E-2</v>
      </c>
      <c r="I135" s="58">
        <v>1.0214444113670655</v>
      </c>
      <c r="J135" s="58">
        <v>0.11419768492370963</v>
      </c>
    </row>
    <row r="136" spans="1:10" ht="11.25" customHeight="1" x14ac:dyDescent="0.2">
      <c r="A136" s="67">
        <v>44713</v>
      </c>
      <c r="B136" s="57">
        <v>42798.6</v>
      </c>
      <c r="C136" s="57">
        <v>41641.654274487439</v>
      </c>
      <c r="D136" s="57">
        <v>2588.17902</v>
      </c>
      <c r="E136" s="57">
        <v>4578.4133123700894</v>
      </c>
      <c r="F136" s="57">
        <v>4020.9840300000001</v>
      </c>
      <c r="G136" s="57">
        <v>8128.1956956397216</v>
      </c>
      <c r="H136" s="58">
        <v>1.8359720272071556E-2</v>
      </c>
      <c r="I136" s="58">
        <v>1.0214444113670655</v>
      </c>
      <c r="J136" s="58">
        <v>9.9994412365877139E-2</v>
      </c>
    </row>
    <row r="137" spans="1:10" ht="11.25" customHeight="1" x14ac:dyDescent="0.2">
      <c r="A137" s="67">
        <v>44743</v>
      </c>
      <c r="B137" s="57">
        <v>95585.4</v>
      </c>
      <c r="C137" s="57">
        <v>93001.504266228148</v>
      </c>
      <c r="D137" s="57">
        <v>2560.67686</v>
      </c>
      <c r="E137" s="57">
        <v>4529.762792259261</v>
      </c>
      <c r="F137" s="57">
        <v>3978.2567899999999</v>
      </c>
      <c r="G137" s="57">
        <v>8041.8249551285817</v>
      </c>
      <c r="H137" s="58">
        <v>-6.2642320628829573E-3</v>
      </c>
      <c r="I137" s="58">
        <v>1.0214444113670655</v>
      </c>
      <c r="J137" s="58">
        <v>3.3770192082090533E-2</v>
      </c>
    </row>
    <row r="138" spans="1:10" ht="11.25" customHeight="1" x14ac:dyDescent="0.2">
      <c r="A138" s="67">
        <v>44774</v>
      </c>
      <c r="B138" s="57">
        <v>-111.60000000000582</v>
      </c>
      <c r="C138" s="57">
        <v>-108.58319237154501</v>
      </c>
      <c r="D138" s="57">
        <v>2939.1394200000004</v>
      </c>
      <c r="E138" s="57">
        <v>5199.2520391575163</v>
      </c>
      <c r="F138" s="57">
        <v>4566.2346299999999</v>
      </c>
      <c r="G138" s="57">
        <v>9230.38947380426</v>
      </c>
      <c r="H138" s="58">
        <v>0.80038828487348934</v>
      </c>
      <c r="I138" s="58">
        <v>1.0214444113670655</v>
      </c>
      <c r="J138" s="58">
        <v>0.93690775830379103</v>
      </c>
    </row>
    <row r="139" spans="1:10" ht="11.25" customHeight="1" x14ac:dyDescent="0.2">
      <c r="A139" s="67">
        <v>44805</v>
      </c>
      <c r="B139" s="57">
        <v>36493.199999999997</v>
      </c>
      <c r="C139" s="57">
        <v>35506.70390549516</v>
      </c>
      <c r="D139" s="57">
        <v>2544.1550400000001</v>
      </c>
      <c r="E139" s="57">
        <v>4500.5361738344736</v>
      </c>
      <c r="F139" s="57">
        <v>3952.5885600000006</v>
      </c>
      <c r="G139" s="57">
        <v>7989.938055045398</v>
      </c>
      <c r="H139" s="58">
        <v>2.4845050038247551E-2</v>
      </c>
      <c r="I139" s="58">
        <v>1.0214444113670655</v>
      </c>
      <c r="J139" s="58">
        <v>0.11647455462991196</v>
      </c>
    </row>
    <row r="140" spans="1:10" ht="11.25" customHeight="1" x14ac:dyDescent="0.2">
      <c r="A140" s="67">
        <v>44835</v>
      </c>
      <c r="B140" s="57">
        <v>21371.399999999994</v>
      </c>
      <c r="C140" s="57">
        <v>20793.681339150837</v>
      </c>
      <c r="D140" s="57">
        <v>1790.2058999999999</v>
      </c>
      <c r="E140" s="57">
        <v>3166.8221019902539</v>
      </c>
      <c r="F140" s="57">
        <v>2781.2563499999997</v>
      </c>
      <c r="G140" s="57">
        <v>5622.1551052866635</v>
      </c>
      <c r="H140" s="58">
        <v>3.4492320808424237E-2</v>
      </c>
      <c r="I140" s="58">
        <v>1.021444411367066</v>
      </c>
      <c r="J140" s="58">
        <v>0.14030049041438208</v>
      </c>
    </row>
    <row r="141" spans="1:10" ht="11.25" customHeight="1" x14ac:dyDescent="0.2">
      <c r="A141" s="67">
        <v>44866</v>
      </c>
      <c r="B141" s="57">
        <v>21371.399999999994</v>
      </c>
      <c r="C141" s="57">
        <v>20793.681339150837</v>
      </c>
      <c r="D141" s="57">
        <v>1790.2058999999999</v>
      </c>
      <c r="E141" s="57">
        <v>3166.8221019902539</v>
      </c>
      <c r="F141" s="57">
        <v>2781.2563499999997</v>
      </c>
      <c r="G141" s="57">
        <v>5622.1551052866635</v>
      </c>
      <c r="H141" s="58">
        <v>3.4492320808424237E-2</v>
      </c>
      <c r="I141" s="58">
        <v>1.021444411367066</v>
      </c>
      <c r="J141" s="58">
        <v>0.14030049041438208</v>
      </c>
    </row>
    <row r="142" spans="1:10" ht="11.25" customHeight="1" x14ac:dyDescent="0.2">
      <c r="A142" s="62" t="s">
        <v>47</v>
      </c>
      <c r="B142" s="57">
        <v>2577833.4600000004</v>
      </c>
      <c r="C142" s="57">
        <v>2524148.2116168756</v>
      </c>
      <c r="D142" s="57">
        <v>1005846.0413400002</v>
      </c>
      <c r="E142" s="57">
        <v>1779312.3544699047</v>
      </c>
      <c r="F142" s="57">
        <v>1055064.8869100001</v>
      </c>
      <c r="G142" s="57">
        <v>2198388.5241346098</v>
      </c>
      <c r="H142" s="58">
        <v>0.20084973125460603</v>
      </c>
      <c r="I142" s="58">
        <v>1.0836524382619683</v>
      </c>
      <c r="J142" s="58">
        <v>0.40163987192108608</v>
      </c>
    </row>
    <row r="143" spans="1:10" ht="11.25" customHeight="1" x14ac:dyDescent="0.2">
      <c r="A143" s="63" t="s">
        <v>25</v>
      </c>
      <c r="B143" s="57">
        <v>2577833.4600000004</v>
      </c>
      <c r="C143" s="57">
        <v>2524148.2116168756</v>
      </c>
      <c r="D143" s="57">
        <v>1005846.0413400002</v>
      </c>
      <c r="E143" s="57">
        <v>1779312.3544699047</v>
      </c>
      <c r="F143" s="57">
        <v>1055064.8869100001</v>
      </c>
      <c r="G143" s="57">
        <v>2198388.5241346098</v>
      </c>
      <c r="H143" s="58">
        <v>0.20084973125460603</v>
      </c>
      <c r="I143" s="58">
        <v>1.0836524382619683</v>
      </c>
      <c r="J143" s="58">
        <v>0.40163987192108608</v>
      </c>
    </row>
    <row r="144" spans="1:10" ht="11.25" customHeight="1" x14ac:dyDescent="0.2">
      <c r="A144" s="64" t="s">
        <v>25</v>
      </c>
      <c r="B144" s="57">
        <v>2577833.4600000004</v>
      </c>
      <c r="C144" s="57">
        <v>2524148.2116168756</v>
      </c>
      <c r="D144" s="57">
        <v>1005846.0413400002</v>
      </c>
      <c r="E144" s="57">
        <v>1779312.3544699047</v>
      </c>
      <c r="F144" s="57">
        <v>1055064.8869100001</v>
      </c>
      <c r="G144" s="57">
        <v>2198388.5241346098</v>
      </c>
      <c r="H144" s="58">
        <v>0.20084973125460603</v>
      </c>
      <c r="I144" s="58">
        <v>1.0836524382619683</v>
      </c>
      <c r="J144" s="58">
        <v>0.40163987192108608</v>
      </c>
    </row>
    <row r="145" spans="1:10" ht="11.25" customHeight="1" x14ac:dyDescent="0.2">
      <c r="A145" s="65" t="s">
        <v>25</v>
      </c>
      <c r="B145" s="57">
        <v>2577833.4600000004</v>
      </c>
      <c r="C145" s="57">
        <v>2524148.2116168756</v>
      </c>
      <c r="D145" s="57">
        <v>1005846.0413400002</v>
      </c>
      <c r="E145" s="57">
        <v>1779312.3544699047</v>
      </c>
      <c r="F145" s="57">
        <v>1055064.8869100001</v>
      </c>
      <c r="G145" s="57">
        <v>2198388.5241346098</v>
      </c>
      <c r="H145" s="58">
        <v>0.20084973125460603</v>
      </c>
      <c r="I145" s="58">
        <v>1.0836524382619683</v>
      </c>
      <c r="J145" s="58">
        <v>0.40163987192108608</v>
      </c>
    </row>
    <row r="146" spans="1:10" ht="11.25" customHeight="1" x14ac:dyDescent="0.2">
      <c r="A146" s="66" t="s">
        <v>35</v>
      </c>
      <c r="B146" s="57">
        <v>849149.46000000008</v>
      </c>
      <c r="C146" s="57">
        <v>842194.5617816461</v>
      </c>
      <c r="D146" s="57">
        <v>924751.92040000006</v>
      </c>
      <c r="E146" s="57">
        <v>1635859.2161832626</v>
      </c>
      <c r="F146" s="57">
        <v>929077.40199999989</v>
      </c>
      <c r="G146" s="57">
        <v>1943711.8268610979</v>
      </c>
      <c r="H146" s="58">
        <v>0.39695126535508329</v>
      </c>
      <c r="I146" s="58">
        <v>1.0920881539868712</v>
      </c>
      <c r="J146" s="58">
        <v>0.63588616885104821</v>
      </c>
    </row>
    <row r="147" spans="1:10" ht="11.25" customHeight="1" x14ac:dyDescent="0.2">
      <c r="A147" s="67">
        <v>44531</v>
      </c>
      <c r="B147" s="57">
        <v>74787.239999999991</v>
      </c>
      <c r="C147" s="57">
        <v>74174.70043337105</v>
      </c>
      <c r="D147" s="57">
        <v>73199.256479999996</v>
      </c>
      <c r="E147" s="57">
        <v>129487.35297437983</v>
      </c>
      <c r="F147" s="57">
        <v>73541.642399999982</v>
      </c>
      <c r="G147" s="57">
        <v>153855.5988897786</v>
      </c>
      <c r="H147" s="58">
        <v>0.3762205218181871</v>
      </c>
      <c r="I147" s="58">
        <v>1.0920881539868716</v>
      </c>
      <c r="J147" s="58">
        <v>0.61387015710538706</v>
      </c>
    </row>
    <row r="148" spans="1:10" ht="11.25" customHeight="1" x14ac:dyDescent="0.2">
      <c r="A148" s="67">
        <v>44562</v>
      </c>
      <c r="B148" s="57">
        <v>72435.44</v>
      </c>
      <c r="C148" s="57">
        <v>71842.162683893985</v>
      </c>
      <c r="D148" s="57">
        <v>66500.941219999993</v>
      </c>
      <c r="E148" s="57">
        <v>117638.22835052143</v>
      </c>
      <c r="F148" s="57">
        <v>66811.996099999989</v>
      </c>
      <c r="G148" s="57">
        <v>139776.585585027</v>
      </c>
      <c r="H148" s="58">
        <v>0.36379247372494228</v>
      </c>
      <c r="I148" s="58">
        <v>1.0920881539868712</v>
      </c>
      <c r="J148" s="58">
        <v>0.60028954253840738</v>
      </c>
    </row>
    <row r="149" spans="1:10" ht="11.25" customHeight="1" x14ac:dyDescent="0.2">
      <c r="A149" s="67">
        <v>44593</v>
      </c>
      <c r="B149" s="57">
        <v>72863.039999999994</v>
      </c>
      <c r="C149" s="57">
        <v>72266.260456526172</v>
      </c>
      <c r="D149" s="57">
        <v>61666.410400000008</v>
      </c>
      <c r="E149" s="57">
        <v>109086.08412312891</v>
      </c>
      <c r="F149" s="57">
        <v>61954.851999999999</v>
      </c>
      <c r="G149" s="57">
        <v>129615.0119512098</v>
      </c>
      <c r="H149" s="58">
        <v>0.3480493976630048</v>
      </c>
      <c r="I149" s="58">
        <v>1.0920881539868712</v>
      </c>
      <c r="J149" s="58">
        <v>0.58265750867874377</v>
      </c>
    </row>
    <row r="150" spans="1:10" ht="11.25" customHeight="1" x14ac:dyDescent="0.2">
      <c r="A150" s="67">
        <v>44621</v>
      </c>
      <c r="B150" s="57">
        <v>72820.28</v>
      </c>
      <c r="C150" s="57">
        <v>72223.850679262963</v>
      </c>
      <c r="D150" s="57">
        <v>68415.009460000001</v>
      </c>
      <c r="E150" s="57">
        <v>121024.15932480188</v>
      </c>
      <c r="F150" s="57">
        <v>68735.017299999992</v>
      </c>
      <c r="G150" s="57">
        <v>143799.71545741265</v>
      </c>
      <c r="H150" s="58">
        <v>0.36827000350217443</v>
      </c>
      <c r="I150" s="58">
        <v>1.0920881539868712</v>
      </c>
      <c r="J150" s="58">
        <v>0.60521614061710793</v>
      </c>
    </row>
    <row r="151" spans="1:10" ht="11.25" customHeight="1" x14ac:dyDescent="0.2">
      <c r="A151" s="67">
        <v>44652</v>
      </c>
      <c r="B151" s="57">
        <v>73397.539999999994</v>
      </c>
      <c r="C151" s="57">
        <v>72796.382672316424</v>
      </c>
      <c r="D151" s="57">
        <v>71166.45689999999</v>
      </c>
      <c r="E151" s="57">
        <v>125891.38971738215</v>
      </c>
      <c r="F151" s="57">
        <v>71499.334499999997</v>
      </c>
      <c r="G151" s="57">
        <v>149582.91072539479</v>
      </c>
      <c r="H151" s="58">
        <v>0.37439318675685151</v>
      </c>
      <c r="I151" s="58">
        <v>1.0920881539868708</v>
      </c>
      <c r="J151" s="58">
        <v>0.61189166555215602</v>
      </c>
    </row>
    <row r="152" spans="1:10" ht="11.25" customHeight="1" x14ac:dyDescent="0.2">
      <c r="A152" s="67">
        <v>44682</v>
      </c>
      <c r="B152" s="57">
        <v>73568.58</v>
      </c>
      <c r="C152" s="57">
        <v>72966.021781369302</v>
      </c>
      <c r="D152" s="57">
        <v>77720.180580000015</v>
      </c>
      <c r="E152" s="57">
        <v>137484.73604707577</v>
      </c>
      <c r="F152" s="57">
        <v>78083.712899999999</v>
      </c>
      <c r="G152" s="57">
        <v>163358.01077740183</v>
      </c>
      <c r="H152" s="58">
        <v>0.39105348620501634</v>
      </c>
      <c r="I152" s="58">
        <v>1.0920881539868712</v>
      </c>
      <c r="J152" s="58">
        <v>0.62970195566400844</v>
      </c>
    </row>
    <row r="153" spans="1:10" ht="11.25" customHeight="1" x14ac:dyDescent="0.2">
      <c r="A153" s="67">
        <v>44713</v>
      </c>
      <c r="B153" s="57">
        <v>73611.34</v>
      </c>
      <c r="C153" s="57">
        <v>73008.431558632525</v>
      </c>
      <c r="D153" s="57">
        <v>80340.377040000007</v>
      </c>
      <c r="E153" s="57">
        <v>142119.78727838086</v>
      </c>
      <c r="F153" s="57">
        <v>80716.165199999989</v>
      </c>
      <c r="G153" s="57">
        <v>168865.33305016733</v>
      </c>
      <c r="H153" s="58">
        <v>0.39737459882385306</v>
      </c>
      <c r="I153" s="58">
        <v>1.0920881539868716</v>
      </c>
      <c r="J153" s="58">
        <v>0.63632768243274995</v>
      </c>
    </row>
    <row r="154" spans="1:10" ht="11.25" customHeight="1" x14ac:dyDescent="0.2">
      <c r="A154" s="67">
        <v>44743</v>
      </c>
      <c r="B154" s="57">
        <v>72371.3</v>
      </c>
      <c r="C154" s="57">
        <v>71778.548017999157</v>
      </c>
      <c r="D154" s="57">
        <v>72768.457720000006</v>
      </c>
      <c r="E154" s="57">
        <v>128725.28251383787</v>
      </c>
      <c r="F154" s="57">
        <v>73108.828599999993</v>
      </c>
      <c r="G154" s="57">
        <v>152950.11426591658</v>
      </c>
      <c r="H154" s="58">
        <v>0.38145352921591624</v>
      </c>
      <c r="I154" s="58">
        <v>1.0920881539868716</v>
      </c>
      <c r="J154" s="58">
        <v>0.61950164607028912</v>
      </c>
    </row>
    <row r="155" spans="1:10" ht="11.25" customHeight="1" x14ac:dyDescent="0.2">
      <c r="A155" s="67">
        <v>44774</v>
      </c>
      <c r="B155" s="57">
        <v>72414.06</v>
      </c>
      <c r="C155" s="57">
        <v>71820.957795262366</v>
      </c>
      <c r="D155" s="57">
        <v>87656.875180000017</v>
      </c>
      <c r="E155" s="57">
        <v>155062.45941398415</v>
      </c>
      <c r="F155" s="57">
        <v>88066.885899999994</v>
      </c>
      <c r="G155" s="57">
        <v>184243.68874990338</v>
      </c>
      <c r="H155" s="58">
        <v>0.41739296365149459</v>
      </c>
      <c r="I155" s="58">
        <v>1.0920881539868708</v>
      </c>
      <c r="J155" s="58">
        <v>0.65684982712329809</v>
      </c>
    </row>
    <row r="156" spans="1:10" ht="11.25" customHeight="1" x14ac:dyDescent="0.2">
      <c r="A156" s="67">
        <v>44805</v>
      </c>
      <c r="B156" s="57">
        <v>74274.12</v>
      </c>
      <c r="C156" s="57">
        <v>73665.783106212417</v>
      </c>
      <c r="D156" s="57">
        <v>88225.389980000007</v>
      </c>
      <c r="E156" s="57">
        <v>156068.14553866317</v>
      </c>
      <c r="F156" s="57">
        <v>88638.059899999993</v>
      </c>
      <c r="G156" s="57">
        <v>185438.63510916868</v>
      </c>
      <c r="H156" s="58">
        <v>0.41375151637780694</v>
      </c>
      <c r="I156" s="58">
        <v>1.0920881539868712</v>
      </c>
      <c r="J156" s="58">
        <v>0.65316787907290963</v>
      </c>
    </row>
    <row r="157" spans="1:10" ht="11.25" customHeight="1" x14ac:dyDescent="0.2">
      <c r="A157" s="67">
        <v>44835</v>
      </c>
      <c r="B157" s="57">
        <v>58303.26</v>
      </c>
      <c r="C157" s="57">
        <v>57825.731298399907</v>
      </c>
      <c r="D157" s="57">
        <v>88546.282720000003</v>
      </c>
      <c r="E157" s="57">
        <v>156635.79545055333</v>
      </c>
      <c r="F157" s="57">
        <v>88960.453599999993</v>
      </c>
      <c r="G157" s="57">
        <v>186113.11114985868</v>
      </c>
      <c r="H157" s="58">
        <v>0.46041671479951374</v>
      </c>
      <c r="I157" s="58">
        <v>1.0920881539868712</v>
      </c>
      <c r="J157" s="58">
        <v>0.69871779886388818</v>
      </c>
    </row>
    <row r="158" spans="1:10" ht="11.25" customHeight="1" x14ac:dyDescent="0.2">
      <c r="A158" s="67">
        <v>44866</v>
      </c>
      <c r="B158" s="57">
        <v>58303.26</v>
      </c>
      <c r="C158" s="57">
        <v>57825.731298399907</v>
      </c>
      <c r="D158" s="57">
        <v>88546.282720000003</v>
      </c>
      <c r="E158" s="57">
        <v>156635.79545055333</v>
      </c>
      <c r="F158" s="57">
        <v>88960.453599999993</v>
      </c>
      <c r="G158" s="57">
        <v>186113.11114985868</v>
      </c>
      <c r="H158" s="58">
        <v>0.46041671479951374</v>
      </c>
      <c r="I158" s="58">
        <v>1.0920881539868712</v>
      </c>
      <c r="J158" s="58">
        <v>0.69871779886388818</v>
      </c>
    </row>
    <row r="159" spans="1:10" ht="11.25" customHeight="1" x14ac:dyDescent="0.2">
      <c r="A159" s="66" t="s">
        <v>34</v>
      </c>
      <c r="B159" s="57">
        <v>1728683.9999999998</v>
      </c>
      <c r="C159" s="57">
        <v>1681953.6498352294</v>
      </c>
      <c r="D159" s="57">
        <v>81094.120939999993</v>
      </c>
      <c r="E159" s="57">
        <v>143453.13828664218</v>
      </c>
      <c r="F159" s="57">
        <v>125987.48491000001</v>
      </c>
      <c r="G159" s="57">
        <v>254676.69727351202</v>
      </c>
      <c r="H159" s="58">
        <v>8.6356813584163028E-3</v>
      </c>
      <c r="I159" s="58">
        <v>1.0214444113670651</v>
      </c>
      <c r="J159" s="58">
        <v>7.4553385548976392E-2</v>
      </c>
    </row>
    <row r="160" spans="1:10" ht="11.25" customHeight="1" x14ac:dyDescent="0.2">
      <c r="A160" s="67">
        <v>44531</v>
      </c>
      <c r="B160" s="57">
        <v>152166.59999999998</v>
      </c>
      <c r="C160" s="57">
        <v>148053.18279860137</v>
      </c>
      <c r="D160" s="57">
        <v>6478.2979800000003</v>
      </c>
      <c r="E160" s="57">
        <v>11459.920462971784</v>
      </c>
      <c r="F160" s="57">
        <v>10064.656470000002</v>
      </c>
      <c r="G160" s="57">
        <v>20345.14357361088</v>
      </c>
      <c r="H160" s="58">
        <v>5.4726328588432516E-3</v>
      </c>
      <c r="I160" s="58">
        <v>1.0214444113670655</v>
      </c>
      <c r="J160" s="58">
        <v>6.6082163642297687E-2</v>
      </c>
    </row>
    <row r="161" spans="1:10" ht="11.25" customHeight="1" x14ac:dyDescent="0.2">
      <c r="A161" s="67">
        <v>44562</v>
      </c>
      <c r="B161" s="57">
        <v>148372.19999999998</v>
      </c>
      <c r="C161" s="57">
        <v>144361.35425796884</v>
      </c>
      <c r="D161" s="57">
        <v>5753.1850600000007</v>
      </c>
      <c r="E161" s="57">
        <v>10177.21682452735</v>
      </c>
      <c r="F161" s="57">
        <v>8938.1240899999993</v>
      </c>
      <c r="G161" s="57">
        <v>18067.920989835839</v>
      </c>
      <c r="H161" s="58">
        <v>2.6808434076928123E-3</v>
      </c>
      <c r="I161" s="58">
        <v>1.0214444113670655</v>
      </c>
      <c r="J161" s="58">
        <v>5.8523105335318126E-2</v>
      </c>
    </row>
    <row r="162" spans="1:10" ht="11.25" customHeight="1" x14ac:dyDescent="0.2">
      <c r="A162" s="67">
        <v>44593</v>
      </c>
      <c r="B162" s="57">
        <v>148093.19999999998</v>
      </c>
      <c r="C162" s="57">
        <v>144089.89627703998</v>
      </c>
      <c r="D162" s="57">
        <v>5563.5433000000003</v>
      </c>
      <c r="E162" s="57">
        <v>9841.7460739123908</v>
      </c>
      <c r="F162" s="57">
        <v>8643.4974500000008</v>
      </c>
      <c r="G162" s="57">
        <v>17472.349614967985</v>
      </c>
      <c r="H162" s="58">
        <v>1.7890464489129787E-3</v>
      </c>
      <c r="I162" s="58">
        <v>1.0214444113670655</v>
      </c>
      <c r="J162" s="58">
        <v>5.6092037657192506E-2</v>
      </c>
    </row>
    <row r="163" spans="1:10" ht="11.25" customHeight="1" x14ac:dyDescent="0.2">
      <c r="A163" s="67">
        <v>44621</v>
      </c>
      <c r="B163" s="57">
        <v>147312</v>
      </c>
      <c r="C163" s="57">
        <v>143329.81393043915</v>
      </c>
      <c r="D163" s="57">
        <v>6250.37896</v>
      </c>
      <c r="E163" s="57">
        <v>11056.738354142872</v>
      </c>
      <c r="F163" s="57">
        <v>9710.5624399999997</v>
      </c>
      <c r="G163" s="57">
        <v>19629.362175568935</v>
      </c>
      <c r="H163" s="58">
        <v>5.3670262870615382E-3</v>
      </c>
      <c r="I163" s="58">
        <v>1.0214444113670655</v>
      </c>
      <c r="J163" s="58">
        <v>6.5797632896389624E-2</v>
      </c>
    </row>
    <row r="164" spans="1:10" ht="11.25" customHeight="1" x14ac:dyDescent="0.2">
      <c r="A164" s="67">
        <v>44652</v>
      </c>
      <c r="B164" s="57">
        <v>148707</v>
      </c>
      <c r="C164" s="57">
        <v>144687.10383508349</v>
      </c>
      <c r="D164" s="57">
        <v>5955.4490799999994</v>
      </c>
      <c r="E164" s="57">
        <v>10535.015985491684</v>
      </c>
      <c r="F164" s="57">
        <v>9252.3606199999995</v>
      </c>
      <c r="G164" s="57">
        <v>18703.132667251717</v>
      </c>
      <c r="H164" s="58">
        <v>3.6186594994735977E-3</v>
      </c>
      <c r="I164" s="58">
        <v>1.0214444113670655</v>
      </c>
      <c r="J164" s="58">
        <v>6.1071008813347705E-2</v>
      </c>
    </row>
    <row r="165" spans="1:10" ht="11.25" customHeight="1" x14ac:dyDescent="0.2">
      <c r="A165" s="67">
        <v>44682</v>
      </c>
      <c r="B165" s="57">
        <v>149711.4</v>
      </c>
      <c r="C165" s="57">
        <v>145664.35256642738</v>
      </c>
      <c r="D165" s="57">
        <v>7010.4853000000003</v>
      </c>
      <c r="E165" s="57">
        <v>12401.344333474592</v>
      </c>
      <c r="F165" s="57">
        <v>10891.460450000002</v>
      </c>
      <c r="G165" s="57">
        <v>22016.481858277926</v>
      </c>
      <c r="H165" s="58">
        <v>8.5744986881035601E-3</v>
      </c>
      <c r="I165" s="58">
        <v>1.0214444113670651</v>
      </c>
      <c r="J165" s="58">
        <v>7.4390454724157173E-2</v>
      </c>
    </row>
    <row r="166" spans="1:10" ht="11.25" customHeight="1" x14ac:dyDescent="0.2">
      <c r="A166" s="67">
        <v>44713</v>
      </c>
      <c r="B166" s="57">
        <v>153561.60000000001</v>
      </c>
      <c r="C166" s="57">
        <v>149410.47270324567</v>
      </c>
      <c r="D166" s="57">
        <v>7766.9999400000006</v>
      </c>
      <c r="E166" s="57">
        <v>13739.596700105267</v>
      </c>
      <c r="F166" s="57">
        <v>12066.778409999999</v>
      </c>
      <c r="G166" s="57">
        <v>24392.321780099268</v>
      </c>
      <c r="H166" s="58">
        <v>1.1290431231835818E-2</v>
      </c>
      <c r="I166" s="58">
        <v>1.021444411367066</v>
      </c>
      <c r="J166" s="58">
        <v>8.1588177078712798E-2</v>
      </c>
    </row>
    <row r="167" spans="1:10" ht="11.25" customHeight="1" x14ac:dyDescent="0.2">
      <c r="A167" s="67">
        <v>44743</v>
      </c>
      <c r="B167" s="57">
        <v>143350.19999999998</v>
      </c>
      <c r="C167" s="57">
        <v>139475.11060124933</v>
      </c>
      <c r="D167" s="57">
        <v>6098.0908800000007</v>
      </c>
      <c r="E167" s="57">
        <v>10787.345175618739</v>
      </c>
      <c r="F167" s="57">
        <v>9473.9683200000018</v>
      </c>
      <c r="G167" s="57">
        <v>19151.100313932631</v>
      </c>
      <c r="H167" s="58">
        <v>5.4478033309983687E-3</v>
      </c>
      <c r="I167" s="58">
        <v>1.0214444113670655</v>
      </c>
      <c r="J167" s="58">
        <v>6.6015276548501811E-2</v>
      </c>
    </row>
    <row r="168" spans="1:10" ht="11.25" customHeight="1" x14ac:dyDescent="0.2">
      <c r="A168" s="67">
        <v>44774</v>
      </c>
      <c r="B168" s="57">
        <v>148037.4</v>
      </c>
      <c r="C168" s="57">
        <v>144035.60468085422</v>
      </c>
      <c r="D168" s="57">
        <v>8573.3879000000015</v>
      </c>
      <c r="E168" s="57">
        <v>15166.073517384684</v>
      </c>
      <c r="F168" s="57">
        <v>13319.579350000002</v>
      </c>
      <c r="G168" s="57">
        <v>26924.789238817673</v>
      </c>
      <c r="H168" s="58">
        <v>1.6543498267138856E-2</v>
      </c>
      <c r="I168" s="58">
        <v>1.0214444113670655</v>
      </c>
      <c r="J168" s="58">
        <v>9.5310217056313373E-2</v>
      </c>
    </row>
    <row r="169" spans="1:10" ht="11.25" customHeight="1" x14ac:dyDescent="0.2">
      <c r="A169" s="67">
        <v>44805</v>
      </c>
      <c r="B169" s="57">
        <v>159029.99999999997</v>
      </c>
      <c r="C169" s="57">
        <v>154731.04912945139</v>
      </c>
      <c r="D169" s="57">
        <v>7798.6068999999998</v>
      </c>
      <c r="E169" s="57">
        <v>13795.508491874427</v>
      </c>
      <c r="F169" s="57">
        <v>12115.882849999998</v>
      </c>
      <c r="G169" s="57">
        <v>24491.583675910573</v>
      </c>
      <c r="H169" s="58">
        <v>1.0177815141402258E-2</v>
      </c>
      <c r="I169" s="58">
        <v>1.0214444113670655</v>
      </c>
      <c r="J169" s="58">
        <v>7.8648141481743705E-2</v>
      </c>
    </row>
    <row r="170" spans="1:10" ht="11.25" customHeight="1" x14ac:dyDescent="0.2">
      <c r="A170" s="67">
        <v>44835</v>
      </c>
      <c r="B170" s="57">
        <v>115171.19999999998</v>
      </c>
      <c r="C170" s="57">
        <v>112057.85452743428</v>
      </c>
      <c r="D170" s="57">
        <v>6922.84782</v>
      </c>
      <c r="E170" s="57">
        <v>12246.316183569192</v>
      </c>
      <c r="F170" s="57">
        <v>10755.30723</v>
      </c>
      <c r="G170" s="57">
        <v>21741.255692619292</v>
      </c>
      <c r="H170" s="58">
        <v>1.8101807012425475E-2</v>
      </c>
      <c r="I170" s="58">
        <v>1.0214444113670651</v>
      </c>
      <c r="J170" s="58">
        <v>9.933109083334446E-2</v>
      </c>
    </row>
    <row r="171" spans="1:10" ht="11.25" customHeight="1" x14ac:dyDescent="0.2">
      <c r="A171" s="67">
        <v>44866</v>
      </c>
      <c r="B171" s="57">
        <v>115171.19999999998</v>
      </c>
      <c r="C171" s="57">
        <v>112057.85452743428</v>
      </c>
      <c r="D171" s="57">
        <v>6922.84782</v>
      </c>
      <c r="E171" s="57">
        <v>12246.316183569192</v>
      </c>
      <c r="F171" s="57">
        <v>10755.30723</v>
      </c>
      <c r="G171" s="57">
        <v>21741.255692619292</v>
      </c>
      <c r="H171" s="58">
        <v>1.8101807012425475E-2</v>
      </c>
      <c r="I171" s="58">
        <v>1.0214444113670651</v>
      </c>
      <c r="J171" s="58">
        <v>9.933109083334446E-2</v>
      </c>
    </row>
    <row r="172" spans="1:10" ht="11.25" customHeight="1" x14ac:dyDescent="0.2">
      <c r="A172" s="62" t="s">
        <v>51</v>
      </c>
      <c r="B172" s="57">
        <v>1003484.9420000002</v>
      </c>
      <c r="C172" s="57">
        <v>981814.43105766957</v>
      </c>
      <c r="D172" s="57">
        <v>874046.44045320002</v>
      </c>
      <c r="E172" s="57">
        <v>1546162.6988231365</v>
      </c>
      <c r="F172" s="57">
        <v>920507.14116219978</v>
      </c>
      <c r="G172" s="57">
        <v>1917310.0657179789</v>
      </c>
      <c r="H172" s="58">
        <v>0.34643668463092592</v>
      </c>
      <c r="I172" s="58">
        <v>1.0828845100508953</v>
      </c>
      <c r="J172" s="58">
        <v>0.58871550841084996</v>
      </c>
    </row>
    <row r="173" spans="1:10" ht="11.25" customHeight="1" x14ac:dyDescent="0.2">
      <c r="A173" s="63" t="s">
        <v>52</v>
      </c>
      <c r="B173" s="57">
        <v>1003484.9420000002</v>
      </c>
      <c r="C173" s="57">
        <v>981814.43105766957</v>
      </c>
      <c r="D173" s="57">
        <v>874046.44045320002</v>
      </c>
      <c r="E173" s="57">
        <v>1546162.6988231365</v>
      </c>
      <c r="F173" s="57">
        <v>920507.14116219978</v>
      </c>
      <c r="G173" s="57">
        <v>1917310.0657179789</v>
      </c>
      <c r="H173" s="58">
        <v>0.34643668463092592</v>
      </c>
      <c r="I173" s="58">
        <v>1.0828845100508953</v>
      </c>
      <c r="J173" s="58">
        <v>0.58871550841084996</v>
      </c>
    </row>
    <row r="174" spans="1:10" ht="11.25" customHeight="1" x14ac:dyDescent="0.2">
      <c r="A174" s="64" t="s">
        <v>25</v>
      </c>
      <c r="B174" s="57">
        <v>1003484.9420000002</v>
      </c>
      <c r="C174" s="57">
        <v>981814.43105766957</v>
      </c>
      <c r="D174" s="57">
        <v>874046.44045320002</v>
      </c>
      <c r="E174" s="57">
        <v>1546162.6988231365</v>
      </c>
      <c r="F174" s="57">
        <v>920507.14116219978</v>
      </c>
      <c r="G174" s="57">
        <v>1917310.0657179789</v>
      </c>
      <c r="H174" s="58">
        <v>0.34643668463092592</v>
      </c>
      <c r="I174" s="58">
        <v>1.0828845100508953</v>
      </c>
      <c r="J174" s="58">
        <v>0.58871550841084996</v>
      </c>
    </row>
    <row r="175" spans="1:10" ht="11.25" customHeight="1" x14ac:dyDescent="0.2">
      <c r="A175" s="65" t="s">
        <v>25</v>
      </c>
      <c r="B175" s="57">
        <v>1003484.9420000002</v>
      </c>
      <c r="C175" s="57">
        <v>981814.43105766957</v>
      </c>
      <c r="D175" s="57">
        <v>874046.44045320002</v>
      </c>
      <c r="E175" s="57">
        <v>1546162.6988231365</v>
      </c>
      <c r="F175" s="57">
        <v>920507.14116219978</v>
      </c>
      <c r="G175" s="57">
        <v>1917310.0657179789</v>
      </c>
      <c r="H175" s="58">
        <v>0.34643668463092592</v>
      </c>
      <c r="I175" s="58">
        <v>1.0828845100508953</v>
      </c>
      <c r="J175" s="58">
        <v>0.58871550841084996</v>
      </c>
    </row>
    <row r="176" spans="1:10" ht="11.25" customHeight="1" x14ac:dyDescent="0.2">
      <c r="A176" s="66" t="s">
        <v>35</v>
      </c>
      <c r="B176" s="57">
        <v>289568.58199999999</v>
      </c>
      <c r="C176" s="57">
        <v>287196.8911376599</v>
      </c>
      <c r="D176" s="57">
        <v>796853.9175464001</v>
      </c>
      <c r="E176" s="57">
        <v>1409611.3738332887</v>
      </c>
      <c r="F176" s="57">
        <v>800581.16253199987</v>
      </c>
      <c r="G176" s="57">
        <v>1674886.3664382352</v>
      </c>
      <c r="H176" s="58">
        <v>0.56183093196191614</v>
      </c>
      <c r="I176" s="58">
        <v>1.0920881539868712</v>
      </c>
      <c r="J176" s="58">
        <v>0.78679813885231265</v>
      </c>
    </row>
    <row r="177" spans="1:10" ht="11.25" customHeight="1" x14ac:dyDescent="0.2">
      <c r="A177" s="67">
        <v>44531</v>
      </c>
      <c r="B177" s="57">
        <v>26169.119999999999</v>
      </c>
      <c r="C177" s="57">
        <v>25954.783685090388</v>
      </c>
      <c r="D177" s="57">
        <v>73157.387520000004</v>
      </c>
      <c r="E177" s="57">
        <v>129413.28800346484</v>
      </c>
      <c r="F177" s="57">
        <v>73499.57759999999</v>
      </c>
      <c r="G177" s="57">
        <v>153767.59561999876</v>
      </c>
      <c r="H177" s="58">
        <v>0.56421559126370102</v>
      </c>
      <c r="I177" s="58">
        <v>1.0920881539868712</v>
      </c>
      <c r="J177" s="58">
        <v>0.78870954054134157</v>
      </c>
    </row>
    <row r="178" spans="1:10" ht="11.25" customHeight="1" x14ac:dyDescent="0.2">
      <c r="A178" s="67">
        <v>44562</v>
      </c>
      <c r="B178" s="57">
        <v>26169.119999999999</v>
      </c>
      <c r="C178" s="57">
        <v>25954.783685090388</v>
      </c>
      <c r="D178" s="57">
        <v>71951.60252</v>
      </c>
      <c r="E178" s="57">
        <v>127280.28945382968</v>
      </c>
      <c r="F178" s="57">
        <v>72288.152599999987</v>
      </c>
      <c r="G178" s="57">
        <v>151233.18772805523</v>
      </c>
      <c r="H178" s="58">
        <v>0.56169939645201938</v>
      </c>
      <c r="I178" s="58">
        <v>1.0920881539868712</v>
      </c>
      <c r="J178" s="58">
        <v>0.78669251030835241</v>
      </c>
    </row>
    <row r="179" spans="1:10" ht="11.25" customHeight="1" x14ac:dyDescent="0.2">
      <c r="A179" s="67">
        <v>44593</v>
      </c>
      <c r="B179" s="57">
        <v>26169.119999999999</v>
      </c>
      <c r="C179" s="57">
        <v>25954.783685090388</v>
      </c>
      <c r="D179" s="57">
        <v>77736.669561599992</v>
      </c>
      <c r="E179" s="57">
        <v>137513.90457532729</v>
      </c>
      <c r="F179" s="57">
        <v>78100.279007999983</v>
      </c>
      <c r="G179" s="57">
        <v>163392.66853570627</v>
      </c>
      <c r="H179" s="58">
        <v>0.57323945999665549</v>
      </c>
      <c r="I179" s="58">
        <v>1.0920881539868712</v>
      </c>
      <c r="J179" s="58">
        <v>0.79588163935935263</v>
      </c>
    </row>
    <row r="180" spans="1:10" ht="11.25" customHeight="1" x14ac:dyDescent="0.2">
      <c r="A180" s="67">
        <v>44621</v>
      </c>
      <c r="B180" s="57">
        <v>26169.119999999999</v>
      </c>
      <c r="C180" s="57">
        <v>25954.783685090388</v>
      </c>
      <c r="D180" s="57">
        <v>74219.539410799989</v>
      </c>
      <c r="E180" s="57">
        <v>131292.20376586745</v>
      </c>
      <c r="F180" s="57">
        <v>74566.697653999989</v>
      </c>
      <c r="G180" s="57">
        <v>156000.10484385397</v>
      </c>
      <c r="H180" s="58">
        <v>0.56638198352154645</v>
      </c>
      <c r="I180" s="58">
        <v>1.0920881539868708</v>
      </c>
      <c r="J180" s="58">
        <v>0.79044013027158333</v>
      </c>
    </row>
    <row r="181" spans="1:10" ht="11.25" customHeight="1" x14ac:dyDescent="0.2">
      <c r="A181" s="67">
        <v>44652</v>
      </c>
      <c r="B181" s="57">
        <v>26169.119999999999</v>
      </c>
      <c r="C181" s="57">
        <v>25954.783685090388</v>
      </c>
      <c r="D181" s="57">
        <v>72923.079378800001</v>
      </c>
      <c r="E181" s="57">
        <v>128998.80372529973</v>
      </c>
      <c r="F181" s="57">
        <v>73264.173493999988</v>
      </c>
      <c r="G181" s="57">
        <v>153275.10947843629</v>
      </c>
      <c r="H181" s="58">
        <v>0.56373143781024226</v>
      </c>
      <c r="I181" s="58">
        <v>1.0920881539868712</v>
      </c>
      <c r="J181" s="58">
        <v>0.78832201995977846</v>
      </c>
    </row>
    <row r="182" spans="1:10" ht="11.25" customHeight="1" x14ac:dyDescent="0.2">
      <c r="A182" s="67">
        <v>44682</v>
      </c>
      <c r="B182" s="57">
        <v>26169.119999999999</v>
      </c>
      <c r="C182" s="57">
        <v>25954.783685090388</v>
      </c>
      <c r="D182" s="57">
        <v>69395.724171199996</v>
      </c>
      <c r="E182" s="57">
        <v>122759.015088139</v>
      </c>
      <c r="F182" s="57">
        <v>69720.319255999988</v>
      </c>
      <c r="G182" s="57">
        <v>145861.05400766031</v>
      </c>
      <c r="H182" s="58">
        <v>0.55615592808183201</v>
      </c>
      <c r="I182" s="58">
        <v>1.0920881539868708</v>
      </c>
      <c r="J182" s="58">
        <v>0.7822219893961353</v>
      </c>
    </row>
    <row r="183" spans="1:10" ht="11.25" customHeight="1" x14ac:dyDescent="0.2">
      <c r="A183" s="67">
        <v>44713</v>
      </c>
      <c r="B183" s="57">
        <v>26169.119999999999</v>
      </c>
      <c r="C183" s="57">
        <v>25954.783685090388</v>
      </c>
      <c r="D183" s="57">
        <v>64079.369874800002</v>
      </c>
      <c r="E183" s="57">
        <v>113354.53916285558</v>
      </c>
      <c r="F183" s="57">
        <v>64379.097973999997</v>
      </c>
      <c r="G183" s="57">
        <v>134686.74823576555</v>
      </c>
      <c r="H183" s="58">
        <v>0.54361943386761502</v>
      </c>
      <c r="I183" s="58">
        <v>1.0920881539868708</v>
      </c>
      <c r="J183" s="58">
        <v>0.77197403707567358</v>
      </c>
    </row>
    <row r="184" spans="1:10" ht="11.25" customHeight="1" x14ac:dyDescent="0.2">
      <c r="A184" s="67">
        <v>44743</v>
      </c>
      <c r="B184" s="57">
        <v>26169.119999999999</v>
      </c>
      <c r="C184" s="57">
        <v>25954.783685090388</v>
      </c>
      <c r="D184" s="57">
        <v>25118.913119999997</v>
      </c>
      <c r="E184" s="57">
        <v>44434.625785999793</v>
      </c>
      <c r="F184" s="57">
        <v>25236.405599999995</v>
      </c>
      <c r="G184" s="57">
        <v>52796.78520496792</v>
      </c>
      <c r="H184" s="58">
        <v>0.37243339603993375</v>
      </c>
      <c r="I184" s="58">
        <v>1.0920881539868708</v>
      </c>
      <c r="J184" s="58">
        <v>0.60976279913390408</v>
      </c>
    </row>
    <row r="185" spans="1:10" ht="11.25" customHeight="1" x14ac:dyDescent="0.2">
      <c r="A185" s="67">
        <v>44774</v>
      </c>
      <c r="B185" s="57">
        <v>19535.974999999999</v>
      </c>
      <c r="C185" s="57">
        <v>19375.966987133448</v>
      </c>
      <c r="D185" s="57">
        <v>95898.106768800004</v>
      </c>
      <c r="E185" s="57">
        <v>169640.95809004823</v>
      </c>
      <c r="F185" s="57">
        <v>96346.665443999984</v>
      </c>
      <c r="G185" s="57">
        <v>201565.71745152859</v>
      </c>
      <c r="H185" s="58">
        <v>0.63744469727544462</v>
      </c>
      <c r="I185" s="58">
        <v>1.0920881539868712</v>
      </c>
      <c r="J185" s="58">
        <v>0.84427832873895681</v>
      </c>
    </row>
    <row r="186" spans="1:10" ht="11.25" customHeight="1" x14ac:dyDescent="0.2">
      <c r="A186" s="67">
        <v>44805</v>
      </c>
      <c r="B186" s="57">
        <v>20226.548999999999</v>
      </c>
      <c r="C186" s="57">
        <v>20060.884889934445</v>
      </c>
      <c r="D186" s="57">
        <v>53151.099262799995</v>
      </c>
      <c r="E186" s="57">
        <v>94022.746707802129</v>
      </c>
      <c r="F186" s="57">
        <v>53399.710913999996</v>
      </c>
      <c r="G186" s="57">
        <v>111716.90262950282</v>
      </c>
      <c r="H186" s="58">
        <v>0.55474636076028538</v>
      </c>
      <c r="I186" s="58">
        <v>1.0920881539868708</v>
      </c>
      <c r="J186" s="58">
        <v>0.78107933225162518</v>
      </c>
    </row>
    <row r="187" spans="1:10" ht="11.25" customHeight="1" x14ac:dyDescent="0.2">
      <c r="A187" s="67">
        <v>44835</v>
      </c>
      <c r="B187" s="57">
        <v>20226.548999999999</v>
      </c>
      <c r="C187" s="57">
        <v>20060.884889934445</v>
      </c>
      <c r="D187" s="57">
        <v>59611.212978800002</v>
      </c>
      <c r="E187" s="57">
        <v>105450.4997373275</v>
      </c>
      <c r="F187" s="57">
        <v>59890.041493999997</v>
      </c>
      <c r="G187" s="57">
        <v>125295.24635137957</v>
      </c>
      <c r="H187" s="58">
        <v>0.57208044810411951</v>
      </c>
      <c r="I187" s="58">
        <v>1.0920881539868712</v>
      </c>
      <c r="J187" s="58">
        <v>0.79496581743278161</v>
      </c>
    </row>
    <row r="188" spans="1:10" ht="11.25" customHeight="1" x14ac:dyDescent="0.2">
      <c r="A188" s="67">
        <v>44866</v>
      </c>
      <c r="B188" s="57">
        <v>20226.548999999999</v>
      </c>
      <c r="C188" s="57">
        <v>20060.884889934445</v>
      </c>
      <c r="D188" s="57">
        <v>59611.212978800002</v>
      </c>
      <c r="E188" s="57">
        <v>105450.4997373275</v>
      </c>
      <c r="F188" s="57">
        <v>59890.041493999997</v>
      </c>
      <c r="G188" s="57">
        <v>125295.24635137957</v>
      </c>
      <c r="H188" s="58">
        <v>0.57208044810411951</v>
      </c>
      <c r="I188" s="58">
        <v>1.0920881539868712</v>
      </c>
      <c r="J188" s="58">
        <v>0.79496581743278161</v>
      </c>
    </row>
    <row r="189" spans="1:10" ht="11.25" customHeight="1" x14ac:dyDescent="0.2">
      <c r="A189" s="66" t="s">
        <v>34</v>
      </c>
      <c r="B189" s="57">
        <v>713916.35999999987</v>
      </c>
      <c r="C189" s="57">
        <v>694617.53992000956</v>
      </c>
      <c r="D189" s="57">
        <v>77192.522906800004</v>
      </c>
      <c r="E189" s="57">
        <v>136551.32498984796</v>
      </c>
      <c r="F189" s="57">
        <v>119925.97863020001</v>
      </c>
      <c r="G189" s="57">
        <v>242423.69927974392</v>
      </c>
      <c r="H189" s="58">
        <v>5.0637760324298009E-2</v>
      </c>
      <c r="I189" s="58">
        <v>1.0214444113670651</v>
      </c>
      <c r="J189" s="58">
        <v>0.17843192342645553</v>
      </c>
    </row>
    <row r="190" spans="1:10" ht="11.25" customHeight="1" x14ac:dyDescent="0.2">
      <c r="A190" s="67">
        <v>44531</v>
      </c>
      <c r="B190" s="57">
        <v>63745.919999999991</v>
      </c>
      <c r="C190" s="57">
        <v>62022.719482626395</v>
      </c>
      <c r="D190" s="57">
        <v>7408.3430399999997</v>
      </c>
      <c r="E190" s="57">
        <v>13105.143088958464</v>
      </c>
      <c r="F190" s="57">
        <v>11509.57056</v>
      </c>
      <c r="G190" s="57">
        <v>23265.957085746904</v>
      </c>
      <c r="H190" s="58">
        <v>5.5844855414370231E-2</v>
      </c>
      <c r="I190" s="58">
        <v>1.0214444113670651</v>
      </c>
      <c r="J190" s="58">
        <v>0.19028861077804882</v>
      </c>
    </row>
    <row r="191" spans="1:10" ht="11.25" customHeight="1" x14ac:dyDescent="0.2">
      <c r="A191" s="67">
        <v>44562</v>
      </c>
      <c r="B191" s="57">
        <v>63745.919999999991</v>
      </c>
      <c r="C191" s="57">
        <v>62022.719482626395</v>
      </c>
      <c r="D191" s="57">
        <v>7161.0124208000007</v>
      </c>
      <c r="E191" s="57">
        <v>12667.622426457301</v>
      </c>
      <c r="F191" s="57">
        <v>11125.3187512</v>
      </c>
      <c r="G191" s="57">
        <v>22489.213414290462</v>
      </c>
      <c r="H191" s="58">
        <v>5.3357399045708576E-2</v>
      </c>
      <c r="I191" s="58">
        <v>1.0214444113670655</v>
      </c>
      <c r="J191" s="58">
        <v>0.18465059699037489</v>
      </c>
    </row>
    <row r="192" spans="1:10" ht="11.25" customHeight="1" x14ac:dyDescent="0.2">
      <c r="A192" s="67">
        <v>44593</v>
      </c>
      <c r="B192" s="57">
        <v>63745.919999999991</v>
      </c>
      <c r="C192" s="57">
        <v>62022.719482626395</v>
      </c>
      <c r="D192" s="57">
        <v>7961.1713467999998</v>
      </c>
      <c r="E192" s="57">
        <v>14083.080263995196</v>
      </c>
      <c r="F192" s="57">
        <v>12368.442290200001</v>
      </c>
      <c r="G192" s="57">
        <v>25002.118544840858</v>
      </c>
      <c r="H192" s="58">
        <v>6.1342725206185555E-2</v>
      </c>
      <c r="I192" s="58">
        <v>1.0214444113670655</v>
      </c>
      <c r="J192" s="58">
        <v>0.20258431814421263</v>
      </c>
    </row>
    <row r="193" spans="1:10" ht="11.25" customHeight="1" x14ac:dyDescent="0.2">
      <c r="A193" s="67">
        <v>44621</v>
      </c>
      <c r="B193" s="57">
        <v>63745.919999999991</v>
      </c>
      <c r="C193" s="57">
        <v>62022.719482626395</v>
      </c>
      <c r="D193" s="57">
        <v>7412.0086263999992</v>
      </c>
      <c r="E193" s="57">
        <v>13111.627404549356</v>
      </c>
      <c r="F193" s="57">
        <v>11515.265399599999</v>
      </c>
      <c r="G193" s="57">
        <v>23277.468887429957</v>
      </c>
      <c r="H193" s="58">
        <v>5.5881590955986216E-2</v>
      </c>
      <c r="I193" s="58">
        <v>1.0214444113670655</v>
      </c>
      <c r="J193" s="58">
        <v>0.19037152167673677</v>
      </c>
    </row>
    <row r="194" spans="1:10" ht="11.25" customHeight="1" x14ac:dyDescent="0.2">
      <c r="A194" s="67">
        <v>44652</v>
      </c>
      <c r="B194" s="57">
        <v>63745.919999999991</v>
      </c>
      <c r="C194" s="57">
        <v>62022.719482626395</v>
      </c>
      <c r="D194" s="57">
        <v>6339.6316788000004</v>
      </c>
      <c r="E194" s="57">
        <v>11214.623814445826</v>
      </c>
      <c r="F194" s="57">
        <v>9849.2250882000008</v>
      </c>
      <c r="G194" s="57">
        <v>19909.661010838183</v>
      </c>
      <c r="H194" s="58">
        <v>4.4970632930404708E-2</v>
      </c>
      <c r="I194" s="58">
        <v>1.0214444113670655</v>
      </c>
      <c r="J194" s="58">
        <v>0.16528760165831713</v>
      </c>
    </row>
    <row r="195" spans="1:10" ht="11.25" customHeight="1" x14ac:dyDescent="0.2">
      <c r="A195" s="67">
        <v>44682</v>
      </c>
      <c r="B195" s="57">
        <v>63745.919999999991</v>
      </c>
      <c r="C195" s="57">
        <v>62022.719482626395</v>
      </c>
      <c r="D195" s="57">
        <v>6717.4764664000004</v>
      </c>
      <c r="E195" s="57">
        <v>11883.020239959502</v>
      </c>
      <c r="F195" s="57">
        <v>10436.243159600001</v>
      </c>
      <c r="G195" s="57">
        <v>21096.285410641187</v>
      </c>
      <c r="H195" s="58">
        <v>4.8852928311898358E-2</v>
      </c>
      <c r="I195" s="58">
        <v>1.0214444113670655</v>
      </c>
      <c r="J195" s="58">
        <v>0.17431950960996367</v>
      </c>
    </row>
    <row r="196" spans="1:10" ht="11.25" customHeight="1" x14ac:dyDescent="0.2">
      <c r="A196" s="67">
        <v>44713</v>
      </c>
      <c r="B196" s="57">
        <v>63745.919999999991</v>
      </c>
      <c r="C196" s="57">
        <v>62022.719482626395</v>
      </c>
      <c r="D196" s="57">
        <v>6297.9597492000003</v>
      </c>
      <c r="E196" s="57">
        <v>11140.907384570433</v>
      </c>
      <c r="F196" s="57">
        <v>9784.4837538000011</v>
      </c>
      <c r="G196" s="57">
        <v>19778.790002230857</v>
      </c>
      <c r="H196" s="58">
        <v>4.4539895979027078E-2</v>
      </c>
      <c r="I196" s="58">
        <v>1.0214444113670651</v>
      </c>
      <c r="J196" s="58">
        <v>0.16427811859045405</v>
      </c>
    </row>
    <row r="197" spans="1:10" ht="11.25" customHeight="1" x14ac:dyDescent="0.2">
      <c r="A197" s="67">
        <v>44743</v>
      </c>
      <c r="B197" s="57">
        <v>63745.919999999991</v>
      </c>
      <c r="C197" s="57">
        <v>62022.719482626395</v>
      </c>
      <c r="D197" s="57">
        <v>2253.9497847999996</v>
      </c>
      <c r="E197" s="57">
        <v>3987.1715288620244</v>
      </c>
      <c r="F197" s="57">
        <v>3501.7268971999997</v>
      </c>
      <c r="G197" s="57">
        <v>7078.5462664786737</v>
      </c>
      <c r="H197" s="58">
        <v>1.5183706757460058E-4</v>
      </c>
      <c r="I197" s="58">
        <v>1.0214444113670655</v>
      </c>
      <c r="J197" s="58">
        <v>5.1608031573410651E-2</v>
      </c>
    </row>
    <row r="198" spans="1:10" ht="11.25" customHeight="1" x14ac:dyDescent="0.2">
      <c r="A198" s="67">
        <v>44774</v>
      </c>
      <c r="B198" s="57">
        <v>50987.25</v>
      </c>
      <c r="C198" s="57">
        <v>49608.946014749541</v>
      </c>
      <c r="D198" s="57">
        <v>9831.6815016</v>
      </c>
      <c r="E198" s="57">
        <v>17391.958254073237</v>
      </c>
      <c r="F198" s="57">
        <v>15274.458992400001</v>
      </c>
      <c r="G198" s="57">
        <v>30876.469766842398</v>
      </c>
      <c r="H198" s="58">
        <v>0.10164553395779641</v>
      </c>
      <c r="I198" s="58">
        <v>1.0214444113670651</v>
      </c>
      <c r="J198" s="58">
        <v>0.2862795756667309</v>
      </c>
    </row>
    <row r="199" spans="1:10" ht="11.25" customHeight="1" x14ac:dyDescent="0.2">
      <c r="A199" s="67">
        <v>44805</v>
      </c>
      <c r="B199" s="57">
        <v>50987.25</v>
      </c>
      <c r="C199" s="57">
        <v>49608.946014749541</v>
      </c>
      <c r="D199" s="57">
        <v>5254.328716</v>
      </c>
      <c r="E199" s="57">
        <v>9294.7544798902036</v>
      </c>
      <c r="F199" s="57">
        <v>8163.1029740000004</v>
      </c>
      <c r="G199" s="57">
        <v>16501.258886206171</v>
      </c>
      <c r="H199" s="58">
        <v>4.7333695806842657E-2</v>
      </c>
      <c r="I199" s="58">
        <v>1.0214444113670655</v>
      </c>
      <c r="J199" s="58">
        <v>0.17079934877706116</v>
      </c>
    </row>
    <row r="200" spans="1:10" ht="11.25" customHeight="1" x14ac:dyDescent="0.2">
      <c r="A200" s="67">
        <v>44835</v>
      </c>
      <c r="B200" s="57">
        <v>50987.25</v>
      </c>
      <c r="C200" s="57">
        <v>49608.946014749541</v>
      </c>
      <c r="D200" s="57">
        <v>5277.4797879999996</v>
      </c>
      <c r="E200" s="57">
        <v>9335.7080520431991</v>
      </c>
      <c r="F200" s="57">
        <v>8199.0703819999999</v>
      </c>
      <c r="G200" s="57">
        <v>16573.965002099132</v>
      </c>
      <c r="H200" s="58">
        <v>4.7630625596007281E-2</v>
      </c>
      <c r="I200" s="58">
        <v>1.0214444113670655</v>
      </c>
      <c r="J200" s="58">
        <v>0.17148878703611614</v>
      </c>
    </row>
    <row r="201" spans="1:10" ht="11.25" customHeight="1" x14ac:dyDescent="0.2">
      <c r="A201" s="67">
        <v>44866</v>
      </c>
      <c r="B201" s="57">
        <v>50987.25</v>
      </c>
      <c r="C201" s="57">
        <v>49608.946014749541</v>
      </c>
      <c r="D201" s="57">
        <v>5277.4797879999996</v>
      </c>
      <c r="E201" s="57">
        <v>9335.7080520431991</v>
      </c>
      <c r="F201" s="57">
        <v>8199.0703819999999</v>
      </c>
      <c r="G201" s="57">
        <v>16573.965002099132</v>
      </c>
      <c r="H201" s="58">
        <v>4.7630625596007281E-2</v>
      </c>
      <c r="I201" s="58">
        <v>1.0214444113670655</v>
      </c>
      <c r="J201" s="58">
        <v>0.17148878703611614</v>
      </c>
    </row>
    <row r="202" spans="1:10" ht="11.25" customHeight="1" x14ac:dyDescent="0.2">
      <c r="A202" s="61" t="s">
        <v>43</v>
      </c>
      <c r="B202" s="57">
        <v>19115177.047000002</v>
      </c>
      <c r="C202" s="57">
        <v>18958615.549819395</v>
      </c>
      <c r="D202" s="57">
        <v>35228867.543600418</v>
      </c>
      <c r="E202" s="57">
        <v>48413322.013010032</v>
      </c>
      <c r="F202" s="57">
        <v>18544186.390439596</v>
      </c>
      <c r="G202" s="57">
        <v>38650356.782032244</v>
      </c>
      <c r="H202" s="58">
        <v>0.23972991098425567</v>
      </c>
      <c r="I202" s="58">
        <v>1.0842303872634913</v>
      </c>
      <c r="J202" s="58">
        <v>0.4545872895782137</v>
      </c>
    </row>
    <row r="203" spans="1:10" ht="11.25" customHeight="1" x14ac:dyDescent="0.2">
      <c r="A203" s="62" t="s">
        <v>44</v>
      </c>
      <c r="B203" s="57">
        <v>9447266.1199999992</v>
      </c>
      <c r="C203" s="57">
        <v>9369888.9592039473</v>
      </c>
      <c r="D203" s="57">
        <v>18494608.360439997</v>
      </c>
      <c r="E203" s="57">
        <v>25505049.900256831</v>
      </c>
      <c r="F203" s="57">
        <v>9843019.0803699996</v>
      </c>
      <c r="G203" s="57">
        <v>20516895.653419353</v>
      </c>
      <c r="H203" s="58">
        <v>0.2481245266445562</v>
      </c>
      <c r="I203" s="58">
        <v>1.0844108383713658</v>
      </c>
      <c r="J203" s="58">
        <v>0.46597831283377866</v>
      </c>
    </row>
    <row r="204" spans="1:10" ht="11.25" customHeight="1" x14ac:dyDescent="0.2">
      <c r="A204" s="63" t="s">
        <v>25</v>
      </c>
      <c r="B204" s="57">
        <v>9447266.1199999992</v>
      </c>
      <c r="C204" s="57">
        <v>9369888.9592039473</v>
      </c>
      <c r="D204" s="57">
        <v>18494608.360439997</v>
      </c>
      <c r="E204" s="57">
        <v>25505049.900256831</v>
      </c>
      <c r="F204" s="57">
        <v>9843019.0803699996</v>
      </c>
      <c r="G204" s="57">
        <v>20516895.653419353</v>
      </c>
      <c r="H204" s="58">
        <v>0.2481245266445562</v>
      </c>
      <c r="I204" s="58">
        <v>1.0844108383713658</v>
      </c>
      <c r="J204" s="58">
        <v>0.46597831283377866</v>
      </c>
    </row>
    <row r="205" spans="1:10" ht="11.25" customHeight="1" x14ac:dyDescent="0.2">
      <c r="A205" s="64" t="s">
        <v>25</v>
      </c>
      <c r="B205" s="57">
        <v>9447266.1199999992</v>
      </c>
      <c r="C205" s="57">
        <v>9369888.9592039473</v>
      </c>
      <c r="D205" s="57">
        <v>18494608.360439997</v>
      </c>
      <c r="E205" s="57">
        <v>25505049.900256831</v>
      </c>
      <c r="F205" s="57">
        <v>9843019.0803699996</v>
      </c>
      <c r="G205" s="57">
        <v>20516895.653419353</v>
      </c>
      <c r="H205" s="58">
        <v>0.2481245266445562</v>
      </c>
      <c r="I205" s="58">
        <v>1.0844108383713658</v>
      </c>
      <c r="J205" s="58">
        <v>0.46597831283377866</v>
      </c>
    </row>
    <row r="206" spans="1:10" ht="11.25" customHeight="1" x14ac:dyDescent="0.2">
      <c r="A206" s="65" t="s">
        <v>25</v>
      </c>
      <c r="B206" s="57">
        <v>9447266.1199999992</v>
      </c>
      <c r="C206" s="57">
        <v>9369888.9592039473</v>
      </c>
      <c r="D206" s="57">
        <v>18494608.360439997</v>
      </c>
      <c r="E206" s="57">
        <v>25505049.900256831</v>
      </c>
      <c r="F206" s="57">
        <v>9843019.0803699996</v>
      </c>
      <c r="G206" s="57">
        <v>20516895.653419353</v>
      </c>
      <c r="H206" s="58">
        <v>0.2481245266445562</v>
      </c>
      <c r="I206" s="58">
        <v>1.0844108383713658</v>
      </c>
      <c r="J206" s="58">
        <v>0.46597831283377866</v>
      </c>
    </row>
    <row r="207" spans="1:10" ht="11.25" customHeight="1" x14ac:dyDescent="0.2">
      <c r="A207" s="66" t="s">
        <v>35</v>
      </c>
      <c r="B207" s="57">
        <v>0</v>
      </c>
      <c r="C207" s="57">
        <v>0</v>
      </c>
      <c r="D207" s="57">
        <v>8732468.3978000004</v>
      </c>
      <c r="E207" s="57">
        <v>15447482.285185445</v>
      </c>
      <c r="F207" s="57">
        <v>8773314.0889999997</v>
      </c>
      <c r="G207" s="57">
        <v>18354546.476803016</v>
      </c>
      <c r="H207" s="58">
        <v>0.7689708775902564</v>
      </c>
      <c r="I207" s="58">
        <v>1.0920881539868712</v>
      </c>
      <c r="J207" s="58">
        <v>0.93090647547325767</v>
      </c>
    </row>
    <row r="208" spans="1:10" ht="11.25" customHeight="1" x14ac:dyDescent="0.2">
      <c r="A208" s="67">
        <v>44531</v>
      </c>
      <c r="B208" s="57">
        <v>0</v>
      </c>
      <c r="C208" s="57">
        <v>0</v>
      </c>
      <c r="D208" s="57">
        <v>711020.11540000001</v>
      </c>
      <c r="E208" s="57">
        <v>1257773.8775234632</v>
      </c>
      <c r="F208" s="57">
        <v>714345.87699999998</v>
      </c>
      <c r="G208" s="57">
        <v>1494474.5471210624</v>
      </c>
      <c r="H208" s="58">
        <v>0.76897087759025617</v>
      </c>
      <c r="I208" s="58">
        <v>1.0920881539868712</v>
      </c>
      <c r="J208" s="58">
        <v>0.93090647547325744</v>
      </c>
    </row>
    <row r="209" spans="1:10" ht="11.25" customHeight="1" x14ac:dyDescent="0.2">
      <c r="A209" s="67">
        <v>44562</v>
      </c>
      <c r="B209" s="57">
        <v>0</v>
      </c>
      <c r="C209" s="57">
        <v>0</v>
      </c>
      <c r="D209" s="57">
        <v>624065.77674</v>
      </c>
      <c r="E209" s="57">
        <v>1103954.1847538028</v>
      </c>
      <c r="F209" s="57">
        <v>626984.81370000006</v>
      </c>
      <c r="G209" s="57">
        <v>1311707.5014714352</v>
      </c>
      <c r="H209" s="58">
        <v>0.7689708775902564</v>
      </c>
      <c r="I209" s="58">
        <v>1.0920881539868708</v>
      </c>
      <c r="J209" s="58">
        <v>0.93090647547325767</v>
      </c>
    </row>
    <row r="210" spans="1:10" ht="11.25" customHeight="1" x14ac:dyDescent="0.2">
      <c r="A210" s="67">
        <v>44593</v>
      </c>
      <c r="B210" s="57">
        <v>0</v>
      </c>
      <c r="C210" s="57">
        <v>0</v>
      </c>
      <c r="D210" s="57">
        <v>629613.00346000015</v>
      </c>
      <c r="E210" s="57">
        <v>1113767.0672728734</v>
      </c>
      <c r="F210" s="57">
        <v>632557.98729999992</v>
      </c>
      <c r="G210" s="57">
        <v>1323367.0719401075</v>
      </c>
      <c r="H210" s="58">
        <v>0.76897087759025595</v>
      </c>
      <c r="I210" s="58">
        <v>1.0920881539868712</v>
      </c>
      <c r="J210" s="58">
        <v>0.93090647547325744</v>
      </c>
    </row>
    <row r="211" spans="1:10" ht="11.25" customHeight="1" x14ac:dyDescent="0.2">
      <c r="A211" s="67">
        <v>44621</v>
      </c>
      <c r="B211" s="57">
        <v>0</v>
      </c>
      <c r="C211" s="57">
        <v>0</v>
      </c>
      <c r="D211" s="57">
        <v>675896.47061999992</v>
      </c>
      <c r="E211" s="57">
        <v>1195641.1727928182</v>
      </c>
      <c r="F211" s="57">
        <v>679057.94309999992</v>
      </c>
      <c r="G211" s="57">
        <v>1420649.0786302006</v>
      </c>
      <c r="H211" s="58">
        <v>0.7689708775902564</v>
      </c>
      <c r="I211" s="58">
        <v>1.0920881539868712</v>
      </c>
      <c r="J211" s="58">
        <v>0.93090647547325767</v>
      </c>
    </row>
    <row r="212" spans="1:10" ht="11.25" customHeight="1" x14ac:dyDescent="0.2">
      <c r="A212" s="67">
        <v>44652</v>
      </c>
      <c r="B212" s="57">
        <v>0</v>
      </c>
      <c r="C212" s="57">
        <v>0</v>
      </c>
      <c r="D212" s="57">
        <v>664979.44715999998</v>
      </c>
      <c r="E212" s="57">
        <v>1176329.2762221084</v>
      </c>
      <c r="F212" s="57">
        <v>668089.8557999999</v>
      </c>
      <c r="G212" s="57">
        <v>1397702.8731179768</v>
      </c>
      <c r="H212" s="58">
        <v>0.76897087759025595</v>
      </c>
      <c r="I212" s="58">
        <v>1.0920881539868712</v>
      </c>
      <c r="J212" s="58">
        <v>0.93090647547325722</v>
      </c>
    </row>
    <row r="213" spans="1:10" ht="11.25" customHeight="1" x14ac:dyDescent="0.2">
      <c r="A213" s="67">
        <v>44682</v>
      </c>
      <c r="B213" s="57">
        <v>0</v>
      </c>
      <c r="C213" s="57">
        <v>0</v>
      </c>
      <c r="D213" s="57">
        <v>711446.39888000011</v>
      </c>
      <c r="E213" s="57">
        <v>1258527.9605851811</v>
      </c>
      <c r="F213" s="57">
        <v>714774.15439999988</v>
      </c>
      <c r="G213" s="57">
        <v>1495370.5411962226</v>
      </c>
      <c r="H213" s="58">
        <v>0.76897087759025595</v>
      </c>
      <c r="I213" s="58">
        <v>1.0920881539868712</v>
      </c>
      <c r="J213" s="58">
        <v>0.93090647547325722</v>
      </c>
    </row>
    <row r="214" spans="1:10" ht="11.25" customHeight="1" x14ac:dyDescent="0.2">
      <c r="A214" s="67">
        <v>44713</v>
      </c>
      <c r="B214" s="57">
        <v>0</v>
      </c>
      <c r="C214" s="57">
        <v>0</v>
      </c>
      <c r="D214" s="57">
        <v>701814.07519999996</v>
      </c>
      <c r="E214" s="57">
        <v>1241488.6605117379</v>
      </c>
      <c r="F214" s="57">
        <v>705096.77599999995</v>
      </c>
      <c r="G214" s="57">
        <v>1475124.6124839343</v>
      </c>
      <c r="H214" s="58">
        <v>0.76897087759025617</v>
      </c>
      <c r="I214" s="58">
        <v>1.0920881539868712</v>
      </c>
      <c r="J214" s="58">
        <v>0.93090647547325722</v>
      </c>
    </row>
    <row r="215" spans="1:10" ht="11.25" customHeight="1" x14ac:dyDescent="0.2">
      <c r="A215" s="67">
        <v>44743</v>
      </c>
      <c r="B215" s="57">
        <v>0</v>
      </c>
      <c r="C215" s="57">
        <v>0</v>
      </c>
      <c r="D215" s="57">
        <v>782978.38822000008</v>
      </c>
      <c r="E215" s="57">
        <v>1385065.9665437376</v>
      </c>
      <c r="F215" s="57">
        <v>786640.73109999998</v>
      </c>
      <c r="G215" s="57">
        <v>1645721.7549778814</v>
      </c>
      <c r="H215" s="58">
        <v>0.76897087759025573</v>
      </c>
      <c r="I215" s="58">
        <v>1.0920881539868708</v>
      </c>
      <c r="J215" s="58">
        <v>0.930906475473257</v>
      </c>
    </row>
    <row r="216" spans="1:10" ht="11.25" customHeight="1" x14ac:dyDescent="0.2">
      <c r="A216" s="67">
        <v>44774</v>
      </c>
      <c r="B216" s="57">
        <v>0</v>
      </c>
      <c r="C216" s="57">
        <v>0</v>
      </c>
      <c r="D216" s="57">
        <v>731393.57185999991</v>
      </c>
      <c r="E216" s="57">
        <v>1293813.9286770562</v>
      </c>
      <c r="F216" s="57">
        <v>734814.62929999991</v>
      </c>
      <c r="G216" s="57">
        <v>1537296.9813347838</v>
      </c>
      <c r="H216" s="58">
        <v>0.7689708775902564</v>
      </c>
      <c r="I216" s="58">
        <v>1.0920881539868712</v>
      </c>
      <c r="J216" s="58">
        <v>0.93090647547325767</v>
      </c>
    </row>
    <row r="217" spans="1:10" ht="11.25" customHeight="1" x14ac:dyDescent="0.2">
      <c r="A217" s="67">
        <v>44805</v>
      </c>
      <c r="B217" s="57">
        <v>0</v>
      </c>
      <c r="C217" s="57">
        <v>0</v>
      </c>
      <c r="D217" s="57">
        <v>811003.91022000008</v>
      </c>
      <c r="E217" s="57">
        <v>1434642.2987910027</v>
      </c>
      <c r="F217" s="57">
        <v>814797.34110000008</v>
      </c>
      <c r="G217" s="57">
        <v>1704627.8652153099</v>
      </c>
      <c r="H217" s="58">
        <v>0.76897087759025595</v>
      </c>
      <c r="I217" s="58">
        <v>1.0920881539868708</v>
      </c>
      <c r="J217" s="58">
        <v>0.93090647547325678</v>
      </c>
    </row>
    <row r="218" spans="1:10" ht="11.25" customHeight="1" x14ac:dyDescent="0.2">
      <c r="A218" s="67">
        <v>44835</v>
      </c>
      <c r="B218" s="57">
        <v>0</v>
      </c>
      <c r="C218" s="57">
        <v>0</v>
      </c>
      <c r="D218" s="57">
        <v>844128.62002000003</v>
      </c>
      <c r="E218" s="57">
        <v>1493238.9457558312</v>
      </c>
      <c r="F218" s="57">
        <v>848076.99009999994</v>
      </c>
      <c r="G218" s="57">
        <v>1774251.8246570509</v>
      </c>
      <c r="H218" s="58">
        <v>0.76897087759025595</v>
      </c>
      <c r="I218" s="58">
        <v>1.0920881539868712</v>
      </c>
      <c r="J218" s="58">
        <v>0.93090647547325722</v>
      </c>
    </row>
    <row r="219" spans="1:10" ht="11.25" customHeight="1" x14ac:dyDescent="0.2">
      <c r="A219" s="67">
        <v>44866</v>
      </c>
      <c r="B219" s="57">
        <v>0</v>
      </c>
      <c r="C219" s="57">
        <v>0</v>
      </c>
      <c r="D219" s="57">
        <v>844128.62002000003</v>
      </c>
      <c r="E219" s="57">
        <v>1493238.9457558312</v>
      </c>
      <c r="F219" s="57">
        <v>848076.99009999994</v>
      </c>
      <c r="G219" s="57">
        <v>1774251.8246570509</v>
      </c>
      <c r="H219" s="58">
        <v>0.76897087759025595</v>
      </c>
      <c r="I219" s="58">
        <v>1.0920881539868712</v>
      </c>
      <c r="J219" s="58">
        <v>0.93090647547325722</v>
      </c>
    </row>
    <row r="220" spans="1:10" ht="11.25" customHeight="1" x14ac:dyDescent="0.2">
      <c r="A220" s="66" t="s">
        <v>25</v>
      </c>
      <c r="B220" s="57">
        <v>9447266.1199999992</v>
      </c>
      <c r="C220" s="57">
        <v>9369888.9592039473</v>
      </c>
      <c r="D220" s="57">
        <v>0</v>
      </c>
      <c r="E220" s="57">
        <v>0</v>
      </c>
      <c r="F220" s="57">
        <v>0</v>
      </c>
      <c r="G220" s="57">
        <v>0</v>
      </c>
      <c r="H220" s="58">
        <v>-8.1904288302245831E-3</v>
      </c>
      <c r="I220" s="58">
        <v>0</v>
      </c>
      <c r="J220" s="58">
        <v>-8.1904288302245831E-3</v>
      </c>
    </row>
    <row r="221" spans="1:10" ht="11.25" customHeight="1" x14ac:dyDescent="0.2">
      <c r="A221" s="67">
        <v>44531</v>
      </c>
      <c r="B221" s="57">
        <v>795827.74</v>
      </c>
      <c r="C221" s="57">
        <v>789309.5695344113</v>
      </c>
      <c r="D221" s="57">
        <v>0</v>
      </c>
      <c r="E221" s="57">
        <v>0</v>
      </c>
      <c r="F221" s="57">
        <v>0</v>
      </c>
      <c r="G221" s="57">
        <v>0</v>
      </c>
      <c r="H221" s="58">
        <v>-8.1904288302248052E-3</v>
      </c>
      <c r="I221" s="58">
        <v>0</v>
      </c>
      <c r="J221" s="58">
        <v>-8.1904288302248052E-3</v>
      </c>
    </row>
    <row r="222" spans="1:10" ht="11.25" customHeight="1" x14ac:dyDescent="0.2">
      <c r="A222" s="67">
        <v>44562</v>
      </c>
      <c r="B222" s="57">
        <v>607598.21999999986</v>
      </c>
      <c r="C222" s="57">
        <v>602621.73002171877</v>
      </c>
      <c r="D222" s="57">
        <v>0</v>
      </c>
      <c r="E222" s="57">
        <v>0</v>
      </c>
      <c r="F222" s="57">
        <v>0</v>
      </c>
      <c r="G222" s="57">
        <v>0</v>
      </c>
      <c r="H222" s="58">
        <v>-8.1904288302244721E-3</v>
      </c>
      <c r="I222" s="58">
        <v>0</v>
      </c>
      <c r="J222" s="58">
        <v>-8.1904288302244721E-3</v>
      </c>
    </row>
    <row r="223" spans="1:10" ht="11.25" customHeight="1" x14ac:dyDescent="0.2">
      <c r="A223" s="67">
        <v>44593</v>
      </c>
      <c r="B223" s="57">
        <v>785330.15999999992</v>
      </c>
      <c r="C223" s="57">
        <v>778897.96921629098</v>
      </c>
      <c r="D223" s="57">
        <v>0</v>
      </c>
      <c r="E223" s="57">
        <v>0</v>
      </c>
      <c r="F223" s="57">
        <v>0</v>
      </c>
      <c r="G223" s="57">
        <v>0</v>
      </c>
      <c r="H223" s="58">
        <v>-8.1904288302246941E-3</v>
      </c>
      <c r="I223" s="58">
        <v>0</v>
      </c>
      <c r="J223" s="58">
        <v>-8.1904288302246941E-3</v>
      </c>
    </row>
    <row r="224" spans="1:10" ht="11.25" customHeight="1" x14ac:dyDescent="0.2">
      <c r="A224" s="67">
        <v>44621</v>
      </c>
      <c r="B224" s="57">
        <v>749454.5199999999</v>
      </c>
      <c r="C224" s="57">
        <v>743316.16609244968</v>
      </c>
      <c r="D224" s="57">
        <v>0</v>
      </c>
      <c r="E224" s="57">
        <v>0</v>
      </c>
      <c r="F224" s="57">
        <v>0</v>
      </c>
      <c r="G224" s="57">
        <v>0</v>
      </c>
      <c r="H224" s="58">
        <v>-8.1904288302246941E-3</v>
      </c>
      <c r="I224" s="58">
        <v>0</v>
      </c>
      <c r="J224" s="58">
        <v>-8.1904288302246941E-3</v>
      </c>
    </row>
    <row r="225" spans="1:10" ht="11.25" customHeight="1" x14ac:dyDescent="0.2">
      <c r="A225" s="67">
        <v>44652</v>
      </c>
      <c r="B225" s="57">
        <v>790375.84</v>
      </c>
      <c r="C225" s="57">
        <v>783902.32293335092</v>
      </c>
      <c r="D225" s="57">
        <v>0</v>
      </c>
      <c r="E225" s="57">
        <v>0</v>
      </c>
      <c r="F225" s="57">
        <v>0</v>
      </c>
      <c r="G225" s="57">
        <v>0</v>
      </c>
      <c r="H225" s="58">
        <v>-8.1904288302246941E-3</v>
      </c>
      <c r="I225" s="58">
        <v>0</v>
      </c>
      <c r="J225" s="58">
        <v>-8.1904288302246941E-3</v>
      </c>
    </row>
    <row r="226" spans="1:10" ht="11.25" customHeight="1" x14ac:dyDescent="0.2">
      <c r="A226" s="67">
        <v>44682</v>
      </c>
      <c r="B226" s="57">
        <v>817400.15999999992</v>
      </c>
      <c r="C226" s="57">
        <v>810705.3021637057</v>
      </c>
      <c r="D226" s="57">
        <v>0</v>
      </c>
      <c r="E226" s="57">
        <v>0</v>
      </c>
      <c r="F226" s="57">
        <v>0</v>
      </c>
      <c r="G226" s="57">
        <v>0</v>
      </c>
      <c r="H226" s="58">
        <v>-8.1904288302245831E-3</v>
      </c>
      <c r="I226" s="58">
        <v>0</v>
      </c>
      <c r="J226" s="58">
        <v>-8.1904288302245831E-3</v>
      </c>
    </row>
    <row r="227" spans="1:10" ht="11.25" customHeight="1" x14ac:dyDescent="0.2">
      <c r="A227" s="67">
        <v>44713</v>
      </c>
      <c r="B227" s="57">
        <v>803267.98</v>
      </c>
      <c r="C227" s="57">
        <v>796688.87077821151</v>
      </c>
      <c r="D227" s="57">
        <v>0</v>
      </c>
      <c r="E227" s="57">
        <v>0</v>
      </c>
      <c r="F227" s="57">
        <v>0</v>
      </c>
      <c r="G227" s="57">
        <v>0</v>
      </c>
      <c r="H227" s="58">
        <v>-8.1904288302248052E-3</v>
      </c>
      <c r="I227" s="58">
        <v>0</v>
      </c>
      <c r="J227" s="58">
        <v>-8.1904288302248052E-3</v>
      </c>
    </row>
    <row r="228" spans="1:10" ht="11.25" customHeight="1" x14ac:dyDescent="0.2">
      <c r="A228" s="67">
        <v>44743</v>
      </c>
      <c r="B228" s="57">
        <v>819538.15999999992</v>
      </c>
      <c r="C228" s="57">
        <v>812825.79102686653</v>
      </c>
      <c r="D228" s="57">
        <v>0</v>
      </c>
      <c r="E228" s="57">
        <v>0</v>
      </c>
      <c r="F228" s="57">
        <v>0</v>
      </c>
      <c r="G228" s="57">
        <v>0</v>
      </c>
      <c r="H228" s="58">
        <v>-8.1904288302248052E-3</v>
      </c>
      <c r="I228" s="58">
        <v>0</v>
      </c>
      <c r="J228" s="58">
        <v>-8.1904288302248052E-3</v>
      </c>
    </row>
    <row r="229" spans="1:10" ht="11.25" customHeight="1" x14ac:dyDescent="0.2">
      <c r="A229" s="67">
        <v>44774</v>
      </c>
      <c r="B229" s="57">
        <v>778125.1</v>
      </c>
      <c r="C229" s="57">
        <v>771751.92174743838</v>
      </c>
      <c r="D229" s="57">
        <v>0</v>
      </c>
      <c r="E229" s="57">
        <v>0</v>
      </c>
      <c r="F229" s="57">
        <v>0</v>
      </c>
      <c r="G229" s="57">
        <v>0</v>
      </c>
      <c r="H229" s="58">
        <v>-8.1904288302248052E-3</v>
      </c>
      <c r="I229" s="58">
        <v>0</v>
      </c>
      <c r="J229" s="58">
        <v>-8.1904288302248052E-3</v>
      </c>
    </row>
    <row r="230" spans="1:10" ht="11.25" customHeight="1" x14ac:dyDescent="0.2">
      <c r="A230" s="67">
        <v>44805</v>
      </c>
      <c r="B230" s="57">
        <v>826165.96</v>
      </c>
      <c r="C230" s="57">
        <v>819399.30650266563</v>
      </c>
      <c r="D230" s="57">
        <v>0</v>
      </c>
      <c r="E230" s="57">
        <v>0</v>
      </c>
      <c r="F230" s="57">
        <v>0</v>
      </c>
      <c r="G230" s="57">
        <v>0</v>
      </c>
      <c r="H230" s="58">
        <v>-8.1904288302248052E-3</v>
      </c>
      <c r="I230" s="58">
        <v>0</v>
      </c>
      <c r="J230" s="58">
        <v>-8.1904288302248052E-3</v>
      </c>
    </row>
    <row r="231" spans="1:10" ht="11.25" customHeight="1" x14ac:dyDescent="0.2">
      <c r="A231" s="67">
        <v>44835</v>
      </c>
      <c r="B231" s="57">
        <v>837091.1399999999</v>
      </c>
      <c r="C231" s="57">
        <v>830235.00459341821</v>
      </c>
      <c r="D231" s="57">
        <v>0</v>
      </c>
      <c r="E231" s="57">
        <v>0</v>
      </c>
      <c r="F231" s="57">
        <v>0</v>
      </c>
      <c r="G231" s="57">
        <v>0</v>
      </c>
      <c r="H231" s="58">
        <v>-8.1904288302246941E-3</v>
      </c>
      <c r="I231" s="58">
        <v>0</v>
      </c>
      <c r="J231" s="58">
        <v>-8.1904288302246941E-3</v>
      </c>
    </row>
    <row r="232" spans="1:10" ht="11.25" customHeight="1" x14ac:dyDescent="0.2">
      <c r="A232" s="67">
        <v>44866</v>
      </c>
      <c r="B232" s="57">
        <v>837091.1399999999</v>
      </c>
      <c r="C232" s="57">
        <v>830235.00459341821</v>
      </c>
      <c r="D232" s="57">
        <v>0</v>
      </c>
      <c r="E232" s="57">
        <v>0</v>
      </c>
      <c r="F232" s="57">
        <v>0</v>
      </c>
      <c r="G232" s="57">
        <v>0</v>
      </c>
      <c r="H232" s="58">
        <v>-8.1904288302246941E-3</v>
      </c>
      <c r="I232" s="58">
        <v>0</v>
      </c>
      <c r="J232" s="58">
        <v>-8.1904288302246941E-3</v>
      </c>
    </row>
    <row r="233" spans="1:10" ht="11.25" customHeight="1" x14ac:dyDescent="0.2">
      <c r="A233" s="66" t="s">
        <v>34</v>
      </c>
      <c r="B233" s="57">
        <v>0</v>
      </c>
      <c r="C233" s="57">
        <v>0</v>
      </c>
      <c r="D233" s="57">
        <v>9762139.9626400005</v>
      </c>
      <c r="E233" s="57">
        <v>10057567.615071392</v>
      </c>
      <c r="F233" s="57">
        <v>1069704.9913700002</v>
      </c>
      <c r="G233" s="57">
        <v>2162349.1766163413</v>
      </c>
      <c r="H233" s="58">
        <v>3.0262591354149881E-2</v>
      </c>
      <c r="I233" s="58">
        <v>1.0214444113670655</v>
      </c>
      <c r="J233" s="58">
        <v>0.12814731410680524</v>
      </c>
    </row>
    <row r="234" spans="1:10" ht="11.25" customHeight="1" x14ac:dyDescent="0.2">
      <c r="A234" s="67">
        <v>44531</v>
      </c>
      <c r="B234" s="57">
        <v>0</v>
      </c>
      <c r="C234" s="57">
        <v>0</v>
      </c>
      <c r="D234" s="57">
        <v>833625.15184000006</v>
      </c>
      <c r="E234" s="57">
        <v>858852.80915267533</v>
      </c>
      <c r="F234" s="57">
        <v>91346.056219999999</v>
      </c>
      <c r="G234" s="57">
        <v>184650.9748463408</v>
      </c>
      <c r="H234" s="58">
        <v>3.0262591354150103E-2</v>
      </c>
      <c r="I234" s="58">
        <v>1.021444411367066</v>
      </c>
      <c r="J234" s="58">
        <v>0.12814731410680547</v>
      </c>
    </row>
    <row r="235" spans="1:10" ht="11.25" customHeight="1" x14ac:dyDescent="0.2">
      <c r="A235" s="67">
        <v>44562</v>
      </c>
      <c r="B235" s="57">
        <v>0</v>
      </c>
      <c r="C235" s="57">
        <v>0</v>
      </c>
      <c r="D235" s="57">
        <v>662812.84783999994</v>
      </c>
      <c r="E235" s="57">
        <v>682871.2821984624</v>
      </c>
      <c r="F235" s="57">
        <v>72628.974220000004</v>
      </c>
      <c r="G235" s="57">
        <v>146815.43404034167</v>
      </c>
      <c r="H235" s="58">
        <v>3.0262591354150103E-2</v>
      </c>
      <c r="I235" s="58">
        <v>1.0214444113670655</v>
      </c>
      <c r="J235" s="58">
        <v>0.12814731410680547</v>
      </c>
    </row>
    <row r="236" spans="1:10" ht="11.25" customHeight="1" x14ac:dyDescent="0.2">
      <c r="A236" s="67">
        <v>44593</v>
      </c>
      <c r="B236" s="57">
        <v>0</v>
      </c>
      <c r="C236" s="57">
        <v>0</v>
      </c>
      <c r="D236" s="57">
        <v>685598.97640000004</v>
      </c>
      <c r="E236" s="57">
        <v>706346.97805561672</v>
      </c>
      <c r="F236" s="57">
        <v>75125.807449999993</v>
      </c>
      <c r="G236" s="57">
        <v>151862.64361924076</v>
      </c>
      <c r="H236" s="58">
        <v>3.0262591354149881E-2</v>
      </c>
      <c r="I236" s="58">
        <v>1.0214444113670655</v>
      </c>
      <c r="J236" s="58">
        <v>0.12814731410680524</v>
      </c>
    </row>
    <row r="237" spans="1:10" ht="11.25" customHeight="1" x14ac:dyDescent="0.2">
      <c r="A237" s="67">
        <v>44621</v>
      </c>
      <c r="B237" s="57">
        <v>0</v>
      </c>
      <c r="C237" s="57">
        <v>0</v>
      </c>
      <c r="D237" s="57">
        <v>744369.17567999999</v>
      </c>
      <c r="E237" s="57">
        <v>766895.71586022945</v>
      </c>
      <c r="F237" s="57">
        <v>81565.663440000004</v>
      </c>
      <c r="G237" s="57">
        <v>164880.45452023498</v>
      </c>
      <c r="H237" s="58">
        <v>3.0262591354150103E-2</v>
      </c>
      <c r="I237" s="58">
        <v>1.0214444113670655</v>
      </c>
      <c r="J237" s="58">
        <v>0.12814731410680524</v>
      </c>
    </row>
    <row r="238" spans="1:10" ht="11.25" customHeight="1" x14ac:dyDescent="0.2">
      <c r="A238" s="67">
        <v>44652</v>
      </c>
      <c r="B238" s="57">
        <v>0</v>
      </c>
      <c r="C238" s="57">
        <v>0</v>
      </c>
      <c r="D238" s="57">
        <v>705339.87367999996</v>
      </c>
      <c r="E238" s="57">
        <v>726685.28604296572</v>
      </c>
      <c r="F238" s="57">
        <v>77288.953690000009</v>
      </c>
      <c r="G238" s="57">
        <v>156235.32349705845</v>
      </c>
      <c r="H238" s="58">
        <v>3.0262591354150103E-2</v>
      </c>
      <c r="I238" s="58">
        <v>1.0214444113670655</v>
      </c>
      <c r="J238" s="58">
        <v>0.12814731410680547</v>
      </c>
    </row>
    <row r="239" spans="1:10" ht="11.25" customHeight="1" x14ac:dyDescent="0.2">
      <c r="A239" s="67">
        <v>44682</v>
      </c>
      <c r="B239" s="57">
        <v>0</v>
      </c>
      <c r="C239" s="57">
        <v>0</v>
      </c>
      <c r="D239" s="57">
        <v>796424.73456000001</v>
      </c>
      <c r="E239" s="57">
        <v>820526.61084632669</v>
      </c>
      <c r="F239" s="57">
        <v>87269.749980000008</v>
      </c>
      <c r="G239" s="57">
        <v>176410.94837847209</v>
      </c>
      <c r="H239" s="58">
        <v>3.0262591354150103E-2</v>
      </c>
      <c r="I239" s="58">
        <v>1.0214444113670655</v>
      </c>
      <c r="J239" s="58">
        <v>0.12814731410680547</v>
      </c>
    </row>
    <row r="240" spans="1:10" ht="11.25" customHeight="1" x14ac:dyDescent="0.2">
      <c r="A240" s="67">
        <v>44713</v>
      </c>
      <c r="B240" s="57">
        <v>0</v>
      </c>
      <c r="C240" s="57">
        <v>0</v>
      </c>
      <c r="D240" s="57">
        <v>800260.00912000006</v>
      </c>
      <c r="E240" s="57">
        <v>824477.95075306704</v>
      </c>
      <c r="F240" s="57">
        <v>87690.007460000008</v>
      </c>
      <c r="G240" s="57">
        <v>177260.4755127533</v>
      </c>
      <c r="H240" s="58">
        <v>3.0262591354150103E-2</v>
      </c>
      <c r="I240" s="58">
        <v>1.0214444113670655</v>
      </c>
      <c r="J240" s="58">
        <v>0.12814731410680547</v>
      </c>
    </row>
    <row r="241" spans="1:10" ht="11.25" customHeight="1" x14ac:dyDescent="0.2">
      <c r="A241" s="67">
        <v>44743</v>
      </c>
      <c r="B241" s="57">
        <v>0</v>
      </c>
      <c r="C241" s="57">
        <v>0</v>
      </c>
      <c r="D241" s="57">
        <v>831316.13032</v>
      </c>
      <c r="E241" s="57">
        <v>856473.91065798746</v>
      </c>
      <c r="F241" s="57">
        <v>91093.040810000006</v>
      </c>
      <c r="G241" s="57">
        <v>184139.51825980653</v>
      </c>
      <c r="H241" s="58">
        <v>3.0262591354150103E-2</v>
      </c>
      <c r="I241" s="58">
        <v>1.0214444113670655</v>
      </c>
      <c r="J241" s="58">
        <v>0.12814731410680524</v>
      </c>
    </row>
    <row r="242" spans="1:10" ht="11.25" customHeight="1" x14ac:dyDescent="0.2">
      <c r="A242" s="67">
        <v>44774</v>
      </c>
      <c r="B242" s="57">
        <v>0</v>
      </c>
      <c r="C242" s="57">
        <v>0</v>
      </c>
      <c r="D242" s="57">
        <v>943903.84504000004</v>
      </c>
      <c r="E242" s="57">
        <v>972468.82138005644</v>
      </c>
      <c r="F242" s="57">
        <v>103430.05307000001</v>
      </c>
      <c r="G242" s="57">
        <v>209078.10274575054</v>
      </c>
      <c r="H242" s="58">
        <v>3.0262591354149881E-2</v>
      </c>
      <c r="I242" s="58">
        <v>1.0214444113670655</v>
      </c>
      <c r="J242" s="58">
        <v>0.12814731410680524</v>
      </c>
    </row>
    <row r="243" spans="1:10" ht="11.25" customHeight="1" x14ac:dyDescent="0.2">
      <c r="A243" s="67">
        <v>44805</v>
      </c>
      <c r="B243" s="57">
        <v>0</v>
      </c>
      <c r="C243" s="57">
        <v>0</v>
      </c>
      <c r="D243" s="57">
        <v>950328.94839999999</v>
      </c>
      <c r="E243" s="57">
        <v>979088.36501744832</v>
      </c>
      <c r="F243" s="57">
        <v>104134.09594999999</v>
      </c>
      <c r="G243" s="57">
        <v>210501.28629088926</v>
      </c>
      <c r="H243" s="58">
        <v>3.0262591354150103E-2</v>
      </c>
      <c r="I243" s="58">
        <v>1.0214444113670655</v>
      </c>
      <c r="J243" s="58">
        <v>0.12814731410680524</v>
      </c>
    </row>
    <row r="244" spans="1:10" ht="11.25" customHeight="1" x14ac:dyDescent="0.2">
      <c r="A244" s="67">
        <v>44835</v>
      </c>
      <c r="B244" s="57">
        <v>0</v>
      </c>
      <c r="C244" s="57">
        <v>0</v>
      </c>
      <c r="D244" s="57">
        <v>904080.13487999991</v>
      </c>
      <c r="E244" s="57">
        <v>931439.94255327829</v>
      </c>
      <c r="F244" s="57">
        <v>99066.294540000003</v>
      </c>
      <c r="G244" s="57">
        <v>200257.00745272663</v>
      </c>
      <c r="H244" s="58">
        <v>3.0262591354150103E-2</v>
      </c>
      <c r="I244" s="58">
        <v>1.0214444113670655</v>
      </c>
      <c r="J244" s="58">
        <v>0.12814731410680524</v>
      </c>
    </row>
    <row r="245" spans="1:10" ht="11.25" customHeight="1" x14ac:dyDescent="0.2">
      <c r="A245" s="67">
        <v>44866</v>
      </c>
      <c r="B245" s="57">
        <v>0</v>
      </c>
      <c r="C245" s="57">
        <v>0</v>
      </c>
      <c r="D245" s="57">
        <v>904080.13487999991</v>
      </c>
      <c r="E245" s="57">
        <v>931439.94255327829</v>
      </c>
      <c r="F245" s="57">
        <v>99066.294540000003</v>
      </c>
      <c r="G245" s="57">
        <v>200257.00745272663</v>
      </c>
      <c r="H245" s="58">
        <v>3.0262591354150103E-2</v>
      </c>
      <c r="I245" s="58">
        <v>1.0214444113670655</v>
      </c>
      <c r="J245" s="58">
        <v>0.12814731410680524</v>
      </c>
    </row>
    <row r="246" spans="1:10" ht="11.25" customHeight="1" x14ac:dyDescent="0.2">
      <c r="A246" s="62" t="s">
        <v>53</v>
      </c>
      <c r="B246" s="57">
        <v>39766.80000000001</v>
      </c>
      <c r="C246" s="57">
        <v>39441.092854794224</v>
      </c>
      <c r="D246" s="57">
        <v>24879.512820000004</v>
      </c>
      <c r="E246" s="57">
        <v>35985.669169416477</v>
      </c>
      <c r="F246" s="57">
        <v>15271.346310000001</v>
      </c>
      <c r="G246" s="57">
        <v>31864.903891590282</v>
      </c>
      <c r="H246" s="58">
        <v>0.16676046527553057</v>
      </c>
      <c r="I246" s="58">
        <v>1.0865811857546879</v>
      </c>
      <c r="J246" s="58">
        <v>0.3425276351159432</v>
      </c>
    </row>
    <row r="247" spans="1:10" ht="11.25" customHeight="1" x14ac:dyDescent="0.2">
      <c r="A247" s="63" t="s">
        <v>25</v>
      </c>
      <c r="B247" s="57">
        <v>39766.80000000001</v>
      </c>
      <c r="C247" s="57">
        <v>39441.092854794224</v>
      </c>
      <c r="D247" s="57">
        <v>24879.512820000004</v>
      </c>
      <c r="E247" s="57">
        <v>35985.669169416477</v>
      </c>
      <c r="F247" s="57">
        <v>15271.346310000001</v>
      </c>
      <c r="G247" s="57">
        <v>31864.903891590282</v>
      </c>
      <c r="H247" s="58">
        <v>0.16676046527553057</v>
      </c>
      <c r="I247" s="58">
        <v>1.0865811857546879</v>
      </c>
      <c r="J247" s="58">
        <v>0.3425276351159432</v>
      </c>
    </row>
    <row r="248" spans="1:10" ht="11.25" customHeight="1" x14ac:dyDescent="0.2">
      <c r="A248" s="64" t="s">
        <v>25</v>
      </c>
      <c r="B248" s="57">
        <v>39766.80000000001</v>
      </c>
      <c r="C248" s="57">
        <v>39441.092854794224</v>
      </c>
      <c r="D248" s="57">
        <v>24879.512820000004</v>
      </c>
      <c r="E248" s="57">
        <v>35985.669169416477</v>
      </c>
      <c r="F248" s="57">
        <v>15271.346310000001</v>
      </c>
      <c r="G248" s="57">
        <v>31864.903891590282</v>
      </c>
      <c r="H248" s="58">
        <v>0.16676046527553057</v>
      </c>
      <c r="I248" s="58">
        <v>1.0865811857546879</v>
      </c>
      <c r="J248" s="58">
        <v>0.3425276351159432</v>
      </c>
    </row>
    <row r="249" spans="1:10" ht="11.25" customHeight="1" x14ac:dyDescent="0.2">
      <c r="A249" s="65" t="s">
        <v>25</v>
      </c>
      <c r="B249" s="57">
        <v>39766.80000000001</v>
      </c>
      <c r="C249" s="57">
        <v>39441.092854794224</v>
      </c>
      <c r="D249" s="57">
        <v>24879.512820000004</v>
      </c>
      <c r="E249" s="57">
        <v>35985.669169416477</v>
      </c>
      <c r="F249" s="57">
        <v>15271.346310000001</v>
      </c>
      <c r="G249" s="57">
        <v>31864.903891590282</v>
      </c>
      <c r="H249" s="58">
        <v>0.16676046527553057</v>
      </c>
      <c r="I249" s="58">
        <v>1.0865811857546879</v>
      </c>
      <c r="J249" s="58">
        <v>0.3425276351159432</v>
      </c>
    </row>
    <row r="250" spans="1:10" ht="11.25" customHeight="1" x14ac:dyDescent="0.2">
      <c r="A250" s="66" t="s">
        <v>35</v>
      </c>
      <c r="B250" s="57">
        <v>0</v>
      </c>
      <c r="C250" s="57">
        <v>0</v>
      </c>
      <c r="D250" s="57">
        <v>14015.326500000001</v>
      </c>
      <c r="E250" s="57">
        <v>24792.704418418973</v>
      </c>
      <c r="F250" s="57">
        <v>14080.882500000002</v>
      </c>
      <c r="G250" s="57">
        <v>29458.447475931036</v>
      </c>
      <c r="H250" s="58">
        <v>0.76897087759025595</v>
      </c>
      <c r="I250" s="58">
        <v>1.0920881539868708</v>
      </c>
      <c r="J250" s="58">
        <v>0.93090647547325722</v>
      </c>
    </row>
    <row r="251" spans="1:10" ht="11.25" customHeight="1" x14ac:dyDescent="0.2">
      <c r="A251" s="67">
        <v>44531</v>
      </c>
      <c r="B251" s="57">
        <v>0</v>
      </c>
      <c r="C251" s="57">
        <v>0</v>
      </c>
      <c r="D251" s="57">
        <v>1119.17372</v>
      </c>
      <c r="E251" s="57">
        <v>1979.7857176443517</v>
      </c>
      <c r="F251" s="57">
        <v>1124.4086</v>
      </c>
      <c r="G251" s="57">
        <v>2352.3619123009621</v>
      </c>
      <c r="H251" s="58">
        <v>0.76897087759025617</v>
      </c>
      <c r="I251" s="58">
        <v>1.0920881539868712</v>
      </c>
      <c r="J251" s="58">
        <v>0.93090647547325722</v>
      </c>
    </row>
    <row r="252" spans="1:10" ht="11.25" customHeight="1" x14ac:dyDescent="0.2">
      <c r="A252" s="67">
        <v>44562</v>
      </c>
      <c r="B252" s="57">
        <v>0</v>
      </c>
      <c r="C252" s="57">
        <v>0</v>
      </c>
      <c r="D252" s="57">
        <v>953.23717999999997</v>
      </c>
      <c r="E252" s="57">
        <v>1686.2488108562609</v>
      </c>
      <c r="F252" s="57">
        <v>957.69589999999994</v>
      </c>
      <c r="G252" s="57">
        <v>2003.584247511795</v>
      </c>
      <c r="H252" s="58">
        <v>0.76897087759025617</v>
      </c>
      <c r="I252" s="58">
        <v>1.0920881539868712</v>
      </c>
      <c r="J252" s="58">
        <v>0.93090647547325744</v>
      </c>
    </row>
    <row r="253" spans="1:10" ht="11.25" customHeight="1" x14ac:dyDescent="0.2">
      <c r="A253" s="67">
        <v>44593</v>
      </c>
      <c r="B253" s="57">
        <v>0</v>
      </c>
      <c r="C253" s="57">
        <v>0</v>
      </c>
      <c r="D253" s="57">
        <v>1166.2763</v>
      </c>
      <c r="E253" s="57">
        <v>2063.1088099237168</v>
      </c>
      <c r="F253" s="57">
        <v>1171.7314999999999</v>
      </c>
      <c r="G253" s="57">
        <v>2451.3655908032674</v>
      </c>
      <c r="H253" s="58">
        <v>0.76897087759025617</v>
      </c>
      <c r="I253" s="58">
        <v>1.0920881539868712</v>
      </c>
      <c r="J253" s="58">
        <v>0.93090647547325722</v>
      </c>
    </row>
    <row r="254" spans="1:10" ht="11.25" customHeight="1" x14ac:dyDescent="0.2">
      <c r="A254" s="67">
        <v>44621</v>
      </c>
      <c r="B254" s="57">
        <v>0</v>
      </c>
      <c r="C254" s="57">
        <v>0</v>
      </c>
      <c r="D254" s="57">
        <v>1316.1015</v>
      </c>
      <c r="E254" s="57">
        <v>2328.1452254528522</v>
      </c>
      <c r="F254" s="57">
        <v>1322.2574999999999</v>
      </c>
      <c r="G254" s="57">
        <v>2766.2792522702948</v>
      </c>
      <c r="H254" s="58">
        <v>0.76897087759025595</v>
      </c>
      <c r="I254" s="58">
        <v>1.0920881539868708</v>
      </c>
      <c r="J254" s="58">
        <v>0.930906475473257</v>
      </c>
    </row>
    <row r="255" spans="1:10" ht="11.25" customHeight="1" x14ac:dyDescent="0.2">
      <c r="A255" s="67">
        <v>44652</v>
      </c>
      <c r="B255" s="57">
        <v>0</v>
      </c>
      <c r="C255" s="57">
        <v>0</v>
      </c>
      <c r="D255" s="57">
        <v>1180.0273800000002</v>
      </c>
      <c r="E255" s="57">
        <v>2087.434069979131</v>
      </c>
      <c r="F255" s="57">
        <v>1185.5469000000001</v>
      </c>
      <c r="G255" s="57">
        <v>2480.2686254858577</v>
      </c>
      <c r="H255" s="58">
        <v>0.76897087759025617</v>
      </c>
      <c r="I255" s="58">
        <v>1.0920881539868712</v>
      </c>
      <c r="J255" s="58">
        <v>0.930906475473257</v>
      </c>
    </row>
    <row r="256" spans="1:10" ht="11.25" customHeight="1" x14ac:dyDescent="0.2">
      <c r="A256" s="67">
        <v>44682</v>
      </c>
      <c r="B256" s="57">
        <v>0</v>
      </c>
      <c r="C256" s="57">
        <v>0</v>
      </c>
      <c r="D256" s="57">
        <v>1513.5423800000001</v>
      </c>
      <c r="E256" s="57">
        <v>2677.412392218645</v>
      </c>
      <c r="F256" s="57">
        <v>1520.6218999999999</v>
      </c>
      <c r="G256" s="57">
        <v>3181.2750636830083</v>
      </c>
      <c r="H256" s="58">
        <v>0.76897087759025595</v>
      </c>
      <c r="I256" s="58">
        <v>1.0920881539868712</v>
      </c>
      <c r="J256" s="58">
        <v>0.93090647547325722</v>
      </c>
    </row>
    <row r="257" spans="1:10" ht="11.25" customHeight="1" x14ac:dyDescent="0.2">
      <c r="A257" s="67">
        <v>44713</v>
      </c>
      <c r="B257" s="57">
        <v>0</v>
      </c>
      <c r="C257" s="57">
        <v>0</v>
      </c>
      <c r="D257" s="57">
        <v>1637.0968600000001</v>
      </c>
      <c r="E257" s="57">
        <v>2895.9766691344525</v>
      </c>
      <c r="F257" s="57">
        <v>1644.7542999999998</v>
      </c>
      <c r="G257" s="57">
        <v>3440.970987248968</v>
      </c>
      <c r="H257" s="58">
        <v>0.76897087759025595</v>
      </c>
      <c r="I257" s="58">
        <v>1.0920881539868712</v>
      </c>
      <c r="J257" s="58">
        <v>0.930906475473257</v>
      </c>
    </row>
    <row r="258" spans="1:10" ht="11.25" customHeight="1" x14ac:dyDescent="0.2">
      <c r="A258" s="67">
        <v>44743</v>
      </c>
      <c r="B258" s="57">
        <v>0</v>
      </c>
      <c r="C258" s="57">
        <v>0</v>
      </c>
      <c r="D258" s="57">
        <v>752.20460000000003</v>
      </c>
      <c r="E258" s="57">
        <v>1330.6280313894276</v>
      </c>
      <c r="F258" s="57">
        <v>755.72299999999996</v>
      </c>
      <c r="G258" s="57">
        <v>1581.0391359954201</v>
      </c>
      <c r="H258" s="58">
        <v>0.76897087759025617</v>
      </c>
      <c r="I258" s="58">
        <v>1.0920881539868712</v>
      </c>
      <c r="J258" s="58">
        <v>0.93090647547325722</v>
      </c>
    </row>
    <row r="259" spans="1:10" ht="11.25" customHeight="1" x14ac:dyDescent="0.2">
      <c r="A259" s="67">
        <v>44774</v>
      </c>
      <c r="B259" s="57">
        <v>0</v>
      </c>
      <c r="C259" s="57">
        <v>0</v>
      </c>
      <c r="D259" s="57">
        <v>858.7241600000001</v>
      </c>
      <c r="E259" s="57">
        <v>1519.0580309231557</v>
      </c>
      <c r="F259" s="57">
        <v>862.74080000000004</v>
      </c>
      <c r="G259" s="57">
        <v>1804.9298076411562</v>
      </c>
      <c r="H259" s="58">
        <v>0.76897087759025617</v>
      </c>
      <c r="I259" s="58">
        <v>1.0920881539868708</v>
      </c>
      <c r="J259" s="58">
        <v>0.930906475473257</v>
      </c>
    </row>
    <row r="260" spans="1:10" ht="11.25" customHeight="1" x14ac:dyDescent="0.2">
      <c r="A260" s="67">
        <v>44805</v>
      </c>
      <c r="B260" s="57">
        <v>0</v>
      </c>
      <c r="C260" s="57">
        <v>0</v>
      </c>
      <c r="D260" s="57">
        <v>788.42946000000006</v>
      </c>
      <c r="E260" s="57">
        <v>1394.7087537742118</v>
      </c>
      <c r="F260" s="57">
        <v>792.11729999999989</v>
      </c>
      <c r="G260" s="57">
        <v>1657.1792198980645</v>
      </c>
      <c r="H260" s="58">
        <v>0.76897087759025595</v>
      </c>
      <c r="I260" s="58">
        <v>1.0920881539868712</v>
      </c>
      <c r="J260" s="58">
        <v>0.93090647547325744</v>
      </c>
    </row>
    <row r="261" spans="1:10" ht="11.25" customHeight="1" x14ac:dyDescent="0.2">
      <c r="A261" s="67">
        <v>44835</v>
      </c>
      <c r="B261" s="57">
        <v>0</v>
      </c>
      <c r="C261" s="57">
        <v>0</v>
      </c>
      <c r="D261" s="57">
        <v>1365.25648</v>
      </c>
      <c r="E261" s="57">
        <v>2415.098953561384</v>
      </c>
      <c r="F261" s="57">
        <v>1371.6424</v>
      </c>
      <c r="G261" s="57">
        <v>2869.5968165461213</v>
      </c>
      <c r="H261" s="58">
        <v>0.76897087759025617</v>
      </c>
      <c r="I261" s="58">
        <v>1.0920881539868712</v>
      </c>
      <c r="J261" s="58">
        <v>0.93090647547325744</v>
      </c>
    </row>
    <row r="262" spans="1:10" ht="11.25" customHeight="1" x14ac:dyDescent="0.2">
      <c r="A262" s="67">
        <v>44866</v>
      </c>
      <c r="B262" s="57">
        <v>0</v>
      </c>
      <c r="C262" s="57">
        <v>0</v>
      </c>
      <c r="D262" s="57">
        <v>1365.25648</v>
      </c>
      <c r="E262" s="57">
        <v>2415.098953561384</v>
      </c>
      <c r="F262" s="57">
        <v>1371.6424</v>
      </c>
      <c r="G262" s="57">
        <v>2869.5968165461213</v>
      </c>
      <c r="H262" s="58">
        <v>0.76897087759025617</v>
      </c>
      <c r="I262" s="58">
        <v>1.0920881539868712</v>
      </c>
      <c r="J262" s="58">
        <v>0.93090647547325744</v>
      </c>
    </row>
    <row r="263" spans="1:10" ht="11.25" customHeight="1" x14ac:dyDescent="0.2">
      <c r="A263" s="66" t="s">
        <v>25</v>
      </c>
      <c r="B263" s="57">
        <v>39766.80000000001</v>
      </c>
      <c r="C263" s="57">
        <v>39441.092854794224</v>
      </c>
      <c r="D263" s="57">
        <v>0</v>
      </c>
      <c r="E263" s="57">
        <v>0</v>
      </c>
      <c r="F263" s="57">
        <v>0</v>
      </c>
      <c r="G263" s="57">
        <v>0</v>
      </c>
      <c r="H263" s="58">
        <v>-8.1904288302249162E-3</v>
      </c>
      <c r="I263" s="58">
        <v>0</v>
      </c>
      <c r="J263" s="58">
        <v>-8.1904288302249162E-3</v>
      </c>
    </row>
    <row r="264" spans="1:10" ht="11.25" customHeight="1" x14ac:dyDescent="0.2">
      <c r="A264" s="67">
        <v>44531</v>
      </c>
      <c r="B264" s="57">
        <v>3313.8999999999996</v>
      </c>
      <c r="C264" s="57">
        <v>3286.7577378995179</v>
      </c>
      <c r="D264" s="57">
        <v>0</v>
      </c>
      <c r="E264" s="57">
        <v>0</v>
      </c>
      <c r="F264" s="57">
        <v>0</v>
      </c>
      <c r="G264" s="57">
        <v>0</v>
      </c>
      <c r="H264" s="58">
        <v>-8.1904288302246941E-3</v>
      </c>
      <c r="I264" s="58">
        <v>0</v>
      </c>
      <c r="J264" s="58">
        <v>-8.1904288302246941E-3</v>
      </c>
    </row>
    <row r="265" spans="1:10" ht="11.25" customHeight="1" x14ac:dyDescent="0.2">
      <c r="A265" s="67">
        <v>44562</v>
      </c>
      <c r="B265" s="57">
        <v>3313.8999999999996</v>
      </c>
      <c r="C265" s="57">
        <v>3286.7577378995179</v>
      </c>
      <c r="D265" s="57">
        <v>0</v>
      </c>
      <c r="E265" s="57">
        <v>0</v>
      </c>
      <c r="F265" s="57">
        <v>0</v>
      </c>
      <c r="G265" s="57">
        <v>0</v>
      </c>
      <c r="H265" s="58">
        <v>-8.1904288302246941E-3</v>
      </c>
      <c r="I265" s="58">
        <v>0</v>
      </c>
      <c r="J265" s="58">
        <v>-8.1904288302246941E-3</v>
      </c>
    </row>
    <row r="266" spans="1:10" ht="11.25" customHeight="1" x14ac:dyDescent="0.2">
      <c r="A266" s="67">
        <v>44593</v>
      </c>
      <c r="B266" s="57">
        <v>3313.8999999999996</v>
      </c>
      <c r="C266" s="57">
        <v>3286.7577378995179</v>
      </c>
      <c r="D266" s="57">
        <v>0</v>
      </c>
      <c r="E266" s="57">
        <v>0</v>
      </c>
      <c r="F266" s="57">
        <v>0</v>
      </c>
      <c r="G266" s="57">
        <v>0</v>
      </c>
      <c r="H266" s="58">
        <v>-8.1904288302246941E-3</v>
      </c>
      <c r="I266" s="58">
        <v>0</v>
      </c>
      <c r="J266" s="58">
        <v>-8.1904288302246941E-3</v>
      </c>
    </row>
    <row r="267" spans="1:10" ht="11.25" customHeight="1" x14ac:dyDescent="0.2">
      <c r="A267" s="67">
        <v>44621</v>
      </c>
      <c r="B267" s="57">
        <v>3313.8999999999996</v>
      </c>
      <c r="C267" s="57">
        <v>3286.7577378995179</v>
      </c>
      <c r="D267" s="57">
        <v>0</v>
      </c>
      <c r="E267" s="57">
        <v>0</v>
      </c>
      <c r="F267" s="57">
        <v>0</v>
      </c>
      <c r="G267" s="57">
        <v>0</v>
      </c>
      <c r="H267" s="58">
        <v>-8.1904288302246941E-3</v>
      </c>
      <c r="I267" s="58">
        <v>0</v>
      </c>
      <c r="J267" s="58">
        <v>-8.1904288302246941E-3</v>
      </c>
    </row>
    <row r="268" spans="1:10" ht="11.25" customHeight="1" x14ac:dyDescent="0.2">
      <c r="A268" s="67">
        <v>44652</v>
      </c>
      <c r="B268" s="57">
        <v>3313.8999999999996</v>
      </c>
      <c r="C268" s="57">
        <v>3286.7577378995179</v>
      </c>
      <c r="D268" s="57">
        <v>0</v>
      </c>
      <c r="E268" s="57">
        <v>0</v>
      </c>
      <c r="F268" s="57">
        <v>0</v>
      </c>
      <c r="G268" s="57">
        <v>0</v>
      </c>
      <c r="H268" s="58">
        <v>-8.1904288302246941E-3</v>
      </c>
      <c r="I268" s="58">
        <v>0</v>
      </c>
      <c r="J268" s="58">
        <v>-8.1904288302246941E-3</v>
      </c>
    </row>
    <row r="269" spans="1:10" ht="11.25" customHeight="1" x14ac:dyDescent="0.2">
      <c r="A269" s="67">
        <v>44682</v>
      </c>
      <c r="B269" s="57">
        <v>3313.8999999999996</v>
      </c>
      <c r="C269" s="57">
        <v>3286.7577378995179</v>
      </c>
      <c r="D269" s="57">
        <v>0</v>
      </c>
      <c r="E269" s="57">
        <v>0</v>
      </c>
      <c r="F269" s="57">
        <v>0</v>
      </c>
      <c r="G269" s="57">
        <v>0</v>
      </c>
      <c r="H269" s="58">
        <v>-8.1904288302246941E-3</v>
      </c>
      <c r="I269" s="58">
        <v>0</v>
      </c>
      <c r="J269" s="58">
        <v>-8.1904288302246941E-3</v>
      </c>
    </row>
    <row r="270" spans="1:10" ht="11.25" customHeight="1" x14ac:dyDescent="0.2">
      <c r="A270" s="67">
        <v>44713</v>
      </c>
      <c r="B270" s="57">
        <v>3313.8999999999996</v>
      </c>
      <c r="C270" s="57">
        <v>3286.7577378995179</v>
      </c>
      <c r="D270" s="57">
        <v>0</v>
      </c>
      <c r="E270" s="57">
        <v>0</v>
      </c>
      <c r="F270" s="57">
        <v>0</v>
      </c>
      <c r="G270" s="57">
        <v>0</v>
      </c>
      <c r="H270" s="58">
        <v>-8.1904288302246941E-3</v>
      </c>
      <c r="I270" s="58">
        <v>0</v>
      </c>
      <c r="J270" s="58">
        <v>-8.1904288302246941E-3</v>
      </c>
    </row>
    <row r="271" spans="1:10" ht="11.25" customHeight="1" x14ac:dyDescent="0.2">
      <c r="A271" s="67">
        <v>44743</v>
      </c>
      <c r="B271" s="57">
        <v>3313.8999999999996</v>
      </c>
      <c r="C271" s="57">
        <v>3286.7577378995179</v>
      </c>
      <c r="D271" s="57">
        <v>0</v>
      </c>
      <c r="E271" s="57">
        <v>0</v>
      </c>
      <c r="F271" s="57">
        <v>0</v>
      </c>
      <c r="G271" s="57">
        <v>0</v>
      </c>
      <c r="H271" s="58">
        <v>-8.1904288302246941E-3</v>
      </c>
      <c r="I271" s="58">
        <v>0</v>
      </c>
      <c r="J271" s="58">
        <v>-8.1904288302246941E-3</v>
      </c>
    </row>
    <row r="272" spans="1:10" ht="11.25" customHeight="1" x14ac:dyDescent="0.2">
      <c r="A272" s="67">
        <v>44774</v>
      </c>
      <c r="B272" s="57">
        <v>3313.8999999999996</v>
      </c>
      <c r="C272" s="57">
        <v>3286.7577378995179</v>
      </c>
      <c r="D272" s="57">
        <v>0</v>
      </c>
      <c r="E272" s="57">
        <v>0</v>
      </c>
      <c r="F272" s="57">
        <v>0</v>
      </c>
      <c r="G272" s="57">
        <v>0</v>
      </c>
      <c r="H272" s="58">
        <v>-8.1904288302246941E-3</v>
      </c>
      <c r="I272" s="58">
        <v>0</v>
      </c>
      <c r="J272" s="58">
        <v>-8.1904288302246941E-3</v>
      </c>
    </row>
    <row r="273" spans="1:10" ht="11.25" customHeight="1" x14ac:dyDescent="0.2">
      <c r="A273" s="67">
        <v>44805</v>
      </c>
      <c r="B273" s="57">
        <v>3313.8999999999996</v>
      </c>
      <c r="C273" s="57">
        <v>3286.7577378995179</v>
      </c>
      <c r="D273" s="57">
        <v>0</v>
      </c>
      <c r="E273" s="57">
        <v>0</v>
      </c>
      <c r="F273" s="57">
        <v>0</v>
      </c>
      <c r="G273" s="57">
        <v>0</v>
      </c>
      <c r="H273" s="58">
        <v>-8.1904288302246941E-3</v>
      </c>
      <c r="I273" s="58">
        <v>0</v>
      </c>
      <c r="J273" s="58">
        <v>-8.1904288302246941E-3</v>
      </c>
    </row>
    <row r="274" spans="1:10" ht="11.25" customHeight="1" x14ac:dyDescent="0.2">
      <c r="A274" s="67">
        <v>44835</v>
      </c>
      <c r="B274" s="57">
        <v>3313.8999999999996</v>
      </c>
      <c r="C274" s="57">
        <v>3286.7577378995179</v>
      </c>
      <c r="D274" s="57">
        <v>0</v>
      </c>
      <c r="E274" s="57">
        <v>0</v>
      </c>
      <c r="F274" s="57">
        <v>0</v>
      </c>
      <c r="G274" s="57">
        <v>0</v>
      </c>
      <c r="H274" s="58">
        <v>-8.1904288302246941E-3</v>
      </c>
      <c r="I274" s="58">
        <v>0</v>
      </c>
      <c r="J274" s="58">
        <v>-8.1904288302246941E-3</v>
      </c>
    </row>
    <row r="275" spans="1:10" ht="11.25" customHeight="1" x14ac:dyDescent="0.2">
      <c r="A275" s="67">
        <v>44866</v>
      </c>
      <c r="B275" s="57">
        <v>3313.8999999999996</v>
      </c>
      <c r="C275" s="57">
        <v>3286.7577378995179</v>
      </c>
      <c r="D275" s="57">
        <v>0</v>
      </c>
      <c r="E275" s="57">
        <v>0</v>
      </c>
      <c r="F275" s="57">
        <v>0</v>
      </c>
      <c r="G275" s="57">
        <v>0</v>
      </c>
      <c r="H275" s="58">
        <v>-8.1904288302246941E-3</v>
      </c>
      <c r="I275" s="58">
        <v>0</v>
      </c>
      <c r="J275" s="58">
        <v>-8.1904288302246941E-3</v>
      </c>
    </row>
    <row r="276" spans="1:10" ht="11.25" customHeight="1" x14ac:dyDescent="0.2">
      <c r="A276" s="66" t="s">
        <v>34</v>
      </c>
      <c r="B276" s="57">
        <v>0</v>
      </c>
      <c r="C276" s="57">
        <v>0</v>
      </c>
      <c r="D276" s="57">
        <v>10864.186320000001</v>
      </c>
      <c r="E276" s="57">
        <v>11192.964750997508</v>
      </c>
      <c r="F276" s="57">
        <v>1190.4638100000002</v>
      </c>
      <c r="G276" s="57">
        <v>2406.4564156592442</v>
      </c>
      <c r="H276" s="58">
        <v>3.0262591354150103E-2</v>
      </c>
      <c r="I276" s="58">
        <v>1.0214444113670651</v>
      </c>
      <c r="J276" s="58">
        <v>0.12814731410680524</v>
      </c>
    </row>
    <row r="277" spans="1:10" ht="11.25" customHeight="1" x14ac:dyDescent="0.2">
      <c r="A277" s="67">
        <v>44531</v>
      </c>
      <c r="B277" s="57">
        <v>0</v>
      </c>
      <c r="C277" s="57">
        <v>0</v>
      </c>
      <c r="D277" s="57">
        <v>596.53359999999998</v>
      </c>
      <c r="E277" s="57">
        <v>614.58625256582002</v>
      </c>
      <c r="F277" s="57">
        <v>65.366299999999995</v>
      </c>
      <c r="G277" s="57">
        <v>132.13434182674303</v>
      </c>
      <c r="H277" s="58">
        <v>3.0262591354150103E-2</v>
      </c>
      <c r="I277" s="58">
        <v>1.021444411367066</v>
      </c>
      <c r="J277" s="58">
        <v>0.12814731410680524</v>
      </c>
    </row>
    <row r="278" spans="1:10" ht="11.25" customHeight="1" x14ac:dyDescent="0.2">
      <c r="A278" s="67">
        <v>44562</v>
      </c>
      <c r="B278" s="57">
        <v>0</v>
      </c>
      <c r="C278" s="57">
        <v>0</v>
      </c>
      <c r="D278" s="57">
        <v>763.85400000000004</v>
      </c>
      <c r="E278" s="57">
        <v>786.97020145623299</v>
      </c>
      <c r="F278" s="57">
        <v>83.700750000000014</v>
      </c>
      <c r="G278" s="57">
        <v>169.19641331473193</v>
      </c>
      <c r="H278" s="58">
        <v>3.0262591354150103E-2</v>
      </c>
      <c r="I278" s="58">
        <v>1.0214444113670655</v>
      </c>
      <c r="J278" s="58">
        <v>0.12814731410680524</v>
      </c>
    </row>
    <row r="279" spans="1:10" ht="11.25" customHeight="1" x14ac:dyDescent="0.2">
      <c r="A279" s="67">
        <v>44593</v>
      </c>
      <c r="B279" s="57">
        <v>0</v>
      </c>
      <c r="C279" s="57">
        <v>0</v>
      </c>
      <c r="D279" s="57">
        <v>929.71944000000008</v>
      </c>
      <c r="E279" s="57">
        <v>957.85515948672935</v>
      </c>
      <c r="F279" s="57">
        <v>101.87577</v>
      </c>
      <c r="G279" s="57">
        <v>205.93620592021657</v>
      </c>
      <c r="H279" s="58">
        <v>3.0262591354150103E-2</v>
      </c>
      <c r="I279" s="58">
        <v>1.0214444113670655</v>
      </c>
      <c r="J279" s="58">
        <v>0.12814731410680524</v>
      </c>
    </row>
    <row r="280" spans="1:10" ht="11.25" customHeight="1" x14ac:dyDescent="0.2">
      <c r="A280" s="67">
        <v>44621</v>
      </c>
      <c r="B280" s="57">
        <v>0</v>
      </c>
      <c r="C280" s="57">
        <v>0</v>
      </c>
      <c r="D280" s="57">
        <v>1178.5176000000001</v>
      </c>
      <c r="E280" s="57">
        <v>1214.1825965324738</v>
      </c>
      <c r="F280" s="57">
        <v>129.13830000000002</v>
      </c>
      <c r="G280" s="57">
        <v>261.04589482844352</v>
      </c>
      <c r="H280" s="58">
        <v>3.0262591354150103E-2</v>
      </c>
      <c r="I280" s="58">
        <v>1.0214444113670655</v>
      </c>
      <c r="J280" s="58">
        <v>0.12814731410680524</v>
      </c>
    </row>
    <row r="281" spans="1:10" ht="11.25" customHeight="1" x14ac:dyDescent="0.2">
      <c r="A281" s="67">
        <v>44652</v>
      </c>
      <c r="B281" s="57">
        <v>0</v>
      </c>
      <c r="C281" s="57">
        <v>0</v>
      </c>
      <c r="D281" s="57">
        <v>1009.7422399999999</v>
      </c>
      <c r="E281" s="57">
        <v>1040.299656782144</v>
      </c>
      <c r="F281" s="57">
        <v>110.64442</v>
      </c>
      <c r="G281" s="57">
        <v>223.66154445795036</v>
      </c>
      <c r="H281" s="58">
        <v>3.0262591354150103E-2</v>
      </c>
      <c r="I281" s="58">
        <v>1.0214444113670655</v>
      </c>
      <c r="J281" s="58">
        <v>0.12814731410680524</v>
      </c>
    </row>
    <row r="282" spans="1:10" ht="11.25" customHeight="1" x14ac:dyDescent="0.2">
      <c r="A282" s="67">
        <v>44682</v>
      </c>
      <c r="B282" s="57">
        <v>0</v>
      </c>
      <c r="C282" s="57">
        <v>0</v>
      </c>
      <c r="D282" s="57">
        <v>1289.09456</v>
      </c>
      <c r="E282" s="57">
        <v>1328.1059018861379</v>
      </c>
      <c r="F282" s="57">
        <v>141.25498000000002</v>
      </c>
      <c r="G282" s="57">
        <v>285.53908989876663</v>
      </c>
      <c r="H282" s="58">
        <v>3.0262591354150103E-2</v>
      </c>
      <c r="I282" s="58">
        <v>1.0214444113670655</v>
      </c>
      <c r="J282" s="58">
        <v>0.12814731410680547</v>
      </c>
    </row>
    <row r="283" spans="1:10" ht="11.25" customHeight="1" x14ac:dyDescent="0.2">
      <c r="A283" s="67">
        <v>44713</v>
      </c>
      <c r="B283" s="57">
        <v>0</v>
      </c>
      <c r="C283" s="57">
        <v>0</v>
      </c>
      <c r="D283" s="57">
        <v>1453.50504</v>
      </c>
      <c r="E283" s="57">
        <v>1497.4918690567176</v>
      </c>
      <c r="F283" s="57">
        <v>159.27057000000002</v>
      </c>
      <c r="G283" s="57">
        <v>321.95660362174704</v>
      </c>
      <c r="H283" s="58">
        <v>3.0262591354150103E-2</v>
      </c>
      <c r="I283" s="58">
        <v>1.0214444113670655</v>
      </c>
      <c r="J283" s="58">
        <v>0.12814731410680524</v>
      </c>
    </row>
    <row r="284" spans="1:10" ht="11.25" customHeight="1" x14ac:dyDescent="0.2">
      <c r="A284" s="67">
        <v>44743</v>
      </c>
      <c r="B284" s="57">
        <v>0</v>
      </c>
      <c r="C284" s="57">
        <v>0</v>
      </c>
      <c r="D284" s="57">
        <v>641.63736000000006</v>
      </c>
      <c r="E284" s="57">
        <v>661.05496922323573</v>
      </c>
      <c r="F284" s="57">
        <v>70.308630000000008</v>
      </c>
      <c r="G284" s="57">
        <v>142.12498718437482</v>
      </c>
      <c r="H284" s="58">
        <v>3.0262591354150103E-2</v>
      </c>
      <c r="I284" s="58">
        <v>1.0214444113670655</v>
      </c>
      <c r="J284" s="58">
        <v>0.12814731410680547</v>
      </c>
    </row>
    <row r="285" spans="1:10" ht="11.25" customHeight="1" x14ac:dyDescent="0.2">
      <c r="A285" s="67">
        <v>44774</v>
      </c>
      <c r="B285" s="57">
        <v>0</v>
      </c>
      <c r="C285" s="57">
        <v>0</v>
      </c>
      <c r="D285" s="57">
        <v>842.42183999999997</v>
      </c>
      <c r="E285" s="57">
        <v>867.91570789173113</v>
      </c>
      <c r="F285" s="57">
        <v>92.309969999999993</v>
      </c>
      <c r="G285" s="57">
        <v>186.59947296996148</v>
      </c>
      <c r="H285" s="58">
        <v>3.0262591354150103E-2</v>
      </c>
      <c r="I285" s="58">
        <v>1.0214444113670655</v>
      </c>
      <c r="J285" s="58">
        <v>0.12814731410680524</v>
      </c>
    </row>
    <row r="286" spans="1:10" ht="11.25" customHeight="1" x14ac:dyDescent="0.2">
      <c r="A286" s="67">
        <v>44805</v>
      </c>
      <c r="B286" s="57">
        <v>0</v>
      </c>
      <c r="C286" s="57">
        <v>0</v>
      </c>
      <c r="D286" s="57">
        <v>660.55184000000008</v>
      </c>
      <c r="E286" s="57">
        <v>680.54185040215191</v>
      </c>
      <c r="F286" s="57">
        <v>72.381219999999999</v>
      </c>
      <c r="G286" s="57">
        <v>146.31461265693008</v>
      </c>
      <c r="H286" s="58">
        <v>3.0262591354149881E-2</v>
      </c>
      <c r="I286" s="58">
        <v>1.0214444113670655</v>
      </c>
      <c r="J286" s="58">
        <v>0.12814731410680524</v>
      </c>
    </row>
    <row r="287" spans="1:10" ht="11.25" customHeight="1" x14ac:dyDescent="0.2">
      <c r="A287" s="67">
        <v>44835</v>
      </c>
      <c r="B287" s="57">
        <v>0</v>
      </c>
      <c r="C287" s="57">
        <v>0</v>
      </c>
      <c r="D287" s="57">
        <v>749.30439999999999</v>
      </c>
      <c r="E287" s="57">
        <v>771.98029285706662</v>
      </c>
      <c r="F287" s="57">
        <v>82.106450000000009</v>
      </c>
      <c r="G287" s="57">
        <v>165.9736244896894</v>
      </c>
      <c r="H287" s="58">
        <v>3.0262591354150103E-2</v>
      </c>
      <c r="I287" s="58">
        <v>1.0214444113670651</v>
      </c>
      <c r="J287" s="58">
        <v>0.12814731410680547</v>
      </c>
    </row>
    <row r="288" spans="1:10" ht="11.25" customHeight="1" x14ac:dyDescent="0.2">
      <c r="A288" s="67">
        <v>44866</v>
      </c>
      <c r="B288" s="57">
        <v>0</v>
      </c>
      <c r="C288" s="57">
        <v>0</v>
      </c>
      <c r="D288" s="57">
        <v>749.30439999999999</v>
      </c>
      <c r="E288" s="57">
        <v>771.98029285706662</v>
      </c>
      <c r="F288" s="57">
        <v>82.106450000000009</v>
      </c>
      <c r="G288" s="57">
        <v>165.9736244896894</v>
      </c>
      <c r="H288" s="58">
        <v>3.0262591354150103E-2</v>
      </c>
      <c r="I288" s="58">
        <v>1.0214444113670651</v>
      </c>
      <c r="J288" s="58">
        <v>0.12814731410680547</v>
      </c>
    </row>
    <row r="289" spans="1:10" ht="11.25" customHeight="1" x14ac:dyDescent="0.2">
      <c r="A289" s="62" t="s">
        <v>38</v>
      </c>
      <c r="B289" s="57">
        <v>1730090.98</v>
      </c>
      <c r="C289" s="57">
        <v>1715920.7929584961</v>
      </c>
      <c r="D289" s="57">
        <v>3525225.8198199994</v>
      </c>
      <c r="E289" s="57">
        <v>4817048.3299293742</v>
      </c>
      <c r="F289" s="57">
        <v>1822329.8832599998</v>
      </c>
      <c r="G289" s="57">
        <v>3797605.3423813698</v>
      </c>
      <c r="H289" s="58">
        <v>0.24311613775817054</v>
      </c>
      <c r="I289" s="58">
        <v>1.0839285890366703</v>
      </c>
      <c r="J289" s="58">
        <v>0.45960584468927634</v>
      </c>
    </row>
    <row r="290" spans="1:10" ht="11.25" customHeight="1" x14ac:dyDescent="0.2">
      <c r="A290" s="63" t="s">
        <v>25</v>
      </c>
      <c r="B290" s="57">
        <v>1730090.98</v>
      </c>
      <c r="C290" s="57">
        <v>1715920.7929584961</v>
      </c>
      <c r="D290" s="57">
        <v>3525225.8198199994</v>
      </c>
      <c r="E290" s="57">
        <v>4817048.3299293742</v>
      </c>
      <c r="F290" s="57">
        <v>1822329.8832599998</v>
      </c>
      <c r="G290" s="57">
        <v>3797605.3423813698</v>
      </c>
      <c r="H290" s="58">
        <v>0.24311613775817054</v>
      </c>
      <c r="I290" s="58">
        <v>1.0839285890366703</v>
      </c>
      <c r="J290" s="58">
        <v>0.45960584468927634</v>
      </c>
    </row>
    <row r="291" spans="1:10" ht="11.25" customHeight="1" x14ac:dyDescent="0.2">
      <c r="A291" s="64" t="s">
        <v>25</v>
      </c>
      <c r="B291" s="57">
        <v>1730090.98</v>
      </c>
      <c r="C291" s="57">
        <v>1715920.7929584961</v>
      </c>
      <c r="D291" s="57">
        <v>3525225.8198199994</v>
      </c>
      <c r="E291" s="57">
        <v>4817048.3299293742</v>
      </c>
      <c r="F291" s="57">
        <v>1822329.8832599998</v>
      </c>
      <c r="G291" s="57">
        <v>3797605.3423813698</v>
      </c>
      <c r="H291" s="58">
        <v>0.24311613775817054</v>
      </c>
      <c r="I291" s="58">
        <v>1.0839285890366703</v>
      </c>
      <c r="J291" s="58">
        <v>0.45960584468927634</v>
      </c>
    </row>
    <row r="292" spans="1:10" ht="11.25" customHeight="1" x14ac:dyDescent="0.2">
      <c r="A292" s="65" t="s">
        <v>25</v>
      </c>
      <c r="B292" s="57">
        <v>1730090.98</v>
      </c>
      <c r="C292" s="57">
        <v>1715920.7929584961</v>
      </c>
      <c r="D292" s="57">
        <v>3525225.8198199994</v>
      </c>
      <c r="E292" s="57">
        <v>4817048.3299293742</v>
      </c>
      <c r="F292" s="57">
        <v>1822329.8832599998</v>
      </c>
      <c r="G292" s="57">
        <v>3797605.3423813698</v>
      </c>
      <c r="H292" s="58">
        <v>0.24311613775817054</v>
      </c>
      <c r="I292" s="58">
        <v>1.0839285890366703</v>
      </c>
      <c r="J292" s="58">
        <v>0.45960584468927634</v>
      </c>
    </row>
    <row r="293" spans="1:10" ht="11.25" customHeight="1" x14ac:dyDescent="0.2">
      <c r="A293" s="66" t="s">
        <v>35</v>
      </c>
      <c r="B293" s="57">
        <v>0</v>
      </c>
      <c r="C293" s="57">
        <v>0</v>
      </c>
      <c r="D293" s="57">
        <v>1604341.0691</v>
      </c>
      <c r="E293" s="57">
        <v>2838032.6289599175</v>
      </c>
      <c r="F293" s="57">
        <v>1611845.2954999998</v>
      </c>
      <c r="G293" s="57">
        <v>3372122.4487750172</v>
      </c>
      <c r="H293" s="58">
        <v>0.76897087759025573</v>
      </c>
      <c r="I293" s="58">
        <v>1.0920881539868712</v>
      </c>
      <c r="J293" s="58">
        <v>0.93090647547325722</v>
      </c>
    </row>
    <row r="294" spans="1:10" ht="11.25" customHeight="1" x14ac:dyDescent="0.2">
      <c r="A294" s="67">
        <v>44531</v>
      </c>
      <c r="B294" s="57">
        <v>0</v>
      </c>
      <c r="C294" s="57">
        <v>0</v>
      </c>
      <c r="D294" s="57">
        <v>138293.79060000001</v>
      </c>
      <c r="E294" s="57">
        <v>244637.68812296513</v>
      </c>
      <c r="F294" s="57">
        <v>138940.65299999999</v>
      </c>
      <c r="G294" s="57">
        <v>290676.09424850042</v>
      </c>
      <c r="H294" s="58">
        <v>0.76897087759025617</v>
      </c>
      <c r="I294" s="58">
        <v>1.0920881539868712</v>
      </c>
      <c r="J294" s="58">
        <v>0.93090647547325744</v>
      </c>
    </row>
    <row r="295" spans="1:10" ht="11.25" customHeight="1" x14ac:dyDescent="0.2">
      <c r="A295" s="67">
        <v>44562</v>
      </c>
      <c r="B295" s="57">
        <v>0</v>
      </c>
      <c r="C295" s="57">
        <v>0</v>
      </c>
      <c r="D295" s="57">
        <v>138564.81001999998</v>
      </c>
      <c r="E295" s="57">
        <v>245117.1135842065</v>
      </c>
      <c r="F295" s="57">
        <v>139212.94009999998</v>
      </c>
      <c r="G295" s="57">
        <v>291245.74286489381</v>
      </c>
      <c r="H295" s="58">
        <v>0.7689708775902564</v>
      </c>
      <c r="I295" s="58">
        <v>1.0920881539868712</v>
      </c>
      <c r="J295" s="58">
        <v>0.93090647547325722</v>
      </c>
    </row>
    <row r="296" spans="1:10" ht="11.25" customHeight="1" x14ac:dyDescent="0.2">
      <c r="A296" s="67">
        <v>44593</v>
      </c>
      <c r="B296" s="57">
        <v>0</v>
      </c>
      <c r="C296" s="57">
        <v>0</v>
      </c>
      <c r="D296" s="57">
        <v>115478.7991</v>
      </c>
      <c r="E296" s="57">
        <v>204278.6325869959</v>
      </c>
      <c r="F296" s="57">
        <v>116018.94549999999</v>
      </c>
      <c r="G296" s="57">
        <v>242721.86151859839</v>
      </c>
      <c r="H296" s="58">
        <v>0.76897087759025617</v>
      </c>
      <c r="I296" s="58">
        <v>1.0920881539868712</v>
      </c>
      <c r="J296" s="58">
        <v>0.93090647547325744</v>
      </c>
    </row>
    <row r="297" spans="1:10" ht="11.25" customHeight="1" x14ac:dyDescent="0.2">
      <c r="A297" s="67">
        <v>44621</v>
      </c>
      <c r="B297" s="57">
        <v>0</v>
      </c>
      <c r="C297" s="57">
        <v>0</v>
      </c>
      <c r="D297" s="57">
        <v>151740.49968000001</v>
      </c>
      <c r="E297" s="57">
        <v>268424.52488491352</v>
      </c>
      <c r="F297" s="57">
        <v>152450.25839999999</v>
      </c>
      <c r="G297" s="57">
        <v>318939.37967087742</v>
      </c>
      <c r="H297" s="58">
        <v>0.76897087759025573</v>
      </c>
      <c r="I297" s="58">
        <v>1.0920881539868708</v>
      </c>
      <c r="J297" s="58">
        <v>0.930906475473257</v>
      </c>
    </row>
    <row r="298" spans="1:10" ht="11.25" customHeight="1" x14ac:dyDescent="0.2">
      <c r="A298" s="67">
        <v>44652</v>
      </c>
      <c r="B298" s="57">
        <v>0</v>
      </c>
      <c r="C298" s="57">
        <v>0</v>
      </c>
      <c r="D298" s="57">
        <v>112223.07698</v>
      </c>
      <c r="E298" s="57">
        <v>198519.35497118949</v>
      </c>
      <c r="F298" s="57">
        <v>112747.99489999999</v>
      </c>
      <c r="G298" s="57">
        <v>235878.74451606214</v>
      </c>
      <c r="H298" s="58">
        <v>0.7689708775902564</v>
      </c>
      <c r="I298" s="58">
        <v>1.0920881539868712</v>
      </c>
      <c r="J298" s="58">
        <v>0.93090647547325722</v>
      </c>
    </row>
    <row r="299" spans="1:10" ht="11.25" customHeight="1" x14ac:dyDescent="0.2">
      <c r="A299" s="67">
        <v>44682</v>
      </c>
      <c r="B299" s="57">
        <v>0</v>
      </c>
      <c r="C299" s="57">
        <v>0</v>
      </c>
      <c r="D299" s="57">
        <v>139089.71132</v>
      </c>
      <c r="E299" s="57">
        <v>246045.6486975158</v>
      </c>
      <c r="F299" s="57">
        <v>139740.29659999997</v>
      </c>
      <c r="G299" s="57">
        <v>292349.01915147185</v>
      </c>
      <c r="H299" s="58">
        <v>0.76897087759025617</v>
      </c>
      <c r="I299" s="58">
        <v>1.0920881539868716</v>
      </c>
      <c r="J299" s="58">
        <v>0.93090647547325722</v>
      </c>
    </row>
    <row r="300" spans="1:10" ht="11.25" customHeight="1" x14ac:dyDescent="0.2">
      <c r="A300" s="67">
        <v>44713</v>
      </c>
      <c r="B300" s="57">
        <v>0</v>
      </c>
      <c r="C300" s="57">
        <v>0</v>
      </c>
      <c r="D300" s="57">
        <v>129243.52756000002</v>
      </c>
      <c r="E300" s="57">
        <v>228628.03637067365</v>
      </c>
      <c r="F300" s="57">
        <v>129848.05780000001</v>
      </c>
      <c r="G300" s="57">
        <v>271653.58354158257</v>
      </c>
      <c r="H300" s="58">
        <v>0.76897087759025595</v>
      </c>
      <c r="I300" s="58">
        <v>1.0920881539868712</v>
      </c>
      <c r="J300" s="58">
        <v>0.93090647547325744</v>
      </c>
    </row>
    <row r="301" spans="1:10" ht="11.25" customHeight="1" x14ac:dyDescent="0.2">
      <c r="A301" s="67">
        <v>44743</v>
      </c>
      <c r="B301" s="57">
        <v>0</v>
      </c>
      <c r="C301" s="57">
        <v>0</v>
      </c>
      <c r="D301" s="57">
        <v>140877.7622</v>
      </c>
      <c r="E301" s="57">
        <v>249208.65863188542</v>
      </c>
      <c r="F301" s="57">
        <v>141536.71100000001</v>
      </c>
      <c r="G301" s="57">
        <v>296107.27643736324</v>
      </c>
      <c r="H301" s="58">
        <v>0.76897087759025617</v>
      </c>
      <c r="I301" s="58">
        <v>1.0920881539868708</v>
      </c>
      <c r="J301" s="58">
        <v>0.93090647547325722</v>
      </c>
    </row>
    <row r="302" spans="1:10" ht="11.25" customHeight="1" x14ac:dyDescent="0.2">
      <c r="A302" s="67">
        <v>44774</v>
      </c>
      <c r="B302" s="57">
        <v>0</v>
      </c>
      <c r="C302" s="57">
        <v>0</v>
      </c>
      <c r="D302" s="57">
        <v>144662.07994</v>
      </c>
      <c r="E302" s="57">
        <v>255903.00650549357</v>
      </c>
      <c r="F302" s="57">
        <v>145338.7297</v>
      </c>
      <c r="G302" s="57">
        <v>304061.43472086982</v>
      </c>
      <c r="H302" s="58">
        <v>0.76897087759025595</v>
      </c>
      <c r="I302" s="58">
        <v>1.0920881539868712</v>
      </c>
      <c r="J302" s="58">
        <v>0.93090647547325744</v>
      </c>
    </row>
    <row r="303" spans="1:10" ht="11.25" customHeight="1" x14ac:dyDescent="0.2">
      <c r="A303" s="67">
        <v>44805</v>
      </c>
      <c r="B303" s="57">
        <v>0</v>
      </c>
      <c r="C303" s="57">
        <v>0</v>
      </c>
      <c r="D303" s="57">
        <v>136688.91641999999</v>
      </c>
      <c r="E303" s="57">
        <v>241798.71243634858</v>
      </c>
      <c r="F303" s="57">
        <v>137328.2721</v>
      </c>
      <c r="G303" s="57">
        <v>287302.85126789572</v>
      </c>
      <c r="H303" s="58">
        <v>0.76897087759025617</v>
      </c>
      <c r="I303" s="58">
        <v>1.0920881539868708</v>
      </c>
      <c r="J303" s="58">
        <v>0.93090647547325767</v>
      </c>
    </row>
    <row r="304" spans="1:10" ht="11.25" customHeight="1" x14ac:dyDescent="0.2">
      <c r="A304" s="67">
        <v>44835</v>
      </c>
      <c r="B304" s="57">
        <v>0</v>
      </c>
      <c r="C304" s="57">
        <v>0</v>
      </c>
      <c r="D304" s="57">
        <v>128739.04764000002</v>
      </c>
      <c r="E304" s="57">
        <v>227735.6260838646</v>
      </c>
      <c r="F304" s="57">
        <v>129341.2182</v>
      </c>
      <c r="G304" s="57">
        <v>270593.23041845113</v>
      </c>
      <c r="H304" s="58">
        <v>0.76897087759025595</v>
      </c>
      <c r="I304" s="58">
        <v>1.0920881539868712</v>
      </c>
      <c r="J304" s="58">
        <v>0.93090647547325744</v>
      </c>
    </row>
    <row r="305" spans="1:10" ht="11.25" customHeight="1" x14ac:dyDescent="0.2">
      <c r="A305" s="67">
        <v>44866</v>
      </c>
      <c r="B305" s="57">
        <v>0</v>
      </c>
      <c r="C305" s="57">
        <v>0</v>
      </c>
      <c r="D305" s="57">
        <v>128739.04764000002</v>
      </c>
      <c r="E305" s="57">
        <v>227735.6260838646</v>
      </c>
      <c r="F305" s="57">
        <v>129341.2182</v>
      </c>
      <c r="G305" s="57">
        <v>270593.23041845113</v>
      </c>
      <c r="H305" s="58">
        <v>0.76897087759025595</v>
      </c>
      <c r="I305" s="58">
        <v>1.0920881539868712</v>
      </c>
      <c r="J305" s="58">
        <v>0.93090647547325744</v>
      </c>
    </row>
    <row r="306" spans="1:10" ht="11.25" customHeight="1" x14ac:dyDescent="0.2">
      <c r="A306" s="66" t="s">
        <v>25</v>
      </c>
      <c r="B306" s="57">
        <v>1730090.98</v>
      </c>
      <c r="C306" s="57">
        <v>1715920.7929584961</v>
      </c>
      <c r="D306" s="57">
        <v>0</v>
      </c>
      <c r="E306" s="57">
        <v>0</v>
      </c>
      <c r="F306" s="57">
        <v>0</v>
      </c>
      <c r="G306" s="57">
        <v>0</v>
      </c>
      <c r="H306" s="58">
        <v>-8.1904288302249162E-3</v>
      </c>
      <c r="I306" s="58">
        <v>0</v>
      </c>
      <c r="J306" s="58">
        <v>-8.1904288302249162E-3</v>
      </c>
    </row>
    <row r="307" spans="1:10" ht="11.25" customHeight="1" x14ac:dyDescent="0.2">
      <c r="A307" s="67">
        <v>44531</v>
      </c>
      <c r="B307" s="57">
        <v>147970.97999999998</v>
      </c>
      <c r="C307" s="57">
        <v>146759.03421937139</v>
      </c>
      <c r="D307" s="57">
        <v>0</v>
      </c>
      <c r="E307" s="57">
        <v>0</v>
      </c>
      <c r="F307" s="57">
        <v>0</v>
      </c>
      <c r="G307" s="57">
        <v>0</v>
      </c>
      <c r="H307" s="58">
        <v>-8.1904288302246941E-3</v>
      </c>
      <c r="I307" s="58">
        <v>0</v>
      </c>
      <c r="J307" s="58">
        <v>-8.1904288302246941E-3</v>
      </c>
    </row>
    <row r="308" spans="1:10" ht="11.25" customHeight="1" x14ac:dyDescent="0.2">
      <c r="A308" s="67">
        <v>44562</v>
      </c>
      <c r="B308" s="57">
        <v>146260.57999999999</v>
      </c>
      <c r="C308" s="57">
        <v>145062.64312884261</v>
      </c>
      <c r="D308" s="57">
        <v>0</v>
      </c>
      <c r="E308" s="57">
        <v>0</v>
      </c>
      <c r="F308" s="57">
        <v>0</v>
      </c>
      <c r="G308" s="57">
        <v>0</v>
      </c>
      <c r="H308" s="58">
        <v>-8.1904288302245831E-3</v>
      </c>
      <c r="I308" s="58">
        <v>0</v>
      </c>
      <c r="J308" s="58">
        <v>-8.1904288302245831E-3</v>
      </c>
    </row>
    <row r="309" spans="1:10" ht="11.25" customHeight="1" x14ac:dyDescent="0.2">
      <c r="A309" s="67">
        <v>44593</v>
      </c>
      <c r="B309" s="57">
        <v>144956.4</v>
      </c>
      <c r="C309" s="57">
        <v>143769.14492231442</v>
      </c>
      <c r="D309" s="57">
        <v>0</v>
      </c>
      <c r="E309" s="57">
        <v>0</v>
      </c>
      <c r="F309" s="57">
        <v>0</v>
      </c>
      <c r="G309" s="57">
        <v>0</v>
      </c>
      <c r="H309" s="58">
        <v>-8.1904288302246941E-3</v>
      </c>
      <c r="I309" s="58">
        <v>0</v>
      </c>
      <c r="J309" s="58">
        <v>-8.1904288302246941E-3</v>
      </c>
    </row>
    <row r="310" spans="1:10" ht="11.25" customHeight="1" x14ac:dyDescent="0.2">
      <c r="A310" s="67">
        <v>44621</v>
      </c>
      <c r="B310" s="57">
        <v>148804.79999999999</v>
      </c>
      <c r="C310" s="57">
        <v>147586.02487600417</v>
      </c>
      <c r="D310" s="57">
        <v>0</v>
      </c>
      <c r="E310" s="57">
        <v>0</v>
      </c>
      <c r="F310" s="57">
        <v>0</v>
      </c>
      <c r="G310" s="57">
        <v>0</v>
      </c>
      <c r="H310" s="58">
        <v>-8.1904288302246941E-3</v>
      </c>
      <c r="I310" s="58">
        <v>0</v>
      </c>
      <c r="J310" s="58">
        <v>-8.1904288302246941E-3</v>
      </c>
    </row>
    <row r="311" spans="1:10" ht="11.25" customHeight="1" x14ac:dyDescent="0.2">
      <c r="A311" s="67">
        <v>44652</v>
      </c>
      <c r="B311" s="57">
        <v>130182.81999999999</v>
      </c>
      <c r="C311" s="57">
        <v>129116.56687787203</v>
      </c>
      <c r="D311" s="57">
        <v>0</v>
      </c>
      <c r="E311" s="57">
        <v>0</v>
      </c>
      <c r="F311" s="57">
        <v>0</v>
      </c>
      <c r="G311" s="57">
        <v>0</v>
      </c>
      <c r="H311" s="58">
        <v>-8.1904288302248052E-3</v>
      </c>
      <c r="I311" s="58">
        <v>0</v>
      </c>
      <c r="J311" s="58">
        <v>-8.1904288302248052E-3</v>
      </c>
    </row>
    <row r="312" spans="1:10" ht="11.25" customHeight="1" x14ac:dyDescent="0.2">
      <c r="A312" s="67">
        <v>44682</v>
      </c>
      <c r="B312" s="57">
        <v>150365.54</v>
      </c>
      <c r="C312" s="57">
        <v>149133.98174611171</v>
      </c>
      <c r="D312" s="57">
        <v>0</v>
      </c>
      <c r="E312" s="57">
        <v>0</v>
      </c>
      <c r="F312" s="57">
        <v>0</v>
      </c>
      <c r="G312" s="57">
        <v>0</v>
      </c>
      <c r="H312" s="58">
        <v>-8.1904288302246941E-3</v>
      </c>
      <c r="I312" s="58">
        <v>0</v>
      </c>
      <c r="J312" s="58">
        <v>-8.1904288302246941E-3</v>
      </c>
    </row>
    <row r="313" spans="1:10" ht="11.25" customHeight="1" x14ac:dyDescent="0.2">
      <c r="A313" s="67">
        <v>44713</v>
      </c>
      <c r="B313" s="57">
        <v>139889.34</v>
      </c>
      <c r="C313" s="57">
        <v>138743.58631662288</v>
      </c>
      <c r="D313" s="57">
        <v>0</v>
      </c>
      <c r="E313" s="57">
        <v>0</v>
      </c>
      <c r="F313" s="57">
        <v>0</v>
      </c>
      <c r="G313" s="57">
        <v>0</v>
      </c>
      <c r="H313" s="58">
        <v>-8.1904288302248052E-3</v>
      </c>
      <c r="I313" s="58">
        <v>0</v>
      </c>
      <c r="J313" s="58">
        <v>-8.1904288302248052E-3</v>
      </c>
    </row>
    <row r="314" spans="1:10" ht="11.25" customHeight="1" x14ac:dyDescent="0.2">
      <c r="A314" s="67">
        <v>44743</v>
      </c>
      <c r="B314" s="57">
        <v>146901.97999999998</v>
      </c>
      <c r="C314" s="57">
        <v>145698.78978779091</v>
      </c>
      <c r="D314" s="57">
        <v>0</v>
      </c>
      <c r="E314" s="57">
        <v>0</v>
      </c>
      <c r="F314" s="57">
        <v>0</v>
      </c>
      <c r="G314" s="57">
        <v>0</v>
      </c>
      <c r="H314" s="58">
        <v>-8.1904288302245831E-3</v>
      </c>
      <c r="I314" s="58">
        <v>0</v>
      </c>
      <c r="J314" s="58">
        <v>-8.1904288302245831E-3</v>
      </c>
    </row>
    <row r="315" spans="1:10" ht="11.25" customHeight="1" x14ac:dyDescent="0.2">
      <c r="A315" s="67">
        <v>44774</v>
      </c>
      <c r="B315" s="57">
        <v>137558.91999999998</v>
      </c>
      <c r="C315" s="57">
        <v>136432.25345577742</v>
      </c>
      <c r="D315" s="57">
        <v>0</v>
      </c>
      <c r="E315" s="57">
        <v>0</v>
      </c>
      <c r="F315" s="57">
        <v>0</v>
      </c>
      <c r="G315" s="57">
        <v>0</v>
      </c>
      <c r="H315" s="58">
        <v>-8.1904288302245831E-3</v>
      </c>
      <c r="I315" s="58">
        <v>0</v>
      </c>
      <c r="J315" s="58">
        <v>-8.1904288302245831E-3</v>
      </c>
    </row>
    <row r="316" spans="1:10" ht="11.25" customHeight="1" x14ac:dyDescent="0.2">
      <c r="A316" s="67">
        <v>44805</v>
      </c>
      <c r="B316" s="57">
        <v>157591.97999999998</v>
      </c>
      <c r="C316" s="57">
        <v>156301.23410359578</v>
      </c>
      <c r="D316" s="57">
        <v>0</v>
      </c>
      <c r="E316" s="57">
        <v>0</v>
      </c>
      <c r="F316" s="57">
        <v>0</v>
      </c>
      <c r="G316" s="57">
        <v>0</v>
      </c>
      <c r="H316" s="58">
        <v>-8.1904288302246941E-3</v>
      </c>
      <c r="I316" s="58">
        <v>0</v>
      </c>
      <c r="J316" s="58">
        <v>-8.1904288302246941E-3</v>
      </c>
    </row>
    <row r="317" spans="1:10" ht="11.25" customHeight="1" x14ac:dyDescent="0.2">
      <c r="A317" s="67">
        <v>44835</v>
      </c>
      <c r="B317" s="57">
        <v>139803.81999999998</v>
      </c>
      <c r="C317" s="57">
        <v>138658.76676209646</v>
      </c>
      <c r="D317" s="57">
        <v>0</v>
      </c>
      <c r="E317" s="57">
        <v>0</v>
      </c>
      <c r="F317" s="57">
        <v>0</v>
      </c>
      <c r="G317" s="57">
        <v>0</v>
      </c>
      <c r="H317" s="58">
        <v>-8.1904288302244721E-3</v>
      </c>
      <c r="I317" s="58">
        <v>0</v>
      </c>
      <c r="J317" s="58">
        <v>-8.1904288302244721E-3</v>
      </c>
    </row>
    <row r="318" spans="1:10" ht="11.25" customHeight="1" x14ac:dyDescent="0.2">
      <c r="A318" s="67">
        <v>44866</v>
      </c>
      <c r="B318" s="57">
        <v>139803.81999999998</v>
      </c>
      <c r="C318" s="57">
        <v>138658.76676209646</v>
      </c>
      <c r="D318" s="57">
        <v>0</v>
      </c>
      <c r="E318" s="57">
        <v>0</v>
      </c>
      <c r="F318" s="57">
        <v>0</v>
      </c>
      <c r="G318" s="57">
        <v>0</v>
      </c>
      <c r="H318" s="58">
        <v>-8.1904288302244721E-3</v>
      </c>
      <c r="I318" s="58">
        <v>0</v>
      </c>
      <c r="J318" s="58">
        <v>-8.1904288302244721E-3</v>
      </c>
    </row>
    <row r="319" spans="1:10" ht="11.25" customHeight="1" x14ac:dyDescent="0.2">
      <c r="A319" s="66" t="s">
        <v>34</v>
      </c>
      <c r="B319" s="57">
        <v>0</v>
      </c>
      <c r="C319" s="57">
        <v>0</v>
      </c>
      <c r="D319" s="57">
        <v>1920884.7507199999</v>
      </c>
      <c r="E319" s="57">
        <v>1979015.7009694579</v>
      </c>
      <c r="F319" s="57">
        <v>210484.58775999999</v>
      </c>
      <c r="G319" s="57">
        <v>425482.89360635268</v>
      </c>
      <c r="H319" s="58">
        <v>3.0262591354149881E-2</v>
      </c>
      <c r="I319" s="58">
        <v>1.0214444113670651</v>
      </c>
      <c r="J319" s="58">
        <v>0.12814731410680502</v>
      </c>
    </row>
    <row r="320" spans="1:10" ht="11.25" customHeight="1" x14ac:dyDescent="0.2">
      <c r="A320" s="67">
        <v>44531</v>
      </c>
      <c r="B320" s="57">
        <v>0</v>
      </c>
      <c r="C320" s="57">
        <v>0</v>
      </c>
      <c r="D320" s="57">
        <v>161698.43455999999</v>
      </c>
      <c r="E320" s="57">
        <v>166591.84820769503</v>
      </c>
      <c r="F320" s="57">
        <v>17718.412479999999</v>
      </c>
      <c r="G320" s="57">
        <v>35816.785885992467</v>
      </c>
      <c r="H320" s="58">
        <v>3.0262591354149881E-2</v>
      </c>
      <c r="I320" s="58">
        <v>1.0214444113670655</v>
      </c>
      <c r="J320" s="58">
        <v>0.12814731410680524</v>
      </c>
    </row>
    <row r="321" spans="1:10" ht="11.25" customHeight="1" x14ac:dyDescent="0.2">
      <c r="A321" s="67">
        <v>44562</v>
      </c>
      <c r="B321" s="57">
        <v>0</v>
      </c>
      <c r="C321" s="57">
        <v>0</v>
      </c>
      <c r="D321" s="57">
        <v>146831.65328</v>
      </c>
      <c r="E321" s="57">
        <v>151275.1596010669</v>
      </c>
      <c r="F321" s="57">
        <v>16089.356740000001</v>
      </c>
      <c r="G321" s="57">
        <v>32523.740264564029</v>
      </c>
      <c r="H321" s="58">
        <v>3.0262591354150103E-2</v>
      </c>
      <c r="I321" s="58">
        <v>1.0214444113670655</v>
      </c>
      <c r="J321" s="58">
        <v>0.12814731410680547</v>
      </c>
    </row>
    <row r="322" spans="1:10" ht="11.25" customHeight="1" x14ac:dyDescent="0.2">
      <c r="A322" s="67">
        <v>44593</v>
      </c>
      <c r="B322" s="57">
        <v>0</v>
      </c>
      <c r="C322" s="57">
        <v>0</v>
      </c>
      <c r="D322" s="57">
        <v>109114.7252</v>
      </c>
      <c r="E322" s="57">
        <v>112416.81953944798</v>
      </c>
      <c r="F322" s="57">
        <v>11956.45285</v>
      </c>
      <c r="G322" s="57">
        <v>24169.304793406325</v>
      </c>
      <c r="H322" s="58">
        <v>3.0262591354150103E-2</v>
      </c>
      <c r="I322" s="58">
        <v>1.021444411367066</v>
      </c>
      <c r="J322" s="58">
        <v>0.12814731410680547</v>
      </c>
    </row>
    <row r="323" spans="1:10" ht="11.25" customHeight="1" x14ac:dyDescent="0.2">
      <c r="A323" s="67">
        <v>44621</v>
      </c>
      <c r="B323" s="57">
        <v>0</v>
      </c>
      <c r="C323" s="57">
        <v>0</v>
      </c>
      <c r="D323" s="57">
        <v>156972.72448</v>
      </c>
      <c r="E323" s="57">
        <v>161723.12589468583</v>
      </c>
      <c r="F323" s="57">
        <v>17200.583839999999</v>
      </c>
      <c r="G323" s="57">
        <v>34770.024075618661</v>
      </c>
      <c r="H323" s="58">
        <v>3.0262591354150103E-2</v>
      </c>
      <c r="I323" s="58">
        <v>1.0214444113670655</v>
      </c>
      <c r="J323" s="58">
        <v>0.12814731410680524</v>
      </c>
    </row>
    <row r="324" spans="1:10" ht="11.25" customHeight="1" x14ac:dyDescent="0.2">
      <c r="A324" s="67">
        <v>44652</v>
      </c>
      <c r="B324" s="57">
        <v>0</v>
      </c>
      <c r="C324" s="57">
        <v>0</v>
      </c>
      <c r="D324" s="57">
        <v>108927.03536000001</v>
      </c>
      <c r="E324" s="57">
        <v>112223.44971851874</v>
      </c>
      <c r="F324" s="57">
        <v>11935.88638</v>
      </c>
      <c r="G324" s="57">
        <v>24127.730817563279</v>
      </c>
      <c r="H324" s="58">
        <v>3.0262591354149881E-2</v>
      </c>
      <c r="I324" s="58">
        <v>1.021444411367066</v>
      </c>
      <c r="J324" s="58">
        <v>0.12814731410680524</v>
      </c>
    </row>
    <row r="325" spans="1:10" ht="11.25" customHeight="1" x14ac:dyDescent="0.2">
      <c r="A325" s="67">
        <v>44682</v>
      </c>
      <c r="B325" s="57">
        <v>0</v>
      </c>
      <c r="C325" s="57">
        <v>0</v>
      </c>
      <c r="D325" s="57">
        <v>126879.7868</v>
      </c>
      <c r="E325" s="57">
        <v>130719.49793903009</v>
      </c>
      <c r="F325" s="57">
        <v>13903.093149999999</v>
      </c>
      <c r="G325" s="57">
        <v>28104.32994878323</v>
      </c>
      <c r="H325" s="58">
        <v>3.0262591354150103E-2</v>
      </c>
      <c r="I325" s="58">
        <v>1.0214444113670655</v>
      </c>
      <c r="J325" s="58">
        <v>0.12814731410680547</v>
      </c>
    </row>
    <row r="326" spans="1:10" ht="11.25" customHeight="1" x14ac:dyDescent="0.2">
      <c r="A326" s="67">
        <v>44713</v>
      </c>
      <c r="B326" s="57">
        <v>0</v>
      </c>
      <c r="C326" s="57">
        <v>0</v>
      </c>
      <c r="D326" s="57">
        <v>473256.29415999999</v>
      </c>
      <c r="E326" s="57">
        <v>487578.2559959435</v>
      </c>
      <c r="F326" s="57">
        <v>51857.955529999999</v>
      </c>
      <c r="G326" s="57">
        <v>104827.9743910403</v>
      </c>
      <c r="H326" s="58">
        <v>3.0262591354150103E-2</v>
      </c>
      <c r="I326" s="58">
        <v>1.0214444113670655</v>
      </c>
      <c r="J326" s="58">
        <v>0.12814731410680547</v>
      </c>
    </row>
    <row r="327" spans="1:10" ht="11.25" customHeight="1" x14ac:dyDescent="0.2">
      <c r="A327" s="67">
        <v>44743</v>
      </c>
      <c r="B327" s="57">
        <v>0</v>
      </c>
      <c r="C327" s="57">
        <v>0</v>
      </c>
      <c r="D327" s="57">
        <v>120331.01184000001</v>
      </c>
      <c r="E327" s="57">
        <v>123972.54007854532</v>
      </c>
      <c r="F327" s="57">
        <v>13185.49872</v>
      </c>
      <c r="G327" s="57">
        <v>26653.752698631597</v>
      </c>
      <c r="H327" s="58">
        <v>3.0262591354150103E-2</v>
      </c>
      <c r="I327" s="58">
        <v>1.0214444113670655</v>
      </c>
      <c r="J327" s="58">
        <v>0.12814731410680547</v>
      </c>
    </row>
    <row r="328" spans="1:10" ht="11.25" customHeight="1" x14ac:dyDescent="0.2">
      <c r="A328" s="67">
        <v>44774</v>
      </c>
      <c r="B328" s="57">
        <v>0</v>
      </c>
      <c r="C328" s="57">
        <v>0</v>
      </c>
      <c r="D328" s="57">
        <v>147177.93376000001</v>
      </c>
      <c r="E328" s="57">
        <v>151631.91942572707</v>
      </c>
      <c r="F328" s="57">
        <v>16127.301080000001</v>
      </c>
      <c r="G328" s="57">
        <v>32600.442638600045</v>
      </c>
      <c r="H328" s="58">
        <v>3.0262591354150103E-2</v>
      </c>
      <c r="I328" s="58">
        <v>1.0214444113670655</v>
      </c>
      <c r="J328" s="58">
        <v>0.12814731410680524</v>
      </c>
    </row>
    <row r="329" spans="1:10" ht="11.25" customHeight="1" x14ac:dyDescent="0.2">
      <c r="A329" s="67">
        <v>44805</v>
      </c>
      <c r="B329" s="57">
        <v>0</v>
      </c>
      <c r="C329" s="57">
        <v>0</v>
      </c>
      <c r="D329" s="57">
        <v>136319.56727999999</v>
      </c>
      <c r="E329" s="57">
        <v>140444.95063816922</v>
      </c>
      <c r="F329" s="57">
        <v>14937.474990000001</v>
      </c>
      <c r="G329" s="57">
        <v>30195.275338470816</v>
      </c>
      <c r="H329" s="58">
        <v>3.0262591354150326E-2</v>
      </c>
      <c r="I329" s="58">
        <v>1.0214444113670655</v>
      </c>
      <c r="J329" s="58">
        <v>0.12814731410680569</v>
      </c>
    </row>
    <row r="330" spans="1:10" ht="11.25" customHeight="1" x14ac:dyDescent="0.2">
      <c r="A330" s="67">
        <v>44835</v>
      </c>
      <c r="B330" s="57">
        <v>0</v>
      </c>
      <c r="C330" s="57">
        <v>0</v>
      </c>
      <c r="D330" s="57">
        <v>116687.792</v>
      </c>
      <c r="E330" s="57">
        <v>120219.06696531405</v>
      </c>
      <c r="F330" s="57">
        <v>12786.285999999998</v>
      </c>
      <c r="G330" s="57">
        <v>25846.766376840951</v>
      </c>
      <c r="H330" s="58">
        <v>3.0262591354149881E-2</v>
      </c>
      <c r="I330" s="58">
        <v>1.021444411367066</v>
      </c>
      <c r="J330" s="58">
        <v>0.12814731410680524</v>
      </c>
    </row>
    <row r="331" spans="1:10" ht="11.25" customHeight="1" x14ac:dyDescent="0.2">
      <c r="A331" s="67">
        <v>44866</v>
      </c>
      <c r="B331" s="57">
        <v>0</v>
      </c>
      <c r="C331" s="57">
        <v>0</v>
      </c>
      <c r="D331" s="57">
        <v>116687.792</v>
      </c>
      <c r="E331" s="57">
        <v>120219.06696531405</v>
      </c>
      <c r="F331" s="57">
        <v>12786.285999999998</v>
      </c>
      <c r="G331" s="57">
        <v>25846.766376840951</v>
      </c>
      <c r="H331" s="58">
        <v>3.0262591354149881E-2</v>
      </c>
      <c r="I331" s="58">
        <v>1.021444411367066</v>
      </c>
      <c r="J331" s="58">
        <v>0.12814731410680524</v>
      </c>
    </row>
    <row r="332" spans="1:10" ht="11.25" customHeight="1" x14ac:dyDescent="0.2">
      <c r="A332" s="62" t="s">
        <v>47</v>
      </c>
      <c r="B332" s="57">
        <v>7548422.7999999989</v>
      </c>
      <c r="C332" s="57">
        <v>7486597.9802761534</v>
      </c>
      <c r="D332" s="57">
        <v>11755623.944799997</v>
      </c>
      <c r="E332" s="57">
        <v>16117983.091039419</v>
      </c>
      <c r="F332" s="57">
        <v>6142988.1393299997</v>
      </c>
      <c r="G332" s="57">
        <v>12802658.534844588</v>
      </c>
      <c r="H332" s="58">
        <v>0.22277890140698231</v>
      </c>
      <c r="I332" s="58">
        <v>1.0841092713294653</v>
      </c>
      <c r="J332" s="58">
        <v>0.43070655469040453</v>
      </c>
    </row>
    <row r="333" spans="1:10" ht="11.25" customHeight="1" x14ac:dyDescent="0.2">
      <c r="A333" s="63" t="s">
        <v>25</v>
      </c>
      <c r="B333" s="57">
        <v>7548422.7999999989</v>
      </c>
      <c r="C333" s="57">
        <v>7486597.9802761534</v>
      </c>
      <c r="D333" s="57">
        <v>11755623.944799997</v>
      </c>
      <c r="E333" s="57">
        <v>16117983.091039419</v>
      </c>
      <c r="F333" s="57">
        <v>6142988.1393299997</v>
      </c>
      <c r="G333" s="57">
        <v>12802658.534844588</v>
      </c>
      <c r="H333" s="58">
        <v>0.22277890140698231</v>
      </c>
      <c r="I333" s="58">
        <v>1.0841092713294653</v>
      </c>
      <c r="J333" s="58">
        <v>0.43070655469040453</v>
      </c>
    </row>
    <row r="334" spans="1:10" ht="11.25" customHeight="1" x14ac:dyDescent="0.2">
      <c r="A334" s="64" t="s">
        <v>25</v>
      </c>
      <c r="B334" s="57">
        <v>7548422.7999999989</v>
      </c>
      <c r="C334" s="57">
        <v>7486597.9802761534</v>
      </c>
      <c r="D334" s="57">
        <v>11755623.944799997</v>
      </c>
      <c r="E334" s="57">
        <v>16117983.091039419</v>
      </c>
      <c r="F334" s="57">
        <v>6142988.1393299997</v>
      </c>
      <c r="G334" s="57">
        <v>12802658.534844588</v>
      </c>
      <c r="H334" s="58">
        <v>0.22277890140698231</v>
      </c>
      <c r="I334" s="58">
        <v>1.0841092713294653</v>
      </c>
      <c r="J334" s="58">
        <v>0.43070655469040453</v>
      </c>
    </row>
    <row r="335" spans="1:10" ht="11.25" customHeight="1" x14ac:dyDescent="0.2">
      <c r="A335" s="65" t="s">
        <v>25</v>
      </c>
      <c r="B335" s="57">
        <v>7548422.7999999989</v>
      </c>
      <c r="C335" s="57">
        <v>7486597.9802761534</v>
      </c>
      <c r="D335" s="57">
        <v>11755623.944799997</v>
      </c>
      <c r="E335" s="57">
        <v>16117983.091039419</v>
      </c>
      <c r="F335" s="57">
        <v>6142988.1393299997</v>
      </c>
      <c r="G335" s="57">
        <v>12802658.534844588</v>
      </c>
      <c r="H335" s="58">
        <v>0.22277890140698231</v>
      </c>
      <c r="I335" s="58">
        <v>1.0841092713294653</v>
      </c>
      <c r="J335" s="58">
        <v>0.43070655469040453</v>
      </c>
    </row>
    <row r="336" spans="1:10" ht="11.25" customHeight="1" x14ac:dyDescent="0.2">
      <c r="A336" s="66" t="s">
        <v>35</v>
      </c>
      <c r="B336" s="57">
        <v>0</v>
      </c>
      <c r="C336" s="57">
        <v>0</v>
      </c>
      <c r="D336" s="57">
        <v>5423796.6154400008</v>
      </c>
      <c r="E336" s="57">
        <v>9594538.2586859595</v>
      </c>
      <c r="F336" s="57">
        <v>5449166.1571999993</v>
      </c>
      <c r="G336" s="57">
        <v>11400135.96658428</v>
      </c>
      <c r="H336" s="58">
        <v>0.76897087759025595</v>
      </c>
      <c r="I336" s="58">
        <v>1.0920881539868725</v>
      </c>
      <c r="J336" s="58">
        <v>0.93090647547325789</v>
      </c>
    </row>
    <row r="337" spans="1:10" ht="11.25" customHeight="1" x14ac:dyDescent="0.2">
      <c r="A337" s="67">
        <v>44531</v>
      </c>
      <c r="B337" s="57">
        <v>0</v>
      </c>
      <c r="C337" s="57">
        <v>0</v>
      </c>
      <c r="D337" s="57">
        <v>432249.39632</v>
      </c>
      <c r="E337" s="57">
        <v>764636.59394604876</v>
      </c>
      <c r="F337" s="57">
        <v>434271.22159999993</v>
      </c>
      <c r="G337" s="57">
        <v>908533.6783267674</v>
      </c>
      <c r="H337" s="58">
        <v>0.76897087759025595</v>
      </c>
      <c r="I337" s="58">
        <v>1.0920881539868712</v>
      </c>
      <c r="J337" s="58">
        <v>0.93090647547325744</v>
      </c>
    </row>
    <row r="338" spans="1:10" ht="11.25" customHeight="1" x14ac:dyDescent="0.2">
      <c r="A338" s="67">
        <v>44562</v>
      </c>
      <c r="B338" s="57">
        <v>0</v>
      </c>
      <c r="C338" s="57">
        <v>0</v>
      </c>
      <c r="D338" s="57">
        <v>371687.58760000003</v>
      </c>
      <c r="E338" s="57">
        <v>657504.51802617719</v>
      </c>
      <c r="F338" s="57">
        <v>373426.13800000004</v>
      </c>
      <c r="G338" s="57">
        <v>781240.39969886653</v>
      </c>
      <c r="H338" s="58">
        <v>0.76897087759025595</v>
      </c>
      <c r="I338" s="58">
        <v>1.0920881539868708</v>
      </c>
      <c r="J338" s="58">
        <v>0.93090647547325744</v>
      </c>
    </row>
    <row r="339" spans="1:10" ht="11.25" customHeight="1" x14ac:dyDescent="0.2">
      <c r="A339" s="67">
        <v>44593</v>
      </c>
      <c r="B339" s="57">
        <v>0</v>
      </c>
      <c r="C339" s="57">
        <v>0</v>
      </c>
      <c r="D339" s="57">
        <v>344234.37734000006</v>
      </c>
      <c r="E339" s="57">
        <v>608940.5885798753</v>
      </c>
      <c r="F339" s="57">
        <v>345844.51670000004</v>
      </c>
      <c r="G339" s="57">
        <v>723537.21650938457</v>
      </c>
      <c r="H339" s="58">
        <v>0.76897087759025617</v>
      </c>
      <c r="I339" s="58">
        <v>1.0920881539868708</v>
      </c>
      <c r="J339" s="58">
        <v>0.93090647547325722</v>
      </c>
    </row>
    <row r="340" spans="1:10" ht="11.25" customHeight="1" x14ac:dyDescent="0.2">
      <c r="A340" s="67">
        <v>44621</v>
      </c>
      <c r="B340" s="57">
        <v>0</v>
      </c>
      <c r="C340" s="57">
        <v>0</v>
      </c>
      <c r="D340" s="57">
        <v>437196.91175999999</v>
      </c>
      <c r="E340" s="57">
        <v>773388.60467583686</v>
      </c>
      <c r="F340" s="57">
        <v>439241.87879999995</v>
      </c>
      <c r="G340" s="57">
        <v>918932.73137241683</v>
      </c>
      <c r="H340" s="58">
        <v>0.76897087759025595</v>
      </c>
      <c r="I340" s="58">
        <v>1.0920881539868712</v>
      </c>
      <c r="J340" s="58">
        <v>0.93090647547325744</v>
      </c>
    </row>
    <row r="341" spans="1:10" ht="11.25" customHeight="1" x14ac:dyDescent="0.2">
      <c r="A341" s="67">
        <v>44652</v>
      </c>
      <c r="B341" s="57">
        <v>0</v>
      </c>
      <c r="C341" s="57">
        <v>0</v>
      </c>
      <c r="D341" s="57">
        <v>435149.84800000006</v>
      </c>
      <c r="E341" s="57">
        <v>769767.40849982656</v>
      </c>
      <c r="F341" s="57">
        <v>437185.24</v>
      </c>
      <c r="G341" s="57">
        <v>914630.06170190719</v>
      </c>
      <c r="H341" s="58">
        <v>0.76897087759025595</v>
      </c>
      <c r="I341" s="58">
        <v>1.0920881539868712</v>
      </c>
      <c r="J341" s="58">
        <v>0.93090647547325722</v>
      </c>
    </row>
    <row r="342" spans="1:10" ht="11.25" customHeight="1" x14ac:dyDescent="0.2">
      <c r="A342" s="67">
        <v>44682</v>
      </c>
      <c r="B342" s="57">
        <v>0</v>
      </c>
      <c r="C342" s="57">
        <v>0</v>
      </c>
      <c r="D342" s="57">
        <v>461378.80166000006</v>
      </c>
      <c r="E342" s="57">
        <v>816165.66367403092</v>
      </c>
      <c r="F342" s="57">
        <v>463536.87829999992</v>
      </c>
      <c r="G342" s="57">
        <v>969760.01202748378</v>
      </c>
      <c r="H342" s="58">
        <v>0.76897087759025595</v>
      </c>
      <c r="I342" s="58">
        <v>1.0920881539868712</v>
      </c>
      <c r="J342" s="58">
        <v>0.93090647547325722</v>
      </c>
    </row>
    <row r="343" spans="1:10" ht="11.25" customHeight="1" x14ac:dyDescent="0.2">
      <c r="A343" s="67">
        <v>44713</v>
      </c>
      <c r="B343" s="57">
        <v>0</v>
      </c>
      <c r="C343" s="57">
        <v>0</v>
      </c>
      <c r="D343" s="57">
        <v>461100.90670000005</v>
      </c>
      <c r="E343" s="57">
        <v>815674.0755827619</v>
      </c>
      <c r="F343" s="57">
        <v>463257.68349999998</v>
      </c>
      <c r="G343" s="57">
        <v>969175.91189374914</v>
      </c>
      <c r="H343" s="58">
        <v>0.76897087759025617</v>
      </c>
      <c r="I343" s="58">
        <v>1.0920881539868712</v>
      </c>
      <c r="J343" s="58">
        <v>0.93090647547325722</v>
      </c>
    </row>
    <row r="344" spans="1:10" ht="11.25" customHeight="1" x14ac:dyDescent="0.2">
      <c r="A344" s="67">
        <v>44743</v>
      </c>
      <c r="B344" s="57">
        <v>0</v>
      </c>
      <c r="C344" s="57">
        <v>0</v>
      </c>
      <c r="D344" s="57">
        <v>388405.82227999996</v>
      </c>
      <c r="E344" s="57">
        <v>687078.58829981671</v>
      </c>
      <c r="F344" s="57">
        <v>390222.57140000002</v>
      </c>
      <c r="G344" s="57">
        <v>816380.01904423605</v>
      </c>
      <c r="H344" s="58">
        <v>0.7689708775902564</v>
      </c>
      <c r="I344" s="58">
        <v>1.0920881539868712</v>
      </c>
      <c r="J344" s="58">
        <v>0.93090647547325744</v>
      </c>
    </row>
    <row r="345" spans="1:10" ht="11.25" customHeight="1" x14ac:dyDescent="0.2">
      <c r="A345" s="67">
        <v>44774</v>
      </c>
      <c r="B345" s="57">
        <v>0</v>
      </c>
      <c r="C345" s="57">
        <v>0</v>
      </c>
      <c r="D345" s="57">
        <v>463096.3526000001</v>
      </c>
      <c r="E345" s="57">
        <v>819203.96126766864</v>
      </c>
      <c r="F345" s="57">
        <v>465262.46299999999</v>
      </c>
      <c r="G345" s="57">
        <v>973370.08733705489</v>
      </c>
      <c r="H345" s="58">
        <v>0.76897087759025573</v>
      </c>
      <c r="I345" s="58">
        <v>1.0920881539868712</v>
      </c>
      <c r="J345" s="58">
        <v>0.930906475473257</v>
      </c>
    </row>
    <row r="346" spans="1:10" ht="11.25" customHeight="1" x14ac:dyDescent="0.2">
      <c r="A346" s="67">
        <v>44805</v>
      </c>
      <c r="B346" s="57">
        <v>0</v>
      </c>
      <c r="C346" s="57">
        <v>0</v>
      </c>
      <c r="D346" s="57">
        <v>555683.29781999998</v>
      </c>
      <c r="E346" s="57">
        <v>982987.57100689306</v>
      </c>
      <c r="F346" s="57">
        <v>558282.4791</v>
      </c>
      <c r="G346" s="57">
        <v>1167976.1611035329</v>
      </c>
      <c r="H346" s="58">
        <v>0.76897087759025617</v>
      </c>
      <c r="I346" s="58">
        <v>1.0920881539868712</v>
      </c>
      <c r="J346" s="58">
        <v>0.930906475473257</v>
      </c>
    </row>
    <row r="347" spans="1:10" ht="11.25" customHeight="1" x14ac:dyDescent="0.2">
      <c r="A347" s="67">
        <v>44835</v>
      </c>
      <c r="B347" s="57">
        <v>0</v>
      </c>
      <c r="C347" s="57">
        <v>0</v>
      </c>
      <c r="D347" s="57">
        <v>536806.65668000001</v>
      </c>
      <c r="E347" s="57">
        <v>949595.34256351099</v>
      </c>
      <c r="F347" s="57">
        <v>539317.54339999997</v>
      </c>
      <c r="G347" s="57">
        <v>1128299.8437844403</v>
      </c>
      <c r="H347" s="58">
        <v>0.76897087759025617</v>
      </c>
      <c r="I347" s="58">
        <v>1.0920881539868712</v>
      </c>
      <c r="J347" s="58">
        <v>0.93090647547325767</v>
      </c>
    </row>
    <row r="348" spans="1:10" ht="11.25" customHeight="1" x14ac:dyDescent="0.2">
      <c r="A348" s="67">
        <v>44866</v>
      </c>
      <c r="B348" s="57">
        <v>0</v>
      </c>
      <c r="C348" s="57">
        <v>0</v>
      </c>
      <c r="D348" s="57">
        <v>536806.65668000001</v>
      </c>
      <c r="E348" s="57">
        <v>949595.34256351099</v>
      </c>
      <c r="F348" s="57">
        <v>539317.54339999997</v>
      </c>
      <c r="G348" s="57">
        <v>1128299.8437844403</v>
      </c>
      <c r="H348" s="58">
        <v>0.76897087759025617</v>
      </c>
      <c r="I348" s="58">
        <v>1.0920881539868712</v>
      </c>
      <c r="J348" s="58">
        <v>0.93090647547325767</v>
      </c>
    </row>
    <row r="349" spans="1:10" ht="11.25" customHeight="1" x14ac:dyDescent="0.2">
      <c r="A349" s="66" t="s">
        <v>25</v>
      </c>
      <c r="B349" s="57">
        <v>7548422.7999999989</v>
      </c>
      <c r="C349" s="57">
        <v>7486597.9802761534</v>
      </c>
      <c r="D349" s="57">
        <v>0</v>
      </c>
      <c r="E349" s="57">
        <v>0</v>
      </c>
      <c r="F349" s="57">
        <v>0</v>
      </c>
      <c r="G349" s="57">
        <v>0</v>
      </c>
      <c r="H349" s="58">
        <v>-8.1904288302248052E-3</v>
      </c>
      <c r="I349" s="58">
        <v>0</v>
      </c>
      <c r="J349" s="58">
        <v>-8.1904288302248052E-3</v>
      </c>
    </row>
    <row r="350" spans="1:10" ht="11.25" customHeight="1" x14ac:dyDescent="0.2">
      <c r="A350" s="67">
        <v>44531</v>
      </c>
      <c r="B350" s="57">
        <v>635028.76</v>
      </c>
      <c r="C350" s="57">
        <v>629827.6021360741</v>
      </c>
      <c r="D350" s="57">
        <v>0</v>
      </c>
      <c r="E350" s="57">
        <v>0</v>
      </c>
      <c r="F350" s="57">
        <v>0</v>
      </c>
      <c r="G350" s="57">
        <v>0</v>
      </c>
      <c r="H350" s="58">
        <v>-8.1904288302248052E-3</v>
      </c>
      <c r="I350" s="58">
        <v>0</v>
      </c>
      <c r="J350" s="58">
        <v>-8.1904288302248052E-3</v>
      </c>
    </row>
    <row r="351" spans="1:10" ht="11.25" customHeight="1" x14ac:dyDescent="0.2">
      <c r="A351" s="67">
        <v>44562</v>
      </c>
      <c r="B351" s="57">
        <v>623804.26</v>
      </c>
      <c r="C351" s="57">
        <v>618695.03560447891</v>
      </c>
      <c r="D351" s="57">
        <v>0</v>
      </c>
      <c r="E351" s="57">
        <v>0</v>
      </c>
      <c r="F351" s="57">
        <v>0</v>
      </c>
      <c r="G351" s="57">
        <v>0</v>
      </c>
      <c r="H351" s="58">
        <v>-8.1904288302249162E-3</v>
      </c>
      <c r="I351" s="58">
        <v>0</v>
      </c>
      <c r="J351" s="58">
        <v>-8.1904288302249162E-3</v>
      </c>
    </row>
    <row r="352" spans="1:10" ht="11.25" customHeight="1" x14ac:dyDescent="0.2">
      <c r="A352" s="67">
        <v>44593</v>
      </c>
      <c r="B352" s="57">
        <v>616535.05999999994</v>
      </c>
      <c r="C352" s="57">
        <v>611485.37346973165</v>
      </c>
      <c r="D352" s="57">
        <v>0</v>
      </c>
      <c r="E352" s="57">
        <v>0</v>
      </c>
      <c r="F352" s="57">
        <v>0</v>
      </c>
      <c r="G352" s="57">
        <v>0</v>
      </c>
      <c r="H352" s="58">
        <v>-8.1904288302246941E-3</v>
      </c>
      <c r="I352" s="58">
        <v>0</v>
      </c>
      <c r="J352" s="58">
        <v>-8.1904288302246941E-3</v>
      </c>
    </row>
    <row r="353" spans="1:10" ht="11.25" customHeight="1" x14ac:dyDescent="0.2">
      <c r="A353" s="67">
        <v>44621</v>
      </c>
      <c r="B353" s="57">
        <v>643773.17999999993</v>
      </c>
      <c r="C353" s="57">
        <v>638500.40158640244</v>
      </c>
      <c r="D353" s="57">
        <v>0</v>
      </c>
      <c r="E353" s="57">
        <v>0</v>
      </c>
      <c r="F353" s="57">
        <v>0</v>
      </c>
      <c r="G353" s="57">
        <v>0</v>
      </c>
      <c r="H353" s="58">
        <v>-8.1904288302248052E-3</v>
      </c>
      <c r="I353" s="58">
        <v>0</v>
      </c>
      <c r="J353" s="58">
        <v>-8.1904288302248052E-3</v>
      </c>
    </row>
    <row r="354" spans="1:10" ht="11.25" customHeight="1" x14ac:dyDescent="0.2">
      <c r="A354" s="67">
        <v>44652</v>
      </c>
      <c r="B354" s="57">
        <v>634558.4</v>
      </c>
      <c r="C354" s="57">
        <v>629361.09458617866</v>
      </c>
      <c r="D354" s="57">
        <v>0</v>
      </c>
      <c r="E354" s="57">
        <v>0</v>
      </c>
      <c r="F354" s="57">
        <v>0</v>
      </c>
      <c r="G354" s="57">
        <v>0</v>
      </c>
      <c r="H354" s="58">
        <v>-8.1904288302249162E-3</v>
      </c>
      <c r="I354" s="58">
        <v>0</v>
      </c>
      <c r="J354" s="58">
        <v>-8.1904288302249162E-3</v>
      </c>
    </row>
    <row r="355" spans="1:10" ht="11.25" customHeight="1" x14ac:dyDescent="0.2">
      <c r="A355" s="67">
        <v>44682</v>
      </c>
      <c r="B355" s="57">
        <v>624980.15999999992</v>
      </c>
      <c r="C355" s="57">
        <v>619861.30447921762</v>
      </c>
      <c r="D355" s="57">
        <v>0</v>
      </c>
      <c r="E355" s="57">
        <v>0</v>
      </c>
      <c r="F355" s="57">
        <v>0</v>
      </c>
      <c r="G355" s="57">
        <v>0</v>
      </c>
      <c r="H355" s="58">
        <v>-8.1904288302244721E-3</v>
      </c>
      <c r="I355" s="58">
        <v>0</v>
      </c>
      <c r="J355" s="58">
        <v>-8.1904288302244721E-3</v>
      </c>
    </row>
    <row r="356" spans="1:10" ht="11.25" customHeight="1" x14ac:dyDescent="0.2">
      <c r="A356" s="67">
        <v>44713</v>
      </c>
      <c r="B356" s="57">
        <v>632954.89999999991</v>
      </c>
      <c r="C356" s="57">
        <v>627770.72793880792</v>
      </c>
      <c r="D356" s="57">
        <v>0</v>
      </c>
      <c r="E356" s="57">
        <v>0</v>
      </c>
      <c r="F356" s="57">
        <v>0</v>
      </c>
      <c r="G356" s="57">
        <v>0</v>
      </c>
      <c r="H356" s="58">
        <v>-8.1904288302246941E-3</v>
      </c>
      <c r="I356" s="58">
        <v>0</v>
      </c>
      <c r="J356" s="58">
        <v>-8.1904288302246941E-3</v>
      </c>
    </row>
    <row r="357" spans="1:10" ht="11.25" customHeight="1" x14ac:dyDescent="0.2">
      <c r="A357" s="67">
        <v>44743</v>
      </c>
      <c r="B357" s="57">
        <v>689804.32</v>
      </c>
      <c r="C357" s="57">
        <v>684154.52681025839</v>
      </c>
      <c r="D357" s="57">
        <v>0</v>
      </c>
      <c r="E357" s="57">
        <v>0</v>
      </c>
      <c r="F357" s="57">
        <v>0</v>
      </c>
      <c r="G357" s="57">
        <v>0</v>
      </c>
      <c r="H357" s="58">
        <v>-8.1904288302246941E-3</v>
      </c>
      <c r="I357" s="58">
        <v>0</v>
      </c>
      <c r="J357" s="58">
        <v>-8.1904288302246941E-3</v>
      </c>
    </row>
    <row r="358" spans="1:10" ht="11.25" customHeight="1" x14ac:dyDescent="0.2">
      <c r="A358" s="67">
        <v>44774</v>
      </c>
      <c r="B358" s="57">
        <v>487870.22</v>
      </c>
      <c r="C358" s="57">
        <v>483874.35368470388</v>
      </c>
      <c r="D358" s="57">
        <v>0</v>
      </c>
      <c r="E358" s="57">
        <v>0</v>
      </c>
      <c r="F358" s="57">
        <v>0</v>
      </c>
      <c r="G358" s="57">
        <v>0</v>
      </c>
      <c r="H358" s="58">
        <v>-8.1904288302248052E-3</v>
      </c>
      <c r="I358" s="58">
        <v>0</v>
      </c>
      <c r="J358" s="58">
        <v>-8.1904288302248052E-3</v>
      </c>
    </row>
    <row r="359" spans="1:10" ht="11.25" customHeight="1" x14ac:dyDescent="0.2">
      <c r="A359" s="67">
        <v>44805</v>
      </c>
      <c r="B359" s="57">
        <v>685164.85999999987</v>
      </c>
      <c r="C359" s="57">
        <v>679553.065977199</v>
      </c>
      <c r="D359" s="57">
        <v>0</v>
      </c>
      <c r="E359" s="57">
        <v>0</v>
      </c>
      <c r="F359" s="57">
        <v>0</v>
      </c>
      <c r="G359" s="57">
        <v>0</v>
      </c>
      <c r="H359" s="58">
        <v>-8.1904288302246941E-3</v>
      </c>
      <c r="I359" s="58">
        <v>0</v>
      </c>
      <c r="J359" s="58">
        <v>-8.1904288302246941E-3</v>
      </c>
    </row>
    <row r="360" spans="1:10" ht="11.25" customHeight="1" x14ac:dyDescent="0.2">
      <c r="A360" s="67">
        <v>44835</v>
      </c>
      <c r="B360" s="57">
        <v>636974.34</v>
      </c>
      <c r="C360" s="57">
        <v>631757.24700155051</v>
      </c>
      <c r="D360" s="57">
        <v>0</v>
      </c>
      <c r="E360" s="57">
        <v>0</v>
      </c>
      <c r="F360" s="57">
        <v>0</v>
      </c>
      <c r="G360" s="57">
        <v>0</v>
      </c>
      <c r="H360" s="58">
        <v>-8.1904288302249162E-3</v>
      </c>
      <c r="I360" s="58">
        <v>0</v>
      </c>
      <c r="J360" s="58">
        <v>-8.1904288302249162E-3</v>
      </c>
    </row>
    <row r="361" spans="1:10" ht="11.25" customHeight="1" x14ac:dyDescent="0.2">
      <c r="A361" s="67">
        <v>44866</v>
      </c>
      <c r="B361" s="57">
        <v>636974.34</v>
      </c>
      <c r="C361" s="57">
        <v>631757.24700155051</v>
      </c>
      <c r="D361" s="57">
        <v>0</v>
      </c>
      <c r="E361" s="57">
        <v>0</v>
      </c>
      <c r="F361" s="57">
        <v>0</v>
      </c>
      <c r="G361" s="57">
        <v>0</v>
      </c>
      <c r="H361" s="58">
        <v>-8.1904288302249162E-3</v>
      </c>
      <c r="I361" s="58">
        <v>0</v>
      </c>
      <c r="J361" s="58">
        <v>-8.1904288302249162E-3</v>
      </c>
    </row>
    <row r="362" spans="1:10" ht="11.25" customHeight="1" x14ac:dyDescent="0.2">
      <c r="A362" s="66" t="s">
        <v>34</v>
      </c>
      <c r="B362" s="57">
        <v>0</v>
      </c>
      <c r="C362" s="57">
        <v>0</v>
      </c>
      <c r="D362" s="57">
        <v>6331827.3293599999</v>
      </c>
      <c r="E362" s="57">
        <v>6523444.8323534625</v>
      </c>
      <c r="F362" s="57">
        <v>693821.98213000013</v>
      </c>
      <c r="G362" s="57">
        <v>1402522.5682603086</v>
      </c>
      <c r="H362" s="58">
        <v>3.0262591354150103E-2</v>
      </c>
      <c r="I362" s="58">
        <v>1.0214444113670655</v>
      </c>
      <c r="J362" s="58">
        <v>0.12814731410680524</v>
      </c>
    </row>
    <row r="363" spans="1:10" ht="11.25" customHeight="1" x14ac:dyDescent="0.2">
      <c r="A363" s="67">
        <v>44531</v>
      </c>
      <c r="B363" s="57">
        <v>0</v>
      </c>
      <c r="C363" s="57">
        <v>0</v>
      </c>
      <c r="D363" s="57">
        <v>519120.99823999999</v>
      </c>
      <c r="E363" s="57">
        <v>534830.94487309561</v>
      </c>
      <c r="F363" s="57">
        <v>56883.667419999998</v>
      </c>
      <c r="G363" s="57">
        <v>114987.17160422185</v>
      </c>
      <c r="H363" s="58">
        <v>3.0262591354150103E-2</v>
      </c>
      <c r="I363" s="58">
        <v>1.021444411367066</v>
      </c>
      <c r="J363" s="58">
        <v>0.12814731410680547</v>
      </c>
    </row>
    <row r="364" spans="1:10" ht="11.25" customHeight="1" x14ac:dyDescent="0.2">
      <c r="A364" s="67">
        <v>44562</v>
      </c>
      <c r="B364" s="57">
        <v>0</v>
      </c>
      <c r="C364" s="57">
        <v>0</v>
      </c>
      <c r="D364" s="57">
        <v>434240.08680000005</v>
      </c>
      <c r="E364" s="57">
        <v>447381.31709641911</v>
      </c>
      <c r="F364" s="57">
        <v>47582.680650000002</v>
      </c>
      <c r="G364" s="57">
        <v>96185.743877806322</v>
      </c>
      <c r="H364" s="58">
        <v>3.0262591354150103E-2</v>
      </c>
      <c r="I364" s="58">
        <v>1.0214444113670655</v>
      </c>
      <c r="J364" s="58">
        <v>0.12814731410680524</v>
      </c>
    </row>
    <row r="365" spans="1:10" ht="11.25" customHeight="1" x14ac:dyDescent="0.2">
      <c r="A365" s="67">
        <v>44593</v>
      </c>
      <c r="B365" s="57">
        <v>0</v>
      </c>
      <c r="C365" s="57">
        <v>0</v>
      </c>
      <c r="D365" s="57">
        <v>407403.34960000002</v>
      </c>
      <c r="E365" s="57">
        <v>419732.43068525672</v>
      </c>
      <c r="F365" s="57">
        <v>44641.994299999998</v>
      </c>
      <c r="G365" s="57">
        <v>90241.3098900154</v>
      </c>
      <c r="H365" s="58">
        <v>3.0262591354150103E-2</v>
      </c>
      <c r="I365" s="58">
        <v>1.0214444113670655</v>
      </c>
      <c r="J365" s="58">
        <v>0.12814731410680524</v>
      </c>
    </row>
    <row r="366" spans="1:10" ht="11.25" customHeight="1" x14ac:dyDescent="0.2">
      <c r="A366" s="67">
        <v>44621</v>
      </c>
      <c r="B366" s="57">
        <v>0</v>
      </c>
      <c r="C366" s="57">
        <v>0</v>
      </c>
      <c r="D366" s="57">
        <v>493261.99416</v>
      </c>
      <c r="E366" s="57">
        <v>508189.38031979726</v>
      </c>
      <c r="F366" s="57">
        <v>54050.118030000005</v>
      </c>
      <c r="G366" s="57">
        <v>109259.30902547378</v>
      </c>
      <c r="H366" s="58">
        <v>3.0262591354150103E-2</v>
      </c>
      <c r="I366" s="58">
        <v>1.0214444113670655</v>
      </c>
      <c r="J366" s="58">
        <v>0.12814731410680547</v>
      </c>
    </row>
    <row r="367" spans="1:10" ht="11.25" customHeight="1" x14ac:dyDescent="0.2">
      <c r="A367" s="67">
        <v>44652</v>
      </c>
      <c r="B367" s="57">
        <v>0</v>
      </c>
      <c r="C367" s="57">
        <v>0</v>
      </c>
      <c r="D367" s="57">
        <v>468111.55560000002</v>
      </c>
      <c r="E367" s="57">
        <v>482277.82431527833</v>
      </c>
      <c r="F367" s="57">
        <v>51294.211050000005</v>
      </c>
      <c r="G367" s="57">
        <v>103688.3962625053</v>
      </c>
      <c r="H367" s="58">
        <v>3.0262591354150103E-2</v>
      </c>
      <c r="I367" s="58">
        <v>1.0214444113670655</v>
      </c>
      <c r="J367" s="58">
        <v>0.12814731410680547</v>
      </c>
    </row>
    <row r="368" spans="1:10" ht="11.25" customHeight="1" x14ac:dyDescent="0.2">
      <c r="A368" s="67">
        <v>44682</v>
      </c>
      <c r="B368" s="57">
        <v>0</v>
      </c>
      <c r="C368" s="57">
        <v>0</v>
      </c>
      <c r="D368" s="57">
        <v>537674.64815999987</v>
      </c>
      <c r="E368" s="57">
        <v>553946.0763187526</v>
      </c>
      <c r="F368" s="57">
        <v>58916.718780000003</v>
      </c>
      <c r="G368" s="57">
        <v>119096.87191391604</v>
      </c>
      <c r="H368" s="58">
        <v>3.0262591354150548E-2</v>
      </c>
      <c r="I368" s="58">
        <v>1.0214444113670655</v>
      </c>
      <c r="J368" s="58">
        <v>0.12814731410680591</v>
      </c>
    </row>
    <row r="369" spans="1:10" ht="11.25" customHeight="1" x14ac:dyDescent="0.2">
      <c r="A369" s="67">
        <v>44713</v>
      </c>
      <c r="B369" s="57">
        <v>0</v>
      </c>
      <c r="C369" s="57">
        <v>0</v>
      </c>
      <c r="D369" s="57">
        <v>553983.29480000003</v>
      </c>
      <c r="E369" s="57">
        <v>570748.26486755803</v>
      </c>
      <c r="F369" s="57">
        <v>60703.769650000002</v>
      </c>
      <c r="G369" s="57">
        <v>122709.29590790618</v>
      </c>
      <c r="H369" s="58">
        <v>3.0262591354149881E-2</v>
      </c>
      <c r="I369" s="58">
        <v>1.0214444113670655</v>
      </c>
      <c r="J369" s="58">
        <v>0.12814731410680502</v>
      </c>
    </row>
    <row r="370" spans="1:10" ht="11.25" customHeight="1" x14ac:dyDescent="0.2">
      <c r="A370" s="67">
        <v>44743</v>
      </c>
      <c r="B370" s="57">
        <v>0</v>
      </c>
      <c r="C370" s="57">
        <v>0</v>
      </c>
      <c r="D370" s="57">
        <v>572363.80447999993</v>
      </c>
      <c r="E370" s="57">
        <v>589685.01640088495</v>
      </c>
      <c r="F370" s="57">
        <v>62717.848839999999</v>
      </c>
      <c r="G370" s="57">
        <v>126780.6450305824</v>
      </c>
      <c r="H370" s="58">
        <v>3.0262591354150326E-2</v>
      </c>
      <c r="I370" s="58">
        <v>1.0214444113670655</v>
      </c>
      <c r="J370" s="58">
        <v>0.12814731410680569</v>
      </c>
    </row>
    <row r="371" spans="1:10" ht="11.25" customHeight="1" x14ac:dyDescent="0.2">
      <c r="A371" s="67">
        <v>44774</v>
      </c>
      <c r="B371" s="57">
        <v>0</v>
      </c>
      <c r="C371" s="57">
        <v>0</v>
      </c>
      <c r="D371" s="57">
        <v>568738.04415999993</v>
      </c>
      <c r="E371" s="57">
        <v>585949.53117797256</v>
      </c>
      <c r="F371" s="57">
        <v>62320.549280000007</v>
      </c>
      <c r="G371" s="57">
        <v>125977.52605538181</v>
      </c>
      <c r="H371" s="58">
        <v>3.0262591354150103E-2</v>
      </c>
      <c r="I371" s="58">
        <v>1.0214444113670655</v>
      </c>
      <c r="J371" s="58">
        <v>0.12814731410680524</v>
      </c>
    </row>
    <row r="372" spans="1:10" ht="11.25" customHeight="1" x14ac:dyDescent="0.2">
      <c r="A372" s="67">
        <v>44805</v>
      </c>
      <c r="B372" s="57">
        <v>0</v>
      </c>
      <c r="C372" s="57">
        <v>0</v>
      </c>
      <c r="D372" s="57">
        <v>624353.89015999995</v>
      </c>
      <c r="E372" s="57">
        <v>643248.45679828594</v>
      </c>
      <c r="F372" s="57">
        <v>68414.761029999994</v>
      </c>
      <c r="G372" s="57">
        <v>138296.63633910683</v>
      </c>
      <c r="H372" s="58">
        <v>3.0262591354150103E-2</v>
      </c>
      <c r="I372" s="58">
        <v>1.021444411367066</v>
      </c>
      <c r="J372" s="58">
        <v>0.12814731410680547</v>
      </c>
    </row>
    <row r="373" spans="1:10" ht="11.25" customHeight="1" x14ac:dyDescent="0.2">
      <c r="A373" s="67">
        <v>44835</v>
      </c>
      <c r="B373" s="57">
        <v>0</v>
      </c>
      <c r="C373" s="57">
        <v>0</v>
      </c>
      <c r="D373" s="57">
        <v>576287.83160000003</v>
      </c>
      <c r="E373" s="57">
        <v>593727.79475008021</v>
      </c>
      <c r="F373" s="57">
        <v>63147.831550000003</v>
      </c>
      <c r="G373" s="57">
        <v>127649.83117669637</v>
      </c>
      <c r="H373" s="58">
        <v>3.0262591354150326E-2</v>
      </c>
      <c r="I373" s="58">
        <v>1.0214444113670655</v>
      </c>
      <c r="J373" s="58">
        <v>0.12814731410680547</v>
      </c>
    </row>
    <row r="374" spans="1:10" ht="11.25" customHeight="1" x14ac:dyDescent="0.2">
      <c r="A374" s="67">
        <v>44866</v>
      </c>
      <c r="B374" s="57">
        <v>0</v>
      </c>
      <c r="C374" s="57">
        <v>0</v>
      </c>
      <c r="D374" s="57">
        <v>576287.83160000003</v>
      </c>
      <c r="E374" s="57">
        <v>593727.79475008021</v>
      </c>
      <c r="F374" s="57">
        <v>63147.831550000003</v>
      </c>
      <c r="G374" s="57">
        <v>127649.83117669637</v>
      </c>
      <c r="H374" s="58">
        <v>3.0262591354150326E-2</v>
      </c>
      <c r="I374" s="58">
        <v>1.0214444113670655</v>
      </c>
      <c r="J374" s="58">
        <v>0.12814731410680547</v>
      </c>
    </row>
    <row r="375" spans="1:10" ht="11.25" customHeight="1" x14ac:dyDescent="0.2">
      <c r="A375" s="62" t="s">
        <v>51</v>
      </c>
      <c r="B375" s="57">
        <v>349630.34699999995</v>
      </c>
      <c r="C375" s="57">
        <v>346766.7245260097</v>
      </c>
      <c r="D375" s="57">
        <v>1428529.9057204002</v>
      </c>
      <c r="E375" s="57">
        <v>1937255.0226149955</v>
      </c>
      <c r="F375" s="57">
        <v>720577.9411696</v>
      </c>
      <c r="G375" s="57">
        <v>1501332.3474953477</v>
      </c>
      <c r="H375" s="58">
        <v>0.28448588570500855</v>
      </c>
      <c r="I375" s="58">
        <v>1.0835113895638724</v>
      </c>
      <c r="J375" s="58">
        <v>0.5149062450369668</v>
      </c>
    </row>
    <row r="376" spans="1:10" ht="11.25" customHeight="1" x14ac:dyDescent="0.2">
      <c r="A376" s="63" t="s">
        <v>52</v>
      </c>
      <c r="B376" s="57">
        <v>349630.34699999995</v>
      </c>
      <c r="C376" s="57">
        <v>346766.7245260097</v>
      </c>
      <c r="D376" s="57">
        <v>1428529.9057204002</v>
      </c>
      <c r="E376" s="57">
        <v>1937255.0226149955</v>
      </c>
      <c r="F376" s="57">
        <v>720577.9411696</v>
      </c>
      <c r="G376" s="57">
        <v>1501332.3474953477</v>
      </c>
      <c r="H376" s="58">
        <v>0.28448588570500855</v>
      </c>
      <c r="I376" s="58">
        <v>1.0835113895638724</v>
      </c>
      <c r="J376" s="58">
        <v>0.5149062450369668</v>
      </c>
    </row>
    <row r="377" spans="1:10" ht="11.25" customHeight="1" x14ac:dyDescent="0.2">
      <c r="A377" s="64" t="s">
        <v>25</v>
      </c>
      <c r="B377" s="57">
        <v>349630.34699999995</v>
      </c>
      <c r="C377" s="57">
        <v>346766.7245260097</v>
      </c>
      <c r="D377" s="57">
        <v>1428529.9057204002</v>
      </c>
      <c r="E377" s="57">
        <v>1937255.0226149955</v>
      </c>
      <c r="F377" s="57">
        <v>720577.9411696</v>
      </c>
      <c r="G377" s="57">
        <v>1501332.3474953477</v>
      </c>
      <c r="H377" s="58">
        <v>0.28448588570500855</v>
      </c>
      <c r="I377" s="58">
        <v>1.0835113895638724</v>
      </c>
      <c r="J377" s="58">
        <v>0.5149062450369668</v>
      </c>
    </row>
    <row r="378" spans="1:10" ht="11.25" customHeight="1" x14ac:dyDescent="0.2">
      <c r="A378" s="65" t="s">
        <v>25</v>
      </c>
      <c r="B378" s="57">
        <v>349630.34699999995</v>
      </c>
      <c r="C378" s="57">
        <v>346766.7245260097</v>
      </c>
      <c r="D378" s="57">
        <v>1428529.9057204002</v>
      </c>
      <c r="E378" s="57">
        <v>1937255.0226149955</v>
      </c>
      <c r="F378" s="57">
        <v>720577.9411696</v>
      </c>
      <c r="G378" s="57">
        <v>1501332.3474953477</v>
      </c>
      <c r="H378" s="58">
        <v>0.28448588570500855</v>
      </c>
      <c r="I378" s="58">
        <v>1.0835113895638724</v>
      </c>
      <c r="J378" s="58">
        <v>0.5149062450369668</v>
      </c>
    </row>
    <row r="379" spans="1:10" ht="11.25" customHeight="1" x14ac:dyDescent="0.2">
      <c r="A379" s="66" t="s">
        <v>35</v>
      </c>
      <c r="B379" s="57">
        <v>0</v>
      </c>
      <c r="C379" s="57">
        <v>0</v>
      </c>
      <c r="D379" s="57">
        <v>630146.03842119989</v>
      </c>
      <c r="E379" s="57">
        <v>1114709.9905959733</v>
      </c>
      <c r="F379" s="57">
        <v>633093.51550599991</v>
      </c>
      <c r="G379" s="57">
        <v>1324487.444156006</v>
      </c>
      <c r="H379" s="58">
        <v>0.7689708775902564</v>
      </c>
      <c r="I379" s="58">
        <v>1.0920881539868712</v>
      </c>
      <c r="J379" s="58">
        <v>0.930906475473257</v>
      </c>
    </row>
    <row r="380" spans="1:10" ht="11.25" customHeight="1" x14ac:dyDescent="0.2">
      <c r="A380" s="67">
        <v>44531</v>
      </c>
      <c r="B380" s="57">
        <v>0</v>
      </c>
      <c r="C380" s="57">
        <v>0</v>
      </c>
      <c r="D380" s="57">
        <v>51488.948755999998</v>
      </c>
      <c r="E380" s="57">
        <v>91082.450867101041</v>
      </c>
      <c r="F380" s="57">
        <v>51729.785779999991</v>
      </c>
      <c r="G380" s="57">
        <v>108223.27203861649</v>
      </c>
      <c r="H380" s="58">
        <v>0.76897087759025617</v>
      </c>
      <c r="I380" s="58">
        <v>1.0920881539868712</v>
      </c>
      <c r="J380" s="58">
        <v>0.93090647547325744</v>
      </c>
    </row>
    <row r="381" spans="1:10" ht="11.25" customHeight="1" x14ac:dyDescent="0.2">
      <c r="A381" s="67">
        <v>44562</v>
      </c>
      <c r="B381" s="57">
        <v>0</v>
      </c>
      <c r="C381" s="57">
        <v>0</v>
      </c>
      <c r="D381" s="57">
        <v>52198.529112799995</v>
      </c>
      <c r="E381" s="57">
        <v>92337.677853590343</v>
      </c>
      <c r="F381" s="57">
        <v>52442.685163999988</v>
      </c>
      <c r="G381" s="57">
        <v>109714.72039486741</v>
      </c>
      <c r="H381" s="58">
        <v>0.76897087759025617</v>
      </c>
      <c r="I381" s="58">
        <v>1.0920881539868712</v>
      </c>
      <c r="J381" s="58">
        <v>0.93090647547325722</v>
      </c>
    </row>
    <row r="382" spans="1:10" ht="11.25" customHeight="1" x14ac:dyDescent="0.2">
      <c r="A382" s="67">
        <v>44593</v>
      </c>
      <c r="B382" s="57">
        <v>0</v>
      </c>
      <c r="C382" s="57">
        <v>0</v>
      </c>
      <c r="D382" s="57">
        <v>43823.146502800002</v>
      </c>
      <c r="E382" s="57">
        <v>77521.869927824475</v>
      </c>
      <c r="F382" s="57">
        <v>44028.127113999995</v>
      </c>
      <c r="G382" s="57">
        <v>92110.723177427557</v>
      </c>
      <c r="H382" s="58">
        <v>0.76897087759025595</v>
      </c>
      <c r="I382" s="58">
        <v>1.0920881539868712</v>
      </c>
      <c r="J382" s="58">
        <v>0.930906475473257</v>
      </c>
    </row>
    <row r="383" spans="1:10" ht="11.25" customHeight="1" x14ac:dyDescent="0.2">
      <c r="A383" s="67">
        <v>44621</v>
      </c>
      <c r="B383" s="57">
        <v>0</v>
      </c>
      <c r="C383" s="57">
        <v>0</v>
      </c>
      <c r="D383" s="57">
        <v>56434.307123599996</v>
      </c>
      <c r="E383" s="57">
        <v>99830.645798632715</v>
      </c>
      <c r="F383" s="57">
        <v>56698.275817999987</v>
      </c>
      <c r="G383" s="57">
        <v>118617.79119031805</v>
      </c>
      <c r="H383" s="58">
        <v>0.76897087759025595</v>
      </c>
      <c r="I383" s="58">
        <v>1.0920881539868712</v>
      </c>
      <c r="J383" s="58">
        <v>0.93090647547325744</v>
      </c>
    </row>
    <row r="384" spans="1:10" ht="11.25" customHeight="1" x14ac:dyDescent="0.2">
      <c r="A384" s="67">
        <v>44652</v>
      </c>
      <c r="B384" s="57">
        <v>0</v>
      </c>
      <c r="C384" s="57">
        <v>0</v>
      </c>
      <c r="D384" s="57">
        <v>49143.166385599994</v>
      </c>
      <c r="E384" s="57">
        <v>86932.830168698798</v>
      </c>
      <c r="F384" s="57">
        <v>49373.031127999995</v>
      </c>
      <c r="G384" s="57">
        <v>103292.73354931382</v>
      </c>
      <c r="H384" s="58">
        <v>0.76897087759025617</v>
      </c>
      <c r="I384" s="58">
        <v>1.0920881539868708</v>
      </c>
      <c r="J384" s="58">
        <v>0.930906475473257</v>
      </c>
    </row>
    <row r="385" spans="1:10" ht="11.25" customHeight="1" x14ac:dyDescent="0.2">
      <c r="A385" s="67">
        <v>44682</v>
      </c>
      <c r="B385" s="57">
        <v>0</v>
      </c>
      <c r="C385" s="57">
        <v>0</v>
      </c>
      <c r="D385" s="57">
        <v>48495.515146400001</v>
      </c>
      <c r="E385" s="57">
        <v>85787.153987718761</v>
      </c>
      <c r="F385" s="57">
        <v>48722.350531999997</v>
      </c>
      <c r="G385" s="57">
        <v>101931.45238239312</v>
      </c>
      <c r="H385" s="58">
        <v>0.76897087759025595</v>
      </c>
      <c r="I385" s="58">
        <v>1.0920881539868712</v>
      </c>
      <c r="J385" s="58">
        <v>0.930906475473257</v>
      </c>
    </row>
    <row r="386" spans="1:10" ht="11.25" customHeight="1" x14ac:dyDescent="0.2">
      <c r="A386" s="67">
        <v>44713</v>
      </c>
      <c r="B386" s="57">
        <v>0</v>
      </c>
      <c r="C386" s="57">
        <v>0</v>
      </c>
      <c r="D386" s="57">
        <v>46759.859986000003</v>
      </c>
      <c r="E386" s="57">
        <v>82716.830555431923</v>
      </c>
      <c r="F386" s="57">
        <v>46978.576929999996</v>
      </c>
      <c r="G386" s="57">
        <v>98283.324286413903</v>
      </c>
      <c r="H386" s="58">
        <v>0.76897087759025595</v>
      </c>
      <c r="I386" s="58">
        <v>1.0920881539868712</v>
      </c>
      <c r="J386" s="58">
        <v>0.93090647547325722</v>
      </c>
    </row>
    <row r="387" spans="1:10" ht="11.25" customHeight="1" x14ac:dyDescent="0.2">
      <c r="A387" s="67">
        <v>44743</v>
      </c>
      <c r="B387" s="57">
        <v>0</v>
      </c>
      <c r="C387" s="57">
        <v>0</v>
      </c>
      <c r="D387" s="57">
        <v>18373.1730532</v>
      </c>
      <c r="E387" s="57">
        <v>32501.608060036851</v>
      </c>
      <c r="F387" s="57">
        <v>18459.112665999997</v>
      </c>
      <c r="G387" s="57">
        <v>38618.090941647606</v>
      </c>
      <c r="H387" s="58">
        <v>0.76897087759025617</v>
      </c>
      <c r="I387" s="58">
        <v>1.0920881539868712</v>
      </c>
      <c r="J387" s="58">
        <v>0.93090647547325767</v>
      </c>
    </row>
    <row r="388" spans="1:10" ht="11.25" customHeight="1" x14ac:dyDescent="0.2">
      <c r="A388" s="67">
        <v>44774</v>
      </c>
      <c r="B388" s="57">
        <v>0</v>
      </c>
      <c r="C388" s="57">
        <v>0</v>
      </c>
      <c r="D388" s="57">
        <v>90479.212516</v>
      </c>
      <c r="E388" s="57">
        <v>160055.09196810381</v>
      </c>
      <c r="F388" s="57">
        <v>90902.424579999992</v>
      </c>
      <c r="G388" s="57">
        <v>190175.88563250296</v>
      </c>
      <c r="H388" s="58">
        <v>0.76897087759025617</v>
      </c>
      <c r="I388" s="58">
        <v>1.0920881539868712</v>
      </c>
      <c r="J388" s="58">
        <v>0.93090647547325722</v>
      </c>
    </row>
    <row r="389" spans="1:10" ht="11.25" customHeight="1" x14ac:dyDescent="0.2">
      <c r="A389" s="67">
        <v>44805</v>
      </c>
      <c r="B389" s="57">
        <v>0</v>
      </c>
      <c r="C389" s="57">
        <v>0</v>
      </c>
      <c r="D389" s="57">
        <v>52806.727066800006</v>
      </c>
      <c r="E389" s="57">
        <v>93413.562322026337</v>
      </c>
      <c r="F389" s="57">
        <v>53053.727934000002</v>
      </c>
      <c r="G389" s="57">
        <v>110993.07573556376</v>
      </c>
      <c r="H389" s="58">
        <v>0.76897087759025617</v>
      </c>
      <c r="I389" s="58">
        <v>1.0920881539868712</v>
      </c>
      <c r="J389" s="58">
        <v>0.93090647547325744</v>
      </c>
    </row>
    <row r="390" spans="1:10" ht="11.25" customHeight="1" x14ac:dyDescent="0.2">
      <c r="A390" s="67">
        <v>44835</v>
      </c>
      <c r="B390" s="57">
        <v>0</v>
      </c>
      <c r="C390" s="57">
        <v>0</v>
      </c>
      <c r="D390" s="57">
        <v>60071.726385999995</v>
      </c>
      <c r="E390" s="57">
        <v>106265.13454340416</v>
      </c>
      <c r="F390" s="57">
        <v>60352.708929999986</v>
      </c>
      <c r="G390" s="57">
        <v>126263.18741347063</v>
      </c>
      <c r="H390" s="58">
        <v>0.76897087759025617</v>
      </c>
      <c r="I390" s="58">
        <v>1.0920881539868712</v>
      </c>
      <c r="J390" s="58">
        <v>0.93090647547325744</v>
      </c>
    </row>
    <row r="391" spans="1:10" ht="11.25" customHeight="1" x14ac:dyDescent="0.2">
      <c r="A391" s="67">
        <v>44866</v>
      </c>
      <c r="B391" s="57">
        <v>0</v>
      </c>
      <c r="C391" s="57">
        <v>0</v>
      </c>
      <c r="D391" s="57">
        <v>60071.726385999995</v>
      </c>
      <c r="E391" s="57">
        <v>106265.13454340416</v>
      </c>
      <c r="F391" s="57">
        <v>60352.708929999986</v>
      </c>
      <c r="G391" s="57">
        <v>126263.18741347063</v>
      </c>
      <c r="H391" s="58">
        <v>0.76897087759025617</v>
      </c>
      <c r="I391" s="58">
        <v>1.0920881539868712</v>
      </c>
      <c r="J391" s="58">
        <v>0.93090647547325744</v>
      </c>
    </row>
    <row r="392" spans="1:10" ht="11.25" customHeight="1" x14ac:dyDescent="0.2">
      <c r="A392" s="66" t="s">
        <v>25</v>
      </c>
      <c r="B392" s="57">
        <v>349630.34699999995</v>
      </c>
      <c r="C392" s="57">
        <v>346766.7245260097</v>
      </c>
      <c r="D392" s="57">
        <v>0</v>
      </c>
      <c r="E392" s="57">
        <v>0</v>
      </c>
      <c r="F392" s="57">
        <v>0</v>
      </c>
      <c r="G392" s="57">
        <v>0</v>
      </c>
      <c r="H392" s="58">
        <v>-8.1904288302246941E-3</v>
      </c>
      <c r="I392" s="58">
        <v>0</v>
      </c>
      <c r="J392" s="58">
        <v>-8.1904288302246941E-3</v>
      </c>
    </row>
    <row r="393" spans="1:10" ht="11.25" customHeight="1" x14ac:dyDescent="0.2">
      <c r="A393" s="67">
        <v>44531</v>
      </c>
      <c r="B393" s="57">
        <v>28240.841999999997</v>
      </c>
      <c r="C393" s="57">
        <v>28009.537393493374</v>
      </c>
      <c r="D393" s="57">
        <v>0</v>
      </c>
      <c r="E393" s="57">
        <v>0</v>
      </c>
      <c r="F393" s="57">
        <v>0</v>
      </c>
      <c r="G393" s="57">
        <v>0</v>
      </c>
      <c r="H393" s="58">
        <v>-8.1904288302248052E-3</v>
      </c>
      <c r="I393" s="58">
        <v>0</v>
      </c>
      <c r="J393" s="58">
        <v>-8.1904288302248052E-3</v>
      </c>
    </row>
    <row r="394" spans="1:10" ht="11.25" customHeight="1" x14ac:dyDescent="0.2">
      <c r="A394" s="67">
        <v>44562</v>
      </c>
      <c r="B394" s="57">
        <v>28022.766</v>
      </c>
      <c r="C394" s="57">
        <v>27793.247529450957</v>
      </c>
      <c r="D394" s="57">
        <v>0</v>
      </c>
      <c r="E394" s="57">
        <v>0</v>
      </c>
      <c r="F394" s="57">
        <v>0</v>
      </c>
      <c r="G394" s="57">
        <v>0</v>
      </c>
      <c r="H394" s="58">
        <v>-8.1904288302248052E-3</v>
      </c>
      <c r="I394" s="58">
        <v>0</v>
      </c>
      <c r="J394" s="58">
        <v>-8.1904288302248052E-3</v>
      </c>
    </row>
    <row r="395" spans="1:10" ht="11.25" customHeight="1" x14ac:dyDescent="0.2">
      <c r="A395" s="67">
        <v>44593</v>
      </c>
      <c r="B395" s="57">
        <v>27386.710999999999</v>
      </c>
      <c r="C395" s="57">
        <v>27162.402092660566</v>
      </c>
      <c r="D395" s="57">
        <v>0</v>
      </c>
      <c r="E395" s="57">
        <v>0</v>
      </c>
      <c r="F395" s="57">
        <v>0</v>
      </c>
      <c r="G395" s="57">
        <v>0</v>
      </c>
      <c r="H395" s="58">
        <v>-8.1904288302246941E-3</v>
      </c>
      <c r="I395" s="58">
        <v>0</v>
      </c>
      <c r="J395" s="58">
        <v>-8.1904288302246941E-3</v>
      </c>
    </row>
    <row r="396" spans="1:10" ht="11.25" customHeight="1" x14ac:dyDescent="0.2">
      <c r="A396" s="67">
        <v>44621</v>
      </c>
      <c r="B396" s="57">
        <v>28059.111999999997</v>
      </c>
      <c r="C396" s="57">
        <v>27829.295840124691</v>
      </c>
      <c r="D396" s="57">
        <v>0</v>
      </c>
      <c r="E396" s="57">
        <v>0</v>
      </c>
      <c r="F396" s="57">
        <v>0</v>
      </c>
      <c r="G396" s="57">
        <v>0</v>
      </c>
      <c r="H396" s="58">
        <v>-8.1904288302248052E-3</v>
      </c>
      <c r="I396" s="58">
        <v>0</v>
      </c>
      <c r="J396" s="58">
        <v>-8.1904288302248052E-3</v>
      </c>
    </row>
    <row r="397" spans="1:10" ht="11.25" customHeight="1" x14ac:dyDescent="0.2">
      <c r="A397" s="67">
        <v>44652</v>
      </c>
      <c r="B397" s="57">
        <v>28040.938999999998</v>
      </c>
      <c r="C397" s="57">
        <v>27811.271684787826</v>
      </c>
      <c r="D397" s="57">
        <v>0</v>
      </c>
      <c r="E397" s="57">
        <v>0</v>
      </c>
      <c r="F397" s="57">
        <v>0</v>
      </c>
      <c r="G397" s="57">
        <v>0</v>
      </c>
      <c r="H397" s="58">
        <v>-8.1904288302246941E-3</v>
      </c>
      <c r="I397" s="58">
        <v>0</v>
      </c>
      <c r="J397" s="58">
        <v>-8.1904288302246941E-3</v>
      </c>
    </row>
    <row r="398" spans="1:10" ht="11.25" customHeight="1" x14ac:dyDescent="0.2">
      <c r="A398" s="67">
        <v>44682</v>
      </c>
      <c r="B398" s="57">
        <v>28040.938999999998</v>
      </c>
      <c r="C398" s="57">
        <v>27811.271684787826</v>
      </c>
      <c r="D398" s="57">
        <v>0</v>
      </c>
      <c r="E398" s="57">
        <v>0</v>
      </c>
      <c r="F398" s="57">
        <v>0</v>
      </c>
      <c r="G398" s="57">
        <v>0</v>
      </c>
      <c r="H398" s="58">
        <v>-8.1904288302246941E-3</v>
      </c>
      <c r="I398" s="58">
        <v>0</v>
      </c>
      <c r="J398" s="58">
        <v>-8.1904288302246941E-3</v>
      </c>
    </row>
    <row r="399" spans="1:10" ht="11.25" customHeight="1" x14ac:dyDescent="0.2">
      <c r="A399" s="67">
        <v>44713</v>
      </c>
      <c r="B399" s="57">
        <v>29531.125</v>
      </c>
      <c r="C399" s="57">
        <v>29289.252422411028</v>
      </c>
      <c r="D399" s="57">
        <v>0</v>
      </c>
      <c r="E399" s="57">
        <v>0</v>
      </c>
      <c r="F399" s="57">
        <v>0</v>
      </c>
      <c r="G399" s="57">
        <v>0</v>
      </c>
      <c r="H399" s="58">
        <v>-8.1904288302248052E-3</v>
      </c>
      <c r="I399" s="58">
        <v>0</v>
      </c>
      <c r="J399" s="58">
        <v>-8.1904288302248052E-3</v>
      </c>
    </row>
    <row r="400" spans="1:10" ht="11.25" customHeight="1" x14ac:dyDescent="0.2">
      <c r="A400" s="67">
        <v>44743</v>
      </c>
      <c r="B400" s="57">
        <v>29385.740999999998</v>
      </c>
      <c r="C400" s="57">
        <v>29145.059179716078</v>
      </c>
      <c r="D400" s="57">
        <v>0</v>
      </c>
      <c r="E400" s="57">
        <v>0</v>
      </c>
      <c r="F400" s="57">
        <v>0</v>
      </c>
      <c r="G400" s="57">
        <v>0</v>
      </c>
      <c r="H400" s="58">
        <v>-8.1904288302248052E-3</v>
      </c>
      <c r="I400" s="58">
        <v>0</v>
      </c>
      <c r="J400" s="58">
        <v>-8.1904288302248052E-3</v>
      </c>
    </row>
    <row r="401" spans="1:10" ht="11.25" customHeight="1" x14ac:dyDescent="0.2">
      <c r="A401" s="67">
        <v>44774</v>
      </c>
      <c r="B401" s="57">
        <v>32311.594000000001</v>
      </c>
      <c r="C401" s="57">
        <v>32046.948188951883</v>
      </c>
      <c r="D401" s="57">
        <v>0</v>
      </c>
      <c r="E401" s="57">
        <v>0</v>
      </c>
      <c r="F401" s="57">
        <v>0</v>
      </c>
      <c r="G401" s="57">
        <v>0</v>
      </c>
      <c r="H401" s="58">
        <v>-8.1904288302248052E-3</v>
      </c>
      <c r="I401" s="58">
        <v>0</v>
      </c>
      <c r="J401" s="58">
        <v>-8.1904288302248052E-3</v>
      </c>
    </row>
    <row r="402" spans="1:10" ht="11.25" customHeight="1" x14ac:dyDescent="0.2">
      <c r="A402" s="67">
        <v>44805</v>
      </c>
      <c r="B402" s="57">
        <v>29694.681999999997</v>
      </c>
      <c r="C402" s="57">
        <v>29451.469820442839</v>
      </c>
      <c r="D402" s="57">
        <v>0</v>
      </c>
      <c r="E402" s="57">
        <v>0</v>
      </c>
      <c r="F402" s="57">
        <v>0</v>
      </c>
      <c r="G402" s="57">
        <v>0</v>
      </c>
      <c r="H402" s="58">
        <v>-8.1904288302248052E-3</v>
      </c>
      <c r="I402" s="58">
        <v>0</v>
      </c>
      <c r="J402" s="58">
        <v>-8.1904288302248052E-3</v>
      </c>
    </row>
    <row r="403" spans="1:10" ht="11.25" customHeight="1" x14ac:dyDescent="0.2">
      <c r="A403" s="67">
        <v>44835</v>
      </c>
      <c r="B403" s="57">
        <v>30457.947999999997</v>
      </c>
      <c r="C403" s="57">
        <v>30208.48434459131</v>
      </c>
      <c r="D403" s="57">
        <v>0</v>
      </c>
      <c r="E403" s="57">
        <v>0</v>
      </c>
      <c r="F403" s="57">
        <v>0</v>
      </c>
      <c r="G403" s="57">
        <v>0</v>
      </c>
      <c r="H403" s="58">
        <v>-8.1904288302248052E-3</v>
      </c>
      <c r="I403" s="58">
        <v>0</v>
      </c>
      <c r="J403" s="58">
        <v>-8.1904288302248052E-3</v>
      </c>
    </row>
    <row r="404" spans="1:10" ht="11.25" customHeight="1" x14ac:dyDescent="0.2">
      <c r="A404" s="67">
        <v>44866</v>
      </c>
      <c r="B404" s="57">
        <v>30457.947999999997</v>
      </c>
      <c r="C404" s="57">
        <v>30208.48434459131</v>
      </c>
      <c r="D404" s="57">
        <v>0</v>
      </c>
      <c r="E404" s="57">
        <v>0</v>
      </c>
      <c r="F404" s="57">
        <v>0</v>
      </c>
      <c r="G404" s="57">
        <v>0</v>
      </c>
      <c r="H404" s="58">
        <v>-8.1904288302248052E-3</v>
      </c>
      <c r="I404" s="58">
        <v>0</v>
      </c>
      <c r="J404" s="58">
        <v>-8.1904288302248052E-3</v>
      </c>
    </row>
    <row r="405" spans="1:10" ht="11.25" customHeight="1" x14ac:dyDescent="0.2">
      <c r="A405" s="66" t="s">
        <v>34</v>
      </c>
      <c r="B405" s="57">
        <v>0</v>
      </c>
      <c r="C405" s="57">
        <v>0</v>
      </c>
      <c r="D405" s="57">
        <v>798383.86729920004</v>
      </c>
      <c r="E405" s="57">
        <v>822545.03201902157</v>
      </c>
      <c r="F405" s="57">
        <v>87484.425663599992</v>
      </c>
      <c r="G405" s="57">
        <v>176844.90333934169</v>
      </c>
      <c r="H405" s="58">
        <v>3.0262591354149881E-2</v>
      </c>
      <c r="I405" s="58">
        <v>1.0214444113670655</v>
      </c>
      <c r="J405" s="58">
        <v>0.12814731410680502</v>
      </c>
    </row>
    <row r="406" spans="1:10" ht="11.25" customHeight="1" x14ac:dyDescent="0.2">
      <c r="A406" s="67">
        <v>44531</v>
      </c>
      <c r="B406" s="57">
        <v>0</v>
      </c>
      <c r="C406" s="57">
        <v>0</v>
      </c>
      <c r="D406" s="57">
        <v>73979.594540799997</v>
      </c>
      <c r="E406" s="57">
        <v>76218.408778933939</v>
      </c>
      <c r="F406" s="57">
        <v>8106.454306399999</v>
      </c>
      <c r="G406" s="57">
        <v>16386.746753674761</v>
      </c>
      <c r="H406" s="58">
        <v>3.0262591354150103E-2</v>
      </c>
      <c r="I406" s="58">
        <v>1.0214444113670655</v>
      </c>
      <c r="J406" s="58">
        <v>0.12814731410680524</v>
      </c>
    </row>
    <row r="407" spans="1:10" ht="11.25" customHeight="1" x14ac:dyDescent="0.2">
      <c r="A407" s="67">
        <v>44562</v>
      </c>
      <c r="B407" s="57">
        <v>0</v>
      </c>
      <c r="C407" s="57">
        <v>0</v>
      </c>
      <c r="D407" s="57">
        <v>66308.376139200001</v>
      </c>
      <c r="E407" s="57">
        <v>68315.039429657889</v>
      </c>
      <c r="F407" s="57">
        <v>7265.8660086</v>
      </c>
      <c r="G407" s="57">
        <v>14687.544236826398</v>
      </c>
      <c r="H407" s="58">
        <v>3.0262591354150103E-2</v>
      </c>
      <c r="I407" s="58">
        <v>1.0214444113670655</v>
      </c>
      <c r="J407" s="58">
        <v>0.12814731410680524</v>
      </c>
    </row>
    <row r="408" spans="1:10" ht="11.25" customHeight="1" x14ac:dyDescent="0.2">
      <c r="A408" s="67">
        <v>44593</v>
      </c>
      <c r="B408" s="57">
        <v>0</v>
      </c>
      <c r="C408" s="57">
        <v>0</v>
      </c>
      <c r="D408" s="57">
        <v>53092.654368000003</v>
      </c>
      <c r="E408" s="57">
        <v>54699.37567104592</v>
      </c>
      <c r="F408" s="57">
        <v>5817.7282439999999</v>
      </c>
      <c r="G408" s="57">
        <v>11760.214245686133</v>
      </c>
      <c r="H408" s="58">
        <v>3.0262591354150103E-2</v>
      </c>
      <c r="I408" s="58">
        <v>1.0214444113670655</v>
      </c>
      <c r="J408" s="58">
        <v>0.12814731410680524</v>
      </c>
    </row>
    <row r="409" spans="1:10" ht="11.25" customHeight="1" x14ac:dyDescent="0.2">
      <c r="A409" s="67">
        <v>44621</v>
      </c>
      <c r="B409" s="57">
        <v>0</v>
      </c>
      <c r="C409" s="57">
        <v>0</v>
      </c>
      <c r="D409" s="57">
        <v>70961.163623999993</v>
      </c>
      <c r="E409" s="57">
        <v>73108.632320768098</v>
      </c>
      <c r="F409" s="57">
        <v>7775.704017</v>
      </c>
      <c r="G409" s="57">
        <v>15718.153429609092</v>
      </c>
      <c r="H409" s="58">
        <v>3.0262591354150326E-2</v>
      </c>
      <c r="I409" s="58">
        <v>1.0214444113670655</v>
      </c>
      <c r="J409" s="58">
        <v>0.12814731410680569</v>
      </c>
    </row>
    <row r="410" spans="1:10" ht="11.25" customHeight="1" x14ac:dyDescent="0.2">
      <c r="A410" s="67">
        <v>44652</v>
      </c>
      <c r="B410" s="57">
        <v>0</v>
      </c>
      <c r="C410" s="57">
        <v>0</v>
      </c>
      <c r="D410" s="57">
        <v>59606.830379199993</v>
      </c>
      <c r="E410" s="57">
        <v>61410.687528881863</v>
      </c>
      <c r="F410" s="57">
        <v>6531.5314285999993</v>
      </c>
      <c r="G410" s="57">
        <v>13203.127704011815</v>
      </c>
      <c r="H410" s="58">
        <v>3.0262591354150103E-2</v>
      </c>
      <c r="I410" s="58">
        <v>1.0214444113670655</v>
      </c>
      <c r="J410" s="58">
        <v>0.12814731410680569</v>
      </c>
    </row>
    <row r="411" spans="1:10" ht="11.25" customHeight="1" x14ac:dyDescent="0.2">
      <c r="A411" s="67">
        <v>44682</v>
      </c>
      <c r="B411" s="57">
        <v>0</v>
      </c>
      <c r="C411" s="57">
        <v>0</v>
      </c>
      <c r="D411" s="57">
        <v>62182.138678399999</v>
      </c>
      <c r="E411" s="57">
        <v>64063.931330751511</v>
      </c>
      <c r="F411" s="57">
        <v>6813.7257172</v>
      </c>
      <c r="G411" s="57">
        <v>13773.567771621991</v>
      </c>
      <c r="H411" s="58">
        <v>3.0262591354150103E-2</v>
      </c>
      <c r="I411" s="58">
        <v>1.0214444113670655</v>
      </c>
      <c r="J411" s="58">
        <v>0.12814731410680547</v>
      </c>
    </row>
    <row r="412" spans="1:10" ht="11.25" customHeight="1" x14ac:dyDescent="0.2">
      <c r="A412" s="67">
        <v>44713</v>
      </c>
      <c r="B412" s="57">
        <v>0</v>
      </c>
      <c r="C412" s="57">
        <v>0</v>
      </c>
      <c r="D412" s="57">
        <v>61190.583438399997</v>
      </c>
      <c r="E412" s="57">
        <v>63042.369059718323</v>
      </c>
      <c r="F412" s="57">
        <v>6705.0741722000002</v>
      </c>
      <c r="G412" s="57">
        <v>13553.934713195344</v>
      </c>
      <c r="H412" s="58">
        <v>3.0262591354150103E-2</v>
      </c>
      <c r="I412" s="58">
        <v>1.0214444113670655</v>
      </c>
      <c r="J412" s="58">
        <v>0.12814731410680547</v>
      </c>
    </row>
    <row r="413" spans="1:10" ht="11.25" customHeight="1" x14ac:dyDescent="0.2">
      <c r="A413" s="67">
        <v>44743</v>
      </c>
      <c r="B413" s="57">
        <v>0</v>
      </c>
      <c r="C413" s="57">
        <v>0</v>
      </c>
      <c r="D413" s="57">
        <v>22570.532587199999</v>
      </c>
      <c r="E413" s="57">
        <v>23253.575391531958</v>
      </c>
      <c r="F413" s="57">
        <v>2473.2088925999997</v>
      </c>
      <c r="G413" s="57">
        <v>4999.4542940895981</v>
      </c>
      <c r="H413" s="58">
        <v>3.0262591354149881E-2</v>
      </c>
      <c r="I413" s="58">
        <v>1.0214444113670655</v>
      </c>
      <c r="J413" s="58">
        <v>0.12814731410680524</v>
      </c>
    </row>
    <row r="414" spans="1:10" ht="11.25" customHeight="1" x14ac:dyDescent="0.2">
      <c r="A414" s="67">
        <v>44774</v>
      </c>
      <c r="B414" s="57">
        <v>0</v>
      </c>
      <c r="C414" s="57">
        <v>0</v>
      </c>
      <c r="D414" s="57">
        <v>119019.45269759998</v>
      </c>
      <c r="E414" s="57">
        <v>122621.28975778205</v>
      </c>
      <c r="F414" s="57">
        <v>13041.782140799998</v>
      </c>
      <c r="G414" s="57">
        <v>26363.237622786961</v>
      </c>
      <c r="H414" s="58">
        <v>3.0262591354150103E-2</v>
      </c>
      <c r="I414" s="58">
        <v>1.0214444113670655</v>
      </c>
      <c r="J414" s="58">
        <v>0.12814731410680547</v>
      </c>
    </row>
    <row r="415" spans="1:10" ht="11.25" customHeight="1" x14ac:dyDescent="0.2">
      <c r="A415" s="67">
        <v>44805</v>
      </c>
      <c r="B415" s="57">
        <v>0</v>
      </c>
      <c r="C415" s="57">
        <v>0</v>
      </c>
      <c r="D415" s="57">
        <v>67812.8047792</v>
      </c>
      <c r="E415" s="57">
        <v>69864.995978811683</v>
      </c>
      <c r="F415" s="57">
        <v>7430.7166286000001</v>
      </c>
      <c r="G415" s="57">
        <v>15020.780601335791</v>
      </c>
      <c r="H415" s="58">
        <v>3.0262591354150103E-2</v>
      </c>
      <c r="I415" s="58">
        <v>1.0214444113670651</v>
      </c>
      <c r="J415" s="58">
        <v>0.12814731410680524</v>
      </c>
    </row>
    <row r="416" spans="1:10" ht="11.25" customHeight="1" x14ac:dyDescent="0.2">
      <c r="A416" s="67">
        <v>44835</v>
      </c>
      <c r="B416" s="57">
        <v>0</v>
      </c>
      <c r="C416" s="57">
        <v>0</v>
      </c>
      <c r="D416" s="57">
        <v>70829.868033599996</v>
      </c>
      <c r="E416" s="57">
        <v>72973.363385569217</v>
      </c>
      <c r="F416" s="57">
        <v>7761.3170538000004</v>
      </c>
      <c r="G416" s="57">
        <v>15689.07098325191</v>
      </c>
      <c r="H416" s="58">
        <v>3.0262591354150103E-2</v>
      </c>
      <c r="I416" s="58">
        <v>1.0214444113670655</v>
      </c>
      <c r="J416" s="58">
        <v>0.12814731410680547</v>
      </c>
    </row>
    <row r="417" spans="1:10" ht="11.25" customHeight="1" x14ac:dyDescent="0.2">
      <c r="A417" s="67">
        <v>44866</v>
      </c>
      <c r="B417" s="57">
        <v>0</v>
      </c>
      <c r="C417" s="57">
        <v>0</v>
      </c>
      <c r="D417" s="57">
        <v>70829.868033599996</v>
      </c>
      <c r="E417" s="57">
        <v>72973.363385569217</v>
      </c>
      <c r="F417" s="57">
        <v>7761.3170538000004</v>
      </c>
      <c r="G417" s="57">
        <v>15689.07098325191</v>
      </c>
      <c r="H417" s="58">
        <v>3.0262591354150103E-2</v>
      </c>
      <c r="I417" s="58">
        <v>1.0214444113670655</v>
      </c>
      <c r="J417" s="58">
        <v>0.12814731410680547</v>
      </c>
    </row>
    <row r="418" spans="1:10" ht="11.25" customHeight="1" x14ac:dyDescent="0.2">
      <c r="A418" s="60" t="s">
        <v>22</v>
      </c>
      <c r="B418" s="57">
        <v>0</v>
      </c>
      <c r="C418" s="57">
        <v>0</v>
      </c>
      <c r="D418" s="57">
        <v>221862763.54095</v>
      </c>
      <c r="E418" s="57">
        <v>252911119.04457003</v>
      </c>
      <c r="F418" s="57">
        <v>56322406.788950004</v>
      </c>
      <c r="G418" s="57">
        <v>117345738.28826536</v>
      </c>
      <c r="H418" s="58">
        <v>0.13994396810030407</v>
      </c>
      <c r="I418" s="58">
        <v>1.0834645566191883</v>
      </c>
      <c r="J418" s="58">
        <v>0.33097266433630312</v>
      </c>
    </row>
    <row r="419" spans="1:10" ht="11.25" customHeight="1" x14ac:dyDescent="0.2">
      <c r="A419" s="61" t="s">
        <v>33</v>
      </c>
      <c r="B419" s="57">
        <v>0</v>
      </c>
      <c r="C419" s="57">
        <v>0</v>
      </c>
      <c r="D419" s="57">
        <v>90112.230189999944</v>
      </c>
      <c r="E419" s="57">
        <v>105111.71421662011</v>
      </c>
      <c r="F419" s="57">
        <v>24016.29981</v>
      </c>
      <c r="G419" s="57">
        <v>50075.309145005667</v>
      </c>
      <c r="H419" s="58">
        <v>0.16645336593039595</v>
      </c>
      <c r="I419" s="58">
        <v>1.0850551309388261</v>
      </c>
      <c r="J419" s="58">
        <v>0.35975661266841708</v>
      </c>
    </row>
    <row r="420" spans="1:10" ht="11.25" customHeight="1" x14ac:dyDescent="0.2">
      <c r="A420" s="62" t="s">
        <v>24</v>
      </c>
      <c r="B420" s="57">
        <v>0</v>
      </c>
      <c r="C420" s="57">
        <v>0</v>
      </c>
      <c r="D420" s="57">
        <v>90112.230189999944</v>
      </c>
      <c r="E420" s="57">
        <v>105111.71421662011</v>
      </c>
      <c r="F420" s="57">
        <v>24016.29981</v>
      </c>
      <c r="G420" s="57">
        <v>50075.309145005667</v>
      </c>
      <c r="H420" s="58">
        <v>0.16645336593039595</v>
      </c>
      <c r="I420" s="58">
        <v>1.0850551309388261</v>
      </c>
      <c r="J420" s="58">
        <v>0.35975661266841708</v>
      </c>
    </row>
    <row r="421" spans="1:10" ht="11.25" customHeight="1" x14ac:dyDescent="0.2">
      <c r="A421" s="63" t="s">
        <v>24</v>
      </c>
      <c r="B421" s="57">
        <v>0</v>
      </c>
      <c r="C421" s="57">
        <v>0</v>
      </c>
      <c r="D421" s="57">
        <v>90112.230189999944</v>
      </c>
      <c r="E421" s="57">
        <v>105111.71421662011</v>
      </c>
      <c r="F421" s="57">
        <v>24016.29981</v>
      </c>
      <c r="G421" s="57">
        <v>50075.309145005667</v>
      </c>
      <c r="H421" s="58">
        <v>0.16645336593039595</v>
      </c>
      <c r="I421" s="58">
        <v>1.0850551309388261</v>
      </c>
      <c r="J421" s="58">
        <v>0.35975661266841708</v>
      </c>
    </row>
    <row r="422" spans="1:10" ht="11.25" customHeight="1" x14ac:dyDescent="0.2">
      <c r="A422" s="64" t="s">
        <v>25</v>
      </c>
      <c r="B422" s="57">
        <v>0</v>
      </c>
      <c r="C422" s="57">
        <v>0</v>
      </c>
      <c r="D422" s="57">
        <v>90112.230189999944</v>
      </c>
      <c r="E422" s="57">
        <v>105111.71421662011</v>
      </c>
      <c r="F422" s="57">
        <v>24016.29981</v>
      </c>
      <c r="G422" s="57">
        <v>50075.309145005667</v>
      </c>
      <c r="H422" s="58">
        <v>0.16645336593039595</v>
      </c>
      <c r="I422" s="58">
        <v>1.0850551309388261</v>
      </c>
      <c r="J422" s="58">
        <v>0.35975661266841708</v>
      </c>
    </row>
    <row r="423" spans="1:10" ht="11.25" customHeight="1" x14ac:dyDescent="0.2">
      <c r="A423" s="65" t="s">
        <v>25</v>
      </c>
      <c r="B423" s="57">
        <v>0</v>
      </c>
      <c r="C423" s="57">
        <v>0</v>
      </c>
      <c r="D423" s="57">
        <v>90112.230189999944</v>
      </c>
      <c r="E423" s="57">
        <v>105111.71421662011</v>
      </c>
      <c r="F423" s="57">
        <v>24016.29981</v>
      </c>
      <c r="G423" s="57">
        <v>50075.309145005667</v>
      </c>
      <c r="H423" s="58">
        <v>0.16645336593039595</v>
      </c>
      <c r="I423" s="58">
        <v>1.0850551309388261</v>
      </c>
      <c r="J423" s="58">
        <v>0.35975661266841708</v>
      </c>
    </row>
    <row r="424" spans="1:10" ht="11.25" customHeight="1" x14ac:dyDescent="0.2">
      <c r="A424" s="66" t="s">
        <v>35</v>
      </c>
      <c r="B424" s="57">
        <v>0</v>
      </c>
      <c r="C424" s="57">
        <v>0</v>
      </c>
      <c r="D424" s="57">
        <v>63449.313559999995</v>
      </c>
      <c r="E424" s="57">
        <v>77180.960200706759</v>
      </c>
      <c r="F424" s="57">
        <v>20256.469400000002</v>
      </c>
      <c r="G424" s="57">
        <v>42378.319673337537</v>
      </c>
      <c r="H424" s="58">
        <v>0.21641915207989793</v>
      </c>
      <c r="I424" s="58">
        <v>1.0920881539868712</v>
      </c>
      <c r="J424" s="58">
        <v>0.42832759752306959</v>
      </c>
    </row>
    <row r="425" spans="1:10" ht="11.25" customHeight="1" x14ac:dyDescent="0.2">
      <c r="A425" s="67">
        <v>44531</v>
      </c>
      <c r="B425" s="57">
        <v>0</v>
      </c>
      <c r="C425" s="57">
        <v>0</v>
      </c>
      <c r="D425" s="57">
        <v>6376.7732399999995</v>
      </c>
      <c r="E425" s="57">
        <v>7756.8290976065828</v>
      </c>
      <c r="F425" s="57">
        <v>2035.8125999999997</v>
      </c>
      <c r="G425" s="57">
        <v>4259.0994241972121</v>
      </c>
      <c r="H425" s="58">
        <v>0.21641915207989793</v>
      </c>
      <c r="I425" s="58">
        <v>1.0920881539868712</v>
      </c>
      <c r="J425" s="58">
        <v>0.42832759752306959</v>
      </c>
    </row>
    <row r="426" spans="1:10" ht="11.25" customHeight="1" x14ac:dyDescent="0.2">
      <c r="A426" s="67">
        <v>44562</v>
      </c>
      <c r="B426" s="57">
        <v>0</v>
      </c>
      <c r="C426" s="57">
        <v>0</v>
      </c>
      <c r="D426" s="57">
        <v>4929.0332199999993</v>
      </c>
      <c r="E426" s="57">
        <v>5995.7704100460487</v>
      </c>
      <c r="F426" s="57">
        <v>1573.6152999999999</v>
      </c>
      <c r="G426" s="57">
        <v>3292.1419280624959</v>
      </c>
      <c r="H426" s="58">
        <v>0.21641915207989793</v>
      </c>
      <c r="I426" s="58">
        <v>1.0920881539868708</v>
      </c>
      <c r="J426" s="58">
        <v>0.42832759752307004</v>
      </c>
    </row>
    <row r="427" spans="1:10" ht="11.25" customHeight="1" x14ac:dyDescent="0.2">
      <c r="A427" s="67">
        <v>44593</v>
      </c>
      <c r="B427" s="57">
        <v>0</v>
      </c>
      <c r="C427" s="57">
        <v>0</v>
      </c>
      <c r="D427" s="57">
        <v>4680.36942</v>
      </c>
      <c r="E427" s="57">
        <v>5693.2910012970842</v>
      </c>
      <c r="F427" s="57">
        <v>1494.2283</v>
      </c>
      <c r="G427" s="57">
        <v>3126.0573257819406</v>
      </c>
      <c r="H427" s="58">
        <v>0.21641915207989815</v>
      </c>
      <c r="I427" s="58">
        <v>1.0920881539868712</v>
      </c>
      <c r="J427" s="58">
        <v>0.42832759752306981</v>
      </c>
    </row>
    <row r="428" spans="1:10" ht="11.25" customHeight="1" x14ac:dyDescent="0.2">
      <c r="A428" s="67">
        <v>44621</v>
      </c>
      <c r="B428" s="57">
        <v>0</v>
      </c>
      <c r="C428" s="57">
        <v>0</v>
      </c>
      <c r="D428" s="57">
        <v>4505.65888</v>
      </c>
      <c r="E428" s="57">
        <v>5480.7697543708628</v>
      </c>
      <c r="F428" s="57">
        <v>1438.4512</v>
      </c>
      <c r="G428" s="57">
        <v>3009.3667156081992</v>
      </c>
      <c r="H428" s="58">
        <v>0.21641915207989793</v>
      </c>
      <c r="I428" s="58">
        <v>1.0920881539868708</v>
      </c>
      <c r="J428" s="58">
        <v>0.42832759752306959</v>
      </c>
    </row>
    <row r="429" spans="1:10" ht="11.25" customHeight="1" x14ac:dyDescent="0.2">
      <c r="A429" s="67">
        <v>44652</v>
      </c>
      <c r="B429" s="57">
        <v>0</v>
      </c>
      <c r="C429" s="57">
        <v>0</v>
      </c>
      <c r="D429" s="57">
        <v>4759.8126600000005</v>
      </c>
      <c r="E429" s="57">
        <v>5789.9272799363634</v>
      </c>
      <c r="F429" s="57">
        <v>1519.5908999999999</v>
      </c>
      <c r="G429" s="57">
        <v>3179.1181207962481</v>
      </c>
      <c r="H429" s="58">
        <v>0.2164191520798977</v>
      </c>
      <c r="I429" s="58">
        <v>1.0920881539868712</v>
      </c>
      <c r="J429" s="58">
        <v>0.42832759752306959</v>
      </c>
    </row>
    <row r="430" spans="1:10" ht="11.25" customHeight="1" x14ac:dyDescent="0.2">
      <c r="A430" s="67">
        <v>44682</v>
      </c>
      <c r="B430" s="57">
        <v>0</v>
      </c>
      <c r="C430" s="57">
        <v>0</v>
      </c>
      <c r="D430" s="57">
        <v>4390.6922400000003</v>
      </c>
      <c r="E430" s="57">
        <v>5340.9221316245876</v>
      </c>
      <c r="F430" s="57">
        <v>1401.7475999999999</v>
      </c>
      <c r="G430" s="57">
        <v>2932.579548839527</v>
      </c>
      <c r="H430" s="58">
        <v>0.2164191520798977</v>
      </c>
      <c r="I430" s="58">
        <v>1.0920881539868712</v>
      </c>
      <c r="J430" s="58">
        <v>0.42832759752306981</v>
      </c>
    </row>
    <row r="431" spans="1:10" ht="11.25" customHeight="1" x14ac:dyDescent="0.2">
      <c r="A431" s="67">
        <v>44713</v>
      </c>
      <c r="B431" s="57">
        <v>0</v>
      </c>
      <c r="C431" s="57">
        <v>0</v>
      </c>
      <c r="D431" s="57">
        <v>6308.6328999999996</v>
      </c>
      <c r="E431" s="57">
        <v>7673.9418830013474</v>
      </c>
      <c r="F431" s="57">
        <v>2014.0584999999999</v>
      </c>
      <c r="G431" s="57">
        <v>4213.5879292865666</v>
      </c>
      <c r="H431" s="58">
        <v>0.21641915207989793</v>
      </c>
      <c r="I431" s="58">
        <v>1.0920881539868712</v>
      </c>
      <c r="J431" s="58">
        <v>0.42832759752306981</v>
      </c>
    </row>
    <row r="432" spans="1:10" ht="11.25" customHeight="1" x14ac:dyDescent="0.2">
      <c r="A432" s="67">
        <v>44743</v>
      </c>
      <c r="B432" s="57">
        <v>0</v>
      </c>
      <c r="C432" s="57">
        <v>0</v>
      </c>
      <c r="D432" s="57">
        <v>8547.8988600000012</v>
      </c>
      <c r="E432" s="57">
        <v>10397.827883345926</v>
      </c>
      <c r="F432" s="57">
        <v>2728.9539</v>
      </c>
      <c r="G432" s="57">
        <v>5709.2121269662721</v>
      </c>
      <c r="H432" s="58">
        <v>0.2164191520798977</v>
      </c>
      <c r="I432" s="58">
        <v>1.0920881539868712</v>
      </c>
      <c r="J432" s="58">
        <v>0.42832759752306937</v>
      </c>
    </row>
    <row r="433" spans="1:10" ht="11.25" customHeight="1" x14ac:dyDescent="0.2">
      <c r="A433" s="67">
        <v>44774</v>
      </c>
      <c r="B433" s="57">
        <v>0</v>
      </c>
      <c r="C433" s="57">
        <v>0</v>
      </c>
      <c r="D433" s="57">
        <v>99.142579999999725</v>
      </c>
      <c r="E433" s="57">
        <v>120.598933098614</v>
      </c>
      <c r="F433" s="57">
        <v>31.651699999999892</v>
      </c>
      <c r="G433" s="57">
        <v>66.21814662354609</v>
      </c>
      <c r="H433" s="58">
        <v>0.21641915207990681</v>
      </c>
      <c r="I433" s="58">
        <v>1.0920881539868734</v>
      </c>
      <c r="J433" s="58">
        <v>0.42832759752307692</v>
      </c>
    </row>
    <row r="434" spans="1:10" ht="11.25" customHeight="1" x14ac:dyDescent="0.2">
      <c r="A434" s="67">
        <v>44805</v>
      </c>
      <c r="B434" s="57">
        <v>0</v>
      </c>
      <c r="C434" s="57">
        <v>0</v>
      </c>
      <c r="D434" s="57">
        <v>6352.2298000000001</v>
      </c>
      <c r="E434" s="57">
        <v>7726.9739871326601</v>
      </c>
      <c r="F434" s="57">
        <v>2027.9770000000001</v>
      </c>
      <c r="G434" s="57">
        <v>4242.7066582578327</v>
      </c>
      <c r="H434" s="58">
        <v>0.21641915207989793</v>
      </c>
      <c r="I434" s="58">
        <v>1.0920881539868708</v>
      </c>
      <c r="J434" s="58">
        <v>0.42832759752307004</v>
      </c>
    </row>
    <row r="435" spans="1:10" ht="11.25" customHeight="1" x14ac:dyDescent="0.2">
      <c r="A435" s="67">
        <v>44835</v>
      </c>
      <c r="B435" s="57">
        <v>0</v>
      </c>
      <c r="C435" s="57">
        <v>0</v>
      </c>
      <c r="D435" s="57">
        <v>6249.5348800000002</v>
      </c>
      <c r="E435" s="57">
        <v>7602.0539196233467</v>
      </c>
      <c r="F435" s="57">
        <v>1995.1912</v>
      </c>
      <c r="G435" s="57">
        <v>4174.1158744588502</v>
      </c>
      <c r="H435" s="58">
        <v>0.21641915207989793</v>
      </c>
      <c r="I435" s="58">
        <v>1.0920881539868712</v>
      </c>
      <c r="J435" s="58">
        <v>0.42832759752306981</v>
      </c>
    </row>
    <row r="436" spans="1:10" ht="11.25" customHeight="1" x14ac:dyDescent="0.2">
      <c r="A436" s="67">
        <v>44866</v>
      </c>
      <c r="B436" s="57">
        <v>0</v>
      </c>
      <c r="C436" s="57">
        <v>0</v>
      </c>
      <c r="D436" s="57">
        <v>6249.5348800000002</v>
      </c>
      <c r="E436" s="57">
        <v>7602.0539196233467</v>
      </c>
      <c r="F436" s="57">
        <v>1995.1912</v>
      </c>
      <c r="G436" s="57">
        <v>4174.1158744588502</v>
      </c>
      <c r="H436" s="58">
        <v>0.21641915207989793</v>
      </c>
      <c r="I436" s="58">
        <v>1.0920881539868712</v>
      </c>
      <c r="J436" s="58">
        <v>0.42832759752306981</v>
      </c>
    </row>
    <row r="437" spans="1:10" ht="11.25" customHeight="1" x14ac:dyDescent="0.2">
      <c r="A437" s="66" t="s">
        <v>36</v>
      </c>
      <c r="B437" s="57">
        <v>0</v>
      </c>
      <c r="C437" s="57">
        <v>0</v>
      </c>
      <c r="D437" s="57">
        <v>9667.1164700000008</v>
      </c>
      <c r="E437" s="57">
        <v>10377.738298991771</v>
      </c>
      <c r="F437" s="57">
        <v>1368.8587</v>
      </c>
      <c r="G437" s="57">
        <v>2863.7730707518685</v>
      </c>
      <c r="H437" s="58">
        <v>7.350918251549432E-2</v>
      </c>
      <c r="I437" s="58">
        <v>1.0920881539868712</v>
      </c>
      <c r="J437" s="58">
        <v>0.19984968847511797</v>
      </c>
    </row>
    <row r="438" spans="1:10" ht="11.25" customHeight="1" x14ac:dyDescent="0.2">
      <c r="A438" s="67">
        <v>44531</v>
      </c>
      <c r="B438" s="57">
        <v>0</v>
      </c>
      <c r="C438" s="57">
        <v>0</v>
      </c>
      <c r="D438" s="57">
        <v>1064.4968200000001</v>
      </c>
      <c r="E438" s="57">
        <v>1142.7471110285433</v>
      </c>
      <c r="F438" s="57">
        <v>150.73219999999998</v>
      </c>
      <c r="G438" s="57">
        <v>315.34505004437983</v>
      </c>
      <c r="H438" s="58">
        <v>7.3509182515494098E-2</v>
      </c>
      <c r="I438" s="58">
        <v>1.0920881539868712</v>
      </c>
      <c r="J438" s="58">
        <v>0.19984968847511819</v>
      </c>
    </row>
    <row r="439" spans="1:10" ht="11.25" customHeight="1" x14ac:dyDescent="0.2">
      <c r="A439" s="67">
        <v>44562</v>
      </c>
      <c r="B439" s="57">
        <v>0</v>
      </c>
      <c r="C439" s="57">
        <v>0</v>
      </c>
      <c r="D439" s="57">
        <v>788.54313000000013</v>
      </c>
      <c r="E439" s="57">
        <v>846.50829086450926</v>
      </c>
      <c r="F439" s="57">
        <v>111.65729999999999</v>
      </c>
      <c r="G439" s="57">
        <v>233.59691463615826</v>
      </c>
      <c r="H439" s="58">
        <v>7.350918251549432E-2</v>
      </c>
      <c r="I439" s="58">
        <v>1.0920881539868712</v>
      </c>
      <c r="J439" s="58">
        <v>0.19984968847511819</v>
      </c>
    </row>
    <row r="440" spans="1:10" ht="11.25" customHeight="1" x14ac:dyDescent="0.2">
      <c r="A440" s="67">
        <v>44593</v>
      </c>
      <c r="B440" s="57">
        <v>0</v>
      </c>
      <c r="C440" s="57">
        <v>0</v>
      </c>
      <c r="D440" s="57">
        <v>686.60772999999995</v>
      </c>
      <c r="E440" s="57">
        <v>737.07970294111919</v>
      </c>
      <c r="F440" s="57">
        <v>97.223299999999995</v>
      </c>
      <c r="G440" s="57">
        <v>203.39971422151174</v>
      </c>
      <c r="H440" s="58">
        <v>7.350918251549432E-2</v>
      </c>
      <c r="I440" s="58">
        <v>1.0920881539868712</v>
      </c>
      <c r="J440" s="58">
        <v>0.19984968847511819</v>
      </c>
    </row>
    <row r="441" spans="1:10" ht="11.25" customHeight="1" x14ac:dyDescent="0.2">
      <c r="A441" s="67">
        <v>44621</v>
      </c>
      <c r="B441" s="57">
        <v>0</v>
      </c>
      <c r="C441" s="57">
        <v>0</v>
      </c>
      <c r="D441" s="57">
        <v>609.42806999999993</v>
      </c>
      <c r="E441" s="57">
        <v>654.22662922769541</v>
      </c>
      <c r="F441" s="57">
        <v>86.294699999999992</v>
      </c>
      <c r="G441" s="57">
        <v>180.53611962185082</v>
      </c>
      <c r="H441" s="58">
        <v>7.350918251549432E-2</v>
      </c>
      <c r="I441" s="58">
        <v>1.0920881539868708</v>
      </c>
      <c r="J441" s="58">
        <v>0.19984968847511819</v>
      </c>
    </row>
    <row r="442" spans="1:10" ht="11.25" customHeight="1" x14ac:dyDescent="0.2">
      <c r="A442" s="67">
        <v>44652</v>
      </c>
      <c r="B442" s="57">
        <v>0</v>
      </c>
      <c r="C442" s="57">
        <v>0</v>
      </c>
      <c r="D442" s="57">
        <v>729.56622000000004</v>
      </c>
      <c r="E442" s="57">
        <v>783.19603642311927</v>
      </c>
      <c r="F442" s="57">
        <v>103.30619999999999</v>
      </c>
      <c r="G442" s="57">
        <v>216.12567725339849</v>
      </c>
      <c r="H442" s="58">
        <v>7.350918251549432E-2</v>
      </c>
      <c r="I442" s="58">
        <v>1.0920881539868712</v>
      </c>
      <c r="J442" s="58">
        <v>0.19984968847511819</v>
      </c>
    </row>
    <row r="443" spans="1:10" ht="11.25" customHeight="1" x14ac:dyDescent="0.2">
      <c r="A443" s="67">
        <v>44682</v>
      </c>
      <c r="B443" s="57">
        <v>0</v>
      </c>
      <c r="C443" s="57">
        <v>0</v>
      </c>
      <c r="D443" s="57">
        <v>653.11467000000005</v>
      </c>
      <c r="E443" s="57">
        <v>701.12459548057689</v>
      </c>
      <c r="F443" s="57">
        <v>92.480699999999999</v>
      </c>
      <c r="G443" s="57">
        <v>193.47777694241361</v>
      </c>
      <c r="H443" s="58">
        <v>7.350918251549432E-2</v>
      </c>
      <c r="I443" s="58">
        <v>1.0920881539868708</v>
      </c>
      <c r="J443" s="58">
        <v>0.19984968847511819</v>
      </c>
    </row>
    <row r="444" spans="1:10" ht="11.25" customHeight="1" x14ac:dyDescent="0.2">
      <c r="A444" s="67">
        <v>44713</v>
      </c>
      <c r="B444" s="57">
        <v>0</v>
      </c>
      <c r="C444" s="57">
        <v>0</v>
      </c>
      <c r="D444" s="57">
        <v>955.28032000000007</v>
      </c>
      <c r="E444" s="57">
        <v>1025.5021953963399</v>
      </c>
      <c r="F444" s="57">
        <v>135.2672</v>
      </c>
      <c r="G444" s="57">
        <v>282.99090674297287</v>
      </c>
      <c r="H444" s="58">
        <v>7.350918251549432E-2</v>
      </c>
      <c r="I444" s="58">
        <v>1.0920881539868708</v>
      </c>
      <c r="J444" s="58">
        <v>0.19984968847511797</v>
      </c>
    </row>
    <row r="445" spans="1:10" ht="11.25" customHeight="1" x14ac:dyDescent="0.2">
      <c r="A445" s="67">
        <v>44743</v>
      </c>
      <c r="B445" s="57">
        <v>0</v>
      </c>
      <c r="C445" s="57">
        <v>0</v>
      </c>
      <c r="D445" s="57">
        <v>1222.4966899999999</v>
      </c>
      <c r="E445" s="57">
        <v>1312.3614223097977</v>
      </c>
      <c r="F445" s="57">
        <v>173.10489999999999</v>
      </c>
      <c r="G445" s="57">
        <v>362.15071068708193</v>
      </c>
      <c r="H445" s="58">
        <v>7.350918251549432E-2</v>
      </c>
      <c r="I445" s="58">
        <v>1.0920881539868712</v>
      </c>
      <c r="J445" s="58">
        <v>0.19984968847511819</v>
      </c>
    </row>
    <row r="446" spans="1:10" ht="11.25" customHeight="1" x14ac:dyDescent="0.2">
      <c r="A446" s="67">
        <v>44774</v>
      </c>
      <c r="B446" s="57">
        <v>0</v>
      </c>
      <c r="C446" s="57">
        <v>0</v>
      </c>
      <c r="D446" s="57">
        <v>257.02283</v>
      </c>
      <c r="E446" s="57">
        <v>275.91636812111904</v>
      </c>
      <c r="F446" s="57">
        <v>36.394300000000015</v>
      </c>
      <c r="G446" s="57">
        <v>76.140083902644392</v>
      </c>
      <c r="H446" s="58">
        <v>7.3509182515494986E-2</v>
      </c>
      <c r="I446" s="58">
        <v>1.0920881539868703</v>
      </c>
      <c r="J446" s="58">
        <v>0.19984968847511864</v>
      </c>
    </row>
    <row r="447" spans="1:10" ht="11.25" customHeight="1" x14ac:dyDescent="0.2">
      <c r="A447" s="67">
        <v>44805</v>
      </c>
      <c r="B447" s="57">
        <v>0</v>
      </c>
      <c r="C447" s="57">
        <v>0</v>
      </c>
      <c r="D447" s="57">
        <v>919.6029299999999</v>
      </c>
      <c r="E447" s="57">
        <v>987.20218962315323</v>
      </c>
      <c r="F447" s="57">
        <v>130.21529999999998</v>
      </c>
      <c r="G447" s="57">
        <v>272.42188659784659</v>
      </c>
      <c r="H447" s="58">
        <v>7.350918251549432E-2</v>
      </c>
      <c r="I447" s="58">
        <v>1.0920881539868712</v>
      </c>
      <c r="J447" s="58">
        <v>0.19984968847511819</v>
      </c>
    </row>
    <row r="448" spans="1:10" ht="11.25" customHeight="1" x14ac:dyDescent="0.2">
      <c r="A448" s="67">
        <v>44835</v>
      </c>
      <c r="B448" s="57">
        <v>0</v>
      </c>
      <c r="C448" s="57">
        <v>0</v>
      </c>
      <c r="D448" s="57">
        <v>890.47853000000009</v>
      </c>
      <c r="E448" s="57">
        <v>955.93687878789922</v>
      </c>
      <c r="F448" s="57">
        <v>126.0913</v>
      </c>
      <c r="G448" s="57">
        <v>263.79411505080475</v>
      </c>
      <c r="H448" s="58">
        <v>7.350918251549432E-2</v>
      </c>
      <c r="I448" s="58">
        <v>1.0920881539868708</v>
      </c>
      <c r="J448" s="58">
        <v>0.19984968847511797</v>
      </c>
    </row>
    <row r="449" spans="1:10" ht="11.25" customHeight="1" x14ac:dyDescent="0.2">
      <c r="A449" s="67">
        <v>44866</v>
      </c>
      <c r="B449" s="57">
        <v>0</v>
      </c>
      <c r="C449" s="57">
        <v>0</v>
      </c>
      <c r="D449" s="57">
        <v>890.47853000000009</v>
      </c>
      <c r="E449" s="57">
        <v>955.93687878789922</v>
      </c>
      <c r="F449" s="57">
        <v>126.0913</v>
      </c>
      <c r="G449" s="57">
        <v>263.79411505080475</v>
      </c>
      <c r="H449" s="58">
        <v>7.350918251549432E-2</v>
      </c>
      <c r="I449" s="58">
        <v>1.0920881539868708</v>
      </c>
      <c r="J449" s="58">
        <v>0.19984968847511797</v>
      </c>
    </row>
    <row r="450" spans="1:10" ht="11.25" customHeight="1" x14ac:dyDescent="0.2">
      <c r="A450" s="66" t="s">
        <v>34</v>
      </c>
      <c r="B450" s="57">
        <v>0</v>
      </c>
      <c r="C450" s="57">
        <v>0</v>
      </c>
      <c r="D450" s="57">
        <v>16995.800159999999</v>
      </c>
      <c r="E450" s="57">
        <v>17553.015716921615</v>
      </c>
      <c r="F450" s="57">
        <v>2390.9717099999998</v>
      </c>
      <c r="G450" s="57">
        <v>4833.2164009162552</v>
      </c>
      <c r="H450" s="58">
        <v>3.2785485336137787E-2</v>
      </c>
      <c r="I450" s="58">
        <v>1.0214444113670655</v>
      </c>
      <c r="J450" s="58">
        <v>0.15471684857855927</v>
      </c>
    </row>
    <row r="451" spans="1:10" ht="11.25" customHeight="1" x14ac:dyDescent="0.2">
      <c r="A451" s="67">
        <v>44531</v>
      </c>
      <c r="B451" s="57">
        <v>0</v>
      </c>
      <c r="C451" s="57">
        <v>0</v>
      </c>
      <c r="D451" s="57">
        <v>1873.3118400000001</v>
      </c>
      <c r="E451" s="57">
        <v>1934.7292778603339</v>
      </c>
      <c r="F451" s="57">
        <v>263.53779000000003</v>
      </c>
      <c r="G451" s="57">
        <v>532.72699277952734</v>
      </c>
      <c r="H451" s="58">
        <v>3.2785485336138009E-2</v>
      </c>
      <c r="I451" s="58">
        <v>1.0214444113670655</v>
      </c>
      <c r="J451" s="58">
        <v>0.1547168485785595</v>
      </c>
    </row>
    <row r="452" spans="1:10" ht="11.25" customHeight="1" x14ac:dyDescent="0.2">
      <c r="A452" s="67">
        <v>44562</v>
      </c>
      <c r="B452" s="57">
        <v>0</v>
      </c>
      <c r="C452" s="57">
        <v>0</v>
      </c>
      <c r="D452" s="57">
        <v>1442.66544</v>
      </c>
      <c r="E452" s="57">
        <v>1489.9639266280733</v>
      </c>
      <c r="F452" s="57">
        <v>202.95439000000005</v>
      </c>
      <c r="G452" s="57">
        <v>410.2610174279119</v>
      </c>
      <c r="H452" s="58">
        <v>3.2785485336138231E-2</v>
      </c>
      <c r="I452" s="58">
        <v>1.0214444113670651</v>
      </c>
      <c r="J452" s="58">
        <v>0.15471684857855972</v>
      </c>
    </row>
    <row r="453" spans="1:10" ht="11.25" customHeight="1" x14ac:dyDescent="0.2">
      <c r="A453" s="67">
        <v>44593</v>
      </c>
      <c r="B453" s="57">
        <v>0</v>
      </c>
      <c r="C453" s="57">
        <v>0</v>
      </c>
      <c r="D453" s="57">
        <v>945.15551999999991</v>
      </c>
      <c r="E453" s="57">
        <v>976.14290244132985</v>
      </c>
      <c r="F453" s="57">
        <v>132.96462</v>
      </c>
      <c r="G453" s="57">
        <v>268.78058800854552</v>
      </c>
      <c r="H453" s="58">
        <v>3.2785485336138009E-2</v>
      </c>
      <c r="I453" s="58">
        <v>1.0214444113670655</v>
      </c>
      <c r="J453" s="58">
        <v>0.1547168485785595</v>
      </c>
    </row>
    <row r="454" spans="1:10" ht="11.25" customHeight="1" x14ac:dyDescent="0.2">
      <c r="A454" s="67">
        <v>44621</v>
      </c>
      <c r="B454" s="57">
        <v>0</v>
      </c>
      <c r="C454" s="57">
        <v>0</v>
      </c>
      <c r="D454" s="57">
        <v>911.15712000000008</v>
      </c>
      <c r="E454" s="57">
        <v>941.02984839667783</v>
      </c>
      <c r="F454" s="57">
        <v>128.18172000000001</v>
      </c>
      <c r="G454" s="57">
        <v>259.11222153341805</v>
      </c>
      <c r="H454" s="58">
        <v>3.2785485336138009E-2</v>
      </c>
      <c r="I454" s="58">
        <v>1.0214444113670655</v>
      </c>
      <c r="J454" s="58">
        <v>0.1547168485785595</v>
      </c>
    </row>
    <row r="455" spans="1:10" ht="11.25" customHeight="1" x14ac:dyDescent="0.2">
      <c r="A455" s="67">
        <v>44652</v>
      </c>
      <c r="B455" s="57">
        <v>0</v>
      </c>
      <c r="C455" s="57">
        <v>0</v>
      </c>
      <c r="D455" s="57">
        <v>1366.73568</v>
      </c>
      <c r="E455" s="57">
        <v>1411.5447725950166</v>
      </c>
      <c r="F455" s="57">
        <v>192.27258</v>
      </c>
      <c r="G455" s="57">
        <v>388.66833230012702</v>
      </c>
      <c r="H455" s="58">
        <v>3.2785485336138009E-2</v>
      </c>
      <c r="I455" s="58">
        <v>1.0214444113670655</v>
      </c>
      <c r="J455" s="58">
        <v>0.1547168485785595</v>
      </c>
    </row>
    <row r="456" spans="1:10" ht="11.25" customHeight="1" x14ac:dyDescent="0.2">
      <c r="A456" s="67">
        <v>44682</v>
      </c>
      <c r="B456" s="57">
        <v>0</v>
      </c>
      <c r="C456" s="57">
        <v>0</v>
      </c>
      <c r="D456" s="57">
        <v>1406.40048</v>
      </c>
      <c r="E456" s="57">
        <v>1452.5100023137777</v>
      </c>
      <c r="F456" s="57">
        <v>197.85263000000003</v>
      </c>
      <c r="G456" s="57">
        <v>399.94809318777584</v>
      </c>
      <c r="H456" s="58">
        <v>3.2785485336138231E-2</v>
      </c>
      <c r="I456" s="58">
        <v>1.0214444113670655</v>
      </c>
      <c r="J456" s="58">
        <v>0.15471684857855972</v>
      </c>
    </row>
    <row r="457" spans="1:10" ht="11.25" customHeight="1" x14ac:dyDescent="0.2">
      <c r="A457" s="67">
        <v>44713</v>
      </c>
      <c r="B457" s="57">
        <v>0</v>
      </c>
      <c r="C457" s="57">
        <v>0</v>
      </c>
      <c r="D457" s="57">
        <v>1591.1251199999999</v>
      </c>
      <c r="E457" s="57">
        <v>1643.2909292897209</v>
      </c>
      <c r="F457" s="57">
        <v>223.83972</v>
      </c>
      <c r="G457" s="57">
        <v>452.47955103596877</v>
      </c>
      <c r="H457" s="58">
        <v>3.2785485336138009E-2</v>
      </c>
      <c r="I457" s="58">
        <v>1.0214444113670655</v>
      </c>
      <c r="J457" s="58">
        <v>0.15471684857855972</v>
      </c>
    </row>
    <row r="458" spans="1:10" ht="11.25" customHeight="1" x14ac:dyDescent="0.2">
      <c r="A458" s="67">
        <v>44743</v>
      </c>
      <c r="B458" s="57">
        <v>0</v>
      </c>
      <c r="C458" s="57">
        <v>0</v>
      </c>
      <c r="D458" s="57">
        <v>2404.8201599999998</v>
      </c>
      <c r="E458" s="57">
        <v>2483.6633560917289</v>
      </c>
      <c r="F458" s="57">
        <v>338.31045999999998</v>
      </c>
      <c r="G458" s="57">
        <v>683.87578867402112</v>
      </c>
      <c r="H458" s="58">
        <v>3.2785485336138009E-2</v>
      </c>
      <c r="I458" s="58">
        <v>1.0214444113670655</v>
      </c>
      <c r="J458" s="58">
        <v>0.15471684857855972</v>
      </c>
    </row>
    <row r="459" spans="1:10" ht="11.25" customHeight="1" x14ac:dyDescent="0.2">
      <c r="A459" s="67">
        <v>44774</v>
      </c>
      <c r="B459" s="57">
        <v>0</v>
      </c>
      <c r="C459" s="57">
        <v>0</v>
      </c>
      <c r="D459" s="57">
        <v>424.98000000000008</v>
      </c>
      <c r="E459" s="57">
        <v>438.91317555815203</v>
      </c>
      <c r="F459" s="57">
        <v>59.78625000000001</v>
      </c>
      <c r="G459" s="57">
        <v>120.85458093909422</v>
      </c>
      <c r="H459" s="58">
        <v>3.2785485336138009E-2</v>
      </c>
      <c r="I459" s="58">
        <v>1.0214444113670651</v>
      </c>
      <c r="J459" s="58">
        <v>0.15471684857855972</v>
      </c>
    </row>
    <row r="460" spans="1:10" ht="11.25" customHeight="1" x14ac:dyDescent="0.2">
      <c r="A460" s="67">
        <v>44805</v>
      </c>
      <c r="B460" s="57">
        <v>0</v>
      </c>
      <c r="C460" s="57">
        <v>0</v>
      </c>
      <c r="D460" s="57">
        <v>1599.05808</v>
      </c>
      <c r="E460" s="57">
        <v>1651.4839752334731</v>
      </c>
      <c r="F460" s="57">
        <v>224.95573000000002</v>
      </c>
      <c r="G460" s="57">
        <v>454.73550321349853</v>
      </c>
      <c r="H460" s="58">
        <v>3.2785485336138009E-2</v>
      </c>
      <c r="I460" s="58">
        <v>1.0214444113670655</v>
      </c>
      <c r="J460" s="58">
        <v>0.15471684857855972</v>
      </c>
    </row>
    <row r="461" spans="1:10" ht="11.25" customHeight="1" x14ac:dyDescent="0.2">
      <c r="A461" s="67">
        <v>44835</v>
      </c>
      <c r="B461" s="57">
        <v>0</v>
      </c>
      <c r="C461" s="57">
        <v>0</v>
      </c>
      <c r="D461" s="57">
        <v>1515.1953599999999</v>
      </c>
      <c r="E461" s="57">
        <v>1564.8717752566645</v>
      </c>
      <c r="F461" s="57">
        <v>213.15791000000002</v>
      </c>
      <c r="G461" s="57">
        <v>430.88686590818395</v>
      </c>
      <c r="H461" s="58">
        <v>3.2785485336138231E-2</v>
      </c>
      <c r="I461" s="58">
        <v>1.0214444113670655</v>
      </c>
      <c r="J461" s="58">
        <v>0.15471684857855972</v>
      </c>
    </row>
    <row r="462" spans="1:10" ht="11.25" customHeight="1" x14ac:dyDescent="0.2">
      <c r="A462" s="67">
        <v>44866</v>
      </c>
      <c r="B462" s="57">
        <v>0</v>
      </c>
      <c r="C462" s="57">
        <v>0</v>
      </c>
      <c r="D462" s="57">
        <v>1515.1953599999999</v>
      </c>
      <c r="E462" s="57">
        <v>1564.8717752566645</v>
      </c>
      <c r="F462" s="57">
        <v>213.15791000000002</v>
      </c>
      <c r="G462" s="57">
        <v>430.88686590818395</v>
      </c>
      <c r="H462" s="58">
        <v>3.2785485336138231E-2</v>
      </c>
      <c r="I462" s="58">
        <v>1.0214444113670655</v>
      </c>
      <c r="J462" s="58">
        <v>0.15471684857855972</v>
      </c>
    </row>
    <row r="463" spans="1:10" ht="11.25" customHeight="1" x14ac:dyDescent="0.2">
      <c r="A463" s="61" t="s">
        <v>23</v>
      </c>
      <c r="B463" s="57">
        <v>0</v>
      </c>
      <c r="C463" s="57">
        <v>0</v>
      </c>
      <c r="D463" s="57">
        <v>221772651.31075999</v>
      </c>
      <c r="E463" s="57">
        <v>252806007.33035341</v>
      </c>
      <c r="F463" s="57">
        <v>56298390.489140011</v>
      </c>
      <c r="G463" s="57">
        <v>117295662.97912036</v>
      </c>
      <c r="H463" s="58">
        <v>0.13993319661452652</v>
      </c>
      <c r="I463" s="58">
        <v>1.0834638780969534</v>
      </c>
      <c r="J463" s="58">
        <v>0.33096085055774704</v>
      </c>
    </row>
    <row r="464" spans="1:10" ht="11.25" customHeight="1" x14ac:dyDescent="0.2">
      <c r="A464" s="62" t="s">
        <v>24</v>
      </c>
      <c r="B464" s="57">
        <v>0</v>
      </c>
      <c r="C464" s="57">
        <v>0</v>
      </c>
      <c r="D464" s="57">
        <v>221772651.31075999</v>
      </c>
      <c r="E464" s="57">
        <v>252806007.33035341</v>
      </c>
      <c r="F464" s="57">
        <v>56298390.489140011</v>
      </c>
      <c r="G464" s="57">
        <v>117295662.97912036</v>
      </c>
      <c r="H464" s="58">
        <v>0.13993319661452652</v>
      </c>
      <c r="I464" s="58">
        <v>1.0834638780969534</v>
      </c>
      <c r="J464" s="58">
        <v>0.33096085055774704</v>
      </c>
    </row>
    <row r="465" spans="1:10" ht="11.25" customHeight="1" x14ac:dyDescent="0.2">
      <c r="A465" s="63" t="s">
        <v>24</v>
      </c>
      <c r="B465" s="57">
        <v>0</v>
      </c>
      <c r="C465" s="57">
        <v>0</v>
      </c>
      <c r="D465" s="57">
        <v>195153653.86511996</v>
      </c>
      <c r="E465" s="57">
        <v>224736089.5503591</v>
      </c>
      <c r="F465" s="57">
        <v>48691292.880240008</v>
      </c>
      <c r="G465" s="57">
        <v>101446444.52550907</v>
      </c>
      <c r="H465" s="58">
        <v>0.15158535389598637</v>
      </c>
      <c r="I465" s="58">
        <v>1.0834617140897134</v>
      </c>
      <c r="J465" s="58">
        <v>0.33766370158365766</v>
      </c>
    </row>
    <row r="466" spans="1:10" ht="11.25" customHeight="1" x14ac:dyDescent="0.2">
      <c r="A466" s="64" t="s">
        <v>25</v>
      </c>
      <c r="B466" s="57">
        <v>0</v>
      </c>
      <c r="C466" s="57">
        <v>0</v>
      </c>
      <c r="D466" s="57">
        <v>195153653.86511996</v>
      </c>
      <c r="E466" s="57">
        <v>224736089.5503591</v>
      </c>
      <c r="F466" s="57">
        <v>48691292.880240008</v>
      </c>
      <c r="G466" s="57">
        <v>101446444.52550907</v>
      </c>
      <c r="H466" s="58">
        <v>0.15158535389598637</v>
      </c>
      <c r="I466" s="58">
        <v>1.0834617140897134</v>
      </c>
      <c r="J466" s="58">
        <v>0.33766370158365766</v>
      </c>
    </row>
    <row r="467" spans="1:10" ht="11.25" customHeight="1" x14ac:dyDescent="0.2">
      <c r="A467" s="65" t="s">
        <v>25</v>
      </c>
      <c r="B467" s="57">
        <v>0</v>
      </c>
      <c r="C467" s="57">
        <v>0</v>
      </c>
      <c r="D467" s="57">
        <v>195153653.86511996</v>
      </c>
      <c r="E467" s="57">
        <v>224736089.5503591</v>
      </c>
      <c r="F467" s="57">
        <v>48691292.880240008</v>
      </c>
      <c r="G467" s="57">
        <v>101446444.52550907</v>
      </c>
      <c r="H467" s="58">
        <v>0.15158535389598637</v>
      </c>
      <c r="I467" s="58">
        <v>1.0834617140897134</v>
      </c>
      <c r="J467" s="58">
        <v>0.33766370158365766</v>
      </c>
    </row>
    <row r="468" spans="1:10" ht="11.25" customHeight="1" x14ac:dyDescent="0.2">
      <c r="A468" s="66" t="s">
        <v>25</v>
      </c>
      <c r="B468" s="57">
        <v>0</v>
      </c>
      <c r="C468" s="57">
        <v>0</v>
      </c>
      <c r="D468" s="57">
        <v>195153653.86511996</v>
      </c>
      <c r="E468" s="57">
        <v>224736089.5503591</v>
      </c>
      <c r="F468" s="57">
        <v>48691292.880240008</v>
      </c>
      <c r="G468" s="57">
        <v>101446444.52550907</v>
      </c>
      <c r="H468" s="58">
        <v>0.15158535389598637</v>
      </c>
      <c r="I468" s="58">
        <v>1.0834617140897134</v>
      </c>
      <c r="J468" s="58">
        <v>0.33766370158365766</v>
      </c>
    </row>
    <row r="469" spans="1:10" ht="11.25" customHeight="1" x14ac:dyDescent="0.2">
      <c r="A469" s="67">
        <v>44531</v>
      </c>
      <c r="B469" s="57">
        <v>0</v>
      </c>
      <c r="C469" s="57">
        <v>0</v>
      </c>
      <c r="D469" s="57">
        <v>16810999.418979999</v>
      </c>
      <c r="E469" s="57">
        <v>19359300.715251312</v>
      </c>
      <c r="F469" s="57">
        <v>4194383.6567099998</v>
      </c>
      <c r="G469" s="57">
        <v>8738837.7629588973</v>
      </c>
      <c r="H469" s="58">
        <v>0.15158535389598682</v>
      </c>
      <c r="I469" s="58">
        <v>1.0834617140897138</v>
      </c>
      <c r="J469" s="58">
        <v>0.33766370158365833</v>
      </c>
    </row>
    <row r="470" spans="1:10" ht="11.25" customHeight="1" x14ac:dyDescent="0.2">
      <c r="A470" s="67">
        <v>44562</v>
      </c>
      <c r="B470" s="57">
        <v>0</v>
      </c>
      <c r="C470" s="57">
        <v>0</v>
      </c>
      <c r="D470" s="57">
        <v>14793564.519539999</v>
      </c>
      <c r="E470" s="57">
        <v>17036052.232617583</v>
      </c>
      <c r="F470" s="57">
        <v>3691028.9328300003</v>
      </c>
      <c r="G470" s="57">
        <v>7690117.4671487166</v>
      </c>
      <c r="H470" s="58">
        <v>0.15158535389598682</v>
      </c>
      <c r="I470" s="58">
        <v>1.0834617140897129</v>
      </c>
      <c r="J470" s="58">
        <v>0.33766370158365788</v>
      </c>
    </row>
    <row r="471" spans="1:10" ht="11.25" customHeight="1" x14ac:dyDescent="0.2">
      <c r="A471" s="67">
        <v>44593</v>
      </c>
      <c r="B471" s="57">
        <v>0</v>
      </c>
      <c r="C471" s="57">
        <v>0</v>
      </c>
      <c r="D471" s="57">
        <v>12747593.403039999</v>
      </c>
      <c r="E471" s="57">
        <v>14679941.860361965</v>
      </c>
      <c r="F471" s="57">
        <v>3180554.3560800003</v>
      </c>
      <c r="G471" s="57">
        <v>6626563.2304739412</v>
      </c>
      <c r="H471" s="58">
        <v>0.15158535389598682</v>
      </c>
      <c r="I471" s="58">
        <v>1.0834617140897129</v>
      </c>
      <c r="J471" s="58">
        <v>0.3376637015836581</v>
      </c>
    </row>
    <row r="472" spans="1:10" ht="11.25" customHeight="1" x14ac:dyDescent="0.2">
      <c r="A472" s="67">
        <v>44621</v>
      </c>
      <c r="B472" s="57">
        <v>0</v>
      </c>
      <c r="C472" s="57">
        <v>0</v>
      </c>
      <c r="D472" s="57">
        <v>14408343.518060001</v>
      </c>
      <c r="E472" s="57">
        <v>16592437.369300073</v>
      </c>
      <c r="F472" s="57">
        <v>3594915.39237</v>
      </c>
      <c r="G472" s="57">
        <v>7489868.5853946954</v>
      </c>
      <c r="H472" s="58">
        <v>0.15158535389598682</v>
      </c>
      <c r="I472" s="58">
        <v>1.0834617140897134</v>
      </c>
      <c r="J472" s="58">
        <v>0.33766370158365833</v>
      </c>
    </row>
    <row r="473" spans="1:10" ht="11.25" customHeight="1" x14ac:dyDescent="0.2">
      <c r="A473" s="67">
        <v>44652</v>
      </c>
      <c r="B473" s="57">
        <v>0</v>
      </c>
      <c r="C473" s="57">
        <v>0</v>
      </c>
      <c r="D473" s="57">
        <v>13607964.689199999</v>
      </c>
      <c r="E473" s="57">
        <v>15670732.832416475</v>
      </c>
      <c r="F473" s="57">
        <v>3395219.0034000003</v>
      </c>
      <c r="G473" s="57">
        <v>7073808.8045337321</v>
      </c>
      <c r="H473" s="58">
        <v>0.15158535389598704</v>
      </c>
      <c r="I473" s="58">
        <v>1.0834617140897129</v>
      </c>
      <c r="J473" s="58">
        <v>0.33766370158365788</v>
      </c>
    </row>
    <row r="474" spans="1:10" ht="11.25" customHeight="1" x14ac:dyDescent="0.2">
      <c r="A474" s="67">
        <v>44682</v>
      </c>
      <c r="B474" s="57">
        <v>0</v>
      </c>
      <c r="C474" s="57">
        <v>0</v>
      </c>
      <c r="D474" s="57">
        <v>16061385.53224</v>
      </c>
      <c r="E474" s="57">
        <v>18496056.342204481</v>
      </c>
      <c r="F474" s="57">
        <v>4007353.23948</v>
      </c>
      <c r="G474" s="57">
        <v>8349167.0492899651</v>
      </c>
      <c r="H474" s="58">
        <v>0.15158535389598682</v>
      </c>
      <c r="I474" s="58">
        <v>1.0834617140897129</v>
      </c>
      <c r="J474" s="58">
        <v>0.33766370158365788</v>
      </c>
    </row>
    <row r="475" spans="1:10" ht="11.25" customHeight="1" x14ac:dyDescent="0.2">
      <c r="A475" s="67">
        <v>44713</v>
      </c>
      <c r="B475" s="57">
        <v>0</v>
      </c>
      <c r="C475" s="57">
        <v>0</v>
      </c>
      <c r="D475" s="57">
        <v>16558588.70984</v>
      </c>
      <c r="E475" s="57">
        <v>19068628.239439189</v>
      </c>
      <c r="F475" s="57">
        <v>4131406.5946800001</v>
      </c>
      <c r="G475" s="57">
        <v>8607627.4653535355</v>
      </c>
      <c r="H475" s="58">
        <v>0.15158535389598682</v>
      </c>
      <c r="I475" s="58">
        <v>1.0834617140897125</v>
      </c>
      <c r="J475" s="58">
        <v>0.33766370158365788</v>
      </c>
    </row>
    <row r="476" spans="1:10" ht="11.25" customHeight="1" x14ac:dyDescent="0.2">
      <c r="A476" s="67">
        <v>44743</v>
      </c>
      <c r="B476" s="57">
        <v>0</v>
      </c>
      <c r="C476" s="57">
        <v>0</v>
      </c>
      <c r="D476" s="57">
        <v>16018221.982019998</v>
      </c>
      <c r="E476" s="57">
        <v>18446349.829948973</v>
      </c>
      <c r="F476" s="57">
        <v>3996583.8327899999</v>
      </c>
      <c r="G476" s="57">
        <v>8326729.4027678883</v>
      </c>
      <c r="H476" s="58">
        <v>0.1515853538959866</v>
      </c>
      <c r="I476" s="58">
        <v>1.0834617140897129</v>
      </c>
      <c r="J476" s="58">
        <v>0.33766370158365788</v>
      </c>
    </row>
    <row r="477" spans="1:10" ht="11.25" customHeight="1" x14ac:dyDescent="0.2">
      <c r="A477" s="67">
        <v>44774</v>
      </c>
      <c r="B477" s="57">
        <v>0</v>
      </c>
      <c r="C477" s="57">
        <v>0</v>
      </c>
      <c r="D477" s="57">
        <v>17480915.552179996</v>
      </c>
      <c r="E477" s="57">
        <v>20130766.322583061</v>
      </c>
      <c r="F477" s="57">
        <v>4361529.2981099999</v>
      </c>
      <c r="G477" s="57">
        <v>9087079.3074927628</v>
      </c>
      <c r="H477" s="58">
        <v>0.15158535389598682</v>
      </c>
      <c r="I477" s="58">
        <v>1.0834617140897129</v>
      </c>
      <c r="J477" s="58">
        <v>0.33766370158365788</v>
      </c>
    </row>
    <row r="478" spans="1:10" ht="11.25" customHeight="1" x14ac:dyDescent="0.2">
      <c r="A478" s="67">
        <v>44805</v>
      </c>
      <c r="B478" s="57">
        <v>0</v>
      </c>
      <c r="C478" s="57">
        <v>0</v>
      </c>
      <c r="D478" s="57">
        <v>18529217.266420003</v>
      </c>
      <c r="E478" s="57">
        <v>21337975.2231659</v>
      </c>
      <c r="F478" s="57">
        <v>4623083.0265900018</v>
      </c>
      <c r="G478" s="57">
        <v>9632016.4869582616</v>
      </c>
      <c r="H478" s="58">
        <v>0.15158535389598637</v>
      </c>
      <c r="I478" s="58">
        <v>1.0834617140897125</v>
      </c>
      <c r="J478" s="58">
        <v>0.33766370158365766</v>
      </c>
    </row>
    <row r="479" spans="1:10" ht="11.25" customHeight="1" x14ac:dyDescent="0.2">
      <c r="A479" s="67">
        <v>44835</v>
      </c>
      <c r="B479" s="57">
        <v>0</v>
      </c>
      <c r="C479" s="57">
        <v>0</v>
      </c>
      <c r="D479" s="57">
        <v>19068429.636800002</v>
      </c>
      <c r="E479" s="57">
        <v>21958924.29153505</v>
      </c>
      <c r="F479" s="57">
        <v>4757617.7736000009</v>
      </c>
      <c r="G479" s="57">
        <v>9912314.4815683421</v>
      </c>
      <c r="H479" s="58">
        <v>0.1515853538959866</v>
      </c>
      <c r="I479" s="58">
        <v>1.0834617140897129</v>
      </c>
      <c r="J479" s="58">
        <v>0.33766370158365788</v>
      </c>
    </row>
    <row r="480" spans="1:10" ht="11.25" customHeight="1" x14ac:dyDescent="0.2">
      <c r="A480" s="67">
        <v>44866</v>
      </c>
      <c r="B480" s="57">
        <v>0</v>
      </c>
      <c r="C480" s="57">
        <v>0</v>
      </c>
      <c r="D480" s="57">
        <v>19068429.636800002</v>
      </c>
      <c r="E480" s="57">
        <v>21958924.29153505</v>
      </c>
      <c r="F480" s="57">
        <v>4757617.7736000009</v>
      </c>
      <c r="G480" s="57">
        <v>9912314.4815683421</v>
      </c>
      <c r="H480" s="58">
        <v>0.1515853538959866</v>
      </c>
      <c r="I480" s="58">
        <v>1.0834617140897129</v>
      </c>
      <c r="J480" s="58">
        <v>0.33766370158365788</v>
      </c>
    </row>
    <row r="481" spans="1:10" ht="11.25" customHeight="1" x14ac:dyDescent="0.2">
      <c r="A481" s="63" t="s">
        <v>29</v>
      </c>
      <c r="B481" s="57">
        <v>0</v>
      </c>
      <c r="C481" s="57">
        <v>0</v>
      </c>
      <c r="D481" s="57">
        <v>2016947.3914699994</v>
      </c>
      <c r="E481" s="57">
        <v>2126929.3738691611</v>
      </c>
      <c r="F481" s="57">
        <v>576467.12430999998</v>
      </c>
      <c r="G481" s="57">
        <v>1200935.7685358322</v>
      </c>
      <c r="H481" s="58">
        <v>5.4528929641047386E-2</v>
      </c>
      <c r="I481" s="58">
        <v>1.0832684430587221</v>
      </c>
      <c r="J481" s="58">
        <v>0.28319831718228006</v>
      </c>
    </row>
    <row r="482" spans="1:10" ht="11.25" customHeight="1" x14ac:dyDescent="0.2">
      <c r="A482" s="64" t="s">
        <v>25</v>
      </c>
      <c r="B482" s="57">
        <v>0</v>
      </c>
      <c r="C482" s="57">
        <v>0</v>
      </c>
      <c r="D482" s="57">
        <v>2016947.3914699994</v>
      </c>
      <c r="E482" s="57">
        <v>2126929.3738691611</v>
      </c>
      <c r="F482" s="57">
        <v>576467.12430999998</v>
      </c>
      <c r="G482" s="57">
        <v>1200935.7685358322</v>
      </c>
      <c r="H482" s="58">
        <v>5.4528929641047386E-2</v>
      </c>
      <c r="I482" s="58">
        <v>1.0832684430587221</v>
      </c>
      <c r="J482" s="58">
        <v>0.28319831718228006</v>
      </c>
    </row>
    <row r="483" spans="1:10" ht="11.25" customHeight="1" x14ac:dyDescent="0.2">
      <c r="A483" s="65" t="s">
        <v>25</v>
      </c>
      <c r="B483" s="57">
        <v>0</v>
      </c>
      <c r="C483" s="57">
        <v>0</v>
      </c>
      <c r="D483" s="57">
        <v>2016947.3914699994</v>
      </c>
      <c r="E483" s="57">
        <v>2126929.3738691611</v>
      </c>
      <c r="F483" s="57">
        <v>576467.12430999998</v>
      </c>
      <c r="G483" s="57">
        <v>1200935.7685358322</v>
      </c>
      <c r="H483" s="58">
        <v>5.4528929641047386E-2</v>
      </c>
      <c r="I483" s="58">
        <v>1.0832684430587221</v>
      </c>
      <c r="J483" s="58">
        <v>0.28319831718228006</v>
      </c>
    </row>
    <row r="484" spans="1:10" ht="11.25" customHeight="1" x14ac:dyDescent="0.2">
      <c r="A484" s="66" t="s">
        <v>25</v>
      </c>
      <c r="B484" s="57">
        <v>0</v>
      </c>
      <c r="C484" s="57">
        <v>0</v>
      </c>
      <c r="D484" s="57">
        <v>2016947.3914699994</v>
      </c>
      <c r="E484" s="57">
        <v>2126929.3738691611</v>
      </c>
      <c r="F484" s="57">
        <v>576467.12430999998</v>
      </c>
      <c r="G484" s="57">
        <v>1200935.7685358322</v>
      </c>
      <c r="H484" s="58">
        <v>5.4528929641047386E-2</v>
      </c>
      <c r="I484" s="58">
        <v>1.0832684430587221</v>
      </c>
      <c r="J484" s="58">
        <v>0.28319831718228006</v>
      </c>
    </row>
    <row r="485" spans="1:10" ht="11.25" customHeight="1" x14ac:dyDescent="0.2">
      <c r="A485" s="67">
        <v>44531</v>
      </c>
      <c r="B485" s="57">
        <v>0</v>
      </c>
      <c r="C485" s="57">
        <v>0</v>
      </c>
      <c r="D485" s="57">
        <v>116519.9466</v>
      </c>
      <c r="E485" s="57">
        <v>122873.65456992995</v>
      </c>
      <c r="F485" s="57">
        <v>33302.7618</v>
      </c>
      <c r="G485" s="57">
        <v>69378.59272464145</v>
      </c>
      <c r="H485" s="58">
        <v>5.4528929641046942E-2</v>
      </c>
      <c r="I485" s="58">
        <v>1.0832684430587212</v>
      </c>
      <c r="J485" s="58">
        <v>0.28319831718227961</v>
      </c>
    </row>
    <row r="486" spans="1:10" ht="11.25" customHeight="1" x14ac:dyDescent="0.2">
      <c r="A486" s="67">
        <v>44562</v>
      </c>
      <c r="B486" s="57">
        <v>0</v>
      </c>
      <c r="C486" s="57">
        <v>0</v>
      </c>
      <c r="D486" s="57">
        <v>132322.07163999998</v>
      </c>
      <c r="E486" s="57">
        <v>139537.45257441516</v>
      </c>
      <c r="F486" s="57">
        <v>37819.193719999996</v>
      </c>
      <c r="G486" s="57">
        <v>78787.532818800581</v>
      </c>
      <c r="H486" s="58">
        <v>5.4528929641047386E-2</v>
      </c>
      <c r="I486" s="58">
        <v>1.0832684430587216</v>
      </c>
      <c r="J486" s="58">
        <v>0.28319831718228006</v>
      </c>
    </row>
    <row r="487" spans="1:10" ht="11.25" customHeight="1" x14ac:dyDescent="0.2">
      <c r="A487" s="67">
        <v>44593</v>
      </c>
      <c r="B487" s="57">
        <v>0</v>
      </c>
      <c r="C487" s="57">
        <v>0</v>
      </c>
      <c r="D487" s="57">
        <v>129520.68742999999</v>
      </c>
      <c r="E487" s="57">
        <v>136583.31188193054</v>
      </c>
      <c r="F487" s="57">
        <v>37018.525390000003</v>
      </c>
      <c r="G487" s="57">
        <v>77119.525753555048</v>
      </c>
      <c r="H487" s="58">
        <v>5.4528929641047386E-2</v>
      </c>
      <c r="I487" s="58">
        <v>1.0832684430587212</v>
      </c>
      <c r="J487" s="58">
        <v>0.28319831718228006</v>
      </c>
    </row>
    <row r="488" spans="1:10" ht="11.25" customHeight="1" x14ac:dyDescent="0.2">
      <c r="A488" s="67">
        <v>44621</v>
      </c>
      <c r="B488" s="57">
        <v>0</v>
      </c>
      <c r="C488" s="57">
        <v>0</v>
      </c>
      <c r="D488" s="57">
        <v>128066.46526999999</v>
      </c>
      <c r="E488" s="57">
        <v>135049.79254408542</v>
      </c>
      <c r="F488" s="57">
        <v>36602.891709999996</v>
      </c>
      <c r="G488" s="57">
        <v>76253.649224138673</v>
      </c>
      <c r="H488" s="58">
        <v>5.4528929641047164E-2</v>
      </c>
      <c r="I488" s="58">
        <v>1.0832684430587216</v>
      </c>
      <c r="J488" s="58">
        <v>0.28319831718227984</v>
      </c>
    </row>
    <row r="489" spans="1:10" ht="11.25" customHeight="1" x14ac:dyDescent="0.2">
      <c r="A489" s="67">
        <v>44652</v>
      </c>
      <c r="B489" s="57">
        <v>0</v>
      </c>
      <c r="C489" s="57">
        <v>0</v>
      </c>
      <c r="D489" s="57">
        <v>135816.50834999996</v>
      </c>
      <c r="E489" s="57">
        <v>143222.43717790983</v>
      </c>
      <c r="F489" s="57">
        <v>38817.944549999993</v>
      </c>
      <c r="G489" s="57">
        <v>80868.198905418278</v>
      </c>
      <c r="H489" s="58">
        <v>5.4528929641047386E-2</v>
      </c>
      <c r="I489" s="58">
        <v>1.0832684430587216</v>
      </c>
      <c r="J489" s="58">
        <v>0.28319831718228028</v>
      </c>
    </row>
    <row r="490" spans="1:10" ht="11.25" customHeight="1" x14ac:dyDescent="0.2">
      <c r="A490" s="67">
        <v>44682</v>
      </c>
      <c r="B490" s="57">
        <v>0</v>
      </c>
      <c r="C490" s="57">
        <v>0</v>
      </c>
      <c r="D490" s="57">
        <v>135961.19130999997</v>
      </c>
      <c r="E490" s="57">
        <v>143375.00954485592</v>
      </c>
      <c r="F490" s="57">
        <v>38859.29662999999</v>
      </c>
      <c r="G490" s="57">
        <v>80954.346388737118</v>
      </c>
      <c r="H490" s="58">
        <v>5.4528929641047164E-2</v>
      </c>
      <c r="I490" s="58">
        <v>1.0832684430587221</v>
      </c>
      <c r="J490" s="58">
        <v>0.28319831718228006</v>
      </c>
    </row>
    <row r="491" spans="1:10" ht="11.25" customHeight="1" x14ac:dyDescent="0.2">
      <c r="A491" s="67">
        <v>44713</v>
      </c>
      <c r="B491" s="57">
        <v>0</v>
      </c>
      <c r="C491" s="57">
        <v>0</v>
      </c>
      <c r="D491" s="57">
        <v>140652.29866999999</v>
      </c>
      <c r="E491" s="57">
        <v>148321.91796802796</v>
      </c>
      <c r="F491" s="57">
        <v>40200.069909999991</v>
      </c>
      <c r="G491" s="57">
        <v>83747.537052257452</v>
      </c>
      <c r="H491" s="58">
        <v>5.4528929641047164E-2</v>
      </c>
      <c r="I491" s="58">
        <v>1.0832684430587216</v>
      </c>
      <c r="J491" s="58">
        <v>0.28319831718228006</v>
      </c>
    </row>
    <row r="492" spans="1:10" ht="11.25" customHeight="1" x14ac:dyDescent="0.2">
      <c r="A492" s="67">
        <v>44743</v>
      </c>
      <c r="B492" s="57">
        <v>0</v>
      </c>
      <c r="C492" s="57">
        <v>0</v>
      </c>
      <c r="D492" s="57">
        <v>144610.88253999999</v>
      </c>
      <c r="E492" s="57">
        <v>152496.35917935334</v>
      </c>
      <c r="F492" s="57">
        <v>41331.479419999996</v>
      </c>
      <c r="G492" s="57">
        <v>86104.56678061698</v>
      </c>
      <c r="H492" s="58">
        <v>5.4528929641046942E-2</v>
      </c>
      <c r="I492" s="58">
        <v>1.0832684430587216</v>
      </c>
      <c r="J492" s="58">
        <v>0.28319831718227984</v>
      </c>
    </row>
    <row r="493" spans="1:10" ht="11.25" customHeight="1" x14ac:dyDescent="0.2">
      <c r="A493" s="67">
        <v>44774</v>
      </c>
      <c r="B493" s="57">
        <v>0</v>
      </c>
      <c r="C493" s="57">
        <v>0</v>
      </c>
      <c r="D493" s="57">
        <v>149207.33873000002</v>
      </c>
      <c r="E493" s="57">
        <v>157343.45520553604</v>
      </c>
      <c r="F493" s="57">
        <v>42645.200290000001</v>
      </c>
      <c r="G493" s="57">
        <v>88841.400012075639</v>
      </c>
      <c r="H493" s="58">
        <v>5.4528929641046942E-2</v>
      </c>
      <c r="I493" s="58">
        <v>1.0832684430587216</v>
      </c>
      <c r="J493" s="58">
        <v>0.28319831718227961</v>
      </c>
    </row>
    <row r="494" spans="1:10" ht="11.25" customHeight="1" x14ac:dyDescent="0.2">
      <c r="A494" s="67">
        <v>44805</v>
      </c>
      <c r="B494" s="57">
        <v>0</v>
      </c>
      <c r="C494" s="57">
        <v>0</v>
      </c>
      <c r="D494" s="57">
        <v>220233.73510999998</v>
      </c>
      <c r="E494" s="57">
        <v>232242.84495639818</v>
      </c>
      <c r="F494" s="57">
        <v>62945.374029999992</v>
      </c>
      <c r="G494" s="57">
        <v>131132.11135322697</v>
      </c>
      <c r="H494" s="58">
        <v>5.4528929641047164E-2</v>
      </c>
      <c r="I494" s="58">
        <v>1.0832684430587216</v>
      </c>
      <c r="J494" s="58">
        <v>0.28319831718228006</v>
      </c>
    </row>
    <row r="495" spans="1:10" ht="11.25" customHeight="1" x14ac:dyDescent="0.2">
      <c r="A495" s="67">
        <v>44835</v>
      </c>
      <c r="B495" s="57">
        <v>0</v>
      </c>
      <c r="C495" s="57">
        <v>0</v>
      </c>
      <c r="D495" s="57">
        <v>292018.13290999999</v>
      </c>
      <c r="E495" s="57">
        <v>307941.5691333593</v>
      </c>
      <c r="F495" s="57">
        <v>83462.193429999999</v>
      </c>
      <c r="G495" s="57">
        <v>173874.15376118195</v>
      </c>
      <c r="H495" s="58">
        <v>5.4528929641046942E-2</v>
      </c>
      <c r="I495" s="58">
        <v>1.0832684430587216</v>
      </c>
      <c r="J495" s="58">
        <v>0.28319831718227984</v>
      </c>
    </row>
    <row r="496" spans="1:10" ht="11.25" customHeight="1" x14ac:dyDescent="0.2">
      <c r="A496" s="67">
        <v>44866</v>
      </c>
      <c r="B496" s="57">
        <v>0</v>
      </c>
      <c r="C496" s="57">
        <v>0</v>
      </c>
      <c r="D496" s="57">
        <v>292018.13290999999</v>
      </c>
      <c r="E496" s="57">
        <v>307941.5691333593</v>
      </c>
      <c r="F496" s="57">
        <v>83462.193429999999</v>
      </c>
      <c r="G496" s="57">
        <v>173874.15376118195</v>
      </c>
      <c r="H496" s="58">
        <v>5.4528929641046942E-2</v>
      </c>
      <c r="I496" s="58">
        <v>1.0832684430587216</v>
      </c>
      <c r="J496" s="58">
        <v>0.28319831718227984</v>
      </c>
    </row>
    <row r="497" spans="1:10" ht="11.25" customHeight="1" x14ac:dyDescent="0.2">
      <c r="A497" s="63" t="s">
        <v>30</v>
      </c>
      <c r="B497" s="57">
        <v>0</v>
      </c>
      <c r="C497" s="57">
        <v>0</v>
      </c>
      <c r="D497" s="57">
        <v>4971296.3240499999</v>
      </c>
      <c r="E497" s="57">
        <v>5242210.3302529333</v>
      </c>
      <c r="F497" s="57">
        <v>1420590.0458500001</v>
      </c>
      <c r="G497" s="57">
        <v>2959928.0395175265</v>
      </c>
      <c r="H497" s="58">
        <v>5.4495646315089408E-2</v>
      </c>
      <c r="I497" s="58">
        <v>1.0835905813675293</v>
      </c>
      <c r="J497" s="58">
        <v>0.28321091695170142</v>
      </c>
    </row>
    <row r="498" spans="1:10" ht="11.25" customHeight="1" x14ac:dyDescent="0.2">
      <c r="A498" s="64" t="s">
        <v>25</v>
      </c>
      <c r="B498" s="57">
        <v>0</v>
      </c>
      <c r="C498" s="57">
        <v>0</v>
      </c>
      <c r="D498" s="57">
        <v>4971296.3240499999</v>
      </c>
      <c r="E498" s="57">
        <v>5242210.3302529333</v>
      </c>
      <c r="F498" s="57">
        <v>1420590.0458500001</v>
      </c>
      <c r="G498" s="57">
        <v>2959928.0395175265</v>
      </c>
      <c r="H498" s="58">
        <v>5.4495646315089408E-2</v>
      </c>
      <c r="I498" s="58">
        <v>1.0835905813675293</v>
      </c>
      <c r="J498" s="58">
        <v>0.28321091695170142</v>
      </c>
    </row>
    <row r="499" spans="1:10" ht="11.25" customHeight="1" x14ac:dyDescent="0.2">
      <c r="A499" s="65" t="s">
        <v>25</v>
      </c>
      <c r="B499" s="57">
        <v>0</v>
      </c>
      <c r="C499" s="57">
        <v>0</v>
      </c>
      <c r="D499" s="57">
        <v>4971296.3240499999</v>
      </c>
      <c r="E499" s="57">
        <v>5242210.3302529333</v>
      </c>
      <c r="F499" s="57">
        <v>1420590.0458500001</v>
      </c>
      <c r="G499" s="57">
        <v>2959928.0395175265</v>
      </c>
      <c r="H499" s="58">
        <v>5.4495646315089408E-2</v>
      </c>
      <c r="I499" s="58">
        <v>1.0835905813675293</v>
      </c>
      <c r="J499" s="58">
        <v>0.28321091695170142</v>
      </c>
    </row>
    <row r="500" spans="1:10" ht="11.25" customHeight="1" x14ac:dyDescent="0.2">
      <c r="A500" s="66" t="s">
        <v>25</v>
      </c>
      <c r="B500" s="57">
        <v>0</v>
      </c>
      <c r="C500" s="57">
        <v>0</v>
      </c>
      <c r="D500" s="57">
        <v>4971296.3240499999</v>
      </c>
      <c r="E500" s="57">
        <v>5242210.3302529333</v>
      </c>
      <c r="F500" s="57">
        <v>1420590.0458500001</v>
      </c>
      <c r="G500" s="57">
        <v>2959928.0395175265</v>
      </c>
      <c r="H500" s="58">
        <v>5.4495646315089408E-2</v>
      </c>
      <c r="I500" s="58">
        <v>1.0835905813675293</v>
      </c>
      <c r="J500" s="58">
        <v>0.28321091695170142</v>
      </c>
    </row>
    <row r="501" spans="1:10" ht="11.25" customHeight="1" x14ac:dyDescent="0.2">
      <c r="A501" s="67">
        <v>44531</v>
      </c>
      <c r="B501" s="57">
        <v>0</v>
      </c>
      <c r="C501" s="57">
        <v>0</v>
      </c>
      <c r="D501" s="57">
        <v>297057.90065000003</v>
      </c>
      <c r="E501" s="57">
        <v>313246.26293892541</v>
      </c>
      <c r="F501" s="57">
        <v>84886.812050000008</v>
      </c>
      <c r="G501" s="57">
        <v>176869.36206969566</v>
      </c>
      <c r="H501" s="58">
        <v>5.4495646315089408E-2</v>
      </c>
      <c r="I501" s="58">
        <v>1.0835905813675288</v>
      </c>
      <c r="J501" s="58">
        <v>0.2832109169517012</v>
      </c>
    </row>
    <row r="502" spans="1:10" ht="11.25" customHeight="1" x14ac:dyDescent="0.2">
      <c r="A502" s="67">
        <v>44562</v>
      </c>
      <c r="B502" s="57">
        <v>0</v>
      </c>
      <c r="C502" s="57">
        <v>0</v>
      </c>
      <c r="D502" s="57">
        <v>338438.91045999998</v>
      </c>
      <c r="E502" s="57">
        <v>356882.35762369243</v>
      </c>
      <c r="F502" s="57">
        <v>96711.786220000009</v>
      </c>
      <c r="G502" s="57">
        <v>201507.76687522198</v>
      </c>
      <c r="H502" s="58">
        <v>5.449564631508963E-2</v>
      </c>
      <c r="I502" s="58">
        <v>1.0835905813675288</v>
      </c>
      <c r="J502" s="58">
        <v>0.28321091695170142</v>
      </c>
    </row>
    <row r="503" spans="1:10" ht="11.25" customHeight="1" x14ac:dyDescent="0.2">
      <c r="A503" s="67">
        <v>44593</v>
      </c>
      <c r="B503" s="57">
        <v>0</v>
      </c>
      <c r="C503" s="57">
        <v>0</v>
      </c>
      <c r="D503" s="57">
        <v>343085.96</v>
      </c>
      <c r="E503" s="57">
        <v>361782.65113183291</v>
      </c>
      <c r="F503" s="57">
        <v>98039.72</v>
      </c>
      <c r="G503" s="57">
        <v>204274.63719190974</v>
      </c>
      <c r="H503" s="58">
        <v>5.4495646315089408E-2</v>
      </c>
      <c r="I503" s="58">
        <v>1.0835905813675288</v>
      </c>
      <c r="J503" s="58">
        <v>0.28321091695170098</v>
      </c>
    </row>
    <row r="504" spans="1:10" ht="11.25" customHeight="1" x14ac:dyDescent="0.2">
      <c r="A504" s="67">
        <v>44621</v>
      </c>
      <c r="B504" s="57">
        <v>0</v>
      </c>
      <c r="C504" s="57">
        <v>0</v>
      </c>
      <c r="D504" s="57">
        <v>347018.77518</v>
      </c>
      <c r="E504" s="57">
        <v>365929.78761690482</v>
      </c>
      <c r="F504" s="57">
        <v>99163.555259999994</v>
      </c>
      <c r="G504" s="57">
        <v>206616.24975465445</v>
      </c>
      <c r="H504" s="58">
        <v>5.4495646315089408E-2</v>
      </c>
      <c r="I504" s="58">
        <v>1.0835905813675288</v>
      </c>
      <c r="J504" s="58">
        <v>0.2832109169517012</v>
      </c>
    </row>
    <row r="505" spans="1:10" ht="11.25" customHeight="1" x14ac:dyDescent="0.2">
      <c r="A505" s="67">
        <v>44652</v>
      </c>
      <c r="B505" s="57">
        <v>0</v>
      </c>
      <c r="C505" s="57">
        <v>0</v>
      </c>
      <c r="D505" s="57">
        <v>370350.65724999999</v>
      </c>
      <c r="E505" s="57">
        <v>390533.15568005695</v>
      </c>
      <c r="F505" s="57">
        <v>105830.83825</v>
      </c>
      <c r="G505" s="57">
        <v>220508.13779593041</v>
      </c>
      <c r="H505" s="58">
        <v>5.449564631508963E-2</v>
      </c>
      <c r="I505" s="58">
        <v>1.0835905813675288</v>
      </c>
      <c r="J505" s="58">
        <v>0.28321091695170142</v>
      </c>
    </row>
    <row r="506" spans="1:10" ht="11.25" customHeight="1" x14ac:dyDescent="0.2">
      <c r="A506" s="67">
        <v>44682</v>
      </c>
      <c r="B506" s="57">
        <v>0</v>
      </c>
      <c r="C506" s="57">
        <v>0</v>
      </c>
      <c r="D506" s="57">
        <v>374337.56052</v>
      </c>
      <c r="E506" s="57">
        <v>394737.32782055135</v>
      </c>
      <c r="F506" s="57">
        <v>106970.12964</v>
      </c>
      <c r="G506" s="57">
        <v>222881.95460556753</v>
      </c>
      <c r="H506" s="58">
        <v>5.449564631508963E-2</v>
      </c>
      <c r="I506" s="58">
        <v>1.0835905813675288</v>
      </c>
      <c r="J506" s="58">
        <v>0.2832109169517012</v>
      </c>
    </row>
    <row r="507" spans="1:10" ht="11.25" customHeight="1" x14ac:dyDescent="0.2">
      <c r="A507" s="67">
        <v>44713</v>
      </c>
      <c r="B507" s="57">
        <v>0</v>
      </c>
      <c r="C507" s="57">
        <v>0</v>
      </c>
      <c r="D507" s="57">
        <v>394672.64557000005</v>
      </c>
      <c r="E507" s="57">
        <v>416180.5864732234</v>
      </c>
      <c r="F507" s="57">
        <v>112781.05249</v>
      </c>
      <c r="G507" s="57">
        <v>234989.5387248809</v>
      </c>
      <c r="H507" s="58">
        <v>5.4495646315089408E-2</v>
      </c>
      <c r="I507" s="58">
        <v>1.0835905813675288</v>
      </c>
      <c r="J507" s="58">
        <v>0.28321091695170098</v>
      </c>
    </row>
    <row r="508" spans="1:10" ht="11.25" customHeight="1" x14ac:dyDescent="0.2">
      <c r="A508" s="67">
        <v>44743</v>
      </c>
      <c r="B508" s="57">
        <v>0</v>
      </c>
      <c r="C508" s="57">
        <v>0</v>
      </c>
      <c r="D508" s="57">
        <v>413442.57066000003</v>
      </c>
      <c r="E508" s="57">
        <v>435973.39076228876</v>
      </c>
      <c r="F508" s="57">
        <v>118144.71762000001</v>
      </c>
      <c r="G508" s="57">
        <v>246165.22087135835</v>
      </c>
      <c r="H508" s="58">
        <v>5.4495646315089408E-2</v>
      </c>
      <c r="I508" s="58">
        <v>1.0835905813675288</v>
      </c>
      <c r="J508" s="58">
        <v>0.2832109169517012</v>
      </c>
    </row>
    <row r="509" spans="1:10" ht="11.25" customHeight="1" x14ac:dyDescent="0.2">
      <c r="A509" s="67">
        <v>44774</v>
      </c>
      <c r="B509" s="57">
        <v>0</v>
      </c>
      <c r="C509" s="57">
        <v>0</v>
      </c>
      <c r="D509" s="57">
        <v>433535.95663000003</v>
      </c>
      <c r="E509" s="57">
        <v>457161.77878738241</v>
      </c>
      <c r="F509" s="57">
        <v>123886.57291</v>
      </c>
      <c r="G509" s="57">
        <v>258128.89647317765</v>
      </c>
      <c r="H509" s="58">
        <v>5.4495646315089408E-2</v>
      </c>
      <c r="I509" s="58">
        <v>1.0835905813675288</v>
      </c>
      <c r="J509" s="58">
        <v>0.2832109169517012</v>
      </c>
    </row>
    <row r="510" spans="1:10" ht="11.25" customHeight="1" x14ac:dyDescent="0.2">
      <c r="A510" s="67">
        <v>44805</v>
      </c>
      <c r="B510" s="57">
        <v>0</v>
      </c>
      <c r="C510" s="57">
        <v>0</v>
      </c>
      <c r="D510" s="57">
        <v>485168.13050999999</v>
      </c>
      <c r="E510" s="57">
        <v>511607.68135362613</v>
      </c>
      <c r="F510" s="57">
        <v>138640.90406999999</v>
      </c>
      <c r="G510" s="57">
        <v>288870.88191253104</v>
      </c>
      <c r="H510" s="58">
        <v>5.4495646315089408E-2</v>
      </c>
      <c r="I510" s="58">
        <v>1.0835905813675284</v>
      </c>
      <c r="J510" s="58">
        <v>0.28321091695170098</v>
      </c>
    </row>
    <row r="511" spans="1:10" ht="11.25" customHeight="1" x14ac:dyDescent="0.2">
      <c r="A511" s="67">
        <v>44835</v>
      </c>
      <c r="B511" s="57">
        <v>0</v>
      </c>
      <c r="C511" s="57">
        <v>0</v>
      </c>
      <c r="D511" s="57">
        <v>587093.62830999994</v>
      </c>
      <c r="E511" s="57">
        <v>619087.67503222427</v>
      </c>
      <c r="F511" s="57">
        <v>167766.97867000001</v>
      </c>
      <c r="G511" s="57">
        <v>349557.69662129908</v>
      </c>
      <c r="H511" s="58">
        <v>5.4495646315089408E-2</v>
      </c>
      <c r="I511" s="58">
        <v>1.0835905813675284</v>
      </c>
      <c r="J511" s="58">
        <v>0.28321091695170098</v>
      </c>
    </row>
    <row r="512" spans="1:10" ht="11.25" customHeight="1" x14ac:dyDescent="0.2">
      <c r="A512" s="67">
        <v>44866</v>
      </c>
      <c r="B512" s="57">
        <v>0</v>
      </c>
      <c r="C512" s="57">
        <v>0</v>
      </c>
      <c r="D512" s="57">
        <v>587093.62830999994</v>
      </c>
      <c r="E512" s="57">
        <v>619087.67503222427</v>
      </c>
      <c r="F512" s="57">
        <v>167766.97867000001</v>
      </c>
      <c r="G512" s="57">
        <v>349557.69662129908</v>
      </c>
      <c r="H512" s="58">
        <v>5.4495646315089408E-2</v>
      </c>
      <c r="I512" s="58">
        <v>1.0835905813675284</v>
      </c>
      <c r="J512" s="58">
        <v>0.28321091695170098</v>
      </c>
    </row>
    <row r="513" spans="1:10" ht="11.25" customHeight="1" x14ac:dyDescent="0.2">
      <c r="A513" s="63" t="s">
        <v>31</v>
      </c>
      <c r="B513" s="57">
        <v>0</v>
      </c>
      <c r="C513" s="57">
        <v>0</v>
      </c>
      <c r="D513" s="57">
        <v>8175368.2764599994</v>
      </c>
      <c r="E513" s="57">
        <v>8621017.2340207063</v>
      </c>
      <c r="F513" s="57">
        <v>2336335.5815100004</v>
      </c>
      <c r="G513" s="57">
        <v>4867715.9122897135</v>
      </c>
      <c r="H513" s="58">
        <v>5.4511178272409033E-2</v>
      </c>
      <c r="I513" s="58">
        <v>1.0834831908623559</v>
      </c>
      <c r="J513" s="58">
        <v>0.2832109169517012</v>
      </c>
    </row>
    <row r="514" spans="1:10" ht="11.25" customHeight="1" x14ac:dyDescent="0.2">
      <c r="A514" s="64" t="s">
        <v>25</v>
      </c>
      <c r="B514" s="57">
        <v>0</v>
      </c>
      <c r="C514" s="57">
        <v>0</v>
      </c>
      <c r="D514" s="57">
        <v>8175368.2764599994</v>
      </c>
      <c r="E514" s="57">
        <v>8621017.2340207063</v>
      </c>
      <c r="F514" s="57">
        <v>2336335.5815100004</v>
      </c>
      <c r="G514" s="57">
        <v>4867715.9122897135</v>
      </c>
      <c r="H514" s="58">
        <v>5.4511178272409033E-2</v>
      </c>
      <c r="I514" s="58">
        <v>1.0834831908623559</v>
      </c>
      <c r="J514" s="58">
        <v>0.2832109169517012</v>
      </c>
    </row>
    <row r="515" spans="1:10" ht="11.25" customHeight="1" x14ac:dyDescent="0.2">
      <c r="A515" s="65" t="s">
        <v>25</v>
      </c>
      <c r="B515" s="57">
        <v>0</v>
      </c>
      <c r="C515" s="57">
        <v>0</v>
      </c>
      <c r="D515" s="57">
        <v>8175368.2764599994</v>
      </c>
      <c r="E515" s="57">
        <v>8621017.2340207063</v>
      </c>
      <c r="F515" s="57">
        <v>2336335.5815100004</v>
      </c>
      <c r="G515" s="57">
        <v>4867715.9122897135</v>
      </c>
      <c r="H515" s="58">
        <v>5.4511178272409033E-2</v>
      </c>
      <c r="I515" s="58">
        <v>1.0834831908623559</v>
      </c>
      <c r="J515" s="58">
        <v>0.2832109169517012</v>
      </c>
    </row>
    <row r="516" spans="1:10" ht="11.25" customHeight="1" x14ac:dyDescent="0.2">
      <c r="A516" s="66" t="s">
        <v>25</v>
      </c>
      <c r="B516" s="57">
        <v>0</v>
      </c>
      <c r="C516" s="57">
        <v>0</v>
      </c>
      <c r="D516" s="57">
        <v>8175368.2764599994</v>
      </c>
      <c r="E516" s="57">
        <v>8621017.2340207063</v>
      </c>
      <c r="F516" s="57">
        <v>2336335.5815100004</v>
      </c>
      <c r="G516" s="57">
        <v>4867715.9122897135</v>
      </c>
      <c r="H516" s="58">
        <v>5.4511178272409033E-2</v>
      </c>
      <c r="I516" s="58">
        <v>1.0834831908623559</v>
      </c>
      <c r="J516" s="58">
        <v>0.2832109169517012</v>
      </c>
    </row>
    <row r="517" spans="1:10" ht="11.25" customHeight="1" x14ac:dyDescent="0.2">
      <c r="A517" s="67">
        <v>44531</v>
      </c>
      <c r="B517" s="57">
        <v>0</v>
      </c>
      <c r="C517" s="57">
        <v>0</v>
      </c>
      <c r="D517" s="57">
        <v>488476.49025999999</v>
      </c>
      <c r="E517" s="57">
        <v>515103.91930244345</v>
      </c>
      <c r="F517" s="57">
        <v>139595.54681000003</v>
      </c>
      <c r="G517" s="57">
        <v>290844.97529787419</v>
      </c>
      <c r="H517" s="58">
        <v>5.4511178272408811E-2</v>
      </c>
      <c r="I517" s="58">
        <v>1.0834831908623554</v>
      </c>
      <c r="J517" s="58">
        <v>0.28321091695170098</v>
      </c>
    </row>
    <row r="518" spans="1:10" ht="11.25" customHeight="1" x14ac:dyDescent="0.2">
      <c r="A518" s="67">
        <v>44562</v>
      </c>
      <c r="B518" s="57">
        <v>0</v>
      </c>
      <c r="C518" s="57">
        <v>0</v>
      </c>
      <c r="D518" s="57">
        <v>532557.40801999997</v>
      </c>
      <c r="E518" s="57">
        <v>561587.73982887017</v>
      </c>
      <c r="F518" s="57">
        <v>152192.87737</v>
      </c>
      <c r="G518" s="57">
        <v>317091.30176937085</v>
      </c>
      <c r="H518" s="58">
        <v>5.4511178272408811E-2</v>
      </c>
      <c r="I518" s="58">
        <v>1.0834831908623559</v>
      </c>
      <c r="J518" s="58">
        <v>0.28321091695170142</v>
      </c>
    </row>
    <row r="519" spans="1:10" ht="11.25" customHeight="1" x14ac:dyDescent="0.2">
      <c r="A519" s="67">
        <v>44593</v>
      </c>
      <c r="B519" s="57">
        <v>0</v>
      </c>
      <c r="C519" s="57">
        <v>0</v>
      </c>
      <c r="D519" s="57">
        <v>506446.14481999993</v>
      </c>
      <c r="E519" s="57">
        <v>534053.12090565718</v>
      </c>
      <c r="F519" s="57">
        <v>144730.86817</v>
      </c>
      <c r="G519" s="57">
        <v>301544.33103111066</v>
      </c>
      <c r="H519" s="58">
        <v>5.4511178272409033E-2</v>
      </c>
      <c r="I519" s="58">
        <v>1.0834831908623563</v>
      </c>
      <c r="J519" s="58">
        <v>0.28321091695170142</v>
      </c>
    </row>
    <row r="520" spans="1:10" ht="11.25" customHeight="1" x14ac:dyDescent="0.2">
      <c r="A520" s="67">
        <v>44621</v>
      </c>
      <c r="B520" s="57">
        <v>0</v>
      </c>
      <c r="C520" s="57">
        <v>0</v>
      </c>
      <c r="D520" s="57">
        <v>536368.52544</v>
      </c>
      <c r="E520" s="57">
        <v>565606.60574996879</v>
      </c>
      <c r="F520" s="57">
        <v>153282.00864000001</v>
      </c>
      <c r="G520" s="57">
        <v>319360.48846305843</v>
      </c>
      <c r="H520" s="58">
        <v>5.4511178272408589E-2</v>
      </c>
      <c r="I520" s="58">
        <v>1.0834831908623559</v>
      </c>
      <c r="J520" s="58">
        <v>0.2832109169517012</v>
      </c>
    </row>
    <row r="521" spans="1:10" ht="11.25" customHeight="1" x14ac:dyDescent="0.2">
      <c r="A521" s="67">
        <v>44652</v>
      </c>
      <c r="B521" s="57">
        <v>0</v>
      </c>
      <c r="C521" s="57">
        <v>0</v>
      </c>
      <c r="D521" s="57">
        <v>559075.00484000007</v>
      </c>
      <c r="E521" s="57">
        <v>589550.84209648112</v>
      </c>
      <c r="F521" s="57">
        <v>159771.00754000002</v>
      </c>
      <c r="G521" s="57">
        <v>332880.20859673282</v>
      </c>
      <c r="H521" s="58">
        <v>5.4511178272408811E-2</v>
      </c>
      <c r="I521" s="58">
        <v>1.0834831908623563</v>
      </c>
      <c r="J521" s="58">
        <v>0.2832109169517012</v>
      </c>
    </row>
    <row r="522" spans="1:10" ht="11.25" customHeight="1" x14ac:dyDescent="0.2">
      <c r="A522" s="67">
        <v>44682</v>
      </c>
      <c r="B522" s="57">
        <v>0</v>
      </c>
      <c r="C522" s="57">
        <v>0</v>
      </c>
      <c r="D522" s="57">
        <v>598592.56182000006</v>
      </c>
      <c r="E522" s="57">
        <v>631222.54766990792</v>
      </c>
      <c r="F522" s="57">
        <v>171064.23267</v>
      </c>
      <c r="G522" s="57">
        <v>356409.45332571212</v>
      </c>
      <c r="H522" s="58">
        <v>5.4511178272408811E-2</v>
      </c>
      <c r="I522" s="58">
        <v>1.0834831908623563</v>
      </c>
      <c r="J522" s="58">
        <v>0.28321091695170142</v>
      </c>
    </row>
    <row r="523" spans="1:10" ht="11.25" customHeight="1" x14ac:dyDescent="0.2">
      <c r="A523" s="67">
        <v>44713</v>
      </c>
      <c r="B523" s="57">
        <v>0</v>
      </c>
      <c r="C523" s="57">
        <v>0</v>
      </c>
      <c r="D523" s="57">
        <v>640721.58457999991</v>
      </c>
      <c r="E523" s="57">
        <v>675648.07310002064</v>
      </c>
      <c r="F523" s="57">
        <v>183103.75573</v>
      </c>
      <c r="G523" s="57">
        <v>381493.59724722186</v>
      </c>
      <c r="H523" s="58">
        <v>5.4511178272409033E-2</v>
      </c>
      <c r="I523" s="58">
        <v>1.0834831908623563</v>
      </c>
      <c r="J523" s="58">
        <v>0.28321091695170164</v>
      </c>
    </row>
    <row r="524" spans="1:10" ht="11.25" customHeight="1" x14ac:dyDescent="0.2">
      <c r="A524" s="67">
        <v>44743</v>
      </c>
      <c r="B524" s="57">
        <v>0</v>
      </c>
      <c r="C524" s="57">
        <v>0</v>
      </c>
      <c r="D524" s="57">
        <v>664807.28995999985</v>
      </c>
      <c r="E524" s="57">
        <v>701046.71865980653</v>
      </c>
      <c r="F524" s="57">
        <v>189986.90626000002</v>
      </c>
      <c r="G524" s="57">
        <v>395834.52567665221</v>
      </c>
      <c r="H524" s="58">
        <v>5.4511178272409033E-2</v>
      </c>
      <c r="I524" s="58">
        <v>1.0834831908623563</v>
      </c>
      <c r="J524" s="58">
        <v>0.28321091695170186</v>
      </c>
    </row>
    <row r="525" spans="1:10" ht="11.25" customHeight="1" x14ac:dyDescent="0.2">
      <c r="A525" s="67">
        <v>44774</v>
      </c>
      <c r="B525" s="57">
        <v>0</v>
      </c>
      <c r="C525" s="57">
        <v>0</v>
      </c>
      <c r="D525" s="57">
        <v>723313.89988000004</v>
      </c>
      <c r="E525" s="57">
        <v>762742.59282327001</v>
      </c>
      <c r="F525" s="57">
        <v>206706.77378000005</v>
      </c>
      <c r="G525" s="57">
        <v>430670.08860801772</v>
      </c>
      <c r="H525" s="58">
        <v>5.4511178272408811E-2</v>
      </c>
      <c r="I525" s="58">
        <v>1.0834831908623563</v>
      </c>
      <c r="J525" s="58">
        <v>0.2832109169517012</v>
      </c>
    </row>
    <row r="526" spans="1:10" ht="11.25" customHeight="1" x14ac:dyDescent="0.2">
      <c r="A526" s="67">
        <v>44805</v>
      </c>
      <c r="B526" s="57">
        <v>0</v>
      </c>
      <c r="C526" s="57">
        <v>0</v>
      </c>
      <c r="D526" s="57">
        <v>839273.43588</v>
      </c>
      <c r="E526" s="57">
        <v>885023.21976255171</v>
      </c>
      <c r="F526" s="57">
        <v>239845.38978</v>
      </c>
      <c r="G526" s="57">
        <v>499713.83801245992</v>
      </c>
      <c r="H526" s="58">
        <v>5.4511178272408811E-2</v>
      </c>
      <c r="I526" s="58">
        <v>1.0834831908623559</v>
      </c>
      <c r="J526" s="58">
        <v>0.2832109169517012</v>
      </c>
    </row>
    <row r="527" spans="1:10" ht="11.25" customHeight="1" x14ac:dyDescent="0.2">
      <c r="A527" s="67">
        <v>44835</v>
      </c>
      <c r="B527" s="57">
        <v>0</v>
      </c>
      <c r="C527" s="57">
        <v>0</v>
      </c>
      <c r="D527" s="57">
        <v>1042867.96548</v>
      </c>
      <c r="E527" s="57">
        <v>1099715.9270608644</v>
      </c>
      <c r="F527" s="57">
        <v>298028.10738</v>
      </c>
      <c r="G527" s="57">
        <v>620936.55213075131</v>
      </c>
      <c r="H527" s="58">
        <v>5.4511178272408589E-2</v>
      </c>
      <c r="I527" s="58">
        <v>1.0834831908623563</v>
      </c>
      <c r="J527" s="58">
        <v>0.2832109169517012</v>
      </c>
    </row>
    <row r="528" spans="1:10" ht="11.25" customHeight="1" x14ac:dyDescent="0.2">
      <c r="A528" s="67">
        <v>44866</v>
      </c>
      <c r="B528" s="57">
        <v>0</v>
      </c>
      <c r="C528" s="57">
        <v>0</v>
      </c>
      <c r="D528" s="57">
        <v>1042867.96548</v>
      </c>
      <c r="E528" s="57">
        <v>1099715.9270608644</v>
      </c>
      <c r="F528" s="57">
        <v>298028.10738</v>
      </c>
      <c r="G528" s="57">
        <v>620936.55213075131</v>
      </c>
      <c r="H528" s="58">
        <v>5.4511178272408589E-2</v>
      </c>
      <c r="I528" s="58">
        <v>1.0834831908623563</v>
      </c>
      <c r="J528" s="58">
        <v>0.2832109169517012</v>
      </c>
    </row>
    <row r="529" spans="1:10" ht="11.25" customHeight="1" x14ac:dyDescent="0.2">
      <c r="A529" s="63" t="s">
        <v>32</v>
      </c>
      <c r="B529" s="57">
        <v>0</v>
      </c>
      <c r="C529" s="57">
        <v>0</v>
      </c>
      <c r="D529" s="57">
        <v>11455385.453660002</v>
      </c>
      <c r="E529" s="57">
        <v>12079760.841851478</v>
      </c>
      <c r="F529" s="57">
        <v>3273704.8572299997</v>
      </c>
      <c r="G529" s="57">
        <v>6820638.7332682358</v>
      </c>
      <c r="H529" s="58">
        <v>5.4504965434575281E-2</v>
      </c>
      <c r="I529" s="58">
        <v>1.0834617140897129</v>
      </c>
      <c r="J529" s="58">
        <v>0.28320209708712563</v>
      </c>
    </row>
    <row r="530" spans="1:10" ht="11.25" customHeight="1" x14ac:dyDescent="0.2">
      <c r="A530" s="64" t="s">
        <v>25</v>
      </c>
      <c r="B530" s="57">
        <v>0</v>
      </c>
      <c r="C530" s="57">
        <v>0</v>
      </c>
      <c r="D530" s="57">
        <v>11455385.453660002</v>
      </c>
      <c r="E530" s="57">
        <v>12079760.841851478</v>
      </c>
      <c r="F530" s="57">
        <v>3273704.8572299997</v>
      </c>
      <c r="G530" s="57">
        <v>6820638.7332682358</v>
      </c>
      <c r="H530" s="58">
        <v>5.4504965434575281E-2</v>
      </c>
      <c r="I530" s="58">
        <v>1.0834617140897129</v>
      </c>
      <c r="J530" s="58">
        <v>0.28320209708712563</v>
      </c>
    </row>
    <row r="531" spans="1:10" ht="11.25" customHeight="1" x14ac:dyDescent="0.2">
      <c r="A531" s="65" t="s">
        <v>25</v>
      </c>
      <c r="B531" s="57">
        <v>0</v>
      </c>
      <c r="C531" s="57">
        <v>0</v>
      </c>
      <c r="D531" s="57">
        <v>11455385.453660002</v>
      </c>
      <c r="E531" s="57">
        <v>12079760.841851478</v>
      </c>
      <c r="F531" s="57">
        <v>3273704.8572299997</v>
      </c>
      <c r="G531" s="57">
        <v>6820638.7332682358</v>
      </c>
      <c r="H531" s="58">
        <v>5.4504965434575281E-2</v>
      </c>
      <c r="I531" s="58">
        <v>1.0834617140897129</v>
      </c>
      <c r="J531" s="58">
        <v>0.28320209708712563</v>
      </c>
    </row>
    <row r="532" spans="1:10" ht="11.25" customHeight="1" x14ac:dyDescent="0.2">
      <c r="A532" s="66" t="s">
        <v>25</v>
      </c>
      <c r="B532" s="57">
        <v>0</v>
      </c>
      <c r="C532" s="57">
        <v>0</v>
      </c>
      <c r="D532" s="57">
        <v>11455385.453660002</v>
      </c>
      <c r="E532" s="57">
        <v>12079760.841851478</v>
      </c>
      <c r="F532" s="57">
        <v>3273704.8572299997</v>
      </c>
      <c r="G532" s="57">
        <v>6820638.7332682358</v>
      </c>
      <c r="H532" s="58">
        <v>5.4504965434575281E-2</v>
      </c>
      <c r="I532" s="58">
        <v>1.0834617140897129</v>
      </c>
      <c r="J532" s="58">
        <v>0.28320209708712563</v>
      </c>
    </row>
    <row r="533" spans="1:10" ht="11.25" customHeight="1" x14ac:dyDescent="0.2">
      <c r="A533" s="67">
        <v>44531</v>
      </c>
      <c r="B533" s="57">
        <v>0</v>
      </c>
      <c r="C533" s="57">
        <v>0</v>
      </c>
      <c r="D533" s="57">
        <v>672862.71740000008</v>
      </c>
      <c r="E533" s="57">
        <v>709537.07655410154</v>
      </c>
      <c r="F533" s="57">
        <v>192289.81470000002</v>
      </c>
      <c r="G533" s="57">
        <v>400628.46693685534</v>
      </c>
      <c r="H533" s="58">
        <v>5.4504965434575281E-2</v>
      </c>
      <c r="I533" s="58">
        <v>1.0834617140897129</v>
      </c>
      <c r="J533" s="58">
        <v>0.28320209708712585</v>
      </c>
    </row>
    <row r="534" spans="1:10" ht="11.25" customHeight="1" x14ac:dyDescent="0.2">
      <c r="A534" s="67">
        <v>44562</v>
      </c>
      <c r="B534" s="57">
        <v>0</v>
      </c>
      <c r="C534" s="57">
        <v>0</v>
      </c>
      <c r="D534" s="57">
        <v>675586.33418000001</v>
      </c>
      <c r="E534" s="57">
        <v>712409.14397255261</v>
      </c>
      <c r="F534" s="57">
        <v>193068.16629000002</v>
      </c>
      <c r="G534" s="57">
        <v>402250.13267472119</v>
      </c>
      <c r="H534" s="58">
        <v>5.4504965434575725E-2</v>
      </c>
      <c r="I534" s="58">
        <v>1.0834617140897129</v>
      </c>
      <c r="J534" s="58">
        <v>0.28320209708712585</v>
      </c>
    </row>
    <row r="535" spans="1:10" ht="11.25" customHeight="1" x14ac:dyDescent="0.2">
      <c r="A535" s="67">
        <v>44593</v>
      </c>
      <c r="B535" s="57">
        <v>0</v>
      </c>
      <c r="C535" s="57">
        <v>0</v>
      </c>
      <c r="D535" s="57">
        <v>515995.81848000007</v>
      </c>
      <c r="E535" s="57">
        <v>544120.15273063793</v>
      </c>
      <c r="F535" s="57">
        <v>147460.60044000001</v>
      </c>
      <c r="G535" s="57">
        <v>307228.51535342069</v>
      </c>
      <c r="H535" s="58">
        <v>5.4504965434575503E-2</v>
      </c>
      <c r="I535" s="58">
        <v>1.0834617140897129</v>
      </c>
      <c r="J535" s="58">
        <v>0.28320209708712563</v>
      </c>
    </row>
    <row r="536" spans="1:10" ht="11.25" customHeight="1" x14ac:dyDescent="0.2">
      <c r="A536" s="67">
        <v>44621</v>
      </c>
      <c r="B536" s="57">
        <v>0</v>
      </c>
      <c r="C536" s="57">
        <v>0</v>
      </c>
      <c r="D536" s="57">
        <v>567624.59406000003</v>
      </c>
      <c r="E536" s="57">
        <v>598562.95293905516</v>
      </c>
      <c r="F536" s="57">
        <v>162215.00343000001</v>
      </c>
      <c r="G536" s="57">
        <v>337968.74909733649</v>
      </c>
      <c r="H536" s="58">
        <v>5.4504965434575281E-2</v>
      </c>
      <c r="I536" s="58">
        <v>1.0834617140897129</v>
      </c>
      <c r="J536" s="58">
        <v>0.28320209708712563</v>
      </c>
    </row>
    <row r="537" spans="1:10" ht="11.25" customHeight="1" x14ac:dyDescent="0.2">
      <c r="A537" s="67">
        <v>44652</v>
      </c>
      <c r="B537" s="57">
        <v>0</v>
      </c>
      <c r="C537" s="57">
        <v>0</v>
      </c>
      <c r="D537" s="57">
        <v>597860.47440000006</v>
      </c>
      <c r="E537" s="57">
        <v>630446.83889187104</v>
      </c>
      <c r="F537" s="57">
        <v>170855.77320000003</v>
      </c>
      <c r="G537" s="57">
        <v>355971.4620933953</v>
      </c>
      <c r="H537" s="58">
        <v>5.4504965434575503E-2</v>
      </c>
      <c r="I537" s="58">
        <v>1.0834617140897129</v>
      </c>
      <c r="J537" s="58">
        <v>0.28320209708712563</v>
      </c>
    </row>
    <row r="538" spans="1:10" ht="11.25" customHeight="1" x14ac:dyDescent="0.2">
      <c r="A538" s="67">
        <v>44682</v>
      </c>
      <c r="B538" s="57">
        <v>0</v>
      </c>
      <c r="C538" s="57">
        <v>0</v>
      </c>
      <c r="D538" s="57">
        <v>777191.83694000007</v>
      </c>
      <c r="E538" s="57">
        <v>819552.65114844893</v>
      </c>
      <c r="F538" s="57">
        <v>222104.85207000002</v>
      </c>
      <c r="G538" s="57">
        <v>462746.95580140437</v>
      </c>
      <c r="H538" s="58">
        <v>5.4504965434575503E-2</v>
      </c>
      <c r="I538" s="58">
        <v>1.0834617140897129</v>
      </c>
      <c r="J538" s="58">
        <v>0.28320209708712563</v>
      </c>
    </row>
    <row r="539" spans="1:10" ht="11.25" customHeight="1" x14ac:dyDescent="0.2">
      <c r="A539" s="67">
        <v>44713</v>
      </c>
      <c r="B539" s="57">
        <v>0</v>
      </c>
      <c r="C539" s="57">
        <v>0</v>
      </c>
      <c r="D539" s="57">
        <v>830474.924</v>
      </c>
      <c r="E539" s="57">
        <v>875739.9310269017</v>
      </c>
      <c r="F539" s="57">
        <v>237332.022</v>
      </c>
      <c r="G539" s="57">
        <v>494472.18136449746</v>
      </c>
      <c r="H539" s="58">
        <v>5.4504965434575503E-2</v>
      </c>
      <c r="I539" s="58">
        <v>1.0834617140897129</v>
      </c>
      <c r="J539" s="58">
        <v>0.28320209708712563</v>
      </c>
    </row>
    <row r="540" spans="1:10" ht="11.25" customHeight="1" x14ac:dyDescent="0.2">
      <c r="A540" s="67">
        <v>44743</v>
      </c>
      <c r="B540" s="57">
        <v>0</v>
      </c>
      <c r="C540" s="57">
        <v>0</v>
      </c>
      <c r="D540" s="57">
        <v>862964.07765999995</v>
      </c>
      <c r="E540" s="57">
        <v>909999.90488413861</v>
      </c>
      <c r="F540" s="57">
        <v>246616.72922999997</v>
      </c>
      <c r="G540" s="57">
        <v>513816.51340473437</v>
      </c>
      <c r="H540" s="58">
        <v>5.4504965434575503E-2</v>
      </c>
      <c r="I540" s="58">
        <v>1.0834617140897129</v>
      </c>
      <c r="J540" s="58">
        <v>0.28320209708712585</v>
      </c>
    </row>
    <row r="541" spans="1:10" ht="11.25" customHeight="1" x14ac:dyDescent="0.2">
      <c r="A541" s="67">
        <v>44774</v>
      </c>
      <c r="B541" s="57">
        <v>0</v>
      </c>
      <c r="C541" s="57">
        <v>0</v>
      </c>
      <c r="D541" s="57">
        <v>1008929.7202199999</v>
      </c>
      <c r="E541" s="57">
        <v>1063921.3997465069</v>
      </c>
      <c r="F541" s="57">
        <v>288330.59691000002</v>
      </c>
      <c r="G541" s="57">
        <v>600725.75966261874</v>
      </c>
      <c r="H541" s="58">
        <v>5.4504965434575503E-2</v>
      </c>
      <c r="I541" s="58">
        <v>1.0834617140897129</v>
      </c>
      <c r="J541" s="58">
        <v>0.28320209708712585</v>
      </c>
    </row>
    <row r="542" spans="1:10" ht="11.25" customHeight="1" x14ac:dyDescent="0.2">
      <c r="A542" s="67">
        <v>44805</v>
      </c>
      <c r="B542" s="57">
        <v>0</v>
      </c>
      <c r="C542" s="57">
        <v>0</v>
      </c>
      <c r="D542" s="57">
        <v>1334421.3502</v>
      </c>
      <c r="E542" s="57">
        <v>1407153.9397678105</v>
      </c>
      <c r="F542" s="57">
        <v>381349.16310000001</v>
      </c>
      <c r="G542" s="57">
        <v>794526.38101900357</v>
      </c>
      <c r="H542" s="58">
        <v>5.4504965434575503E-2</v>
      </c>
      <c r="I542" s="58">
        <v>1.0834617140897129</v>
      </c>
      <c r="J542" s="58">
        <v>0.28320209708712585</v>
      </c>
    </row>
    <row r="543" spans="1:10" ht="11.25" customHeight="1" x14ac:dyDescent="0.2">
      <c r="A543" s="67">
        <v>44835</v>
      </c>
      <c r="B543" s="57">
        <v>0</v>
      </c>
      <c r="C543" s="57">
        <v>0</v>
      </c>
      <c r="D543" s="57">
        <v>1805736.8030600001</v>
      </c>
      <c r="E543" s="57">
        <v>1904158.4250947263</v>
      </c>
      <c r="F543" s="57">
        <v>516041.06793000008</v>
      </c>
      <c r="G543" s="57">
        <v>1075151.807930124</v>
      </c>
      <c r="H543" s="58">
        <v>5.4504965434575503E-2</v>
      </c>
      <c r="I543" s="58">
        <v>1.0834617140897129</v>
      </c>
      <c r="J543" s="58">
        <v>0.28320209708712585</v>
      </c>
    </row>
    <row r="544" spans="1:10" ht="11.25" customHeight="1" x14ac:dyDescent="0.2">
      <c r="A544" s="67">
        <v>44866</v>
      </c>
      <c r="B544" s="57">
        <v>0</v>
      </c>
      <c r="C544" s="57">
        <v>0</v>
      </c>
      <c r="D544" s="57">
        <v>1805736.8030600001</v>
      </c>
      <c r="E544" s="57">
        <v>1904158.4250947263</v>
      </c>
      <c r="F544" s="57">
        <v>516041.06793000008</v>
      </c>
      <c r="G544" s="57">
        <v>1075151.807930124</v>
      </c>
      <c r="H544" s="58">
        <v>5.4504965434575503E-2</v>
      </c>
      <c r="I544" s="58">
        <v>1.0834617140897129</v>
      </c>
      <c r="J544" s="58">
        <v>0.28320209708712585</v>
      </c>
    </row>
    <row r="545" spans="1:10" ht="11.25" customHeight="1" x14ac:dyDescent="0.2">
      <c r="A545" s="60" t="s">
        <v>45</v>
      </c>
      <c r="B545" s="57">
        <v>0</v>
      </c>
      <c r="C545" s="57">
        <v>0</v>
      </c>
      <c r="D545" s="57">
        <v>1576266.1989000002</v>
      </c>
      <c r="E545" s="57">
        <v>1938956.8101150761</v>
      </c>
      <c r="F545" s="57">
        <v>393299.52029999997</v>
      </c>
      <c r="G545" s="57">
        <v>875250.05382199783</v>
      </c>
      <c r="H545" s="58">
        <v>0.23009477172585502</v>
      </c>
      <c r="I545" s="58">
        <v>1.2254033087921821</v>
      </c>
      <c r="J545" s="58">
        <v>0.42884638806576691</v>
      </c>
    </row>
    <row r="546" spans="1:10" ht="11.25" customHeight="1" x14ac:dyDescent="0.2">
      <c r="A546" s="61" t="s">
        <v>23</v>
      </c>
      <c r="B546" s="57">
        <v>0</v>
      </c>
      <c r="C546" s="57">
        <v>0</v>
      </c>
      <c r="D546" s="57">
        <v>1576266.1989000002</v>
      </c>
      <c r="E546" s="57">
        <v>1938956.8101150761</v>
      </c>
      <c r="F546" s="57">
        <v>393299.52029999997</v>
      </c>
      <c r="G546" s="57">
        <v>875250.05382199783</v>
      </c>
      <c r="H546" s="58">
        <v>0.23009477172585502</v>
      </c>
      <c r="I546" s="58">
        <v>1.2254033087921821</v>
      </c>
      <c r="J546" s="58">
        <v>0.42884638806576691</v>
      </c>
    </row>
    <row r="547" spans="1:10" ht="11.25" customHeight="1" x14ac:dyDescent="0.2">
      <c r="A547" s="62" t="s">
        <v>46</v>
      </c>
      <c r="B547" s="57">
        <v>0</v>
      </c>
      <c r="C547" s="57">
        <v>0</v>
      </c>
      <c r="D547" s="57">
        <v>1576266.1989000002</v>
      </c>
      <c r="E547" s="57">
        <v>1938956.8101150761</v>
      </c>
      <c r="F547" s="57">
        <v>393299.52029999997</v>
      </c>
      <c r="G547" s="57">
        <v>875250.05382199783</v>
      </c>
      <c r="H547" s="58">
        <v>0.23009477172585502</v>
      </c>
      <c r="I547" s="58">
        <v>1.2254033087921821</v>
      </c>
      <c r="J547" s="58">
        <v>0.42884638806576691</v>
      </c>
    </row>
    <row r="548" spans="1:10" ht="11.25" customHeight="1" x14ac:dyDescent="0.2">
      <c r="A548" s="63" t="s">
        <v>25</v>
      </c>
      <c r="B548" s="57">
        <v>0</v>
      </c>
      <c r="C548" s="57">
        <v>0</v>
      </c>
      <c r="D548" s="57">
        <v>1576266.1989000002</v>
      </c>
      <c r="E548" s="57">
        <v>1938956.8101150761</v>
      </c>
      <c r="F548" s="57">
        <v>393299.52029999997</v>
      </c>
      <c r="G548" s="57">
        <v>875250.05382199783</v>
      </c>
      <c r="H548" s="58">
        <v>0.23009477172585502</v>
      </c>
      <c r="I548" s="58">
        <v>1.2254033087921821</v>
      </c>
      <c r="J548" s="58">
        <v>0.42884638806576691</v>
      </c>
    </row>
    <row r="549" spans="1:10" ht="11.25" customHeight="1" x14ac:dyDescent="0.2">
      <c r="A549" s="64" t="s">
        <v>25</v>
      </c>
      <c r="B549" s="57">
        <v>0</v>
      </c>
      <c r="C549" s="57">
        <v>0</v>
      </c>
      <c r="D549" s="57">
        <v>1576266.1989000002</v>
      </c>
      <c r="E549" s="57">
        <v>1938956.8101150761</v>
      </c>
      <c r="F549" s="57">
        <v>393299.52029999997</v>
      </c>
      <c r="G549" s="57">
        <v>875250.05382199783</v>
      </c>
      <c r="H549" s="58">
        <v>0.23009477172585502</v>
      </c>
      <c r="I549" s="58">
        <v>1.2254033087921821</v>
      </c>
      <c r="J549" s="58">
        <v>0.42884638806576691</v>
      </c>
    </row>
    <row r="550" spans="1:10" ht="11.25" customHeight="1" x14ac:dyDescent="0.2">
      <c r="A550" s="65" t="s">
        <v>25</v>
      </c>
      <c r="B550" s="57">
        <v>0</v>
      </c>
      <c r="C550" s="57">
        <v>0</v>
      </c>
      <c r="D550" s="57">
        <v>1576266.1989000002</v>
      </c>
      <c r="E550" s="57">
        <v>1938956.8101150761</v>
      </c>
      <c r="F550" s="57">
        <v>393299.52029999997</v>
      </c>
      <c r="G550" s="57">
        <v>875250.05382199783</v>
      </c>
      <c r="H550" s="58">
        <v>0.23009477172585502</v>
      </c>
      <c r="I550" s="58">
        <v>1.2254033087921821</v>
      </c>
      <c r="J550" s="58">
        <v>0.42884638806576691</v>
      </c>
    </row>
    <row r="551" spans="1:10" ht="11.25" customHeight="1" x14ac:dyDescent="0.2">
      <c r="A551" s="66" t="s">
        <v>25</v>
      </c>
      <c r="B551" s="57">
        <v>0</v>
      </c>
      <c r="C551" s="57">
        <v>0</v>
      </c>
      <c r="D551" s="57">
        <v>1576266.1989000002</v>
      </c>
      <c r="E551" s="57">
        <v>1938956.8101150761</v>
      </c>
      <c r="F551" s="57">
        <v>393299.52029999997</v>
      </c>
      <c r="G551" s="57">
        <v>875250.05382199783</v>
      </c>
      <c r="H551" s="58">
        <v>0.23009477172585502</v>
      </c>
      <c r="I551" s="58">
        <v>1.2254033087921821</v>
      </c>
      <c r="J551" s="58">
        <v>0.42884638806576691</v>
      </c>
    </row>
    <row r="552" spans="1:10" ht="11.25" customHeight="1" x14ac:dyDescent="0.2">
      <c r="A552" s="67">
        <v>44531</v>
      </c>
      <c r="B552" s="57">
        <v>0</v>
      </c>
      <c r="C552" s="57">
        <v>0</v>
      </c>
      <c r="D552" s="57">
        <v>133596.77272000001</v>
      </c>
      <c r="E552" s="57">
        <v>164336.69164231932</v>
      </c>
      <c r="F552" s="57">
        <v>33334.183440000001</v>
      </c>
      <c r="G552" s="57">
        <v>74182.00212326154</v>
      </c>
      <c r="H552" s="58">
        <v>0.2300947717258548</v>
      </c>
      <c r="I552" s="58">
        <v>1.2254033087921812</v>
      </c>
      <c r="J552" s="58">
        <v>0.42884638806576669</v>
      </c>
    </row>
    <row r="553" spans="1:10" ht="11.25" customHeight="1" x14ac:dyDescent="0.2">
      <c r="A553" s="67">
        <v>44562</v>
      </c>
      <c r="B553" s="57">
        <v>0</v>
      </c>
      <c r="C553" s="57">
        <v>0</v>
      </c>
      <c r="D553" s="57">
        <v>128649.49037999999</v>
      </c>
      <c r="E553" s="57">
        <v>158251.06550163365</v>
      </c>
      <c r="F553" s="57">
        <v>32099.770260000001</v>
      </c>
      <c r="G553" s="57">
        <v>71434.934948072871</v>
      </c>
      <c r="H553" s="58">
        <v>0.23009477172585502</v>
      </c>
      <c r="I553" s="58">
        <v>1.2254033087921816</v>
      </c>
      <c r="J553" s="58">
        <v>0.42884638806576669</v>
      </c>
    </row>
    <row r="554" spans="1:10" ht="11.25" customHeight="1" x14ac:dyDescent="0.2">
      <c r="A554" s="67">
        <v>44593</v>
      </c>
      <c r="B554" s="57">
        <v>0</v>
      </c>
      <c r="C554" s="57">
        <v>0</v>
      </c>
      <c r="D554" s="57">
        <v>98630.097400000013</v>
      </c>
      <c r="E554" s="57">
        <v>121324.36714655183</v>
      </c>
      <c r="F554" s="57">
        <v>24609.529799999997</v>
      </c>
      <c r="G554" s="57">
        <v>54766.129044739799</v>
      </c>
      <c r="H554" s="58">
        <v>0.23009477172585457</v>
      </c>
      <c r="I554" s="58">
        <v>1.2254033087921821</v>
      </c>
      <c r="J554" s="58">
        <v>0.42884638806576669</v>
      </c>
    </row>
    <row r="555" spans="1:10" ht="11.25" customHeight="1" x14ac:dyDescent="0.2">
      <c r="A555" s="67">
        <v>44621</v>
      </c>
      <c r="B555" s="57">
        <v>0</v>
      </c>
      <c r="C555" s="57">
        <v>0</v>
      </c>
      <c r="D555" s="57">
        <v>117021.68508000001</v>
      </c>
      <c r="E555" s="57">
        <v>143947.76299545748</v>
      </c>
      <c r="F555" s="57">
        <v>29198.477160000002</v>
      </c>
      <c r="G555" s="57">
        <v>64978.387683556954</v>
      </c>
      <c r="H555" s="58">
        <v>0.2300947717258548</v>
      </c>
      <c r="I555" s="58">
        <v>1.2254033087921816</v>
      </c>
      <c r="J555" s="58">
        <v>0.42884638806576691</v>
      </c>
    </row>
    <row r="556" spans="1:10" ht="11.25" customHeight="1" x14ac:dyDescent="0.2">
      <c r="A556" s="67">
        <v>44652</v>
      </c>
      <c r="B556" s="57">
        <v>0</v>
      </c>
      <c r="C556" s="57">
        <v>0</v>
      </c>
      <c r="D556" s="57">
        <v>109535.5607</v>
      </c>
      <c r="E556" s="57">
        <v>134739.12053513003</v>
      </c>
      <c r="F556" s="57">
        <v>27330.588900000002</v>
      </c>
      <c r="G556" s="57">
        <v>60821.582969298877</v>
      </c>
      <c r="H556" s="58">
        <v>0.23009477172585502</v>
      </c>
      <c r="I556" s="58">
        <v>1.2254033087921816</v>
      </c>
      <c r="J556" s="58">
        <v>0.42884638806576691</v>
      </c>
    </row>
    <row r="557" spans="1:10" ht="11.25" customHeight="1" x14ac:dyDescent="0.2">
      <c r="A557" s="67">
        <v>44682</v>
      </c>
      <c r="B557" s="57">
        <v>0</v>
      </c>
      <c r="C557" s="57">
        <v>0</v>
      </c>
      <c r="D557" s="57">
        <v>124687.6346</v>
      </c>
      <c r="E557" s="57">
        <v>153377.60742032379</v>
      </c>
      <c r="F557" s="57">
        <v>31111.234199999999</v>
      </c>
      <c r="G557" s="57">
        <v>69235.043529288479</v>
      </c>
      <c r="H557" s="58">
        <v>0.2300947717258548</v>
      </c>
      <c r="I557" s="58">
        <v>1.2254033087921816</v>
      </c>
      <c r="J557" s="58">
        <v>0.42884638806576669</v>
      </c>
    </row>
    <row r="558" spans="1:10" ht="11.25" customHeight="1" x14ac:dyDescent="0.2">
      <c r="A558" s="67">
        <v>44713</v>
      </c>
      <c r="B558" s="57">
        <v>0</v>
      </c>
      <c r="C558" s="57">
        <v>0</v>
      </c>
      <c r="D558" s="57">
        <v>143875.3192</v>
      </c>
      <c r="E558" s="57">
        <v>176980.2779283085</v>
      </c>
      <c r="F558" s="57">
        <v>35898.818400000004</v>
      </c>
      <c r="G558" s="57">
        <v>79889.349249089646</v>
      </c>
      <c r="H558" s="58">
        <v>0.2300947717258548</v>
      </c>
      <c r="I558" s="58">
        <v>1.2254033087921812</v>
      </c>
      <c r="J558" s="58">
        <v>0.42884638806576647</v>
      </c>
    </row>
    <row r="559" spans="1:10" ht="11.25" customHeight="1" x14ac:dyDescent="0.2">
      <c r="A559" s="67">
        <v>44743</v>
      </c>
      <c r="B559" s="57">
        <v>0</v>
      </c>
      <c r="C559" s="57">
        <v>0</v>
      </c>
      <c r="D559" s="57">
        <v>139542.78792</v>
      </c>
      <c r="E559" s="57">
        <v>171650.85385244177</v>
      </c>
      <c r="F559" s="57">
        <v>34817.793839999998</v>
      </c>
      <c r="G559" s="57">
        <v>77483.63361638003</v>
      </c>
      <c r="H559" s="58">
        <v>0.2300947717258548</v>
      </c>
      <c r="I559" s="58">
        <v>1.2254033087921816</v>
      </c>
      <c r="J559" s="58">
        <v>0.42884638806576669</v>
      </c>
    </row>
    <row r="560" spans="1:10" ht="11.25" customHeight="1" x14ac:dyDescent="0.2">
      <c r="A560" s="67">
        <v>44774</v>
      </c>
      <c r="B560" s="57">
        <v>0</v>
      </c>
      <c r="C560" s="57">
        <v>0</v>
      </c>
      <c r="D560" s="57">
        <v>136970.49004</v>
      </c>
      <c r="E560" s="57">
        <v>168486.68367893226</v>
      </c>
      <c r="F560" s="57">
        <v>34175.971080000003</v>
      </c>
      <c r="G560" s="57">
        <v>76055.319122617904</v>
      </c>
      <c r="H560" s="58">
        <v>0.23009477172585457</v>
      </c>
      <c r="I560" s="58">
        <v>1.2254033087921812</v>
      </c>
      <c r="J560" s="58">
        <v>0.42884638806576669</v>
      </c>
    </row>
    <row r="561" spans="1:10" ht="11.25" customHeight="1" x14ac:dyDescent="0.2">
      <c r="A561" s="67">
        <v>44805</v>
      </c>
      <c r="B561" s="57">
        <v>0</v>
      </c>
      <c r="C561" s="57">
        <v>0</v>
      </c>
      <c r="D561" s="57">
        <v>138839.83510000003</v>
      </c>
      <c r="E561" s="57">
        <v>170786.15526378981</v>
      </c>
      <c r="F561" s="57">
        <v>34642.397699999994</v>
      </c>
      <c r="G561" s="57">
        <v>77093.30646607466</v>
      </c>
      <c r="H561" s="58">
        <v>0.23009477172585457</v>
      </c>
      <c r="I561" s="58">
        <v>1.2254033087921821</v>
      </c>
      <c r="J561" s="58">
        <v>0.42884638806576647</v>
      </c>
    </row>
    <row r="562" spans="1:10" ht="11.25" customHeight="1" x14ac:dyDescent="0.2">
      <c r="A562" s="67">
        <v>44835</v>
      </c>
      <c r="B562" s="57">
        <v>0</v>
      </c>
      <c r="C562" s="57">
        <v>0</v>
      </c>
      <c r="D562" s="57">
        <v>152458.26287999999</v>
      </c>
      <c r="E562" s="57">
        <v>187538.11207509393</v>
      </c>
      <c r="F562" s="57">
        <v>38040.377759999996</v>
      </c>
      <c r="G562" s="57">
        <v>84655.182534808526</v>
      </c>
      <c r="H562" s="58">
        <v>0.23009477172585457</v>
      </c>
      <c r="I562" s="58">
        <v>1.2254033087921821</v>
      </c>
      <c r="J562" s="58">
        <v>0.42884638806576647</v>
      </c>
    </row>
    <row r="563" spans="1:10" ht="11.25" customHeight="1" x14ac:dyDescent="0.2">
      <c r="A563" s="67">
        <v>44866</v>
      </c>
      <c r="B563" s="57">
        <v>0</v>
      </c>
      <c r="C563" s="57">
        <v>0</v>
      </c>
      <c r="D563" s="57">
        <v>152458.26287999999</v>
      </c>
      <c r="E563" s="57">
        <v>187538.11207509393</v>
      </c>
      <c r="F563" s="57">
        <v>38040.377759999996</v>
      </c>
      <c r="G563" s="57">
        <v>84655.182534808526</v>
      </c>
      <c r="H563" s="58">
        <v>0.23009477172585457</v>
      </c>
      <c r="I563" s="58">
        <v>1.2254033087921821</v>
      </c>
      <c r="J563" s="58">
        <v>0.42884638806576647</v>
      </c>
    </row>
    <row r="564" spans="1:10" ht="11.25" customHeight="1" x14ac:dyDescent="0.2">
      <c r="A564" s="60" t="s">
        <v>37</v>
      </c>
      <c r="B564" s="57">
        <v>0</v>
      </c>
      <c r="C564" s="57">
        <v>0</v>
      </c>
      <c r="D564" s="57">
        <v>78489666.984603584</v>
      </c>
      <c r="E564" s="57">
        <v>90394966.934292123</v>
      </c>
      <c r="F564" s="57">
        <v>19591397.734257195</v>
      </c>
      <c r="G564" s="57">
        <v>40818227.939637497</v>
      </c>
      <c r="H564" s="58">
        <v>0.15167983770429094</v>
      </c>
      <c r="I564" s="58">
        <v>1.0834770695438132</v>
      </c>
      <c r="J564" s="58">
        <v>0.33780353272100605</v>
      </c>
    </row>
    <row r="565" spans="1:10" ht="11.25" customHeight="1" x14ac:dyDescent="0.2">
      <c r="A565" s="61" t="s">
        <v>33</v>
      </c>
      <c r="B565" s="57">
        <v>0</v>
      </c>
      <c r="C565" s="57">
        <v>0</v>
      </c>
      <c r="D565" s="57">
        <v>239019.43938999998</v>
      </c>
      <c r="E565" s="57">
        <v>282667.2883471864</v>
      </c>
      <c r="F565" s="57">
        <v>67678.233080000005</v>
      </c>
      <c r="G565" s="57">
        <v>141305.84230806582</v>
      </c>
      <c r="H565" s="58">
        <v>0.18261213007854016</v>
      </c>
      <c r="I565" s="58">
        <v>1.0879067888937537</v>
      </c>
      <c r="J565" s="58">
        <v>0.38238131134406839</v>
      </c>
    </row>
    <row r="566" spans="1:10" ht="11.25" customHeight="1" x14ac:dyDescent="0.2">
      <c r="A566" s="62" t="s">
        <v>44</v>
      </c>
      <c r="B566" s="57">
        <v>0</v>
      </c>
      <c r="C566" s="57">
        <v>0</v>
      </c>
      <c r="D566" s="57">
        <v>208281.71805</v>
      </c>
      <c r="E566" s="57">
        <v>246286.66096269918</v>
      </c>
      <c r="F566" s="57">
        <v>58942.641130000004</v>
      </c>
      <c r="G566" s="57">
        <v>123065.63516318887</v>
      </c>
      <c r="H566" s="58">
        <v>0.18246893327226998</v>
      </c>
      <c r="I566" s="58">
        <v>1.0878880349416886</v>
      </c>
      <c r="J566" s="58">
        <v>0.38218049155127942</v>
      </c>
    </row>
    <row r="567" spans="1:10" ht="11.25" customHeight="1" x14ac:dyDescent="0.2">
      <c r="A567" s="63" t="s">
        <v>25</v>
      </c>
      <c r="B567" s="57">
        <v>0</v>
      </c>
      <c r="C567" s="57">
        <v>0</v>
      </c>
      <c r="D567" s="57">
        <v>208281.71805</v>
      </c>
      <c r="E567" s="57">
        <v>246286.66096269918</v>
      </c>
      <c r="F567" s="57">
        <v>58942.641130000004</v>
      </c>
      <c r="G567" s="57">
        <v>123065.63516318887</v>
      </c>
      <c r="H567" s="58">
        <v>0.18246893327226998</v>
      </c>
      <c r="I567" s="58">
        <v>1.0878880349416886</v>
      </c>
      <c r="J567" s="58">
        <v>0.38218049155127942</v>
      </c>
    </row>
    <row r="568" spans="1:10" ht="11.25" customHeight="1" x14ac:dyDescent="0.2">
      <c r="A568" s="64" t="s">
        <v>25</v>
      </c>
      <c r="B568" s="57">
        <v>0</v>
      </c>
      <c r="C568" s="57">
        <v>0</v>
      </c>
      <c r="D568" s="57">
        <v>208281.71805</v>
      </c>
      <c r="E568" s="57">
        <v>246286.66096269918</v>
      </c>
      <c r="F568" s="57">
        <v>58942.641130000004</v>
      </c>
      <c r="G568" s="57">
        <v>123065.63516318887</v>
      </c>
      <c r="H568" s="58">
        <v>0.18246893327226998</v>
      </c>
      <c r="I568" s="58">
        <v>1.0878880349416886</v>
      </c>
      <c r="J568" s="58">
        <v>0.38218049155127942</v>
      </c>
    </row>
    <row r="569" spans="1:10" ht="11.25" customHeight="1" x14ac:dyDescent="0.2">
      <c r="A569" s="65" t="s">
        <v>25</v>
      </c>
      <c r="B569" s="57">
        <v>0</v>
      </c>
      <c r="C569" s="57">
        <v>0</v>
      </c>
      <c r="D569" s="57">
        <v>208281.71805</v>
      </c>
      <c r="E569" s="57">
        <v>246286.66096269918</v>
      </c>
      <c r="F569" s="57">
        <v>58942.641130000004</v>
      </c>
      <c r="G569" s="57">
        <v>123065.63516318887</v>
      </c>
      <c r="H569" s="58">
        <v>0.18246893327226998</v>
      </c>
      <c r="I569" s="58">
        <v>1.0878880349416886</v>
      </c>
      <c r="J569" s="58">
        <v>0.38218049155127942</v>
      </c>
    </row>
    <row r="570" spans="1:10" ht="11.25" customHeight="1" x14ac:dyDescent="0.2">
      <c r="A570" s="66" t="s">
        <v>35</v>
      </c>
      <c r="B570" s="57">
        <v>0</v>
      </c>
      <c r="C570" s="57">
        <v>0</v>
      </c>
      <c r="D570" s="57">
        <v>165900.09092000002</v>
      </c>
      <c r="E570" s="57">
        <v>201804.04792688438</v>
      </c>
      <c r="F570" s="57">
        <v>52964.325800000006</v>
      </c>
      <c r="G570" s="57">
        <v>110806.03859008121</v>
      </c>
      <c r="H570" s="58">
        <v>0.21641915207989793</v>
      </c>
      <c r="I570" s="58">
        <v>1.0920881539868708</v>
      </c>
      <c r="J570" s="58">
        <v>0.42832759752306959</v>
      </c>
    </row>
    <row r="571" spans="1:10" ht="11.25" customHeight="1" x14ac:dyDescent="0.2">
      <c r="A571" s="67">
        <v>44531</v>
      </c>
      <c r="B571" s="57">
        <v>0</v>
      </c>
      <c r="C571" s="57">
        <v>0</v>
      </c>
      <c r="D571" s="57">
        <v>14451.887939999999</v>
      </c>
      <c r="E571" s="57">
        <v>17579.553273928501</v>
      </c>
      <c r="F571" s="57">
        <v>4613.8280999999997</v>
      </c>
      <c r="G571" s="57">
        <v>9652.535112541751</v>
      </c>
      <c r="H571" s="58">
        <v>0.21641915207989793</v>
      </c>
      <c r="I571" s="58">
        <v>1.0920881539868708</v>
      </c>
      <c r="J571" s="58">
        <v>0.42832759752306959</v>
      </c>
    </row>
    <row r="572" spans="1:10" ht="11.25" customHeight="1" x14ac:dyDescent="0.2">
      <c r="A572" s="67">
        <v>44562</v>
      </c>
      <c r="B572" s="57">
        <v>0</v>
      </c>
      <c r="C572" s="57">
        <v>0</v>
      </c>
      <c r="D572" s="57">
        <v>13369.716</v>
      </c>
      <c r="E572" s="57">
        <v>16263.178600269044</v>
      </c>
      <c r="F572" s="57">
        <v>4268.3399999999992</v>
      </c>
      <c r="G572" s="57">
        <v>8929.7435511883214</v>
      </c>
      <c r="H572" s="58">
        <v>0.21641915207989793</v>
      </c>
      <c r="I572" s="58">
        <v>1.0920881539868716</v>
      </c>
      <c r="J572" s="58">
        <v>0.42832759752306981</v>
      </c>
    </row>
    <row r="573" spans="1:10" ht="11.25" customHeight="1" x14ac:dyDescent="0.2">
      <c r="A573" s="67">
        <v>44593</v>
      </c>
      <c r="B573" s="57">
        <v>0</v>
      </c>
      <c r="C573" s="57">
        <v>0</v>
      </c>
      <c r="D573" s="57">
        <v>10159.36946</v>
      </c>
      <c r="E573" s="57">
        <v>12358.051584199611</v>
      </c>
      <c r="F573" s="57">
        <v>3243.4228999999996</v>
      </c>
      <c r="G573" s="57">
        <v>6785.5266274597434</v>
      </c>
      <c r="H573" s="58">
        <v>0.21641915207989793</v>
      </c>
      <c r="I573" s="58">
        <v>1.0920881539868712</v>
      </c>
      <c r="J573" s="58">
        <v>0.42832759752306981</v>
      </c>
    </row>
    <row r="574" spans="1:10" ht="11.25" customHeight="1" x14ac:dyDescent="0.2">
      <c r="A574" s="67">
        <v>44621</v>
      </c>
      <c r="B574" s="57">
        <v>0</v>
      </c>
      <c r="C574" s="57">
        <v>0</v>
      </c>
      <c r="D574" s="57">
        <v>10254.313819999999</v>
      </c>
      <c r="E574" s="57">
        <v>12473.54372208558</v>
      </c>
      <c r="F574" s="57">
        <v>3273.7342999999996</v>
      </c>
      <c r="G574" s="57">
        <v>6848.9407483305013</v>
      </c>
      <c r="H574" s="58">
        <v>0.21641915207989815</v>
      </c>
      <c r="I574" s="58">
        <v>1.0920881539868712</v>
      </c>
      <c r="J574" s="58">
        <v>0.42832759752307004</v>
      </c>
    </row>
    <row r="575" spans="1:10" ht="11.25" customHeight="1" x14ac:dyDescent="0.2">
      <c r="A575" s="67">
        <v>44652</v>
      </c>
      <c r="B575" s="57">
        <v>0</v>
      </c>
      <c r="C575" s="57">
        <v>0</v>
      </c>
      <c r="D575" s="57">
        <v>10445.17136</v>
      </c>
      <c r="E575" s="57">
        <v>12705.706489060434</v>
      </c>
      <c r="F575" s="57">
        <v>3334.6664000000001</v>
      </c>
      <c r="G575" s="57">
        <v>6976.4160729380446</v>
      </c>
      <c r="H575" s="58">
        <v>0.21641915207989793</v>
      </c>
      <c r="I575" s="58">
        <v>1.0920881539868708</v>
      </c>
      <c r="J575" s="58">
        <v>0.42832759752306981</v>
      </c>
    </row>
    <row r="576" spans="1:10" ht="11.25" customHeight="1" x14ac:dyDescent="0.2">
      <c r="A576" s="67">
        <v>44682</v>
      </c>
      <c r="B576" s="57">
        <v>0</v>
      </c>
      <c r="C576" s="57">
        <v>0</v>
      </c>
      <c r="D576" s="57">
        <v>12754.192359999999</v>
      </c>
      <c r="E576" s="57">
        <v>15514.443856015112</v>
      </c>
      <c r="F576" s="57">
        <v>4071.8313999999996</v>
      </c>
      <c r="G576" s="57">
        <v>8518.630236971776</v>
      </c>
      <c r="H576" s="58">
        <v>0.21641915207989793</v>
      </c>
      <c r="I576" s="58">
        <v>1.0920881539868712</v>
      </c>
      <c r="J576" s="58">
        <v>0.42832759752306959</v>
      </c>
    </row>
    <row r="577" spans="1:10" ht="11.25" customHeight="1" x14ac:dyDescent="0.2">
      <c r="A577" s="67">
        <v>44713</v>
      </c>
      <c r="B577" s="57">
        <v>0</v>
      </c>
      <c r="C577" s="57">
        <v>0</v>
      </c>
      <c r="D577" s="57">
        <v>12383.457239999998</v>
      </c>
      <c r="E577" s="57">
        <v>15063.474555698473</v>
      </c>
      <c r="F577" s="57">
        <v>3953.4725999999996</v>
      </c>
      <c r="G577" s="57">
        <v>8271.0131935716745</v>
      </c>
      <c r="H577" s="58">
        <v>0.21641915207989815</v>
      </c>
      <c r="I577" s="58">
        <v>1.0920881539868712</v>
      </c>
      <c r="J577" s="58">
        <v>0.42832759752307004</v>
      </c>
    </row>
    <row r="578" spans="1:10" ht="11.25" customHeight="1" x14ac:dyDescent="0.2">
      <c r="A578" s="67">
        <v>44743</v>
      </c>
      <c r="B578" s="57">
        <v>0</v>
      </c>
      <c r="C578" s="57">
        <v>0</v>
      </c>
      <c r="D578" s="57">
        <v>9540.9393600000003</v>
      </c>
      <c r="E578" s="57">
        <v>11605.781366336925</v>
      </c>
      <c r="F578" s="57">
        <v>3045.9863999999998</v>
      </c>
      <c r="G578" s="57">
        <v>6372.4720646451151</v>
      </c>
      <c r="H578" s="58">
        <v>0.21641915207989793</v>
      </c>
      <c r="I578" s="58">
        <v>1.0920881539868712</v>
      </c>
      <c r="J578" s="58">
        <v>0.42832759752306981</v>
      </c>
    </row>
    <row r="579" spans="1:10" ht="11.25" customHeight="1" x14ac:dyDescent="0.2">
      <c r="A579" s="67">
        <v>44774</v>
      </c>
      <c r="B579" s="57">
        <v>0</v>
      </c>
      <c r="C579" s="57">
        <v>0</v>
      </c>
      <c r="D579" s="57">
        <v>10153.2336</v>
      </c>
      <c r="E579" s="57">
        <v>12350.58780658113</v>
      </c>
      <c r="F579" s="57">
        <v>3241.4639999999999</v>
      </c>
      <c r="G579" s="57">
        <v>6781.428435974899</v>
      </c>
      <c r="H579" s="58">
        <v>0.21641915207989815</v>
      </c>
      <c r="I579" s="58">
        <v>1.0920881539868712</v>
      </c>
      <c r="J579" s="58">
        <v>0.42832759752307004</v>
      </c>
    </row>
    <row r="580" spans="1:10" ht="11.25" customHeight="1" x14ac:dyDescent="0.2">
      <c r="A580" s="67">
        <v>44805</v>
      </c>
      <c r="B580" s="57">
        <v>0</v>
      </c>
      <c r="C580" s="57">
        <v>0</v>
      </c>
      <c r="D580" s="57">
        <v>13273.156939999999</v>
      </c>
      <c r="E580" s="57">
        <v>16145.722310378213</v>
      </c>
      <c r="F580" s="57">
        <v>4237.5131000000001</v>
      </c>
      <c r="G580" s="57">
        <v>8865.2509588741832</v>
      </c>
      <c r="H580" s="58">
        <v>0.21641915207989793</v>
      </c>
      <c r="I580" s="58">
        <v>1.0920881539868708</v>
      </c>
      <c r="J580" s="58">
        <v>0.42832759752307004</v>
      </c>
    </row>
    <row r="581" spans="1:10" ht="11.25" customHeight="1" x14ac:dyDescent="0.2">
      <c r="A581" s="67">
        <v>44835</v>
      </c>
      <c r="B581" s="57">
        <v>0</v>
      </c>
      <c r="C581" s="57">
        <v>0</v>
      </c>
      <c r="D581" s="57">
        <v>24557.326420000001</v>
      </c>
      <c r="E581" s="57">
        <v>29872.002181165677</v>
      </c>
      <c r="F581" s="57">
        <v>7840.0333000000001</v>
      </c>
      <c r="G581" s="57">
        <v>16402.040793792599</v>
      </c>
      <c r="H581" s="58">
        <v>0.21641915207989793</v>
      </c>
      <c r="I581" s="58">
        <v>1.0920881539868712</v>
      </c>
      <c r="J581" s="58">
        <v>0.42832759752306981</v>
      </c>
    </row>
    <row r="582" spans="1:10" ht="11.25" customHeight="1" x14ac:dyDescent="0.2">
      <c r="A582" s="67">
        <v>44866</v>
      </c>
      <c r="B582" s="57">
        <v>0</v>
      </c>
      <c r="C582" s="57">
        <v>0</v>
      </c>
      <c r="D582" s="57">
        <v>24557.326420000001</v>
      </c>
      <c r="E582" s="57">
        <v>29872.002181165677</v>
      </c>
      <c r="F582" s="57">
        <v>7840.0333000000001</v>
      </c>
      <c r="G582" s="57">
        <v>16402.040793792599</v>
      </c>
      <c r="H582" s="58">
        <v>0.21641915207989793</v>
      </c>
      <c r="I582" s="58">
        <v>1.0920881539868712</v>
      </c>
      <c r="J582" s="58">
        <v>0.42832759752306981</v>
      </c>
    </row>
    <row r="583" spans="1:10" ht="11.25" customHeight="1" x14ac:dyDescent="0.2">
      <c r="A583" s="66" t="s">
        <v>36</v>
      </c>
      <c r="B583" s="57">
        <v>0</v>
      </c>
      <c r="C583" s="57">
        <v>0</v>
      </c>
      <c r="D583" s="57">
        <v>17470.999450000003</v>
      </c>
      <c r="E583" s="57">
        <v>18755.27833729815</v>
      </c>
      <c r="F583" s="57">
        <v>2473.8844999999997</v>
      </c>
      <c r="G583" s="57">
        <v>5175.5844567817339</v>
      </c>
      <c r="H583" s="58">
        <v>7.3509182515494098E-2</v>
      </c>
      <c r="I583" s="58">
        <v>1.0920881539868716</v>
      </c>
      <c r="J583" s="58">
        <v>0.19984968847511797</v>
      </c>
    </row>
    <row r="584" spans="1:10" ht="11.25" customHeight="1" x14ac:dyDescent="0.2">
      <c r="A584" s="67">
        <v>44531</v>
      </c>
      <c r="B584" s="57">
        <v>0</v>
      </c>
      <c r="C584" s="57">
        <v>0</v>
      </c>
      <c r="D584" s="57">
        <v>1609.1231</v>
      </c>
      <c r="E584" s="57">
        <v>1727.4084236477979</v>
      </c>
      <c r="F584" s="57">
        <v>227.85099999999997</v>
      </c>
      <c r="G584" s="57">
        <v>476.68437797406256</v>
      </c>
      <c r="H584" s="58">
        <v>7.350918251549432E-2</v>
      </c>
      <c r="I584" s="58">
        <v>1.0920881539868712</v>
      </c>
      <c r="J584" s="58">
        <v>0.19984968847511819</v>
      </c>
    </row>
    <row r="585" spans="1:10" ht="11.25" customHeight="1" x14ac:dyDescent="0.2">
      <c r="A585" s="67">
        <v>44562</v>
      </c>
      <c r="B585" s="57">
        <v>0</v>
      </c>
      <c r="C585" s="57">
        <v>0</v>
      </c>
      <c r="D585" s="57">
        <v>1479.5195200000001</v>
      </c>
      <c r="E585" s="57">
        <v>1588.2777904309166</v>
      </c>
      <c r="F585" s="57">
        <v>209.4992</v>
      </c>
      <c r="G585" s="57">
        <v>438.29079458972626</v>
      </c>
      <c r="H585" s="58">
        <v>7.350918251549432E-2</v>
      </c>
      <c r="I585" s="58">
        <v>1.0920881539868708</v>
      </c>
      <c r="J585" s="58">
        <v>0.19984968847511819</v>
      </c>
    </row>
    <row r="586" spans="1:10" ht="11.25" customHeight="1" x14ac:dyDescent="0.2">
      <c r="A586" s="67">
        <v>44593</v>
      </c>
      <c r="B586" s="57">
        <v>0</v>
      </c>
      <c r="C586" s="57">
        <v>0</v>
      </c>
      <c r="D586" s="57">
        <v>1223.2248</v>
      </c>
      <c r="E586" s="57">
        <v>1313.143055080679</v>
      </c>
      <c r="F586" s="57">
        <v>173.20799999999997</v>
      </c>
      <c r="G586" s="57">
        <v>362.36640497575792</v>
      </c>
      <c r="H586" s="58">
        <v>7.350918251549432E-2</v>
      </c>
      <c r="I586" s="58">
        <v>1.0920881539868712</v>
      </c>
      <c r="J586" s="58">
        <v>0.19984968847511797</v>
      </c>
    </row>
    <row r="587" spans="1:10" ht="11.25" customHeight="1" x14ac:dyDescent="0.2">
      <c r="A587" s="67">
        <v>44621</v>
      </c>
      <c r="B587" s="57">
        <v>0</v>
      </c>
      <c r="C587" s="57">
        <v>0</v>
      </c>
      <c r="D587" s="57">
        <v>1142.4045900000001</v>
      </c>
      <c r="E587" s="57">
        <v>1226.3818175128483</v>
      </c>
      <c r="F587" s="57">
        <v>161.76389999999998</v>
      </c>
      <c r="G587" s="57">
        <v>338.42433893271681</v>
      </c>
      <c r="H587" s="58">
        <v>7.3509182515494098E-2</v>
      </c>
      <c r="I587" s="58">
        <v>1.0920881539868712</v>
      </c>
      <c r="J587" s="58">
        <v>0.19984968847511819</v>
      </c>
    </row>
    <row r="588" spans="1:10" ht="11.25" customHeight="1" x14ac:dyDescent="0.2">
      <c r="A588" s="67">
        <v>44652</v>
      </c>
      <c r="B588" s="57">
        <v>0</v>
      </c>
      <c r="C588" s="57">
        <v>0</v>
      </c>
      <c r="D588" s="57">
        <v>1264.7270700000001</v>
      </c>
      <c r="E588" s="57">
        <v>1357.6961230209165</v>
      </c>
      <c r="F588" s="57">
        <v>179.0847</v>
      </c>
      <c r="G588" s="57">
        <v>374.66097943029263</v>
      </c>
      <c r="H588" s="58">
        <v>7.350918251549432E-2</v>
      </c>
      <c r="I588" s="58">
        <v>1.0920881539868712</v>
      </c>
      <c r="J588" s="58">
        <v>0.19984968847511797</v>
      </c>
    </row>
    <row r="589" spans="1:10" ht="11.25" customHeight="1" x14ac:dyDescent="0.2">
      <c r="A589" s="67">
        <v>44682</v>
      </c>
      <c r="B589" s="57">
        <v>0</v>
      </c>
      <c r="C589" s="57">
        <v>0</v>
      </c>
      <c r="D589" s="57">
        <v>1137.30782</v>
      </c>
      <c r="E589" s="57">
        <v>1220.9103881166791</v>
      </c>
      <c r="F589" s="57">
        <v>161.04220000000001</v>
      </c>
      <c r="G589" s="57">
        <v>336.91447891198447</v>
      </c>
      <c r="H589" s="58">
        <v>7.3509182515494542E-2</v>
      </c>
      <c r="I589" s="58">
        <v>1.0920881539868708</v>
      </c>
      <c r="J589" s="58">
        <v>0.19984968847511819</v>
      </c>
    </row>
    <row r="590" spans="1:10" ht="11.25" customHeight="1" x14ac:dyDescent="0.2">
      <c r="A590" s="67">
        <v>44713</v>
      </c>
      <c r="B590" s="57">
        <v>0</v>
      </c>
      <c r="C590" s="57">
        <v>0</v>
      </c>
      <c r="D590" s="57">
        <v>1483.1600699999999</v>
      </c>
      <c r="E590" s="57">
        <v>1592.1859542853233</v>
      </c>
      <c r="F590" s="57">
        <v>210.01469999999998</v>
      </c>
      <c r="G590" s="57">
        <v>439.3692660331065</v>
      </c>
      <c r="H590" s="58">
        <v>7.350918251549432E-2</v>
      </c>
      <c r="I590" s="58">
        <v>1.0920881539868712</v>
      </c>
      <c r="J590" s="58">
        <v>0.19984968847511819</v>
      </c>
    </row>
    <row r="591" spans="1:10" ht="11.25" customHeight="1" x14ac:dyDescent="0.2">
      <c r="A591" s="67">
        <v>44743</v>
      </c>
      <c r="B591" s="57">
        <v>0</v>
      </c>
      <c r="C591" s="57">
        <v>0</v>
      </c>
      <c r="D591" s="57">
        <v>920.33104000000003</v>
      </c>
      <c r="E591" s="57">
        <v>987.98382239403475</v>
      </c>
      <c r="F591" s="57">
        <v>130.3184</v>
      </c>
      <c r="G591" s="57">
        <v>272.63758088652264</v>
      </c>
      <c r="H591" s="58">
        <v>7.350918251549432E-2</v>
      </c>
      <c r="I591" s="58">
        <v>1.0920881539868712</v>
      </c>
      <c r="J591" s="58">
        <v>0.19984968847511797</v>
      </c>
    </row>
    <row r="592" spans="1:10" ht="11.25" customHeight="1" x14ac:dyDescent="0.2">
      <c r="A592" s="67">
        <v>44774</v>
      </c>
      <c r="B592" s="57">
        <v>0</v>
      </c>
      <c r="C592" s="57">
        <v>0</v>
      </c>
      <c r="D592" s="57">
        <v>1168.61655</v>
      </c>
      <c r="E592" s="57">
        <v>1254.5205972645772</v>
      </c>
      <c r="F592" s="57">
        <v>165.47549999999998</v>
      </c>
      <c r="G592" s="57">
        <v>346.18933332505446</v>
      </c>
      <c r="H592" s="58">
        <v>7.350918251549432E-2</v>
      </c>
      <c r="I592" s="58">
        <v>1.0920881539868712</v>
      </c>
      <c r="J592" s="58">
        <v>0.19984968847511819</v>
      </c>
    </row>
    <row r="593" spans="1:10" ht="11.25" customHeight="1" x14ac:dyDescent="0.2">
      <c r="A593" s="67">
        <v>44805</v>
      </c>
      <c r="B593" s="57">
        <v>0</v>
      </c>
      <c r="C593" s="57">
        <v>0</v>
      </c>
      <c r="D593" s="57">
        <v>1499.1784900000002</v>
      </c>
      <c r="E593" s="57">
        <v>1609.3818752447132</v>
      </c>
      <c r="F593" s="57">
        <v>212.28290000000001</v>
      </c>
      <c r="G593" s="57">
        <v>444.11454038397954</v>
      </c>
      <c r="H593" s="58">
        <v>7.3509182515494098E-2</v>
      </c>
      <c r="I593" s="58">
        <v>1.0920881539868708</v>
      </c>
      <c r="J593" s="58">
        <v>0.19984968847511819</v>
      </c>
    </row>
    <row r="594" spans="1:10" ht="11.25" customHeight="1" x14ac:dyDescent="0.2">
      <c r="A594" s="67">
        <v>44835</v>
      </c>
      <c r="B594" s="57">
        <v>0</v>
      </c>
      <c r="C594" s="57">
        <v>0</v>
      </c>
      <c r="D594" s="57">
        <v>2271.7031999999999</v>
      </c>
      <c r="E594" s="57">
        <v>2438.6942451498326</v>
      </c>
      <c r="F594" s="57">
        <v>321.67199999999997</v>
      </c>
      <c r="G594" s="57">
        <v>672.96618066926476</v>
      </c>
      <c r="H594" s="58">
        <v>7.350918251549432E-2</v>
      </c>
      <c r="I594" s="58">
        <v>1.0920881539868712</v>
      </c>
      <c r="J594" s="58">
        <v>0.19984968847511819</v>
      </c>
    </row>
    <row r="595" spans="1:10" ht="11.25" customHeight="1" x14ac:dyDescent="0.2">
      <c r="A595" s="67">
        <v>44866</v>
      </c>
      <c r="B595" s="57">
        <v>0</v>
      </c>
      <c r="C595" s="57">
        <v>0</v>
      </c>
      <c r="D595" s="57">
        <v>2271.7031999999999</v>
      </c>
      <c r="E595" s="57">
        <v>2438.6942451498326</v>
      </c>
      <c r="F595" s="57">
        <v>321.67199999999997</v>
      </c>
      <c r="G595" s="57">
        <v>672.96618066926476</v>
      </c>
      <c r="H595" s="58">
        <v>7.350918251549432E-2</v>
      </c>
      <c r="I595" s="58">
        <v>1.0920881539868712</v>
      </c>
      <c r="J595" s="58">
        <v>0.19984968847511819</v>
      </c>
    </row>
    <row r="596" spans="1:10" ht="11.25" customHeight="1" x14ac:dyDescent="0.2">
      <c r="A596" s="66" t="s">
        <v>34</v>
      </c>
      <c r="B596" s="57">
        <v>0</v>
      </c>
      <c r="C596" s="57">
        <v>0</v>
      </c>
      <c r="D596" s="57">
        <v>24910.627679999998</v>
      </c>
      <c r="E596" s="57">
        <v>25727.334698516635</v>
      </c>
      <c r="F596" s="57">
        <v>3504.4308300000002</v>
      </c>
      <c r="G596" s="57">
        <v>7084.0121163259482</v>
      </c>
      <c r="H596" s="58">
        <v>3.2785485336138231E-2</v>
      </c>
      <c r="I596" s="58">
        <v>1.021444411367066</v>
      </c>
      <c r="J596" s="58">
        <v>0.15471684857855972</v>
      </c>
    </row>
    <row r="597" spans="1:10" ht="11.25" customHeight="1" x14ac:dyDescent="0.2">
      <c r="A597" s="67">
        <v>44531</v>
      </c>
      <c r="B597" s="57">
        <v>0</v>
      </c>
      <c r="C597" s="57">
        <v>0</v>
      </c>
      <c r="D597" s="57">
        <v>2421.81936</v>
      </c>
      <c r="E597" s="57">
        <v>2501.2198831140554</v>
      </c>
      <c r="F597" s="57">
        <v>340.70191</v>
      </c>
      <c r="G597" s="57">
        <v>688.70997191158494</v>
      </c>
      <c r="H597" s="58">
        <v>3.2785485336138231E-2</v>
      </c>
      <c r="I597" s="58">
        <v>1.0214444113670655</v>
      </c>
      <c r="J597" s="58">
        <v>0.1547168485785595</v>
      </c>
    </row>
    <row r="598" spans="1:10" ht="11.25" customHeight="1" x14ac:dyDescent="0.2">
      <c r="A598" s="67">
        <v>44562</v>
      </c>
      <c r="B598" s="57">
        <v>0</v>
      </c>
      <c r="C598" s="57">
        <v>0</v>
      </c>
      <c r="D598" s="57">
        <v>2173.6310399999998</v>
      </c>
      <c r="E598" s="57">
        <v>2244.8945885880944</v>
      </c>
      <c r="F598" s="57">
        <v>305.78674000000001</v>
      </c>
      <c r="G598" s="57">
        <v>618.13089664315396</v>
      </c>
      <c r="H598" s="58">
        <v>3.2785485336138009E-2</v>
      </c>
      <c r="I598" s="58">
        <v>1.0214444113670655</v>
      </c>
      <c r="J598" s="58">
        <v>0.15471684857855972</v>
      </c>
    </row>
    <row r="599" spans="1:10" ht="11.25" customHeight="1" x14ac:dyDescent="0.2">
      <c r="A599" s="67">
        <v>44593</v>
      </c>
      <c r="B599" s="57">
        <v>0</v>
      </c>
      <c r="C599" s="57">
        <v>0</v>
      </c>
      <c r="D599" s="57">
        <v>2147.5655999999999</v>
      </c>
      <c r="E599" s="57">
        <v>2217.9745804871945</v>
      </c>
      <c r="F599" s="57">
        <v>302.11985000000004</v>
      </c>
      <c r="G599" s="57">
        <v>610.71848234555614</v>
      </c>
      <c r="H599" s="58">
        <v>3.2785485336138009E-2</v>
      </c>
      <c r="I599" s="58">
        <v>1.0214444113670651</v>
      </c>
      <c r="J599" s="58">
        <v>0.15471684857855972</v>
      </c>
    </row>
    <row r="600" spans="1:10" ht="11.25" customHeight="1" x14ac:dyDescent="0.2">
      <c r="A600" s="67">
        <v>44621</v>
      </c>
      <c r="B600" s="57">
        <v>0</v>
      </c>
      <c r="C600" s="57">
        <v>0</v>
      </c>
      <c r="D600" s="57">
        <v>1793.9822399999998</v>
      </c>
      <c r="E600" s="57">
        <v>1852.798818422812</v>
      </c>
      <c r="F600" s="57">
        <v>252.37769</v>
      </c>
      <c r="G600" s="57">
        <v>510.16747100422975</v>
      </c>
      <c r="H600" s="58">
        <v>3.2785485336138009E-2</v>
      </c>
      <c r="I600" s="58">
        <v>1.0214444113670655</v>
      </c>
      <c r="J600" s="58">
        <v>0.15471684857855972</v>
      </c>
    </row>
    <row r="601" spans="1:10" ht="11.25" customHeight="1" x14ac:dyDescent="0.2">
      <c r="A601" s="67">
        <v>44652</v>
      </c>
      <c r="B601" s="57">
        <v>0</v>
      </c>
      <c r="C601" s="57">
        <v>0</v>
      </c>
      <c r="D601" s="57">
        <v>1793.9822399999998</v>
      </c>
      <c r="E601" s="57">
        <v>1852.798818422812</v>
      </c>
      <c r="F601" s="57">
        <v>252.37769</v>
      </c>
      <c r="G601" s="57">
        <v>510.16747100422975</v>
      </c>
      <c r="H601" s="58">
        <v>3.2785485336138009E-2</v>
      </c>
      <c r="I601" s="58">
        <v>1.0214444113670655</v>
      </c>
      <c r="J601" s="58">
        <v>0.15471684857855972</v>
      </c>
    </row>
    <row r="602" spans="1:10" ht="11.25" customHeight="1" x14ac:dyDescent="0.2">
      <c r="A602" s="67">
        <v>44682</v>
      </c>
      <c r="B602" s="57">
        <v>0</v>
      </c>
      <c r="C602" s="57">
        <v>0</v>
      </c>
      <c r="D602" s="57">
        <v>2058.0364800000002</v>
      </c>
      <c r="E602" s="57">
        <v>2125.5102048362774</v>
      </c>
      <c r="F602" s="57">
        <v>289.52488</v>
      </c>
      <c r="G602" s="57">
        <v>585.25845062772032</v>
      </c>
      <c r="H602" s="58">
        <v>3.2785485336138009E-2</v>
      </c>
      <c r="I602" s="58">
        <v>1.0214444113670655</v>
      </c>
      <c r="J602" s="58">
        <v>0.15471684857855972</v>
      </c>
    </row>
    <row r="603" spans="1:10" ht="11.25" customHeight="1" x14ac:dyDescent="0.2">
      <c r="A603" s="67">
        <v>44713</v>
      </c>
      <c r="B603" s="57">
        <v>0</v>
      </c>
      <c r="C603" s="57">
        <v>0</v>
      </c>
      <c r="D603" s="57">
        <v>2078.43552</v>
      </c>
      <c r="E603" s="57">
        <v>2146.5780372630684</v>
      </c>
      <c r="F603" s="57">
        <v>292.39462000000003</v>
      </c>
      <c r="G603" s="57">
        <v>591.05947051279691</v>
      </c>
      <c r="H603" s="58">
        <v>3.2785485336138009E-2</v>
      </c>
      <c r="I603" s="58">
        <v>1.0214444113670655</v>
      </c>
      <c r="J603" s="58">
        <v>0.1547168485785595</v>
      </c>
    </row>
    <row r="604" spans="1:10" ht="11.25" customHeight="1" x14ac:dyDescent="0.2">
      <c r="A604" s="67">
        <v>44743</v>
      </c>
      <c r="B604" s="57">
        <v>0</v>
      </c>
      <c r="C604" s="57">
        <v>0</v>
      </c>
      <c r="D604" s="57">
        <v>1323.6710399999999</v>
      </c>
      <c r="E604" s="57">
        <v>1367.0682374717906</v>
      </c>
      <c r="F604" s="57">
        <v>186.21423999999999</v>
      </c>
      <c r="G604" s="57">
        <v>376.42173476496544</v>
      </c>
      <c r="H604" s="58">
        <v>3.2785485336138009E-2</v>
      </c>
      <c r="I604" s="58">
        <v>1.0214444113670655</v>
      </c>
      <c r="J604" s="58">
        <v>0.1547168485785595</v>
      </c>
    </row>
    <row r="605" spans="1:10" ht="11.25" customHeight="1" x14ac:dyDescent="0.2">
      <c r="A605" s="67">
        <v>44774</v>
      </c>
      <c r="B605" s="57">
        <v>0</v>
      </c>
      <c r="C605" s="57">
        <v>0</v>
      </c>
      <c r="D605" s="57">
        <v>1404.13392</v>
      </c>
      <c r="E605" s="57">
        <v>1450.1691320441341</v>
      </c>
      <c r="F605" s="57">
        <v>197.53377000000003</v>
      </c>
      <c r="G605" s="57">
        <v>399.30353542276737</v>
      </c>
      <c r="H605" s="58">
        <v>3.2785485336138231E-2</v>
      </c>
      <c r="I605" s="58">
        <v>1.0214444113670655</v>
      </c>
      <c r="J605" s="58">
        <v>0.15471684857855972</v>
      </c>
    </row>
    <row r="606" spans="1:10" ht="11.25" customHeight="1" x14ac:dyDescent="0.2">
      <c r="A606" s="67">
        <v>44805</v>
      </c>
      <c r="B606" s="57">
        <v>0</v>
      </c>
      <c r="C606" s="57">
        <v>0</v>
      </c>
      <c r="D606" s="57">
        <v>2157.76512</v>
      </c>
      <c r="E606" s="57">
        <v>2228.5084967005901</v>
      </c>
      <c r="F606" s="57">
        <v>303.55471999999997</v>
      </c>
      <c r="G606" s="57">
        <v>613.61899228809443</v>
      </c>
      <c r="H606" s="58">
        <v>3.2785485336138009E-2</v>
      </c>
      <c r="I606" s="58">
        <v>1.021444411367066</v>
      </c>
      <c r="J606" s="58">
        <v>0.1547168485785595</v>
      </c>
    </row>
    <row r="607" spans="1:10" ht="11.25" customHeight="1" x14ac:dyDescent="0.2">
      <c r="A607" s="67">
        <v>44835</v>
      </c>
      <c r="B607" s="57">
        <v>0</v>
      </c>
      <c r="C607" s="57">
        <v>0</v>
      </c>
      <c r="D607" s="57">
        <v>2778.8025600000001</v>
      </c>
      <c r="E607" s="57">
        <v>2869.9069505829029</v>
      </c>
      <c r="F607" s="57">
        <v>390.92236000000003</v>
      </c>
      <c r="G607" s="57">
        <v>790.22781990042415</v>
      </c>
      <c r="H607" s="58">
        <v>3.2785485336138009E-2</v>
      </c>
      <c r="I607" s="58">
        <v>1.0214444113670655</v>
      </c>
      <c r="J607" s="58">
        <v>0.1547168485785595</v>
      </c>
    </row>
    <row r="608" spans="1:10" ht="11.25" customHeight="1" x14ac:dyDescent="0.2">
      <c r="A608" s="67">
        <v>44866</v>
      </c>
      <c r="B608" s="57">
        <v>0</v>
      </c>
      <c r="C608" s="57">
        <v>0</v>
      </c>
      <c r="D608" s="57">
        <v>2778.8025600000001</v>
      </c>
      <c r="E608" s="57">
        <v>2869.9069505829029</v>
      </c>
      <c r="F608" s="57">
        <v>390.92236000000003</v>
      </c>
      <c r="G608" s="57">
        <v>790.22781990042415</v>
      </c>
      <c r="H608" s="58">
        <v>3.2785485336138009E-2</v>
      </c>
      <c r="I608" s="58">
        <v>1.0214444113670655</v>
      </c>
      <c r="J608" s="58">
        <v>0.1547168485785595</v>
      </c>
    </row>
    <row r="609" spans="1:10" ht="11.25" customHeight="1" x14ac:dyDescent="0.2">
      <c r="A609" s="62" t="s">
        <v>38</v>
      </c>
      <c r="B609" s="57">
        <v>0</v>
      </c>
      <c r="C609" s="57">
        <v>0</v>
      </c>
      <c r="D609" s="57">
        <v>586.33344</v>
      </c>
      <c r="E609" s="57">
        <v>699.49207413445606</v>
      </c>
      <c r="F609" s="57">
        <v>172.93149999999997</v>
      </c>
      <c r="G609" s="57">
        <v>361.22480600688687</v>
      </c>
      <c r="H609" s="58">
        <v>0.19299365585298367</v>
      </c>
      <c r="I609" s="58">
        <v>1.0888317397749221</v>
      </c>
      <c r="J609" s="58">
        <v>0.39703129205642362</v>
      </c>
    </row>
    <row r="610" spans="1:10" ht="11.25" customHeight="1" x14ac:dyDescent="0.2">
      <c r="A610" s="63" t="s">
        <v>25</v>
      </c>
      <c r="B610" s="57">
        <v>0</v>
      </c>
      <c r="C610" s="57">
        <v>0</v>
      </c>
      <c r="D610" s="57">
        <v>586.33344</v>
      </c>
      <c r="E610" s="57">
        <v>699.49207413445606</v>
      </c>
      <c r="F610" s="57">
        <v>172.93149999999997</v>
      </c>
      <c r="G610" s="57">
        <v>361.22480600688687</v>
      </c>
      <c r="H610" s="58">
        <v>0.19299365585298367</v>
      </c>
      <c r="I610" s="58">
        <v>1.0888317397749221</v>
      </c>
      <c r="J610" s="58">
        <v>0.39703129205642362</v>
      </c>
    </row>
    <row r="611" spans="1:10" ht="11.25" customHeight="1" x14ac:dyDescent="0.2">
      <c r="A611" s="64" t="s">
        <v>25</v>
      </c>
      <c r="B611" s="57">
        <v>0</v>
      </c>
      <c r="C611" s="57">
        <v>0</v>
      </c>
      <c r="D611" s="57">
        <v>586.33344</v>
      </c>
      <c r="E611" s="57">
        <v>699.49207413445606</v>
      </c>
      <c r="F611" s="57">
        <v>172.93149999999997</v>
      </c>
      <c r="G611" s="57">
        <v>361.22480600688687</v>
      </c>
      <c r="H611" s="58">
        <v>0.19299365585298367</v>
      </c>
      <c r="I611" s="58">
        <v>1.0888317397749221</v>
      </c>
      <c r="J611" s="58">
        <v>0.39703129205642362</v>
      </c>
    </row>
    <row r="612" spans="1:10" ht="11.25" customHeight="1" x14ac:dyDescent="0.2">
      <c r="A612" s="65" t="s">
        <v>25</v>
      </c>
      <c r="B612" s="57">
        <v>0</v>
      </c>
      <c r="C612" s="57">
        <v>0</v>
      </c>
      <c r="D612" s="57">
        <v>586.33344</v>
      </c>
      <c r="E612" s="57">
        <v>699.49207413445606</v>
      </c>
      <c r="F612" s="57">
        <v>172.93149999999997</v>
      </c>
      <c r="G612" s="57">
        <v>361.22480600688687</v>
      </c>
      <c r="H612" s="58">
        <v>0.19299365585298367</v>
      </c>
      <c r="I612" s="58">
        <v>1.0888317397749221</v>
      </c>
      <c r="J612" s="58">
        <v>0.39703129205642362</v>
      </c>
    </row>
    <row r="613" spans="1:10" ht="11.25" customHeight="1" x14ac:dyDescent="0.2">
      <c r="A613" s="66" t="s">
        <v>35</v>
      </c>
      <c r="B613" s="57">
        <v>0</v>
      </c>
      <c r="C613" s="57">
        <v>0</v>
      </c>
      <c r="D613" s="57">
        <v>506.36992000000004</v>
      </c>
      <c r="E613" s="57">
        <v>615.95806872516573</v>
      </c>
      <c r="F613" s="57">
        <v>161.66079999999999</v>
      </c>
      <c r="G613" s="57">
        <v>338.20864464404076</v>
      </c>
      <c r="H613" s="58">
        <v>0.2164191520798977</v>
      </c>
      <c r="I613" s="58">
        <v>1.0920881539868712</v>
      </c>
      <c r="J613" s="58">
        <v>0.42832759752306981</v>
      </c>
    </row>
    <row r="614" spans="1:10" ht="11.25" customHeight="1" x14ac:dyDescent="0.2">
      <c r="A614" s="67">
        <v>44835</v>
      </c>
      <c r="B614" s="57">
        <v>0</v>
      </c>
      <c r="C614" s="57">
        <v>0</v>
      </c>
      <c r="D614" s="57">
        <v>253.18496000000002</v>
      </c>
      <c r="E614" s="57">
        <v>307.97903436258287</v>
      </c>
      <c r="F614" s="57">
        <v>80.830399999999997</v>
      </c>
      <c r="G614" s="57">
        <v>169.10432232202038</v>
      </c>
      <c r="H614" s="58">
        <v>0.2164191520798977</v>
      </c>
      <c r="I614" s="58">
        <v>1.0920881539868712</v>
      </c>
      <c r="J614" s="58">
        <v>0.42832759752306981</v>
      </c>
    </row>
    <row r="615" spans="1:10" ht="11.25" customHeight="1" x14ac:dyDescent="0.2">
      <c r="A615" s="67">
        <v>44866</v>
      </c>
      <c r="B615" s="57">
        <v>0</v>
      </c>
      <c r="C615" s="57">
        <v>0</v>
      </c>
      <c r="D615" s="57">
        <v>253.18496000000002</v>
      </c>
      <c r="E615" s="57">
        <v>307.97903436258287</v>
      </c>
      <c r="F615" s="57">
        <v>80.830399999999997</v>
      </c>
      <c r="G615" s="57">
        <v>169.10432232202038</v>
      </c>
      <c r="H615" s="58">
        <v>0.2164191520798977</v>
      </c>
      <c r="I615" s="58">
        <v>1.0920881539868712</v>
      </c>
      <c r="J615" s="58">
        <v>0.42832759752306981</v>
      </c>
    </row>
    <row r="616" spans="1:10" ht="11.25" customHeight="1" x14ac:dyDescent="0.2">
      <c r="A616" s="66" t="s">
        <v>36</v>
      </c>
      <c r="B616" s="57">
        <v>0</v>
      </c>
      <c r="C616" s="57">
        <v>0</v>
      </c>
      <c r="D616" s="57">
        <v>23.299520000000001</v>
      </c>
      <c r="E616" s="57">
        <v>25.012248668203412</v>
      </c>
      <c r="F616" s="57">
        <v>3.2991999999999999</v>
      </c>
      <c r="G616" s="57">
        <v>6.9022172376334847</v>
      </c>
      <c r="H616" s="58">
        <v>7.350918251549432E-2</v>
      </c>
      <c r="I616" s="58">
        <v>1.0920881539868712</v>
      </c>
      <c r="J616" s="58">
        <v>0.19984968847511819</v>
      </c>
    </row>
    <row r="617" spans="1:10" ht="11.25" customHeight="1" x14ac:dyDescent="0.2">
      <c r="A617" s="67">
        <v>44835</v>
      </c>
      <c r="B617" s="57">
        <v>0</v>
      </c>
      <c r="C617" s="57">
        <v>0</v>
      </c>
      <c r="D617" s="57">
        <v>11.649760000000001</v>
      </c>
      <c r="E617" s="57">
        <v>12.506124334101706</v>
      </c>
      <c r="F617" s="57">
        <v>1.6496</v>
      </c>
      <c r="G617" s="57">
        <v>3.4511086188167424</v>
      </c>
      <c r="H617" s="58">
        <v>7.350918251549432E-2</v>
      </c>
      <c r="I617" s="58">
        <v>1.0920881539868712</v>
      </c>
      <c r="J617" s="58">
        <v>0.19984968847511819</v>
      </c>
    </row>
    <row r="618" spans="1:10" ht="11.25" customHeight="1" x14ac:dyDescent="0.2">
      <c r="A618" s="67">
        <v>44866</v>
      </c>
      <c r="B618" s="57">
        <v>0</v>
      </c>
      <c r="C618" s="57">
        <v>0</v>
      </c>
      <c r="D618" s="57">
        <v>11.649760000000001</v>
      </c>
      <c r="E618" s="57">
        <v>12.506124334101706</v>
      </c>
      <c r="F618" s="57">
        <v>1.6496</v>
      </c>
      <c r="G618" s="57">
        <v>3.4511086188167424</v>
      </c>
      <c r="H618" s="58">
        <v>7.350918251549432E-2</v>
      </c>
      <c r="I618" s="58">
        <v>1.0920881539868712</v>
      </c>
      <c r="J618" s="58">
        <v>0.19984968847511819</v>
      </c>
    </row>
    <row r="619" spans="1:10" ht="11.25" customHeight="1" x14ac:dyDescent="0.2">
      <c r="A619" s="66" t="s">
        <v>34</v>
      </c>
      <c r="B619" s="57">
        <v>0</v>
      </c>
      <c r="C619" s="57">
        <v>0</v>
      </c>
      <c r="D619" s="57">
        <v>56.664000000000001</v>
      </c>
      <c r="E619" s="57">
        <v>58.521756741086932</v>
      </c>
      <c r="F619" s="57">
        <v>7.9715000000000007</v>
      </c>
      <c r="G619" s="57">
        <v>16.113944125212566</v>
      </c>
      <c r="H619" s="58">
        <v>3.2785485336138231E-2</v>
      </c>
      <c r="I619" s="58">
        <v>1.0214444113670655</v>
      </c>
      <c r="J619" s="58">
        <v>0.15471684857855972</v>
      </c>
    </row>
    <row r="620" spans="1:10" ht="11.25" customHeight="1" x14ac:dyDescent="0.2">
      <c r="A620" s="67">
        <v>44835</v>
      </c>
      <c r="B620" s="57">
        <v>0</v>
      </c>
      <c r="C620" s="57">
        <v>0</v>
      </c>
      <c r="D620" s="57">
        <v>28.332000000000001</v>
      </c>
      <c r="E620" s="57">
        <v>29.260878370543466</v>
      </c>
      <c r="F620" s="57">
        <v>3.9857500000000003</v>
      </c>
      <c r="G620" s="57">
        <v>8.0569720626062828</v>
      </c>
      <c r="H620" s="58">
        <v>3.2785485336138231E-2</v>
      </c>
      <c r="I620" s="58">
        <v>1.0214444113670655</v>
      </c>
      <c r="J620" s="58">
        <v>0.15471684857855972</v>
      </c>
    </row>
    <row r="621" spans="1:10" ht="11.25" customHeight="1" x14ac:dyDescent="0.2">
      <c r="A621" s="67">
        <v>44866</v>
      </c>
      <c r="B621" s="57">
        <v>0</v>
      </c>
      <c r="C621" s="57">
        <v>0</v>
      </c>
      <c r="D621" s="57">
        <v>28.332000000000001</v>
      </c>
      <c r="E621" s="57">
        <v>29.260878370543466</v>
      </c>
      <c r="F621" s="57">
        <v>3.9857500000000003</v>
      </c>
      <c r="G621" s="57">
        <v>8.0569720626062828</v>
      </c>
      <c r="H621" s="58">
        <v>3.2785485336138231E-2</v>
      </c>
      <c r="I621" s="58">
        <v>1.0214444113670655</v>
      </c>
      <c r="J621" s="58">
        <v>0.15471684857855972</v>
      </c>
    </row>
    <row r="622" spans="1:10" ht="11.25" customHeight="1" x14ac:dyDescent="0.2">
      <c r="A622" s="62" t="s">
        <v>47</v>
      </c>
      <c r="B622" s="57">
        <v>0</v>
      </c>
      <c r="C622" s="57">
        <v>0</v>
      </c>
      <c r="D622" s="57">
        <v>30151.387899999994</v>
      </c>
      <c r="E622" s="57">
        <v>35681.135310352744</v>
      </c>
      <c r="F622" s="57">
        <v>8562.6604499999994</v>
      </c>
      <c r="G622" s="57">
        <v>17878.982338870104</v>
      </c>
      <c r="H622" s="58">
        <v>0.18339943185012553</v>
      </c>
      <c r="I622" s="58">
        <v>1.0880172048478349</v>
      </c>
      <c r="J622" s="58">
        <v>0.38348015596314822</v>
      </c>
    </row>
    <row r="623" spans="1:10" ht="11.25" customHeight="1" x14ac:dyDescent="0.2">
      <c r="A623" s="63" t="s">
        <v>25</v>
      </c>
      <c r="B623" s="57">
        <v>0</v>
      </c>
      <c r="C623" s="57">
        <v>0</v>
      </c>
      <c r="D623" s="57">
        <v>30151.387899999994</v>
      </c>
      <c r="E623" s="57">
        <v>35681.135310352744</v>
      </c>
      <c r="F623" s="57">
        <v>8562.6604499999994</v>
      </c>
      <c r="G623" s="57">
        <v>17878.982338870104</v>
      </c>
      <c r="H623" s="58">
        <v>0.18339943185012553</v>
      </c>
      <c r="I623" s="58">
        <v>1.0880172048478349</v>
      </c>
      <c r="J623" s="58">
        <v>0.38348015596314822</v>
      </c>
    </row>
    <row r="624" spans="1:10" ht="11.25" customHeight="1" x14ac:dyDescent="0.2">
      <c r="A624" s="64" t="s">
        <v>25</v>
      </c>
      <c r="B624" s="57">
        <v>0</v>
      </c>
      <c r="C624" s="57">
        <v>0</v>
      </c>
      <c r="D624" s="57">
        <v>30151.387899999994</v>
      </c>
      <c r="E624" s="57">
        <v>35681.135310352744</v>
      </c>
      <c r="F624" s="57">
        <v>8562.6604499999994</v>
      </c>
      <c r="G624" s="57">
        <v>17878.982338870104</v>
      </c>
      <c r="H624" s="58">
        <v>0.18339943185012553</v>
      </c>
      <c r="I624" s="58">
        <v>1.0880172048478349</v>
      </c>
      <c r="J624" s="58">
        <v>0.38348015596314822</v>
      </c>
    </row>
    <row r="625" spans="1:10" ht="11.25" customHeight="1" x14ac:dyDescent="0.2">
      <c r="A625" s="65" t="s">
        <v>25</v>
      </c>
      <c r="B625" s="57">
        <v>0</v>
      </c>
      <c r="C625" s="57">
        <v>0</v>
      </c>
      <c r="D625" s="57">
        <v>30151.387899999994</v>
      </c>
      <c r="E625" s="57">
        <v>35681.135310352744</v>
      </c>
      <c r="F625" s="57">
        <v>8562.6604499999994</v>
      </c>
      <c r="G625" s="57">
        <v>17878.982338870104</v>
      </c>
      <c r="H625" s="58">
        <v>0.18339943185012553</v>
      </c>
      <c r="I625" s="58">
        <v>1.0880172048478349</v>
      </c>
      <c r="J625" s="58">
        <v>0.38348015596314822</v>
      </c>
    </row>
    <row r="626" spans="1:10" ht="11.25" customHeight="1" x14ac:dyDescent="0.2">
      <c r="A626" s="66" t="s">
        <v>35</v>
      </c>
      <c r="B626" s="57">
        <v>0</v>
      </c>
      <c r="C626" s="57">
        <v>0</v>
      </c>
      <c r="D626" s="57">
        <v>24184.330719999998</v>
      </c>
      <c r="E626" s="57">
        <v>29418.283068042227</v>
      </c>
      <c r="F626" s="57">
        <v>7720.9527999999991</v>
      </c>
      <c r="G626" s="57">
        <v>16152.913890371763</v>
      </c>
      <c r="H626" s="58">
        <v>0.21641915207989815</v>
      </c>
      <c r="I626" s="58">
        <v>1.0920881539868712</v>
      </c>
      <c r="J626" s="58">
        <v>0.42832759752307004</v>
      </c>
    </row>
    <row r="627" spans="1:10" ht="11.25" customHeight="1" x14ac:dyDescent="0.2">
      <c r="A627" s="67">
        <v>44621</v>
      </c>
      <c r="B627" s="57">
        <v>0</v>
      </c>
      <c r="C627" s="57">
        <v>0</v>
      </c>
      <c r="D627" s="57">
        <v>387.85094000000004</v>
      </c>
      <c r="E627" s="57">
        <v>471.78931156819141</v>
      </c>
      <c r="F627" s="57">
        <v>123.8231</v>
      </c>
      <c r="G627" s="57">
        <v>259.04884069993176</v>
      </c>
      <c r="H627" s="58">
        <v>0.21641915207989793</v>
      </c>
      <c r="I627" s="58">
        <v>1.0920881539868712</v>
      </c>
      <c r="J627" s="58">
        <v>0.42832759752306981</v>
      </c>
    </row>
    <row r="628" spans="1:10" ht="11.25" customHeight="1" x14ac:dyDescent="0.2">
      <c r="A628" s="67">
        <v>44652</v>
      </c>
      <c r="B628" s="57">
        <v>0</v>
      </c>
      <c r="C628" s="57">
        <v>0</v>
      </c>
      <c r="D628" s="57">
        <v>2770.5022599999998</v>
      </c>
      <c r="E628" s="57">
        <v>3370.0920099446407</v>
      </c>
      <c r="F628" s="57">
        <v>884.4948999999998</v>
      </c>
      <c r="G628" s="57">
        <v>1850.441302551802</v>
      </c>
      <c r="H628" s="58">
        <v>0.21641915207989793</v>
      </c>
      <c r="I628" s="58">
        <v>1.0920881539868712</v>
      </c>
      <c r="J628" s="58">
        <v>0.42832759752306981</v>
      </c>
    </row>
    <row r="629" spans="1:10" ht="11.25" customHeight="1" x14ac:dyDescent="0.2">
      <c r="A629" s="67">
        <v>44682</v>
      </c>
      <c r="B629" s="57">
        <v>0</v>
      </c>
      <c r="C629" s="57">
        <v>0</v>
      </c>
      <c r="D629" s="57">
        <v>4092.9415599999998</v>
      </c>
      <c r="E629" s="57">
        <v>4978.732501927775</v>
      </c>
      <c r="F629" s="57">
        <v>1306.6894</v>
      </c>
      <c r="G629" s="57">
        <v>2733.7094146802119</v>
      </c>
      <c r="H629" s="58">
        <v>0.21641915207989815</v>
      </c>
      <c r="I629" s="58">
        <v>1.0920881539868708</v>
      </c>
      <c r="J629" s="58">
        <v>0.42832759752306981</v>
      </c>
    </row>
    <row r="630" spans="1:10" ht="11.25" customHeight="1" x14ac:dyDescent="0.2">
      <c r="A630" s="67">
        <v>44713</v>
      </c>
      <c r="B630" s="57">
        <v>0</v>
      </c>
      <c r="C630" s="57">
        <v>0</v>
      </c>
      <c r="D630" s="57">
        <v>3608.2086199999999</v>
      </c>
      <c r="E630" s="57">
        <v>4389.0940700677784</v>
      </c>
      <c r="F630" s="57">
        <v>1151.9362999999998</v>
      </c>
      <c r="G630" s="57">
        <v>2409.9522873774663</v>
      </c>
      <c r="H630" s="58">
        <v>0.21641915207989793</v>
      </c>
      <c r="I630" s="58">
        <v>1.0920881539868712</v>
      </c>
      <c r="J630" s="58">
        <v>0.42832759752306959</v>
      </c>
    </row>
    <row r="631" spans="1:10" ht="11.25" customHeight="1" x14ac:dyDescent="0.2">
      <c r="A631" s="67">
        <v>44743</v>
      </c>
      <c r="B631" s="57">
        <v>0</v>
      </c>
      <c r="C631" s="57">
        <v>0</v>
      </c>
      <c r="D631" s="57">
        <v>3845.56952</v>
      </c>
      <c r="E631" s="57">
        <v>4677.8244147826999</v>
      </c>
      <c r="F631" s="57">
        <v>1227.7148</v>
      </c>
      <c r="G631" s="57">
        <v>2568.4875895543605</v>
      </c>
      <c r="H631" s="58">
        <v>0.21641915207989793</v>
      </c>
      <c r="I631" s="58">
        <v>1.0920881539868712</v>
      </c>
      <c r="J631" s="58">
        <v>0.42832759752306959</v>
      </c>
    </row>
    <row r="632" spans="1:10" ht="11.25" customHeight="1" x14ac:dyDescent="0.2">
      <c r="A632" s="67">
        <v>44774</v>
      </c>
      <c r="B632" s="57">
        <v>0</v>
      </c>
      <c r="C632" s="57">
        <v>0</v>
      </c>
      <c r="D632" s="57">
        <v>4960.3584000000001</v>
      </c>
      <c r="E632" s="57">
        <v>6033.8749589403988</v>
      </c>
      <c r="F632" s="57">
        <v>1583.6159999999998</v>
      </c>
      <c r="G632" s="57">
        <v>3313.0642740640724</v>
      </c>
      <c r="H632" s="58">
        <v>0.21641915207989793</v>
      </c>
      <c r="I632" s="58">
        <v>1.0920881539868712</v>
      </c>
      <c r="J632" s="58">
        <v>0.42832759752306981</v>
      </c>
    </row>
    <row r="633" spans="1:10" ht="11.25" customHeight="1" x14ac:dyDescent="0.2">
      <c r="A633" s="67">
        <v>44805</v>
      </c>
      <c r="B633" s="57">
        <v>0</v>
      </c>
      <c r="C633" s="57">
        <v>0</v>
      </c>
      <c r="D633" s="57">
        <v>4518.8994199999997</v>
      </c>
      <c r="E633" s="57">
        <v>5496.8758008107425</v>
      </c>
      <c r="F633" s="57">
        <v>1442.6783</v>
      </c>
      <c r="G633" s="57">
        <v>3018.2101814439175</v>
      </c>
      <c r="H633" s="58">
        <v>0.21641915207989793</v>
      </c>
      <c r="I633" s="58">
        <v>1.0920881539868712</v>
      </c>
      <c r="J633" s="58">
        <v>0.42832759752306981</v>
      </c>
    </row>
    <row r="634" spans="1:10" ht="11.25" customHeight="1" x14ac:dyDescent="0.2">
      <c r="A634" s="66" t="s">
        <v>36</v>
      </c>
      <c r="B634" s="57">
        <v>0</v>
      </c>
      <c r="C634" s="57">
        <v>0</v>
      </c>
      <c r="D634" s="57">
        <v>2459.5555800000002</v>
      </c>
      <c r="E634" s="57">
        <v>2640.3555000372226</v>
      </c>
      <c r="F634" s="57">
        <v>348.27180000000004</v>
      </c>
      <c r="G634" s="57">
        <v>728.61530714768469</v>
      </c>
      <c r="H634" s="58">
        <v>7.350918251549432E-2</v>
      </c>
      <c r="I634" s="58">
        <v>1.0920881539868708</v>
      </c>
      <c r="J634" s="58">
        <v>0.19984968847511819</v>
      </c>
    </row>
    <row r="635" spans="1:10" ht="11.25" customHeight="1" x14ac:dyDescent="0.2">
      <c r="A635" s="67">
        <v>44621</v>
      </c>
      <c r="B635" s="57">
        <v>0</v>
      </c>
      <c r="C635" s="57">
        <v>0</v>
      </c>
      <c r="D635" s="57">
        <v>27.66818</v>
      </c>
      <c r="E635" s="57">
        <v>29.702045293491548</v>
      </c>
      <c r="F635" s="57">
        <v>3.9177999999999997</v>
      </c>
      <c r="G635" s="57">
        <v>8.196382969689763</v>
      </c>
      <c r="H635" s="58">
        <v>7.350918251549432E-2</v>
      </c>
      <c r="I635" s="58">
        <v>1.0920881539868712</v>
      </c>
      <c r="J635" s="58">
        <v>0.19984968847511797</v>
      </c>
    </row>
    <row r="636" spans="1:10" ht="11.25" customHeight="1" x14ac:dyDescent="0.2">
      <c r="A636" s="67">
        <v>44652</v>
      </c>
      <c r="B636" s="57">
        <v>0</v>
      </c>
      <c r="C636" s="57">
        <v>0</v>
      </c>
      <c r="D636" s="57">
        <v>1036.1005300000002</v>
      </c>
      <c r="E636" s="57">
        <v>1112.2634329641705</v>
      </c>
      <c r="F636" s="57">
        <v>146.71129999999999</v>
      </c>
      <c r="G636" s="57">
        <v>306.93297278601403</v>
      </c>
      <c r="H636" s="58">
        <v>7.350918251549432E-2</v>
      </c>
      <c r="I636" s="58">
        <v>1.0920881539868712</v>
      </c>
      <c r="J636" s="58">
        <v>0.19984968847511819</v>
      </c>
    </row>
    <row r="637" spans="1:10" ht="11.25" customHeight="1" x14ac:dyDescent="0.2">
      <c r="A637" s="67">
        <v>44682</v>
      </c>
      <c r="B637" s="57">
        <v>0</v>
      </c>
      <c r="C637" s="57">
        <v>0</v>
      </c>
      <c r="D637" s="57">
        <v>194.40537</v>
      </c>
      <c r="E637" s="57">
        <v>208.6959498253222</v>
      </c>
      <c r="F637" s="57">
        <v>27.527699999999996</v>
      </c>
      <c r="G637" s="57">
        <v>57.590375076504387</v>
      </c>
      <c r="H637" s="58">
        <v>7.350918251549432E-2</v>
      </c>
      <c r="I637" s="58">
        <v>1.0920881539868712</v>
      </c>
      <c r="J637" s="58">
        <v>0.19984968847511819</v>
      </c>
    </row>
    <row r="638" spans="1:10" ht="11.25" customHeight="1" x14ac:dyDescent="0.2">
      <c r="A638" s="67">
        <v>44713</v>
      </c>
      <c r="B638" s="57">
        <v>0</v>
      </c>
      <c r="C638" s="57">
        <v>0</v>
      </c>
      <c r="D638" s="57">
        <v>263.57582000000002</v>
      </c>
      <c r="E638" s="57">
        <v>282.95106305905108</v>
      </c>
      <c r="F638" s="57">
        <v>37.322199999999995</v>
      </c>
      <c r="G638" s="57">
        <v>78.081332500728792</v>
      </c>
      <c r="H638" s="58">
        <v>7.350918251549432E-2</v>
      </c>
      <c r="I638" s="58">
        <v>1.0920881539868712</v>
      </c>
      <c r="J638" s="58">
        <v>0.19984968847511797</v>
      </c>
    </row>
    <row r="639" spans="1:10" ht="11.25" customHeight="1" x14ac:dyDescent="0.2">
      <c r="A639" s="67">
        <v>44743</v>
      </c>
      <c r="B639" s="57">
        <v>0</v>
      </c>
      <c r="C639" s="57">
        <v>0</v>
      </c>
      <c r="D639" s="57">
        <v>275.95368999999999</v>
      </c>
      <c r="E639" s="57">
        <v>296.23882016403417</v>
      </c>
      <c r="F639" s="57">
        <v>39.0749</v>
      </c>
      <c r="G639" s="57">
        <v>81.748135408221586</v>
      </c>
      <c r="H639" s="58">
        <v>7.3509182515494542E-2</v>
      </c>
      <c r="I639" s="58">
        <v>1.0920881539868712</v>
      </c>
      <c r="J639" s="58">
        <v>0.19984968847511819</v>
      </c>
    </row>
    <row r="640" spans="1:10" ht="11.25" customHeight="1" x14ac:dyDescent="0.2">
      <c r="A640" s="67">
        <v>44774</v>
      </c>
      <c r="B640" s="57">
        <v>0</v>
      </c>
      <c r="C640" s="57">
        <v>0</v>
      </c>
      <c r="D640" s="57">
        <v>333.47438</v>
      </c>
      <c r="E640" s="57">
        <v>357.9878090636613</v>
      </c>
      <c r="F640" s="57">
        <v>47.219799999999999</v>
      </c>
      <c r="G640" s="57">
        <v>98.787984213629258</v>
      </c>
      <c r="H640" s="58">
        <v>7.350918251549432E-2</v>
      </c>
      <c r="I640" s="58">
        <v>1.0920881539868712</v>
      </c>
      <c r="J640" s="58">
        <v>0.19984968847511819</v>
      </c>
    </row>
    <row r="641" spans="1:10" ht="11.25" customHeight="1" x14ac:dyDescent="0.2">
      <c r="A641" s="67">
        <v>44805</v>
      </c>
      <c r="B641" s="57">
        <v>0</v>
      </c>
      <c r="C641" s="57">
        <v>0</v>
      </c>
      <c r="D641" s="57">
        <v>328.37761</v>
      </c>
      <c r="E641" s="57">
        <v>352.51637966749183</v>
      </c>
      <c r="F641" s="57">
        <v>46.498100000000001</v>
      </c>
      <c r="G641" s="57">
        <v>97.278124192896925</v>
      </c>
      <c r="H641" s="58">
        <v>7.350918251549432E-2</v>
      </c>
      <c r="I641" s="58">
        <v>1.0920881539868708</v>
      </c>
      <c r="J641" s="58">
        <v>0.19984968847511819</v>
      </c>
    </row>
    <row r="642" spans="1:10" ht="11.25" customHeight="1" x14ac:dyDescent="0.2">
      <c r="A642" s="66" t="s">
        <v>34</v>
      </c>
      <c r="B642" s="57">
        <v>0</v>
      </c>
      <c r="C642" s="57">
        <v>0</v>
      </c>
      <c r="D642" s="57">
        <v>3507.5016000000005</v>
      </c>
      <c r="E642" s="57">
        <v>3622.4967422732811</v>
      </c>
      <c r="F642" s="57">
        <v>493.43585000000007</v>
      </c>
      <c r="G642" s="57">
        <v>997.45314135065769</v>
      </c>
      <c r="H642" s="58">
        <v>3.2785485336138009E-2</v>
      </c>
      <c r="I642" s="58">
        <v>1.0214444113670655</v>
      </c>
      <c r="J642" s="58">
        <v>0.15471684857855972</v>
      </c>
    </row>
    <row r="643" spans="1:10" ht="11.25" customHeight="1" x14ac:dyDescent="0.2">
      <c r="A643" s="67">
        <v>44621</v>
      </c>
      <c r="B643" s="57">
        <v>0</v>
      </c>
      <c r="C643" s="57">
        <v>0</v>
      </c>
      <c r="D643" s="57">
        <v>26.065439999999999</v>
      </c>
      <c r="E643" s="57">
        <v>26.920008100899985</v>
      </c>
      <c r="F643" s="57">
        <v>3.66689</v>
      </c>
      <c r="G643" s="57">
        <v>7.4124142975977794</v>
      </c>
      <c r="H643" s="58">
        <v>3.2785485336138009E-2</v>
      </c>
      <c r="I643" s="58">
        <v>1.0214444113670655</v>
      </c>
      <c r="J643" s="58">
        <v>0.1547168485785595</v>
      </c>
    </row>
    <row r="644" spans="1:10" ht="11.25" customHeight="1" x14ac:dyDescent="0.2">
      <c r="A644" s="67">
        <v>44652</v>
      </c>
      <c r="B644" s="57">
        <v>0</v>
      </c>
      <c r="C644" s="57">
        <v>0</v>
      </c>
      <c r="D644" s="57">
        <v>165.45887999999999</v>
      </c>
      <c r="E644" s="57">
        <v>170.88352968397382</v>
      </c>
      <c r="F644" s="57">
        <v>23.276779999999999</v>
      </c>
      <c r="G644" s="57">
        <v>47.052716845620679</v>
      </c>
      <c r="H644" s="58">
        <v>3.2785485336138009E-2</v>
      </c>
      <c r="I644" s="58">
        <v>1.0214444113670655</v>
      </c>
      <c r="J644" s="58">
        <v>0.1547168485785595</v>
      </c>
    </row>
    <row r="645" spans="1:10" ht="11.25" customHeight="1" x14ac:dyDescent="0.2">
      <c r="A645" s="67">
        <v>44682</v>
      </c>
      <c r="B645" s="57">
        <v>0</v>
      </c>
      <c r="C645" s="57">
        <v>0</v>
      </c>
      <c r="D645" s="57">
        <v>549.6407999999999</v>
      </c>
      <c r="E645" s="57">
        <v>567.66104038854314</v>
      </c>
      <c r="F645" s="57">
        <v>77.323549999999997</v>
      </c>
      <c r="G645" s="57">
        <v>156.30525801456184</v>
      </c>
      <c r="H645" s="58">
        <v>3.2785485336138231E-2</v>
      </c>
      <c r="I645" s="58">
        <v>1.0214444113670655</v>
      </c>
      <c r="J645" s="58">
        <v>0.15471684857855972</v>
      </c>
    </row>
    <row r="646" spans="1:10" ht="11.25" customHeight="1" x14ac:dyDescent="0.2">
      <c r="A646" s="67">
        <v>44713</v>
      </c>
      <c r="B646" s="57">
        <v>0</v>
      </c>
      <c r="C646" s="57">
        <v>0</v>
      </c>
      <c r="D646" s="57">
        <v>762.69744000000003</v>
      </c>
      <c r="E646" s="57">
        <v>787.70284573503011</v>
      </c>
      <c r="F646" s="57">
        <v>107.29639000000002</v>
      </c>
      <c r="G646" s="57">
        <v>216.89368792536112</v>
      </c>
      <c r="H646" s="58">
        <v>3.2785485336138009E-2</v>
      </c>
      <c r="I646" s="58">
        <v>1.0214444113670655</v>
      </c>
      <c r="J646" s="58">
        <v>0.15471684857855972</v>
      </c>
    </row>
    <row r="647" spans="1:10" ht="11.25" customHeight="1" x14ac:dyDescent="0.2">
      <c r="A647" s="67">
        <v>44743</v>
      </c>
      <c r="B647" s="57">
        <v>0</v>
      </c>
      <c r="C647" s="57">
        <v>0</v>
      </c>
      <c r="D647" s="57">
        <v>751.36464000000001</v>
      </c>
      <c r="E647" s="57">
        <v>775.99849438681269</v>
      </c>
      <c r="F647" s="57">
        <v>105.70209000000001</v>
      </c>
      <c r="G647" s="57">
        <v>213.67089910031859</v>
      </c>
      <c r="H647" s="58">
        <v>3.2785485336138009E-2</v>
      </c>
      <c r="I647" s="58">
        <v>1.0214444113670655</v>
      </c>
      <c r="J647" s="58">
        <v>0.15471684857855972</v>
      </c>
    </row>
    <row r="648" spans="1:10" ht="11.25" customHeight="1" x14ac:dyDescent="0.2">
      <c r="A648" s="67">
        <v>44774</v>
      </c>
      <c r="B648" s="57">
        <v>0</v>
      </c>
      <c r="C648" s="57">
        <v>0</v>
      </c>
      <c r="D648" s="57">
        <v>630.10368000000005</v>
      </c>
      <c r="E648" s="57">
        <v>650.76193496088672</v>
      </c>
      <c r="F648" s="57">
        <v>88.643080000000012</v>
      </c>
      <c r="G648" s="57">
        <v>179.18705867236372</v>
      </c>
      <c r="H648" s="58">
        <v>3.2785485336138009E-2</v>
      </c>
      <c r="I648" s="58">
        <v>1.0214444113670655</v>
      </c>
      <c r="J648" s="58">
        <v>0.1547168485785595</v>
      </c>
    </row>
    <row r="649" spans="1:10" ht="11.25" customHeight="1" x14ac:dyDescent="0.2">
      <c r="A649" s="67">
        <v>44805</v>
      </c>
      <c r="B649" s="57">
        <v>0</v>
      </c>
      <c r="C649" s="57">
        <v>0</v>
      </c>
      <c r="D649" s="57">
        <v>622.17072000000007</v>
      </c>
      <c r="E649" s="57">
        <v>642.56888901713455</v>
      </c>
      <c r="F649" s="57">
        <v>87.527070000000009</v>
      </c>
      <c r="G649" s="57">
        <v>176.93110649483395</v>
      </c>
      <c r="H649" s="58">
        <v>3.2785485336138009E-2</v>
      </c>
      <c r="I649" s="58">
        <v>1.0214444113670655</v>
      </c>
      <c r="J649" s="58">
        <v>0.15471684857855972</v>
      </c>
    </row>
    <row r="650" spans="1:10" ht="11.25" customHeight="1" x14ac:dyDescent="0.2">
      <c r="A650" s="61" t="s">
        <v>23</v>
      </c>
      <c r="B650" s="57">
        <v>0</v>
      </c>
      <c r="C650" s="57">
        <v>0</v>
      </c>
      <c r="D650" s="57">
        <v>78250647.54521358</v>
      </c>
      <c r="E650" s="57">
        <v>90112299.645944938</v>
      </c>
      <c r="F650" s="57">
        <v>19523719.501177195</v>
      </c>
      <c r="G650" s="57">
        <v>40676922.09732943</v>
      </c>
      <c r="H650" s="58">
        <v>0.15158535389598637</v>
      </c>
      <c r="I650" s="58">
        <v>1.0834617140897138</v>
      </c>
      <c r="J650" s="58">
        <v>0.33766370158365766</v>
      </c>
    </row>
    <row r="651" spans="1:10" ht="11.25" customHeight="1" x14ac:dyDescent="0.2">
      <c r="A651" s="62" t="s">
        <v>44</v>
      </c>
      <c r="B651" s="57">
        <v>0</v>
      </c>
      <c r="C651" s="57">
        <v>0</v>
      </c>
      <c r="D651" s="57">
        <v>58292220.556979999</v>
      </c>
      <c r="E651" s="57">
        <v>67128467.439492717</v>
      </c>
      <c r="F651" s="57">
        <v>14544045.307710001</v>
      </c>
      <c r="G651" s="57">
        <v>30301961.566599928</v>
      </c>
      <c r="H651" s="58">
        <v>0.15158535389598615</v>
      </c>
      <c r="I651" s="58">
        <v>1.0834617140897125</v>
      </c>
      <c r="J651" s="58">
        <v>0.33766370158365722</v>
      </c>
    </row>
    <row r="652" spans="1:10" ht="11.25" customHeight="1" x14ac:dyDescent="0.2">
      <c r="A652" s="63" t="s">
        <v>25</v>
      </c>
      <c r="B652" s="57">
        <v>0</v>
      </c>
      <c r="C652" s="57">
        <v>0</v>
      </c>
      <c r="D652" s="57">
        <v>58292220.556979999</v>
      </c>
      <c r="E652" s="57">
        <v>67128467.439492717</v>
      </c>
      <c r="F652" s="57">
        <v>14544045.307710001</v>
      </c>
      <c r="G652" s="57">
        <v>30301961.566599928</v>
      </c>
      <c r="H652" s="58">
        <v>0.15158535389598615</v>
      </c>
      <c r="I652" s="58">
        <v>1.0834617140897125</v>
      </c>
      <c r="J652" s="58">
        <v>0.33766370158365722</v>
      </c>
    </row>
    <row r="653" spans="1:10" ht="11.25" customHeight="1" x14ac:dyDescent="0.2">
      <c r="A653" s="64" t="s">
        <v>25</v>
      </c>
      <c r="B653" s="57">
        <v>0</v>
      </c>
      <c r="C653" s="57">
        <v>0</v>
      </c>
      <c r="D653" s="57">
        <v>58292220.556979999</v>
      </c>
      <c r="E653" s="57">
        <v>67128467.439492717</v>
      </c>
      <c r="F653" s="57">
        <v>14544045.307710001</v>
      </c>
      <c r="G653" s="57">
        <v>30301961.566599928</v>
      </c>
      <c r="H653" s="58">
        <v>0.15158535389598615</v>
      </c>
      <c r="I653" s="58">
        <v>1.0834617140897125</v>
      </c>
      <c r="J653" s="58">
        <v>0.33766370158365722</v>
      </c>
    </row>
    <row r="654" spans="1:10" ht="11.25" customHeight="1" x14ac:dyDescent="0.2">
      <c r="A654" s="65" t="s">
        <v>25</v>
      </c>
      <c r="B654" s="57">
        <v>0</v>
      </c>
      <c r="C654" s="57">
        <v>0</v>
      </c>
      <c r="D654" s="57">
        <v>58292220.556979999</v>
      </c>
      <c r="E654" s="57">
        <v>67128467.439492717</v>
      </c>
      <c r="F654" s="57">
        <v>14544045.307710001</v>
      </c>
      <c r="G654" s="57">
        <v>30301961.566599928</v>
      </c>
      <c r="H654" s="58">
        <v>0.15158535389598615</v>
      </c>
      <c r="I654" s="58">
        <v>1.0834617140897125</v>
      </c>
      <c r="J654" s="58">
        <v>0.33766370158365722</v>
      </c>
    </row>
    <row r="655" spans="1:10" ht="11.25" customHeight="1" x14ac:dyDescent="0.2">
      <c r="A655" s="66" t="s">
        <v>25</v>
      </c>
      <c r="B655" s="57">
        <v>0</v>
      </c>
      <c r="C655" s="57">
        <v>0</v>
      </c>
      <c r="D655" s="57">
        <v>58292220.556979999</v>
      </c>
      <c r="E655" s="57">
        <v>67128467.439492717</v>
      </c>
      <c r="F655" s="57">
        <v>14544045.307710001</v>
      </c>
      <c r="G655" s="57">
        <v>30301961.566599928</v>
      </c>
      <c r="H655" s="58">
        <v>0.15158535389598615</v>
      </c>
      <c r="I655" s="58">
        <v>1.0834617140897125</v>
      </c>
      <c r="J655" s="58">
        <v>0.33766370158365722</v>
      </c>
    </row>
    <row r="656" spans="1:10" ht="11.25" customHeight="1" x14ac:dyDescent="0.2">
      <c r="A656" s="67">
        <v>44531</v>
      </c>
      <c r="B656" s="57">
        <v>0</v>
      </c>
      <c r="C656" s="57">
        <v>0</v>
      </c>
      <c r="D656" s="57">
        <v>4964290.8416399993</v>
      </c>
      <c r="E656" s="57">
        <v>5716804.6257126052</v>
      </c>
      <c r="F656" s="57">
        <v>1238602.1707800003</v>
      </c>
      <c r="G656" s="57">
        <v>2580580.2018085378</v>
      </c>
      <c r="H656" s="58">
        <v>0.15158535389598682</v>
      </c>
      <c r="I656" s="58">
        <v>1.083461714089712</v>
      </c>
      <c r="J656" s="58">
        <v>0.33766370158365788</v>
      </c>
    </row>
    <row r="657" spans="1:10" ht="11.25" customHeight="1" x14ac:dyDescent="0.2">
      <c r="A657" s="67">
        <v>44562</v>
      </c>
      <c r="B657" s="57">
        <v>0</v>
      </c>
      <c r="C657" s="57">
        <v>0</v>
      </c>
      <c r="D657" s="57">
        <v>4439893.3011000007</v>
      </c>
      <c r="E657" s="57">
        <v>5112916.0984076643</v>
      </c>
      <c r="F657" s="57">
        <v>1107763.7584500001</v>
      </c>
      <c r="G657" s="57">
        <v>2307983.3789867004</v>
      </c>
      <c r="H657" s="58">
        <v>0.1515853538959866</v>
      </c>
      <c r="I657" s="58">
        <v>1.0834617140897134</v>
      </c>
      <c r="J657" s="58">
        <v>0.33766370158365788</v>
      </c>
    </row>
    <row r="658" spans="1:10" ht="11.25" customHeight="1" x14ac:dyDescent="0.2">
      <c r="A658" s="67">
        <v>44593</v>
      </c>
      <c r="B658" s="57">
        <v>0</v>
      </c>
      <c r="C658" s="57">
        <v>0</v>
      </c>
      <c r="D658" s="57">
        <v>3898874.6551000001</v>
      </c>
      <c r="E658" s="57">
        <v>4489886.9494894268</v>
      </c>
      <c r="F658" s="57">
        <v>972778.34145000007</v>
      </c>
      <c r="G658" s="57">
        <v>2026746.4307067655</v>
      </c>
      <c r="H658" s="58">
        <v>0.15158535389598682</v>
      </c>
      <c r="I658" s="58">
        <v>1.0834617140897134</v>
      </c>
      <c r="J658" s="58">
        <v>0.33766370158365788</v>
      </c>
    </row>
    <row r="659" spans="1:10" ht="11.25" customHeight="1" x14ac:dyDescent="0.2">
      <c r="A659" s="67">
        <v>44621</v>
      </c>
      <c r="B659" s="57">
        <v>0</v>
      </c>
      <c r="C659" s="57">
        <v>0</v>
      </c>
      <c r="D659" s="57">
        <v>4380935.9637200003</v>
      </c>
      <c r="E659" s="57">
        <v>5045021.6921761511</v>
      </c>
      <c r="F659" s="57">
        <v>1093053.7649399999</v>
      </c>
      <c r="G659" s="57">
        <v>2277335.6706941067</v>
      </c>
      <c r="H659" s="58">
        <v>0.15158535389598637</v>
      </c>
      <c r="I659" s="58">
        <v>1.0834617140897134</v>
      </c>
      <c r="J659" s="58">
        <v>0.33766370158365744</v>
      </c>
    </row>
    <row r="660" spans="1:10" ht="11.25" customHeight="1" x14ac:dyDescent="0.2">
      <c r="A660" s="67">
        <v>44652</v>
      </c>
      <c r="B660" s="57">
        <v>0</v>
      </c>
      <c r="C660" s="57">
        <v>0</v>
      </c>
      <c r="D660" s="57">
        <v>4243847.8093399992</v>
      </c>
      <c r="E660" s="57">
        <v>4887152.9813995119</v>
      </c>
      <c r="F660" s="57">
        <v>1058849.9499300001</v>
      </c>
      <c r="G660" s="57">
        <v>2206073.3316449649</v>
      </c>
      <c r="H660" s="58">
        <v>0.15158535389598704</v>
      </c>
      <c r="I660" s="58">
        <v>1.0834617140897129</v>
      </c>
      <c r="J660" s="58">
        <v>0.3376637015836581</v>
      </c>
    </row>
    <row r="661" spans="1:10" ht="11.25" customHeight="1" x14ac:dyDescent="0.2">
      <c r="A661" s="67">
        <v>44682</v>
      </c>
      <c r="B661" s="57">
        <v>0</v>
      </c>
      <c r="C661" s="57">
        <v>0</v>
      </c>
      <c r="D661" s="57">
        <v>4658182.6386199994</v>
      </c>
      <c r="E661" s="57">
        <v>5364294.9024073537</v>
      </c>
      <c r="F661" s="57">
        <v>1162227.4584900001</v>
      </c>
      <c r="G661" s="57">
        <v>2421456.412827706</v>
      </c>
      <c r="H661" s="58">
        <v>0.15158535389598682</v>
      </c>
      <c r="I661" s="58">
        <v>1.0834617140897125</v>
      </c>
      <c r="J661" s="58">
        <v>0.33766370158365788</v>
      </c>
    </row>
    <row r="662" spans="1:10" ht="11.25" customHeight="1" x14ac:dyDescent="0.2">
      <c r="A662" s="67">
        <v>44713</v>
      </c>
      <c r="B662" s="57">
        <v>0</v>
      </c>
      <c r="C662" s="57">
        <v>0</v>
      </c>
      <c r="D662" s="57">
        <v>5017619.8224600004</v>
      </c>
      <c r="E662" s="57">
        <v>5778217.4989631176</v>
      </c>
      <c r="F662" s="57">
        <v>1251907.8761700001</v>
      </c>
      <c r="G662" s="57">
        <v>2608302.1295675607</v>
      </c>
      <c r="H662" s="58">
        <v>0.15158535389598682</v>
      </c>
      <c r="I662" s="58">
        <v>1.0834617140897134</v>
      </c>
      <c r="J662" s="58">
        <v>0.33766370158365788</v>
      </c>
    </row>
    <row r="663" spans="1:10" ht="11.25" customHeight="1" x14ac:dyDescent="0.2">
      <c r="A663" s="67">
        <v>44743</v>
      </c>
      <c r="B663" s="57">
        <v>0</v>
      </c>
      <c r="C663" s="57">
        <v>0</v>
      </c>
      <c r="D663" s="57">
        <v>4690313.694099999</v>
      </c>
      <c r="E663" s="57">
        <v>5401296.5553033417</v>
      </c>
      <c r="F663" s="57">
        <v>1170244.2319500004</v>
      </c>
      <c r="G663" s="57">
        <v>2438159.0534021473</v>
      </c>
      <c r="H663" s="58">
        <v>0.15158535389598704</v>
      </c>
      <c r="I663" s="58">
        <v>1.0834617140897129</v>
      </c>
      <c r="J663" s="58">
        <v>0.3376637015836581</v>
      </c>
    </row>
    <row r="664" spans="1:10" ht="11.25" customHeight="1" x14ac:dyDescent="0.2">
      <c r="A664" s="67">
        <v>44774</v>
      </c>
      <c r="B664" s="57">
        <v>0</v>
      </c>
      <c r="C664" s="57">
        <v>0</v>
      </c>
      <c r="D664" s="57">
        <v>5095986.52238</v>
      </c>
      <c r="E664" s="57">
        <v>5868463.4428241504</v>
      </c>
      <c r="F664" s="57">
        <v>1271460.5510100001</v>
      </c>
      <c r="G664" s="57">
        <v>2649039.3790047453</v>
      </c>
      <c r="H664" s="58">
        <v>0.1515853538959866</v>
      </c>
      <c r="I664" s="58">
        <v>1.0834617140897125</v>
      </c>
      <c r="J664" s="58">
        <v>0.33766370158365788</v>
      </c>
    </row>
    <row r="665" spans="1:10" ht="11.25" customHeight="1" x14ac:dyDescent="0.2">
      <c r="A665" s="67">
        <v>44805</v>
      </c>
      <c r="B665" s="57">
        <v>0</v>
      </c>
      <c r="C665" s="57">
        <v>0</v>
      </c>
      <c r="D665" s="57">
        <v>5441657.3889200008</v>
      </c>
      <c r="E665" s="57">
        <v>6266532.9500001483</v>
      </c>
      <c r="F665" s="57">
        <v>1357706.24034</v>
      </c>
      <c r="G665" s="57">
        <v>2828728.9707290763</v>
      </c>
      <c r="H665" s="58">
        <v>0.15158535389598637</v>
      </c>
      <c r="I665" s="58">
        <v>1.0834617140897129</v>
      </c>
      <c r="J665" s="58">
        <v>0.33766370158365744</v>
      </c>
    </row>
    <row r="666" spans="1:10" ht="11.25" customHeight="1" x14ac:dyDescent="0.2">
      <c r="A666" s="67">
        <v>44835</v>
      </c>
      <c r="B666" s="57">
        <v>0</v>
      </c>
      <c r="C666" s="57">
        <v>0</v>
      </c>
      <c r="D666" s="57">
        <v>5730308.9597999994</v>
      </c>
      <c r="E666" s="57">
        <v>6598939.8714046255</v>
      </c>
      <c r="F666" s="57">
        <v>1429725.4821000001</v>
      </c>
      <c r="G666" s="57">
        <v>2978778.3036138075</v>
      </c>
      <c r="H666" s="58">
        <v>0.1515853538959866</v>
      </c>
      <c r="I666" s="58">
        <v>1.0834617140897129</v>
      </c>
      <c r="J666" s="58">
        <v>0.33766370158365788</v>
      </c>
    </row>
    <row r="667" spans="1:10" ht="11.25" customHeight="1" x14ac:dyDescent="0.2">
      <c r="A667" s="67">
        <v>44866</v>
      </c>
      <c r="B667" s="57">
        <v>0</v>
      </c>
      <c r="C667" s="57">
        <v>0</v>
      </c>
      <c r="D667" s="57">
        <v>5730308.9597999994</v>
      </c>
      <c r="E667" s="57">
        <v>6598939.8714046255</v>
      </c>
      <c r="F667" s="57">
        <v>1429725.4821000001</v>
      </c>
      <c r="G667" s="57">
        <v>2978778.3036138075</v>
      </c>
      <c r="H667" s="58">
        <v>0.1515853538959866</v>
      </c>
      <c r="I667" s="58">
        <v>1.0834617140897129</v>
      </c>
      <c r="J667" s="58">
        <v>0.33766370158365788</v>
      </c>
    </row>
    <row r="668" spans="1:10" ht="11.25" customHeight="1" x14ac:dyDescent="0.2">
      <c r="A668" s="62" t="s">
        <v>53</v>
      </c>
      <c r="B668" s="57">
        <v>0</v>
      </c>
      <c r="C668" s="57">
        <v>0</v>
      </c>
      <c r="D668" s="57">
        <v>928868.05715999985</v>
      </c>
      <c r="E668" s="57">
        <v>1069670.8503272762</v>
      </c>
      <c r="F668" s="57">
        <v>231754.75182000003</v>
      </c>
      <c r="G668" s="57">
        <v>482852.15247533331</v>
      </c>
      <c r="H668" s="58">
        <v>0.15158535389598682</v>
      </c>
      <c r="I668" s="58">
        <v>1.0834617140897129</v>
      </c>
      <c r="J668" s="58">
        <v>0.33766370158365788</v>
      </c>
    </row>
    <row r="669" spans="1:10" ht="11.25" customHeight="1" x14ac:dyDescent="0.2">
      <c r="A669" s="63" t="s">
        <v>25</v>
      </c>
      <c r="B669" s="57">
        <v>0</v>
      </c>
      <c r="C669" s="57">
        <v>0</v>
      </c>
      <c r="D669" s="57">
        <v>928868.05715999985</v>
      </c>
      <c r="E669" s="57">
        <v>1069670.8503272762</v>
      </c>
      <c r="F669" s="57">
        <v>231754.75182000003</v>
      </c>
      <c r="G669" s="57">
        <v>482852.15247533331</v>
      </c>
      <c r="H669" s="58">
        <v>0.15158535389598682</v>
      </c>
      <c r="I669" s="58">
        <v>1.0834617140897129</v>
      </c>
      <c r="J669" s="58">
        <v>0.33766370158365788</v>
      </c>
    </row>
    <row r="670" spans="1:10" ht="11.25" customHeight="1" x14ac:dyDescent="0.2">
      <c r="A670" s="64" t="s">
        <v>25</v>
      </c>
      <c r="B670" s="57">
        <v>0</v>
      </c>
      <c r="C670" s="57">
        <v>0</v>
      </c>
      <c r="D670" s="57">
        <v>928868.05715999985</v>
      </c>
      <c r="E670" s="57">
        <v>1069670.8503272762</v>
      </c>
      <c r="F670" s="57">
        <v>231754.75182000003</v>
      </c>
      <c r="G670" s="57">
        <v>482852.15247533331</v>
      </c>
      <c r="H670" s="58">
        <v>0.15158535389598682</v>
      </c>
      <c r="I670" s="58">
        <v>1.0834617140897129</v>
      </c>
      <c r="J670" s="58">
        <v>0.33766370158365788</v>
      </c>
    </row>
    <row r="671" spans="1:10" ht="11.25" customHeight="1" x14ac:dyDescent="0.2">
      <c r="A671" s="65" t="s">
        <v>25</v>
      </c>
      <c r="B671" s="57">
        <v>0</v>
      </c>
      <c r="C671" s="57">
        <v>0</v>
      </c>
      <c r="D671" s="57">
        <v>928868.05715999985</v>
      </c>
      <c r="E671" s="57">
        <v>1069670.8503272762</v>
      </c>
      <c r="F671" s="57">
        <v>231754.75182000003</v>
      </c>
      <c r="G671" s="57">
        <v>482852.15247533331</v>
      </c>
      <c r="H671" s="58">
        <v>0.15158535389598682</v>
      </c>
      <c r="I671" s="58">
        <v>1.0834617140897129</v>
      </c>
      <c r="J671" s="58">
        <v>0.33766370158365788</v>
      </c>
    </row>
    <row r="672" spans="1:10" ht="11.25" customHeight="1" x14ac:dyDescent="0.2">
      <c r="A672" s="66" t="s">
        <v>25</v>
      </c>
      <c r="B672" s="57">
        <v>0</v>
      </c>
      <c r="C672" s="57">
        <v>0</v>
      </c>
      <c r="D672" s="57">
        <v>928868.05715999985</v>
      </c>
      <c r="E672" s="57">
        <v>1069670.8503272762</v>
      </c>
      <c r="F672" s="57">
        <v>231754.75182000003</v>
      </c>
      <c r="G672" s="57">
        <v>482852.15247533331</v>
      </c>
      <c r="H672" s="58">
        <v>0.15158535389598682</v>
      </c>
      <c r="I672" s="58">
        <v>1.0834617140897129</v>
      </c>
      <c r="J672" s="58">
        <v>0.33766370158365788</v>
      </c>
    </row>
    <row r="673" spans="1:10" ht="11.25" customHeight="1" x14ac:dyDescent="0.2">
      <c r="A673" s="67">
        <v>44531</v>
      </c>
      <c r="B673" s="57">
        <v>0</v>
      </c>
      <c r="C673" s="57">
        <v>0</v>
      </c>
      <c r="D673" s="57">
        <v>109607.7942</v>
      </c>
      <c r="E673" s="57">
        <v>126222.73047356548</v>
      </c>
      <c r="F673" s="57">
        <v>27347.400900000004</v>
      </c>
      <c r="G673" s="57">
        <v>56977.262755012562</v>
      </c>
      <c r="H673" s="58">
        <v>0.1515853538959866</v>
      </c>
      <c r="I673" s="58">
        <v>1.0834617140897129</v>
      </c>
      <c r="J673" s="58">
        <v>0.33766370158365766</v>
      </c>
    </row>
    <row r="674" spans="1:10" ht="11.25" customHeight="1" x14ac:dyDescent="0.2">
      <c r="A674" s="67">
        <v>44562</v>
      </c>
      <c r="B674" s="57">
        <v>0</v>
      </c>
      <c r="C674" s="57">
        <v>0</v>
      </c>
      <c r="D674" s="57">
        <v>81140.700339999996</v>
      </c>
      <c r="E674" s="57">
        <v>93440.44211640711</v>
      </c>
      <c r="F674" s="57">
        <v>20244.794430000002</v>
      </c>
      <c r="G674" s="57">
        <v>42179.254104521679</v>
      </c>
      <c r="H674" s="58">
        <v>0.15158535389598682</v>
      </c>
      <c r="I674" s="58">
        <v>1.0834617140897129</v>
      </c>
      <c r="J674" s="58">
        <v>0.3376637015836581</v>
      </c>
    </row>
    <row r="675" spans="1:10" ht="11.25" customHeight="1" x14ac:dyDescent="0.2">
      <c r="A675" s="67">
        <v>44593</v>
      </c>
      <c r="B675" s="57">
        <v>0</v>
      </c>
      <c r="C675" s="57">
        <v>0</v>
      </c>
      <c r="D675" s="57">
        <v>89617.364759999997</v>
      </c>
      <c r="E675" s="57">
        <v>103202.04471237032</v>
      </c>
      <c r="F675" s="57">
        <v>22359.742020000002</v>
      </c>
      <c r="G675" s="57">
        <v>46585.666435592982</v>
      </c>
      <c r="H675" s="58">
        <v>0.1515853538959866</v>
      </c>
      <c r="I675" s="58">
        <v>1.0834617140897129</v>
      </c>
      <c r="J675" s="58">
        <v>0.33766370158365766</v>
      </c>
    </row>
    <row r="676" spans="1:10" ht="11.25" customHeight="1" x14ac:dyDescent="0.2">
      <c r="A676" s="67">
        <v>44621</v>
      </c>
      <c r="B676" s="57">
        <v>0</v>
      </c>
      <c r="C676" s="57">
        <v>0</v>
      </c>
      <c r="D676" s="57">
        <v>65833.367699999988</v>
      </c>
      <c r="E676" s="57">
        <v>75812.742040969111</v>
      </c>
      <c r="F676" s="57">
        <v>16425.579150000001</v>
      </c>
      <c r="G676" s="57">
        <v>34222.065290775252</v>
      </c>
      <c r="H676" s="58">
        <v>0.15158535389598682</v>
      </c>
      <c r="I676" s="58">
        <v>1.0834617140897129</v>
      </c>
      <c r="J676" s="58">
        <v>0.33766370158365788</v>
      </c>
    </row>
    <row r="677" spans="1:10" ht="11.25" customHeight="1" x14ac:dyDescent="0.2">
      <c r="A677" s="67">
        <v>44652</v>
      </c>
      <c r="B677" s="57">
        <v>0</v>
      </c>
      <c r="C677" s="57">
        <v>0</v>
      </c>
      <c r="D677" s="57">
        <v>85375.792399999991</v>
      </c>
      <c r="E677" s="57">
        <v>98317.512105104295</v>
      </c>
      <c r="F677" s="57">
        <v>21301.459800000001</v>
      </c>
      <c r="G677" s="57">
        <v>44380.775947521121</v>
      </c>
      <c r="H677" s="58">
        <v>0.15158535389598682</v>
      </c>
      <c r="I677" s="58">
        <v>1.0834617140897134</v>
      </c>
      <c r="J677" s="58">
        <v>0.3376637015836581</v>
      </c>
    </row>
    <row r="678" spans="1:10" ht="11.25" customHeight="1" x14ac:dyDescent="0.2">
      <c r="A678" s="67">
        <v>44682</v>
      </c>
      <c r="B678" s="57">
        <v>0</v>
      </c>
      <c r="C678" s="57">
        <v>0</v>
      </c>
      <c r="D678" s="57">
        <v>72502.028420000002</v>
      </c>
      <c r="E678" s="57">
        <v>83492.274056222581</v>
      </c>
      <c r="F678" s="57">
        <v>18089.425590000003</v>
      </c>
      <c r="G678" s="57">
        <v>37688.625646639717</v>
      </c>
      <c r="H678" s="58">
        <v>0.1515853538959866</v>
      </c>
      <c r="I678" s="58">
        <v>1.0834617140897125</v>
      </c>
      <c r="J678" s="58">
        <v>0.33766370158365766</v>
      </c>
    </row>
    <row r="679" spans="1:10" ht="11.25" customHeight="1" x14ac:dyDescent="0.2">
      <c r="A679" s="67">
        <v>44713</v>
      </c>
      <c r="B679" s="57">
        <v>0</v>
      </c>
      <c r="C679" s="57">
        <v>0</v>
      </c>
      <c r="D679" s="57">
        <v>55829.080560000002</v>
      </c>
      <c r="E679" s="57">
        <v>64291.951494375156</v>
      </c>
      <c r="F679" s="57">
        <v>13929.486120000001</v>
      </c>
      <c r="G679" s="57">
        <v>29021.551027964069</v>
      </c>
      <c r="H679" s="58">
        <v>0.15158535389598682</v>
      </c>
      <c r="I679" s="58">
        <v>1.0834617140897129</v>
      </c>
      <c r="J679" s="58">
        <v>0.33766370158365788</v>
      </c>
    </row>
    <row r="680" spans="1:10" ht="11.25" customHeight="1" x14ac:dyDescent="0.2">
      <c r="A680" s="67">
        <v>44743</v>
      </c>
      <c r="B680" s="57">
        <v>0</v>
      </c>
      <c r="C680" s="57">
        <v>0</v>
      </c>
      <c r="D680" s="57">
        <v>63929.023540000002</v>
      </c>
      <c r="E680" s="57">
        <v>73619.727197535758</v>
      </c>
      <c r="F680" s="57">
        <v>15950.440830000001</v>
      </c>
      <c r="G680" s="57">
        <v>33232.132792158351</v>
      </c>
      <c r="H680" s="58">
        <v>0.1515853538959866</v>
      </c>
      <c r="I680" s="58">
        <v>1.0834617140897134</v>
      </c>
      <c r="J680" s="58">
        <v>0.33766370158365788</v>
      </c>
    </row>
    <row r="681" spans="1:10" ht="11.25" customHeight="1" x14ac:dyDescent="0.2">
      <c r="A681" s="67">
        <v>44774</v>
      </c>
      <c r="B681" s="57">
        <v>0</v>
      </c>
      <c r="C681" s="57">
        <v>0</v>
      </c>
      <c r="D681" s="57">
        <v>73858.139200000005</v>
      </c>
      <c r="E681" s="57">
        <v>85053.951368731054</v>
      </c>
      <c r="F681" s="57">
        <v>18427.778400000003</v>
      </c>
      <c r="G681" s="57">
        <v>38393.570772129395</v>
      </c>
      <c r="H681" s="58">
        <v>0.1515853538959866</v>
      </c>
      <c r="I681" s="58">
        <v>1.0834617140897129</v>
      </c>
      <c r="J681" s="58">
        <v>0.33766370158365766</v>
      </c>
    </row>
    <row r="682" spans="1:10" ht="11.25" customHeight="1" x14ac:dyDescent="0.2">
      <c r="A682" s="67">
        <v>44805</v>
      </c>
      <c r="B682" s="57">
        <v>0</v>
      </c>
      <c r="C682" s="57">
        <v>0</v>
      </c>
      <c r="D682" s="57">
        <v>69028.155599999998</v>
      </c>
      <c r="E682" s="57">
        <v>79491.812995413231</v>
      </c>
      <c r="F682" s="57">
        <v>17222.6862</v>
      </c>
      <c r="G682" s="57">
        <v>35882.807311481251</v>
      </c>
      <c r="H682" s="58">
        <v>0.1515853538959866</v>
      </c>
      <c r="I682" s="58">
        <v>1.0834617140897134</v>
      </c>
      <c r="J682" s="58">
        <v>0.33766370158365788</v>
      </c>
    </row>
    <row r="683" spans="1:10" ht="11.25" customHeight="1" x14ac:dyDescent="0.2">
      <c r="A683" s="67">
        <v>44835</v>
      </c>
      <c r="B683" s="57">
        <v>0</v>
      </c>
      <c r="C683" s="57">
        <v>0</v>
      </c>
      <c r="D683" s="57">
        <v>81073.305219999995</v>
      </c>
      <c r="E683" s="57">
        <v>93362.830883291041</v>
      </c>
      <c r="F683" s="57">
        <v>20227.979190000002</v>
      </c>
      <c r="G683" s="57">
        <v>42144.220195768445</v>
      </c>
      <c r="H683" s="58">
        <v>0.15158535389598682</v>
      </c>
      <c r="I683" s="58">
        <v>1.0834617140897129</v>
      </c>
      <c r="J683" s="58">
        <v>0.33766370158365788</v>
      </c>
    </row>
    <row r="684" spans="1:10" ht="11.25" customHeight="1" x14ac:dyDescent="0.2">
      <c r="A684" s="67">
        <v>44866</v>
      </c>
      <c r="B684" s="57">
        <v>0</v>
      </c>
      <c r="C684" s="57">
        <v>0</v>
      </c>
      <c r="D684" s="57">
        <v>81073.305219999995</v>
      </c>
      <c r="E684" s="57">
        <v>93362.830883291041</v>
      </c>
      <c r="F684" s="57">
        <v>20227.979190000002</v>
      </c>
      <c r="G684" s="57">
        <v>42144.220195768445</v>
      </c>
      <c r="H684" s="58">
        <v>0.15158535389598682</v>
      </c>
      <c r="I684" s="58">
        <v>1.0834617140897129</v>
      </c>
      <c r="J684" s="58">
        <v>0.33766370158365788</v>
      </c>
    </row>
    <row r="685" spans="1:10" ht="11.25" customHeight="1" x14ac:dyDescent="0.2">
      <c r="A685" s="62" t="s">
        <v>38</v>
      </c>
      <c r="B685" s="57">
        <v>0</v>
      </c>
      <c r="C685" s="57">
        <v>0</v>
      </c>
      <c r="D685" s="57">
        <v>1396521.0667600001</v>
      </c>
      <c r="E685" s="57">
        <v>1608213.2068880154</v>
      </c>
      <c r="F685" s="57">
        <v>348435.27102000004</v>
      </c>
      <c r="G685" s="57">
        <v>725951.54700864293</v>
      </c>
      <c r="H685" s="58">
        <v>0.15158535389598637</v>
      </c>
      <c r="I685" s="58">
        <v>1.0834617140897125</v>
      </c>
      <c r="J685" s="58">
        <v>0.33766370158365766</v>
      </c>
    </row>
    <row r="686" spans="1:10" ht="11.25" customHeight="1" x14ac:dyDescent="0.2">
      <c r="A686" s="63" t="s">
        <v>25</v>
      </c>
      <c r="B686" s="57">
        <v>0</v>
      </c>
      <c r="C686" s="57">
        <v>0</v>
      </c>
      <c r="D686" s="57">
        <v>1396521.0667600001</v>
      </c>
      <c r="E686" s="57">
        <v>1608213.2068880154</v>
      </c>
      <c r="F686" s="57">
        <v>348435.27102000004</v>
      </c>
      <c r="G686" s="57">
        <v>725951.54700864293</v>
      </c>
      <c r="H686" s="58">
        <v>0.15158535389598637</v>
      </c>
      <c r="I686" s="58">
        <v>1.0834617140897125</v>
      </c>
      <c r="J686" s="58">
        <v>0.33766370158365766</v>
      </c>
    </row>
    <row r="687" spans="1:10" ht="11.25" customHeight="1" x14ac:dyDescent="0.2">
      <c r="A687" s="64" t="s">
        <v>25</v>
      </c>
      <c r="B687" s="57">
        <v>0</v>
      </c>
      <c r="C687" s="57">
        <v>0</v>
      </c>
      <c r="D687" s="57">
        <v>1396521.0667600001</v>
      </c>
      <c r="E687" s="57">
        <v>1608213.2068880154</v>
      </c>
      <c r="F687" s="57">
        <v>348435.27102000004</v>
      </c>
      <c r="G687" s="57">
        <v>725951.54700864293</v>
      </c>
      <c r="H687" s="58">
        <v>0.15158535389598637</v>
      </c>
      <c r="I687" s="58">
        <v>1.0834617140897125</v>
      </c>
      <c r="J687" s="58">
        <v>0.33766370158365766</v>
      </c>
    </row>
    <row r="688" spans="1:10" ht="11.25" customHeight="1" x14ac:dyDescent="0.2">
      <c r="A688" s="65" t="s">
        <v>25</v>
      </c>
      <c r="B688" s="57">
        <v>0</v>
      </c>
      <c r="C688" s="57">
        <v>0</v>
      </c>
      <c r="D688" s="57">
        <v>1396521.0667600001</v>
      </c>
      <c r="E688" s="57">
        <v>1608213.2068880154</v>
      </c>
      <c r="F688" s="57">
        <v>348435.27102000004</v>
      </c>
      <c r="G688" s="57">
        <v>725951.54700864293</v>
      </c>
      <c r="H688" s="58">
        <v>0.15158535389598637</v>
      </c>
      <c r="I688" s="58">
        <v>1.0834617140897125</v>
      </c>
      <c r="J688" s="58">
        <v>0.33766370158365766</v>
      </c>
    </row>
    <row r="689" spans="1:10" ht="11.25" customHeight="1" x14ac:dyDescent="0.2">
      <c r="A689" s="66" t="s">
        <v>25</v>
      </c>
      <c r="B689" s="57">
        <v>0</v>
      </c>
      <c r="C689" s="57">
        <v>0</v>
      </c>
      <c r="D689" s="57">
        <v>1396521.0667600001</v>
      </c>
      <c r="E689" s="57">
        <v>1608213.2068880154</v>
      </c>
      <c r="F689" s="57">
        <v>348435.27102000004</v>
      </c>
      <c r="G689" s="57">
        <v>725951.54700864293</v>
      </c>
      <c r="H689" s="58">
        <v>0.15158535389598637</v>
      </c>
      <c r="I689" s="58">
        <v>1.0834617140897125</v>
      </c>
      <c r="J689" s="58">
        <v>0.33766370158365766</v>
      </c>
    </row>
    <row r="690" spans="1:10" ht="11.25" customHeight="1" x14ac:dyDescent="0.2">
      <c r="A690" s="67">
        <v>44531</v>
      </c>
      <c r="B690" s="57">
        <v>0</v>
      </c>
      <c r="C690" s="57">
        <v>0</v>
      </c>
      <c r="D690" s="57">
        <v>118328.98194</v>
      </c>
      <c r="E690" s="57">
        <v>136265.92254352671</v>
      </c>
      <c r="F690" s="57">
        <v>29523.357629999999</v>
      </c>
      <c r="G690" s="57">
        <v>61510.785293483408</v>
      </c>
      <c r="H690" s="58">
        <v>0.1515853538959866</v>
      </c>
      <c r="I690" s="58">
        <v>1.0834617140897129</v>
      </c>
      <c r="J690" s="58">
        <v>0.33766370158365766</v>
      </c>
    </row>
    <row r="691" spans="1:10" ht="11.25" customHeight="1" x14ac:dyDescent="0.2">
      <c r="A691" s="67">
        <v>44562</v>
      </c>
      <c r="B691" s="57">
        <v>0</v>
      </c>
      <c r="C691" s="57">
        <v>0</v>
      </c>
      <c r="D691" s="57">
        <v>112515.72082</v>
      </c>
      <c r="E691" s="57">
        <v>129571.45617936175</v>
      </c>
      <c r="F691" s="57">
        <v>28072.935389999999</v>
      </c>
      <c r="G691" s="57">
        <v>58488.886087179162</v>
      </c>
      <c r="H691" s="58">
        <v>0.15158535389598682</v>
      </c>
      <c r="I691" s="58">
        <v>1.0834617140897129</v>
      </c>
      <c r="J691" s="58">
        <v>0.3376637015836581</v>
      </c>
    </row>
    <row r="692" spans="1:10" ht="11.25" customHeight="1" x14ac:dyDescent="0.2">
      <c r="A692" s="67">
        <v>44593</v>
      </c>
      <c r="B692" s="57">
        <v>0</v>
      </c>
      <c r="C692" s="57">
        <v>0</v>
      </c>
      <c r="D692" s="57">
        <v>98267.269199999995</v>
      </c>
      <c r="E692" s="57">
        <v>113163.14797807419</v>
      </c>
      <c r="F692" s="57">
        <v>24517.913400000005</v>
      </c>
      <c r="G692" s="57">
        <v>51082.133878267152</v>
      </c>
      <c r="H692" s="58">
        <v>0.15158535389598682</v>
      </c>
      <c r="I692" s="58">
        <v>1.0834617140897129</v>
      </c>
      <c r="J692" s="58">
        <v>0.33766370158365788</v>
      </c>
    </row>
    <row r="693" spans="1:10" ht="11.25" customHeight="1" x14ac:dyDescent="0.2">
      <c r="A693" s="67">
        <v>44621</v>
      </c>
      <c r="B693" s="57">
        <v>0</v>
      </c>
      <c r="C693" s="57">
        <v>0</v>
      </c>
      <c r="D693" s="57">
        <v>102478.16813999999</v>
      </c>
      <c r="E693" s="57">
        <v>118012.35752411431</v>
      </c>
      <c r="F693" s="57">
        <v>25568.542529999999</v>
      </c>
      <c r="G693" s="57">
        <v>53271.079446329531</v>
      </c>
      <c r="H693" s="58">
        <v>0.1515853538959866</v>
      </c>
      <c r="I693" s="58">
        <v>1.0834617140897134</v>
      </c>
      <c r="J693" s="58">
        <v>0.33766370158365766</v>
      </c>
    </row>
    <row r="694" spans="1:10" ht="11.25" customHeight="1" x14ac:dyDescent="0.2">
      <c r="A694" s="67">
        <v>44652</v>
      </c>
      <c r="B694" s="57">
        <v>0</v>
      </c>
      <c r="C694" s="57">
        <v>0</v>
      </c>
      <c r="D694" s="57">
        <v>108472.01362</v>
      </c>
      <c r="E694" s="57">
        <v>124914.78219239799</v>
      </c>
      <c r="F694" s="57">
        <v>27064.020990000001</v>
      </c>
      <c r="G694" s="57">
        <v>56386.851561985379</v>
      </c>
      <c r="H694" s="58">
        <v>0.15158535389598682</v>
      </c>
      <c r="I694" s="58">
        <v>1.0834617140897134</v>
      </c>
      <c r="J694" s="58">
        <v>0.33766370158365788</v>
      </c>
    </row>
    <row r="695" spans="1:10" ht="11.25" customHeight="1" x14ac:dyDescent="0.2">
      <c r="A695" s="67">
        <v>44682</v>
      </c>
      <c r="B695" s="57">
        <v>0</v>
      </c>
      <c r="C695" s="57">
        <v>0</v>
      </c>
      <c r="D695" s="57">
        <v>107464.97500000001</v>
      </c>
      <c r="E695" s="57">
        <v>123755.09126679836</v>
      </c>
      <c r="F695" s="57">
        <v>26812.762500000004</v>
      </c>
      <c r="G695" s="57">
        <v>55863.36411773038</v>
      </c>
      <c r="H695" s="58">
        <v>0.1515853538959866</v>
      </c>
      <c r="I695" s="58">
        <v>1.0834617140897129</v>
      </c>
      <c r="J695" s="58">
        <v>0.33766370158365766</v>
      </c>
    </row>
    <row r="696" spans="1:10" ht="11.25" customHeight="1" x14ac:dyDescent="0.2">
      <c r="A696" s="67">
        <v>44713</v>
      </c>
      <c r="B696" s="57">
        <v>0</v>
      </c>
      <c r="C696" s="57">
        <v>0</v>
      </c>
      <c r="D696" s="57">
        <v>128338.45332</v>
      </c>
      <c r="E696" s="57">
        <v>147792.68318497576</v>
      </c>
      <c r="F696" s="57">
        <v>32020.744140000003</v>
      </c>
      <c r="G696" s="57">
        <v>66713.99447235254</v>
      </c>
      <c r="H696" s="58">
        <v>0.1515853538959866</v>
      </c>
      <c r="I696" s="58">
        <v>1.0834617140897129</v>
      </c>
      <c r="J696" s="58">
        <v>0.33766370158365788</v>
      </c>
    </row>
    <row r="697" spans="1:10" ht="11.25" customHeight="1" x14ac:dyDescent="0.2">
      <c r="A697" s="67">
        <v>44743</v>
      </c>
      <c r="B697" s="57">
        <v>0</v>
      </c>
      <c r="C697" s="57">
        <v>0</v>
      </c>
      <c r="D697" s="57">
        <v>104041.64852</v>
      </c>
      <c r="E697" s="57">
        <v>119812.83863082605</v>
      </c>
      <c r="F697" s="57">
        <v>25958.634540000003</v>
      </c>
      <c r="G697" s="57">
        <v>54083.821214136835</v>
      </c>
      <c r="H697" s="58">
        <v>0.1515853538959866</v>
      </c>
      <c r="I697" s="58">
        <v>1.0834617140897129</v>
      </c>
      <c r="J697" s="58">
        <v>0.33766370158365766</v>
      </c>
    </row>
    <row r="698" spans="1:10" ht="11.25" customHeight="1" x14ac:dyDescent="0.2">
      <c r="A698" s="67">
        <v>44774</v>
      </c>
      <c r="B698" s="57">
        <v>0</v>
      </c>
      <c r="C698" s="57">
        <v>0</v>
      </c>
      <c r="D698" s="57">
        <v>128802.87482</v>
      </c>
      <c r="E698" s="57">
        <v>148327.50418241019</v>
      </c>
      <c r="F698" s="57">
        <v>32136.618390000007</v>
      </c>
      <c r="G698" s="57">
        <v>66955.414035876398</v>
      </c>
      <c r="H698" s="58">
        <v>0.15158535389598682</v>
      </c>
      <c r="I698" s="58">
        <v>1.0834617140897129</v>
      </c>
      <c r="J698" s="58">
        <v>0.33766370158365788</v>
      </c>
    </row>
    <row r="699" spans="1:10" ht="11.25" customHeight="1" x14ac:dyDescent="0.2">
      <c r="A699" s="67">
        <v>44805</v>
      </c>
      <c r="B699" s="57">
        <v>0</v>
      </c>
      <c r="C699" s="57">
        <v>0</v>
      </c>
      <c r="D699" s="57">
        <v>155439.49993999998</v>
      </c>
      <c r="E699" s="57">
        <v>179001.85154782009</v>
      </c>
      <c r="F699" s="57">
        <v>38782.518630000006</v>
      </c>
      <c r="G699" s="57">
        <v>80801.892741576041</v>
      </c>
      <c r="H699" s="58">
        <v>0.15158535389598682</v>
      </c>
      <c r="I699" s="58">
        <v>1.0834617140897129</v>
      </c>
      <c r="J699" s="58">
        <v>0.33766370158365788</v>
      </c>
    </row>
    <row r="700" spans="1:10" ht="11.25" customHeight="1" x14ac:dyDescent="0.2">
      <c r="A700" s="67">
        <v>44835</v>
      </c>
      <c r="B700" s="57">
        <v>0</v>
      </c>
      <c r="C700" s="57">
        <v>0</v>
      </c>
      <c r="D700" s="57">
        <v>116185.73072000001</v>
      </c>
      <c r="E700" s="57">
        <v>133797.78582885501</v>
      </c>
      <c r="F700" s="57">
        <v>28988.611440000001</v>
      </c>
      <c r="G700" s="57">
        <v>60396.662079863068</v>
      </c>
      <c r="H700" s="58">
        <v>0.1515853538959866</v>
      </c>
      <c r="I700" s="58">
        <v>1.0834617140897129</v>
      </c>
      <c r="J700" s="58">
        <v>0.33766370158365788</v>
      </c>
    </row>
    <row r="701" spans="1:10" ht="11.25" customHeight="1" x14ac:dyDescent="0.2">
      <c r="A701" s="67">
        <v>44866</v>
      </c>
      <c r="B701" s="57">
        <v>0</v>
      </c>
      <c r="C701" s="57">
        <v>0</v>
      </c>
      <c r="D701" s="57">
        <v>116185.73072000001</v>
      </c>
      <c r="E701" s="57">
        <v>133797.78582885501</v>
      </c>
      <c r="F701" s="57">
        <v>28988.611440000001</v>
      </c>
      <c r="G701" s="57">
        <v>60396.662079863068</v>
      </c>
      <c r="H701" s="58">
        <v>0.1515853538959866</v>
      </c>
      <c r="I701" s="58">
        <v>1.0834617140897129</v>
      </c>
      <c r="J701" s="58">
        <v>0.33766370158365788</v>
      </c>
    </row>
    <row r="702" spans="1:10" ht="11.25" customHeight="1" x14ac:dyDescent="0.2">
      <c r="A702" s="62" t="s">
        <v>47</v>
      </c>
      <c r="B702" s="57">
        <v>0</v>
      </c>
      <c r="C702" s="57">
        <v>0</v>
      </c>
      <c r="D702" s="57">
        <v>15596565.277779998</v>
      </c>
      <c r="E702" s="57">
        <v>17960776.144974139</v>
      </c>
      <c r="F702" s="57">
        <v>3891379.4993100003</v>
      </c>
      <c r="G702" s="57">
        <v>8107540.2018059809</v>
      </c>
      <c r="H702" s="58">
        <v>0.15158535389598704</v>
      </c>
      <c r="I702" s="58">
        <v>1.0834617140897129</v>
      </c>
      <c r="J702" s="58">
        <v>0.3376637015836581</v>
      </c>
    </row>
    <row r="703" spans="1:10" ht="11.25" customHeight="1" x14ac:dyDescent="0.2">
      <c r="A703" s="63" t="s">
        <v>25</v>
      </c>
      <c r="B703" s="57">
        <v>0</v>
      </c>
      <c r="C703" s="57">
        <v>0</v>
      </c>
      <c r="D703" s="57">
        <v>15596565.277779998</v>
      </c>
      <c r="E703" s="57">
        <v>17960776.144974139</v>
      </c>
      <c r="F703" s="57">
        <v>3891379.4993100003</v>
      </c>
      <c r="G703" s="57">
        <v>8107540.2018059809</v>
      </c>
      <c r="H703" s="58">
        <v>0.15158535389598704</v>
      </c>
      <c r="I703" s="58">
        <v>1.0834617140897129</v>
      </c>
      <c r="J703" s="58">
        <v>0.3376637015836581</v>
      </c>
    </row>
    <row r="704" spans="1:10" ht="11.25" customHeight="1" x14ac:dyDescent="0.2">
      <c r="A704" s="64" t="s">
        <v>25</v>
      </c>
      <c r="B704" s="57">
        <v>0</v>
      </c>
      <c r="C704" s="57">
        <v>0</v>
      </c>
      <c r="D704" s="57">
        <v>15596565.277779998</v>
      </c>
      <c r="E704" s="57">
        <v>17960776.144974139</v>
      </c>
      <c r="F704" s="57">
        <v>3891379.4993100003</v>
      </c>
      <c r="G704" s="57">
        <v>8107540.2018059809</v>
      </c>
      <c r="H704" s="58">
        <v>0.15158535389598704</v>
      </c>
      <c r="I704" s="58">
        <v>1.0834617140897129</v>
      </c>
      <c r="J704" s="58">
        <v>0.3376637015836581</v>
      </c>
    </row>
    <row r="705" spans="1:10" ht="11.25" customHeight="1" x14ac:dyDescent="0.2">
      <c r="A705" s="65" t="s">
        <v>25</v>
      </c>
      <c r="B705" s="57">
        <v>0</v>
      </c>
      <c r="C705" s="57">
        <v>0</v>
      </c>
      <c r="D705" s="57">
        <v>15596565.277779998</v>
      </c>
      <c r="E705" s="57">
        <v>17960776.144974139</v>
      </c>
      <c r="F705" s="57">
        <v>3891379.4993100003</v>
      </c>
      <c r="G705" s="57">
        <v>8107540.2018059809</v>
      </c>
      <c r="H705" s="58">
        <v>0.15158535389598704</v>
      </c>
      <c r="I705" s="58">
        <v>1.0834617140897129</v>
      </c>
      <c r="J705" s="58">
        <v>0.3376637015836581</v>
      </c>
    </row>
    <row r="706" spans="1:10" ht="11.25" customHeight="1" x14ac:dyDescent="0.2">
      <c r="A706" s="66" t="s">
        <v>25</v>
      </c>
      <c r="B706" s="57">
        <v>0</v>
      </c>
      <c r="C706" s="57">
        <v>0</v>
      </c>
      <c r="D706" s="57">
        <v>15596565.277779998</v>
      </c>
      <c r="E706" s="57">
        <v>17960776.144974139</v>
      </c>
      <c r="F706" s="57">
        <v>3891379.4993100003</v>
      </c>
      <c r="G706" s="57">
        <v>8107540.2018059809</v>
      </c>
      <c r="H706" s="58">
        <v>0.15158535389598704</v>
      </c>
      <c r="I706" s="58">
        <v>1.0834617140897129</v>
      </c>
      <c r="J706" s="58">
        <v>0.3376637015836581</v>
      </c>
    </row>
    <row r="707" spans="1:10" ht="11.25" customHeight="1" x14ac:dyDescent="0.2">
      <c r="A707" s="67">
        <v>44531</v>
      </c>
      <c r="B707" s="57">
        <v>0</v>
      </c>
      <c r="C707" s="57">
        <v>0</v>
      </c>
      <c r="D707" s="57">
        <v>1228631.1824400001</v>
      </c>
      <c r="E707" s="57">
        <v>1414873.675037812</v>
      </c>
      <c r="F707" s="57">
        <v>306546.35238000005</v>
      </c>
      <c r="G707" s="57">
        <v>638677.58877758414</v>
      </c>
      <c r="H707" s="58">
        <v>0.1515853538959866</v>
      </c>
      <c r="I707" s="58">
        <v>1.0834617140897134</v>
      </c>
      <c r="J707" s="58">
        <v>0.33766370158365766</v>
      </c>
    </row>
    <row r="708" spans="1:10" ht="11.25" customHeight="1" x14ac:dyDescent="0.2">
      <c r="A708" s="67">
        <v>44562</v>
      </c>
      <c r="B708" s="57">
        <v>0</v>
      </c>
      <c r="C708" s="57">
        <v>0</v>
      </c>
      <c r="D708" s="57">
        <v>1097555.01838</v>
      </c>
      <c r="E708" s="57">
        <v>1263928.2842614485</v>
      </c>
      <c r="F708" s="57">
        <v>273842.54301000002</v>
      </c>
      <c r="G708" s="57">
        <v>570540.45405030076</v>
      </c>
      <c r="H708" s="58">
        <v>0.15158535389598682</v>
      </c>
      <c r="I708" s="58">
        <v>1.0834617140897134</v>
      </c>
      <c r="J708" s="58">
        <v>0.3376637015836581</v>
      </c>
    </row>
    <row r="709" spans="1:10" ht="11.25" customHeight="1" x14ac:dyDescent="0.2">
      <c r="A709" s="67">
        <v>44593</v>
      </c>
      <c r="B709" s="57">
        <v>0</v>
      </c>
      <c r="C709" s="57">
        <v>0</v>
      </c>
      <c r="D709" s="57">
        <v>896541.72863999987</v>
      </c>
      <c r="E709" s="57">
        <v>1032444.323858414</v>
      </c>
      <c r="F709" s="57">
        <v>223689.25727999999</v>
      </c>
      <c r="G709" s="57">
        <v>466048.00339604361</v>
      </c>
      <c r="H709" s="58">
        <v>0.15158535389598682</v>
      </c>
      <c r="I709" s="58">
        <v>1.0834617140897129</v>
      </c>
      <c r="J709" s="58">
        <v>0.33766370158365788</v>
      </c>
    </row>
    <row r="710" spans="1:10" ht="11.25" customHeight="1" x14ac:dyDescent="0.2">
      <c r="A710" s="67">
        <v>44621</v>
      </c>
      <c r="B710" s="57">
        <v>0</v>
      </c>
      <c r="C710" s="57">
        <v>0</v>
      </c>
      <c r="D710" s="57">
        <v>1121626.30874</v>
      </c>
      <c r="E710" s="57">
        <v>1291648.4296894022</v>
      </c>
      <c r="F710" s="57">
        <v>279848.38623000006</v>
      </c>
      <c r="G710" s="57">
        <v>583053.39845999586</v>
      </c>
      <c r="H710" s="58">
        <v>0.15158535389598682</v>
      </c>
      <c r="I710" s="58">
        <v>1.0834617140897125</v>
      </c>
      <c r="J710" s="58">
        <v>0.33766370158365788</v>
      </c>
    </row>
    <row r="711" spans="1:10" ht="11.25" customHeight="1" x14ac:dyDescent="0.2">
      <c r="A711" s="67">
        <v>44652</v>
      </c>
      <c r="B711" s="57">
        <v>0</v>
      </c>
      <c r="C711" s="57">
        <v>0</v>
      </c>
      <c r="D711" s="57">
        <v>1095476.1381399999</v>
      </c>
      <c r="E711" s="57">
        <v>1261534.2762245606</v>
      </c>
      <c r="F711" s="57">
        <v>273323.85753000004</v>
      </c>
      <c r="G711" s="57">
        <v>569459.79271106631</v>
      </c>
      <c r="H711" s="58">
        <v>0.1515853538959866</v>
      </c>
      <c r="I711" s="58">
        <v>1.0834617140897129</v>
      </c>
      <c r="J711" s="58">
        <v>0.33766370158365766</v>
      </c>
    </row>
    <row r="712" spans="1:10" ht="11.25" customHeight="1" x14ac:dyDescent="0.2">
      <c r="A712" s="67">
        <v>44682</v>
      </c>
      <c r="B712" s="57">
        <v>0</v>
      </c>
      <c r="C712" s="57">
        <v>0</v>
      </c>
      <c r="D712" s="57">
        <v>1286156.8055400001</v>
      </c>
      <c r="E712" s="57">
        <v>1481119.3400735124</v>
      </c>
      <c r="F712" s="57">
        <v>320899.12982999999</v>
      </c>
      <c r="G712" s="57">
        <v>668581.05108550913</v>
      </c>
      <c r="H712" s="58">
        <v>0.15158535389598637</v>
      </c>
      <c r="I712" s="58">
        <v>1.0834617140897129</v>
      </c>
      <c r="J712" s="58">
        <v>0.33766370158365744</v>
      </c>
    </row>
    <row r="713" spans="1:10" ht="11.25" customHeight="1" x14ac:dyDescent="0.2">
      <c r="A713" s="67">
        <v>44713</v>
      </c>
      <c r="B713" s="57">
        <v>0</v>
      </c>
      <c r="C713" s="57">
        <v>0</v>
      </c>
      <c r="D713" s="57">
        <v>1375034.5520599999</v>
      </c>
      <c r="E713" s="57">
        <v>1583469.6512532244</v>
      </c>
      <c r="F713" s="57">
        <v>343074.33536999999</v>
      </c>
      <c r="G713" s="57">
        <v>714782.24283016927</v>
      </c>
      <c r="H713" s="58">
        <v>0.1515853538959866</v>
      </c>
      <c r="I713" s="58">
        <v>1.0834617140897129</v>
      </c>
      <c r="J713" s="58">
        <v>0.33766370158365788</v>
      </c>
    </row>
    <row r="714" spans="1:10" ht="11.25" customHeight="1" x14ac:dyDescent="0.2">
      <c r="A714" s="67">
        <v>44743</v>
      </c>
      <c r="B714" s="57">
        <v>0</v>
      </c>
      <c r="C714" s="57">
        <v>0</v>
      </c>
      <c r="D714" s="57">
        <v>1086780.43958</v>
      </c>
      <c r="E714" s="57">
        <v>1251520.4371209706</v>
      </c>
      <c r="F714" s="57">
        <v>271154.26041000005</v>
      </c>
      <c r="G714" s="57">
        <v>564939.520176547</v>
      </c>
      <c r="H714" s="58">
        <v>0.15158535389598704</v>
      </c>
      <c r="I714" s="58">
        <v>1.0834617140897125</v>
      </c>
      <c r="J714" s="58">
        <v>0.33766370158365788</v>
      </c>
    </row>
    <row r="715" spans="1:10" ht="11.25" customHeight="1" x14ac:dyDescent="0.2">
      <c r="A715" s="67">
        <v>44774</v>
      </c>
      <c r="B715" s="57">
        <v>0</v>
      </c>
      <c r="C715" s="57">
        <v>0</v>
      </c>
      <c r="D715" s="57">
        <v>1338305.0756999999</v>
      </c>
      <c r="E715" s="57">
        <v>1541172.5242207798</v>
      </c>
      <c r="F715" s="57">
        <v>333910.24515000003</v>
      </c>
      <c r="G715" s="57">
        <v>695689.21171233524</v>
      </c>
      <c r="H715" s="58">
        <v>0.15158535389598682</v>
      </c>
      <c r="I715" s="58">
        <v>1.0834617140897125</v>
      </c>
      <c r="J715" s="58">
        <v>0.33766370158365766</v>
      </c>
    </row>
    <row r="716" spans="1:10" ht="11.25" customHeight="1" x14ac:dyDescent="0.2">
      <c r="A716" s="67">
        <v>44805</v>
      </c>
      <c r="B716" s="57">
        <v>0</v>
      </c>
      <c r="C716" s="57">
        <v>0</v>
      </c>
      <c r="D716" s="57">
        <v>1491705.4412399998</v>
      </c>
      <c r="E716" s="57">
        <v>1717826.1384589344</v>
      </c>
      <c r="F716" s="57">
        <v>372183.99498000008</v>
      </c>
      <c r="G716" s="57">
        <v>775431.10413778794</v>
      </c>
      <c r="H716" s="58">
        <v>0.15158535389598682</v>
      </c>
      <c r="I716" s="58">
        <v>1.0834617140897125</v>
      </c>
      <c r="J716" s="58">
        <v>0.33766370158365766</v>
      </c>
    </row>
    <row r="717" spans="1:10" ht="11.25" customHeight="1" x14ac:dyDescent="0.2">
      <c r="A717" s="67">
        <v>44835</v>
      </c>
      <c r="B717" s="57">
        <v>0</v>
      </c>
      <c r="C717" s="57">
        <v>0</v>
      </c>
      <c r="D717" s="57">
        <v>1789376.29366</v>
      </c>
      <c r="E717" s="57">
        <v>2060619.5323875402</v>
      </c>
      <c r="F717" s="57">
        <v>446453.56857</v>
      </c>
      <c r="G717" s="57">
        <v>930168.91723432147</v>
      </c>
      <c r="H717" s="58">
        <v>0.15158535389598682</v>
      </c>
      <c r="I717" s="58">
        <v>1.0834617140897129</v>
      </c>
      <c r="J717" s="58">
        <v>0.33766370158365788</v>
      </c>
    </row>
    <row r="718" spans="1:10" ht="11.25" customHeight="1" x14ac:dyDescent="0.2">
      <c r="A718" s="67">
        <v>44866</v>
      </c>
      <c r="B718" s="57">
        <v>0</v>
      </c>
      <c r="C718" s="57">
        <v>0</v>
      </c>
      <c r="D718" s="57">
        <v>1789376.29366</v>
      </c>
      <c r="E718" s="57">
        <v>2060619.5323875402</v>
      </c>
      <c r="F718" s="57">
        <v>446453.56857</v>
      </c>
      <c r="G718" s="57">
        <v>930168.91723432147</v>
      </c>
      <c r="H718" s="58">
        <v>0.15158535389598682</v>
      </c>
      <c r="I718" s="58">
        <v>1.0834617140897129</v>
      </c>
      <c r="J718" s="58">
        <v>0.33766370158365788</v>
      </c>
    </row>
    <row r="719" spans="1:10" ht="11.25" customHeight="1" x14ac:dyDescent="0.2">
      <c r="A719" s="62" t="s">
        <v>51</v>
      </c>
      <c r="B719" s="57">
        <v>0</v>
      </c>
      <c r="C719" s="57">
        <v>0</v>
      </c>
      <c r="D719" s="57">
        <v>2036472.5865335995</v>
      </c>
      <c r="E719" s="57">
        <v>2345172.004262771</v>
      </c>
      <c r="F719" s="57">
        <v>508104.6713172</v>
      </c>
      <c r="G719" s="57">
        <v>1058616.6294395237</v>
      </c>
      <c r="H719" s="58">
        <v>0.15158535389598682</v>
      </c>
      <c r="I719" s="58">
        <v>1.0834617140897129</v>
      </c>
      <c r="J719" s="58">
        <v>0.33766370158365788</v>
      </c>
    </row>
    <row r="720" spans="1:10" ht="11.25" customHeight="1" x14ac:dyDescent="0.2">
      <c r="A720" s="63" t="s">
        <v>52</v>
      </c>
      <c r="B720" s="57">
        <v>0</v>
      </c>
      <c r="C720" s="57">
        <v>0</v>
      </c>
      <c r="D720" s="57">
        <v>2036472.5865335995</v>
      </c>
      <c r="E720" s="57">
        <v>2345172.004262771</v>
      </c>
      <c r="F720" s="57">
        <v>508104.6713172</v>
      </c>
      <c r="G720" s="57">
        <v>1058616.6294395237</v>
      </c>
      <c r="H720" s="58">
        <v>0.15158535389598682</v>
      </c>
      <c r="I720" s="58">
        <v>1.0834617140897129</v>
      </c>
      <c r="J720" s="58">
        <v>0.33766370158365788</v>
      </c>
    </row>
    <row r="721" spans="1:10" ht="11.25" customHeight="1" x14ac:dyDescent="0.2">
      <c r="A721" s="64" t="s">
        <v>25</v>
      </c>
      <c r="B721" s="57">
        <v>0</v>
      </c>
      <c r="C721" s="57">
        <v>0</v>
      </c>
      <c r="D721" s="57">
        <v>2036472.5865335995</v>
      </c>
      <c r="E721" s="57">
        <v>2345172.004262771</v>
      </c>
      <c r="F721" s="57">
        <v>508104.6713172</v>
      </c>
      <c r="G721" s="57">
        <v>1058616.6294395237</v>
      </c>
      <c r="H721" s="58">
        <v>0.15158535389598682</v>
      </c>
      <c r="I721" s="58">
        <v>1.0834617140897129</v>
      </c>
      <c r="J721" s="58">
        <v>0.33766370158365788</v>
      </c>
    </row>
    <row r="722" spans="1:10" ht="11.25" customHeight="1" x14ac:dyDescent="0.2">
      <c r="A722" s="65" t="s">
        <v>25</v>
      </c>
      <c r="B722" s="57">
        <v>0</v>
      </c>
      <c r="C722" s="57">
        <v>0</v>
      </c>
      <c r="D722" s="57">
        <v>2036472.5865335995</v>
      </c>
      <c r="E722" s="57">
        <v>2345172.004262771</v>
      </c>
      <c r="F722" s="57">
        <v>508104.6713172</v>
      </c>
      <c r="G722" s="57">
        <v>1058616.6294395237</v>
      </c>
      <c r="H722" s="58">
        <v>0.15158535389598682</v>
      </c>
      <c r="I722" s="58">
        <v>1.0834617140897129</v>
      </c>
      <c r="J722" s="58">
        <v>0.33766370158365788</v>
      </c>
    </row>
    <row r="723" spans="1:10" ht="11.25" customHeight="1" x14ac:dyDescent="0.2">
      <c r="A723" s="66" t="s">
        <v>25</v>
      </c>
      <c r="B723" s="57">
        <v>0</v>
      </c>
      <c r="C723" s="57">
        <v>0</v>
      </c>
      <c r="D723" s="57">
        <v>2036472.5865335995</v>
      </c>
      <c r="E723" s="57">
        <v>2345172.004262771</v>
      </c>
      <c r="F723" s="57">
        <v>508104.6713172</v>
      </c>
      <c r="G723" s="57">
        <v>1058616.6294395237</v>
      </c>
      <c r="H723" s="58">
        <v>0.15158535389598682</v>
      </c>
      <c r="I723" s="58">
        <v>1.0834617140897129</v>
      </c>
      <c r="J723" s="58">
        <v>0.33766370158365788</v>
      </c>
    </row>
    <row r="724" spans="1:10" ht="11.25" customHeight="1" x14ac:dyDescent="0.2">
      <c r="A724" s="67">
        <v>44531</v>
      </c>
      <c r="B724" s="57">
        <v>0</v>
      </c>
      <c r="C724" s="57">
        <v>0</v>
      </c>
      <c r="D724" s="57">
        <v>100408.74049759998</v>
      </c>
      <c r="E724" s="57">
        <v>115629.23496017898</v>
      </c>
      <c r="F724" s="57">
        <v>25052.215495199998</v>
      </c>
      <c r="G724" s="57">
        <v>52195.331837374259</v>
      </c>
      <c r="H724" s="58">
        <v>0.15158535389598682</v>
      </c>
      <c r="I724" s="58">
        <v>1.0834617140897129</v>
      </c>
      <c r="J724" s="58">
        <v>0.3376637015836581</v>
      </c>
    </row>
    <row r="725" spans="1:10" ht="11.25" customHeight="1" x14ac:dyDescent="0.2">
      <c r="A725" s="67">
        <v>44562</v>
      </c>
      <c r="B725" s="57">
        <v>0</v>
      </c>
      <c r="C725" s="57">
        <v>0</v>
      </c>
      <c r="D725" s="57">
        <v>128789.7673332</v>
      </c>
      <c r="E725" s="57">
        <v>148312.40979258489</v>
      </c>
      <c r="F725" s="57">
        <v>32133.348041400001</v>
      </c>
      <c r="G725" s="57">
        <v>66948.600389776562</v>
      </c>
      <c r="H725" s="58">
        <v>0.1515853538959866</v>
      </c>
      <c r="I725" s="58">
        <v>1.0834617140897129</v>
      </c>
      <c r="J725" s="58">
        <v>0.33766370158365788</v>
      </c>
    </row>
    <row r="726" spans="1:10" ht="11.25" customHeight="1" x14ac:dyDescent="0.2">
      <c r="A726" s="67">
        <v>44593</v>
      </c>
      <c r="B726" s="57">
        <v>0</v>
      </c>
      <c r="C726" s="57">
        <v>0</v>
      </c>
      <c r="D726" s="57">
        <v>119879.14746360001</v>
      </c>
      <c r="E726" s="57">
        <v>138051.070456619</v>
      </c>
      <c r="F726" s="57">
        <v>29910.127552200003</v>
      </c>
      <c r="G726" s="57">
        <v>62316.605618548572</v>
      </c>
      <c r="H726" s="58">
        <v>0.15158535389598682</v>
      </c>
      <c r="I726" s="58">
        <v>1.0834617140897129</v>
      </c>
      <c r="J726" s="58">
        <v>0.3376637015836581</v>
      </c>
    </row>
    <row r="727" spans="1:10" ht="11.25" customHeight="1" x14ac:dyDescent="0.2">
      <c r="A727" s="67">
        <v>44621</v>
      </c>
      <c r="B727" s="57">
        <v>0</v>
      </c>
      <c r="C727" s="57">
        <v>0</v>
      </c>
      <c r="D727" s="57">
        <v>138666.90234679999</v>
      </c>
      <c r="E727" s="57">
        <v>159686.77381269992</v>
      </c>
      <c r="F727" s="57">
        <v>34597.716318600003</v>
      </c>
      <c r="G727" s="57">
        <v>72083.017344740001</v>
      </c>
      <c r="H727" s="58">
        <v>0.15158535389598682</v>
      </c>
      <c r="I727" s="58">
        <v>1.0834617140897129</v>
      </c>
      <c r="J727" s="58">
        <v>0.3376637015836581</v>
      </c>
    </row>
    <row r="728" spans="1:10" ht="11.25" customHeight="1" x14ac:dyDescent="0.2">
      <c r="A728" s="67">
        <v>44652</v>
      </c>
      <c r="B728" s="57">
        <v>0</v>
      </c>
      <c r="C728" s="57">
        <v>0</v>
      </c>
      <c r="D728" s="57">
        <v>255282.63985359995</v>
      </c>
      <c r="E728" s="57">
        <v>293979.74915930961</v>
      </c>
      <c r="F728" s="57">
        <v>63693.615457199987</v>
      </c>
      <c r="G728" s="57">
        <v>132703.20923702893</v>
      </c>
      <c r="H728" s="58">
        <v>0.1515853538959866</v>
      </c>
      <c r="I728" s="58">
        <v>1.0834617140897129</v>
      </c>
      <c r="J728" s="58">
        <v>0.33766370158365788</v>
      </c>
    </row>
    <row r="729" spans="1:10" ht="11.25" customHeight="1" x14ac:dyDescent="0.2">
      <c r="A729" s="67">
        <v>44682</v>
      </c>
      <c r="B729" s="57">
        <v>0</v>
      </c>
      <c r="C729" s="57">
        <v>0</v>
      </c>
      <c r="D729" s="57">
        <v>165799.17537239997</v>
      </c>
      <c r="E729" s="57">
        <v>190931.90204688799</v>
      </c>
      <c r="F729" s="57">
        <v>41367.281869799997</v>
      </c>
      <c r="G729" s="57">
        <v>86187.147991685822</v>
      </c>
      <c r="H729" s="58">
        <v>0.15158535389598682</v>
      </c>
      <c r="I729" s="58">
        <v>1.0834617140897134</v>
      </c>
      <c r="J729" s="58">
        <v>0.33766370158365788</v>
      </c>
    </row>
    <row r="730" spans="1:10" ht="11.25" customHeight="1" x14ac:dyDescent="0.2">
      <c r="A730" s="67">
        <v>44713</v>
      </c>
      <c r="B730" s="57">
        <v>0</v>
      </c>
      <c r="C730" s="57">
        <v>0</v>
      </c>
      <c r="D730" s="57">
        <v>191344.00818879995</v>
      </c>
      <c r="E730" s="57">
        <v>220348.95738597581</v>
      </c>
      <c r="F730" s="57">
        <v>47740.777377599996</v>
      </c>
      <c r="G730" s="57">
        <v>99466.081867109882</v>
      </c>
      <c r="H730" s="58">
        <v>0.15158535389598682</v>
      </c>
      <c r="I730" s="58">
        <v>1.0834617140897129</v>
      </c>
      <c r="J730" s="58">
        <v>0.33766370158365788</v>
      </c>
    </row>
    <row r="731" spans="1:10" ht="11.25" customHeight="1" x14ac:dyDescent="0.2">
      <c r="A731" s="67">
        <v>44743</v>
      </c>
      <c r="B731" s="57">
        <v>0</v>
      </c>
      <c r="C731" s="57">
        <v>0</v>
      </c>
      <c r="D731" s="57">
        <v>89708.443216399988</v>
      </c>
      <c r="E731" s="57">
        <v>103306.92932881601</v>
      </c>
      <c r="F731" s="57">
        <v>22382.466307800001</v>
      </c>
      <c r="G731" s="57">
        <v>46633.011619204241</v>
      </c>
      <c r="H731" s="58">
        <v>0.15158535389598682</v>
      </c>
      <c r="I731" s="58">
        <v>1.0834617140897129</v>
      </c>
      <c r="J731" s="58">
        <v>0.33766370158365788</v>
      </c>
    </row>
    <row r="732" spans="1:10" ht="11.25" customHeight="1" x14ac:dyDescent="0.2">
      <c r="A732" s="67">
        <v>44774</v>
      </c>
      <c r="B732" s="57">
        <v>0</v>
      </c>
      <c r="C732" s="57">
        <v>0</v>
      </c>
      <c r="D732" s="57">
        <v>241642.59335919999</v>
      </c>
      <c r="E732" s="57">
        <v>278272.07138989831</v>
      </c>
      <c r="F732" s="57">
        <v>60290.391968399999</v>
      </c>
      <c r="G732" s="57">
        <v>125612.72339362334</v>
      </c>
      <c r="H732" s="58">
        <v>0.1515853538959866</v>
      </c>
      <c r="I732" s="58">
        <v>1.0834617140897134</v>
      </c>
      <c r="J732" s="58">
        <v>0.33766370158365788</v>
      </c>
    </row>
    <row r="733" spans="1:10" ht="11.25" customHeight="1" x14ac:dyDescent="0.2">
      <c r="A733" s="67">
        <v>44805</v>
      </c>
      <c r="B733" s="57">
        <v>0</v>
      </c>
      <c r="C733" s="57">
        <v>0</v>
      </c>
      <c r="D733" s="57">
        <v>189987.23209799998</v>
      </c>
      <c r="E733" s="57">
        <v>218786.51391129426</v>
      </c>
      <c r="F733" s="57">
        <v>47402.258570999998</v>
      </c>
      <c r="G733" s="57">
        <v>98760.79089405945</v>
      </c>
      <c r="H733" s="58">
        <v>0.1515853538959866</v>
      </c>
      <c r="I733" s="58">
        <v>1.0834617140897129</v>
      </c>
      <c r="J733" s="58">
        <v>0.33766370158365788</v>
      </c>
    </row>
    <row r="734" spans="1:10" ht="11.25" customHeight="1" x14ac:dyDescent="0.2">
      <c r="A734" s="67">
        <v>44835</v>
      </c>
      <c r="B734" s="57">
        <v>0</v>
      </c>
      <c r="C734" s="57">
        <v>0</v>
      </c>
      <c r="D734" s="57">
        <v>207481.96840199997</v>
      </c>
      <c r="E734" s="57">
        <v>238933.19600925306</v>
      </c>
      <c r="F734" s="57">
        <v>51767.236179</v>
      </c>
      <c r="G734" s="57">
        <v>107855.05462318634</v>
      </c>
      <c r="H734" s="58">
        <v>0.1515853538959866</v>
      </c>
      <c r="I734" s="58">
        <v>1.0834617140897129</v>
      </c>
      <c r="J734" s="58">
        <v>0.33766370158365788</v>
      </c>
    </row>
    <row r="735" spans="1:10" ht="11.25" customHeight="1" x14ac:dyDescent="0.2">
      <c r="A735" s="67">
        <v>44866</v>
      </c>
      <c r="B735" s="57">
        <v>0</v>
      </c>
      <c r="C735" s="57">
        <v>0</v>
      </c>
      <c r="D735" s="57">
        <v>207481.96840199997</v>
      </c>
      <c r="E735" s="57">
        <v>238933.19600925306</v>
      </c>
      <c r="F735" s="57">
        <v>51767.236179</v>
      </c>
      <c r="G735" s="57">
        <v>107855.05462318634</v>
      </c>
      <c r="H735" s="58">
        <v>0.1515853538959866</v>
      </c>
      <c r="I735" s="58">
        <v>1.0834617140897129</v>
      </c>
      <c r="J735" s="58">
        <v>0.33766370158365788</v>
      </c>
    </row>
    <row r="736" spans="1:10" ht="11.25" customHeight="1" x14ac:dyDescent="0.2">
      <c r="A736" s="60" t="s">
        <v>48</v>
      </c>
      <c r="B736" s="57">
        <v>0</v>
      </c>
      <c r="C736" s="57">
        <v>0</v>
      </c>
      <c r="D736" s="57">
        <v>9381715.54153</v>
      </c>
      <c r="E736" s="57">
        <v>10803891.68086385</v>
      </c>
      <c r="F736" s="57">
        <v>2340592.1354400003</v>
      </c>
      <c r="G736" s="57">
        <v>4876904.2847333448</v>
      </c>
      <c r="H736" s="58">
        <v>0.1515902004317129</v>
      </c>
      <c r="I736" s="58">
        <v>1.0836198716084948</v>
      </c>
      <c r="J736" s="58">
        <v>0.33768848231173454</v>
      </c>
    </row>
    <row r="737" spans="1:10" ht="11.25" customHeight="1" x14ac:dyDescent="0.2">
      <c r="A737" s="61" t="s">
        <v>23</v>
      </c>
      <c r="B737" s="57">
        <v>0</v>
      </c>
      <c r="C737" s="57">
        <v>0</v>
      </c>
      <c r="D737" s="57">
        <v>9381715.54153</v>
      </c>
      <c r="E737" s="57">
        <v>10803891.68086385</v>
      </c>
      <c r="F737" s="57">
        <v>2340592.1354400003</v>
      </c>
      <c r="G737" s="57">
        <v>4876904.2847333448</v>
      </c>
      <c r="H737" s="58">
        <v>0.1515902004317129</v>
      </c>
      <c r="I737" s="58">
        <v>1.0836198716084948</v>
      </c>
      <c r="J737" s="58">
        <v>0.33768848231173454</v>
      </c>
    </row>
    <row r="738" spans="1:10" ht="11.25" customHeight="1" x14ac:dyDescent="0.2">
      <c r="A738" s="62" t="s">
        <v>49</v>
      </c>
      <c r="B738" s="57">
        <v>0</v>
      </c>
      <c r="C738" s="57">
        <v>0</v>
      </c>
      <c r="D738" s="57">
        <v>9381715.54153</v>
      </c>
      <c r="E738" s="57">
        <v>10803891.68086385</v>
      </c>
      <c r="F738" s="57">
        <v>2340592.1354400003</v>
      </c>
      <c r="G738" s="57">
        <v>4876904.2847333448</v>
      </c>
      <c r="H738" s="58">
        <v>0.1515902004317129</v>
      </c>
      <c r="I738" s="58">
        <v>1.0836198716084948</v>
      </c>
      <c r="J738" s="58">
        <v>0.33768848231173454</v>
      </c>
    </row>
    <row r="739" spans="1:10" ht="11.25" customHeight="1" x14ac:dyDescent="0.2">
      <c r="A739" s="63" t="s">
        <v>50</v>
      </c>
      <c r="B739" s="57">
        <v>0</v>
      </c>
      <c r="C739" s="57">
        <v>0</v>
      </c>
      <c r="D739" s="57">
        <v>9381715.54153</v>
      </c>
      <c r="E739" s="57">
        <v>10803891.68086385</v>
      </c>
      <c r="F739" s="57">
        <v>2340592.1354400003</v>
      </c>
      <c r="G739" s="57">
        <v>4876904.2847333448</v>
      </c>
      <c r="H739" s="58">
        <v>0.1515902004317129</v>
      </c>
      <c r="I739" s="58">
        <v>1.0836198716084948</v>
      </c>
      <c r="J739" s="58">
        <v>0.33768848231173454</v>
      </c>
    </row>
    <row r="740" spans="1:10" ht="11.25" customHeight="1" x14ac:dyDescent="0.2">
      <c r="A740" s="64" t="s">
        <v>25</v>
      </c>
      <c r="B740" s="57">
        <v>0</v>
      </c>
      <c r="C740" s="57">
        <v>0</v>
      </c>
      <c r="D740" s="57">
        <v>9381715.54153</v>
      </c>
      <c r="E740" s="57">
        <v>10803891.68086385</v>
      </c>
      <c r="F740" s="57">
        <v>2340592.1354400003</v>
      </c>
      <c r="G740" s="57">
        <v>4876904.2847333448</v>
      </c>
      <c r="H740" s="58">
        <v>0.1515902004317129</v>
      </c>
      <c r="I740" s="58">
        <v>1.0836198716084948</v>
      </c>
      <c r="J740" s="58">
        <v>0.33768848231173454</v>
      </c>
    </row>
    <row r="741" spans="1:10" ht="11.25" customHeight="1" x14ac:dyDescent="0.2">
      <c r="A741" s="65" t="s">
        <v>25</v>
      </c>
      <c r="B741" s="57">
        <v>0</v>
      </c>
      <c r="C741" s="57">
        <v>0</v>
      </c>
      <c r="D741" s="57">
        <v>9381715.54153</v>
      </c>
      <c r="E741" s="57">
        <v>10803891.68086385</v>
      </c>
      <c r="F741" s="57">
        <v>2340592.1354400003</v>
      </c>
      <c r="G741" s="57">
        <v>4876904.2847333448</v>
      </c>
      <c r="H741" s="58">
        <v>0.1515902004317129</v>
      </c>
      <c r="I741" s="58">
        <v>1.0836198716084948</v>
      </c>
      <c r="J741" s="58">
        <v>0.33768848231173454</v>
      </c>
    </row>
    <row r="742" spans="1:10" ht="11.25" customHeight="1" x14ac:dyDescent="0.2">
      <c r="A742" s="66" t="s">
        <v>25</v>
      </c>
      <c r="B742" s="57">
        <v>0</v>
      </c>
      <c r="C742" s="57">
        <v>0</v>
      </c>
      <c r="D742" s="57">
        <v>9381715.54153</v>
      </c>
      <c r="E742" s="57">
        <v>10803891.68086385</v>
      </c>
      <c r="F742" s="57">
        <v>2340592.1354400003</v>
      </c>
      <c r="G742" s="57">
        <v>4876904.2847333448</v>
      </c>
      <c r="H742" s="58">
        <v>0.1515902004317129</v>
      </c>
      <c r="I742" s="58">
        <v>1.0836198716084948</v>
      </c>
      <c r="J742" s="58">
        <v>0.33768848231173454</v>
      </c>
    </row>
    <row r="743" spans="1:10" ht="11.25" customHeight="1" x14ac:dyDescent="0.2">
      <c r="A743" s="67">
        <v>44531</v>
      </c>
      <c r="B743" s="57">
        <v>0</v>
      </c>
      <c r="C743" s="57">
        <v>0</v>
      </c>
      <c r="D743" s="57">
        <v>682998.30211000005</v>
      </c>
      <c r="E743" s="57">
        <v>786534.15162137477</v>
      </c>
      <c r="F743" s="57">
        <v>170397.45527999999</v>
      </c>
      <c r="G743" s="57">
        <v>355043.52389292791</v>
      </c>
      <c r="H743" s="58">
        <v>0.15159020043171312</v>
      </c>
      <c r="I743" s="58">
        <v>1.0836198716084953</v>
      </c>
      <c r="J743" s="58">
        <v>0.33768848231173498</v>
      </c>
    </row>
    <row r="744" spans="1:10" ht="11.25" customHeight="1" x14ac:dyDescent="0.2">
      <c r="A744" s="67">
        <v>44562</v>
      </c>
      <c r="B744" s="57">
        <v>0</v>
      </c>
      <c r="C744" s="57">
        <v>0</v>
      </c>
      <c r="D744" s="57">
        <v>682408.79169999994</v>
      </c>
      <c r="E744" s="57">
        <v>785855.27721016621</v>
      </c>
      <c r="F744" s="57">
        <v>170250.38159999999</v>
      </c>
      <c r="G744" s="57">
        <v>354737.07825068926</v>
      </c>
      <c r="H744" s="58">
        <v>0.15159020043171334</v>
      </c>
      <c r="I744" s="58">
        <v>1.0836198716084948</v>
      </c>
      <c r="J744" s="58">
        <v>0.33768848231173498</v>
      </c>
    </row>
    <row r="745" spans="1:10" ht="11.25" customHeight="1" x14ac:dyDescent="0.2">
      <c r="A745" s="67">
        <v>44593</v>
      </c>
      <c r="B745" s="57">
        <v>0</v>
      </c>
      <c r="C745" s="57">
        <v>0</v>
      </c>
      <c r="D745" s="57">
        <v>614678.77402999997</v>
      </c>
      <c r="E745" s="57">
        <v>707858.05258632742</v>
      </c>
      <c r="F745" s="57">
        <v>153352.79543999999</v>
      </c>
      <c r="G745" s="57">
        <v>319528.93194549659</v>
      </c>
      <c r="H745" s="58">
        <v>0.15159020043171312</v>
      </c>
      <c r="I745" s="58">
        <v>1.0836198716084953</v>
      </c>
      <c r="J745" s="58">
        <v>0.33768848231173476</v>
      </c>
    </row>
    <row r="746" spans="1:10" ht="11.25" customHeight="1" x14ac:dyDescent="0.2">
      <c r="A746" s="67">
        <v>44621</v>
      </c>
      <c r="B746" s="57">
        <v>0</v>
      </c>
      <c r="C746" s="57">
        <v>0</v>
      </c>
      <c r="D746" s="57">
        <v>656577.97099000006</v>
      </c>
      <c r="E746" s="57">
        <v>756108.75721142173</v>
      </c>
      <c r="F746" s="57">
        <v>163805.99352000002</v>
      </c>
      <c r="G746" s="57">
        <v>341309.42318684439</v>
      </c>
      <c r="H746" s="58">
        <v>0.15159020043171312</v>
      </c>
      <c r="I746" s="58">
        <v>1.0836198716084948</v>
      </c>
      <c r="J746" s="58">
        <v>0.33768848231173476</v>
      </c>
    </row>
    <row r="747" spans="1:10" ht="11.25" customHeight="1" x14ac:dyDescent="0.2">
      <c r="A747" s="67">
        <v>44652</v>
      </c>
      <c r="B747" s="57">
        <v>0</v>
      </c>
      <c r="C747" s="57">
        <v>0</v>
      </c>
      <c r="D747" s="57">
        <v>649156.22264000005</v>
      </c>
      <c r="E747" s="57">
        <v>747561.94454149145</v>
      </c>
      <c r="F747" s="57">
        <v>161954.38271999999</v>
      </c>
      <c r="G747" s="57">
        <v>337451.37012947944</v>
      </c>
      <c r="H747" s="58">
        <v>0.15159020043171312</v>
      </c>
      <c r="I747" s="58">
        <v>1.0836198716084948</v>
      </c>
      <c r="J747" s="58">
        <v>0.33768848231173476</v>
      </c>
    </row>
    <row r="748" spans="1:10" ht="11.25" customHeight="1" x14ac:dyDescent="0.2">
      <c r="A748" s="67">
        <v>44682</v>
      </c>
      <c r="B748" s="57">
        <v>0</v>
      </c>
      <c r="C748" s="57">
        <v>0</v>
      </c>
      <c r="D748" s="57">
        <v>671787.38709000009</v>
      </c>
      <c r="E748" s="57">
        <v>773623.77174647001</v>
      </c>
      <c r="F748" s="57">
        <v>167600.50632000001</v>
      </c>
      <c r="G748" s="57">
        <v>349215.74545999721</v>
      </c>
      <c r="H748" s="58">
        <v>0.15159020043171312</v>
      </c>
      <c r="I748" s="58">
        <v>1.0836198716084953</v>
      </c>
      <c r="J748" s="58">
        <v>0.33768848231173476</v>
      </c>
    </row>
    <row r="749" spans="1:10" ht="11.25" customHeight="1" x14ac:dyDescent="0.2">
      <c r="A749" s="67">
        <v>44713</v>
      </c>
      <c r="B749" s="57">
        <v>0</v>
      </c>
      <c r="C749" s="57">
        <v>0</v>
      </c>
      <c r="D749" s="57">
        <v>937018.83676000009</v>
      </c>
      <c r="E749" s="57">
        <v>1079061.7100327392</v>
      </c>
      <c r="F749" s="57">
        <v>233771.62848000001</v>
      </c>
      <c r="G749" s="57">
        <v>487091.21051920642</v>
      </c>
      <c r="H749" s="58">
        <v>0.15159020043171312</v>
      </c>
      <c r="I749" s="58">
        <v>1.0836198716084948</v>
      </c>
      <c r="J749" s="58">
        <v>0.33768848231173498</v>
      </c>
    </row>
    <row r="750" spans="1:10" ht="11.25" customHeight="1" x14ac:dyDescent="0.2">
      <c r="A750" s="67">
        <v>44743</v>
      </c>
      <c r="B750" s="57">
        <v>0</v>
      </c>
      <c r="C750" s="57">
        <v>0</v>
      </c>
      <c r="D750" s="57">
        <v>710797.24644999998</v>
      </c>
      <c r="E750" s="57">
        <v>818547.14350566524</v>
      </c>
      <c r="F750" s="57">
        <v>177332.8596</v>
      </c>
      <c r="G750" s="57">
        <v>369494.27015171928</v>
      </c>
      <c r="H750" s="58">
        <v>0.15159020043171312</v>
      </c>
      <c r="I750" s="58">
        <v>1.0836198716084953</v>
      </c>
      <c r="J750" s="58">
        <v>0.33768848231173476</v>
      </c>
    </row>
    <row r="751" spans="1:10" ht="11.25" customHeight="1" x14ac:dyDescent="0.2">
      <c r="A751" s="67">
        <v>44774</v>
      </c>
      <c r="B751" s="57">
        <v>0</v>
      </c>
      <c r="C751" s="57">
        <v>0</v>
      </c>
      <c r="D751" s="57">
        <v>957288.63303000003</v>
      </c>
      <c r="E751" s="57">
        <v>1102404.2087820184</v>
      </c>
      <c r="F751" s="57">
        <v>238828.62744000001</v>
      </c>
      <c r="G751" s="57">
        <v>497628.07404296589</v>
      </c>
      <c r="H751" s="58">
        <v>0.15159020043171312</v>
      </c>
      <c r="I751" s="58">
        <v>1.0836198716084948</v>
      </c>
      <c r="J751" s="58">
        <v>0.33768848231173476</v>
      </c>
    </row>
    <row r="752" spans="1:10" ht="11.25" customHeight="1" x14ac:dyDescent="0.2">
      <c r="A752" s="67">
        <v>44805</v>
      </c>
      <c r="B752" s="57">
        <v>0</v>
      </c>
      <c r="C752" s="57">
        <v>0</v>
      </c>
      <c r="D752" s="57">
        <v>884366.12402999995</v>
      </c>
      <c r="E752" s="57">
        <v>1018427.3620267251</v>
      </c>
      <c r="F752" s="57">
        <v>220635.59543999998</v>
      </c>
      <c r="G752" s="57">
        <v>459720.71104295668</v>
      </c>
      <c r="H752" s="58">
        <v>0.15159020043171334</v>
      </c>
      <c r="I752" s="58">
        <v>1.0836198716084953</v>
      </c>
      <c r="J752" s="58">
        <v>0.33768848231173521</v>
      </c>
    </row>
    <row r="753" spans="1:10" ht="11.25" customHeight="1" x14ac:dyDescent="0.2">
      <c r="A753" s="67">
        <v>44835</v>
      </c>
      <c r="B753" s="57">
        <v>0</v>
      </c>
      <c r="C753" s="57">
        <v>0</v>
      </c>
      <c r="D753" s="57">
        <v>967318.62635000004</v>
      </c>
      <c r="E753" s="57">
        <v>1113954.6507997259</v>
      </c>
      <c r="F753" s="57">
        <v>241330.95480000001</v>
      </c>
      <c r="G753" s="57">
        <v>502841.9730555315</v>
      </c>
      <c r="H753" s="58">
        <v>0.15159020043171312</v>
      </c>
      <c r="I753" s="58">
        <v>1.0836198716084948</v>
      </c>
      <c r="J753" s="58">
        <v>0.33768848231173476</v>
      </c>
    </row>
    <row r="754" spans="1:10" ht="11.25" customHeight="1" x14ac:dyDescent="0.2">
      <c r="A754" s="67">
        <v>44866</v>
      </c>
      <c r="B754" s="57">
        <v>0</v>
      </c>
      <c r="C754" s="57">
        <v>0</v>
      </c>
      <c r="D754" s="57">
        <v>967318.62635000004</v>
      </c>
      <c r="E754" s="57">
        <v>1113954.6507997259</v>
      </c>
      <c r="F754" s="57">
        <v>241330.95480000001</v>
      </c>
      <c r="G754" s="57">
        <v>502841.9730555315</v>
      </c>
      <c r="H754" s="58">
        <v>0.15159020043171312</v>
      </c>
      <c r="I754" s="58">
        <v>1.0836198716084948</v>
      </c>
      <c r="J754" s="58">
        <v>0.33768848231173476</v>
      </c>
    </row>
    <row r="755" spans="1:10" ht="11.25" customHeight="1" x14ac:dyDescent="0.2">
      <c r="A755" s="59" t="s">
        <v>60</v>
      </c>
      <c r="B755" s="57">
        <v>6453868.8000000017</v>
      </c>
      <c r="C755" s="57">
        <v>6035798.2297241725</v>
      </c>
      <c r="D755" s="57">
        <v>0</v>
      </c>
      <c r="E755" s="57">
        <v>0</v>
      </c>
      <c r="F755" s="57">
        <v>0</v>
      </c>
      <c r="G755" s="57">
        <v>0</v>
      </c>
      <c r="H755" s="58">
        <v>-6.4778287757543018E-2</v>
      </c>
      <c r="I755" s="58">
        <v>0</v>
      </c>
      <c r="J755" s="58">
        <v>-6.4778287757543018E-2</v>
      </c>
    </row>
    <row r="756" spans="1:10" ht="11.25" customHeight="1" x14ac:dyDescent="0.2">
      <c r="A756" s="60" t="s">
        <v>57</v>
      </c>
      <c r="B756" s="57">
        <v>6453868.8000000017</v>
      </c>
      <c r="C756" s="57">
        <v>6035798.2297241725</v>
      </c>
      <c r="D756" s="57">
        <v>0</v>
      </c>
      <c r="E756" s="57">
        <v>0</v>
      </c>
      <c r="F756" s="57">
        <v>0</v>
      </c>
      <c r="G756" s="57">
        <v>0</v>
      </c>
      <c r="H756" s="58">
        <v>-6.4778287757543018E-2</v>
      </c>
      <c r="I756" s="58">
        <v>0</v>
      </c>
      <c r="J756" s="58">
        <v>-6.4778287757543018E-2</v>
      </c>
    </row>
    <row r="757" spans="1:10" ht="11.25" customHeight="1" x14ac:dyDescent="0.2">
      <c r="A757" s="61" t="s">
        <v>58</v>
      </c>
      <c r="B757" s="57">
        <v>6453868.8000000017</v>
      </c>
      <c r="C757" s="57">
        <v>6035798.2297241725</v>
      </c>
      <c r="D757" s="57">
        <v>0</v>
      </c>
      <c r="E757" s="57">
        <v>0</v>
      </c>
      <c r="F757" s="57">
        <v>0</v>
      </c>
      <c r="G757" s="57">
        <v>0</v>
      </c>
      <c r="H757" s="58">
        <v>-6.4778287757543018E-2</v>
      </c>
      <c r="I757" s="58">
        <v>0</v>
      </c>
      <c r="J757" s="58">
        <v>-6.4778287757543018E-2</v>
      </c>
    </row>
    <row r="758" spans="1:10" ht="11.25" customHeight="1" x14ac:dyDescent="0.2">
      <c r="A758" s="62" t="s">
        <v>25</v>
      </c>
      <c r="B758" s="57">
        <v>6453868.8000000017</v>
      </c>
      <c r="C758" s="57">
        <v>6035798.2297241725</v>
      </c>
      <c r="D758" s="57">
        <v>0</v>
      </c>
      <c r="E758" s="57">
        <v>0</v>
      </c>
      <c r="F758" s="57">
        <v>0</v>
      </c>
      <c r="G758" s="57">
        <v>0</v>
      </c>
      <c r="H758" s="58">
        <v>-6.4778287757543018E-2</v>
      </c>
      <c r="I758" s="58">
        <v>0</v>
      </c>
      <c r="J758" s="58">
        <v>-6.4778287757543018E-2</v>
      </c>
    </row>
    <row r="759" spans="1:10" ht="11.25" customHeight="1" x14ac:dyDescent="0.2">
      <c r="A759" s="63" t="s">
        <v>25</v>
      </c>
      <c r="B759" s="57">
        <v>6453868.8000000017</v>
      </c>
      <c r="C759" s="57">
        <v>6035798.2297241725</v>
      </c>
      <c r="D759" s="57">
        <v>0</v>
      </c>
      <c r="E759" s="57">
        <v>0</v>
      </c>
      <c r="F759" s="57">
        <v>0</v>
      </c>
      <c r="G759" s="57">
        <v>0</v>
      </c>
      <c r="H759" s="58">
        <v>-6.4778287757543018E-2</v>
      </c>
      <c r="I759" s="58">
        <v>0</v>
      </c>
      <c r="J759" s="58">
        <v>-6.4778287757543018E-2</v>
      </c>
    </row>
    <row r="760" spans="1:10" ht="11.25" customHeight="1" x14ac:dyDescent="0.2">
      <c r="A760" s="64" t="s">
        <v>25</v>
      </c>
      <c r="B760" s="57">
        <v>6453868.8000000017</v>
      </c>
      <c r="C760" s="57">
        <v>6035798.2297241725</v>
      </c>
      <c r="D760" s="57">
        <v>0</v>
      </c>
      <c r="E760" s="57">
        <v>0</v>
      </c>
      <c r="F760" s="57">
        <v>0</v>
      </c>
      <c r="G760" s="57">
        <v>0</v>
      </c>
      <c r="H760" s="58">
        <v>-6.4778287757543018E-2</v>
      </c>
      <c r="I760" s="58">
        <v>0</v>
      </c>
      <c r="J760" s="58">
        <v>-6.4778287757543018E-2</v>
      </c>
    </row>
    <row r="761" spans="1:10" ht="11.25" customHeight="1" x14ac:dyDescent="0.2">
      <c r="A761" s="65" t="s">
        <v>59</v>
      </c>
      <c r="B761" s="57">
        <v>6453868.8000000017</v>
      </c>
      <c r="C761" s="57">
        <v>6035798.2297241725</v>
      </c>
      <c r="D761" s="57">
        <v>0</v>
      </c>
      <c r="E761" s="57">
        <v>0</v>
      </c>
      <c r="F761" s="57">
        <v>0</v>
      </c>
      <c r="G761" s="57">
        <v>0</v>
      </c>
      <c r="H761" s="58">
        <v>-6.4778287757543018E-2</v>
      </c>
      <c r="I761" s="58">
        <v>0</v>
      </c>
      <c r="J761" s="58">
        <v>-6.4778287757543018E-2</v>
      </c>
    </row>
    <row r="762" spans="1:10" ht="11.25" customHeight="1" x14ac:dyDescent="0.2">
      <c r="A762" s="66" t="s">
        <v>25</v>
      </c>
      <c r="B762" s="57">
        <v>6453868.8000000017</v>
      </c>
      <c r="C762" s="57">
        <v>6035798.2297241725</v>
      </c>
      <c r="D762" s="57">
        <v>0</v>
      </c>
      <c r="E762" s="57">
        <v>0</v>
      </c>
      <c r="F762" s="57">
        <v>0</v>
      </c>
      <c r="G762" s="57">
        <v>0</v>
      </c>
      <c r="H762" s="58">
        <v>-6.4778287757543018E-2</v>
      </c>
      <c r="I762" s="58">
        <v>0</v>
      </c>
      <c r="J762" s="58">
        <v>-6.4778287757543018E-2</v>
      </c>
    </row>
    <row r="763" spans="1:10" ht="11.25" customHeight="1" x14ac:dyDescent="0.2">
      <c r="A763" s="67">
        <v>44531</v>
      </c>
      <c r="B763" s="57">
        <v>537822.4</v>
      </c>
      <c r="C763" s="57">
        <v>502983.18581034767</v>
      </c>
      <c r="D763" s="57">
        <v>0</v>
      </c>
      <c r="E763" s="57">
        <v>0</v>
      </c>
      <c r="F763" s="57">
        <v>0</v>
      </c>
      <c r="G763" s="57">
        <v>0</v>
      </c>
      <c r="H763" s="58">
        <v>-6.4778287757542907E-2</v>
      </c>
      <c r="I763" s="58">
        <v>0</v>
      </c>
      <c r="J763" s="58">
        <v>-6.4778287757542907E-2</v>
      </c>
    </row>
    <row r="764" spans="1:10" ht="11.25" customHeight="1" x14ac:dyDescent="0.2">
      <c r="A764" s="67">
        <v>44562</v>
      </c>
      <c r="B764" s="57">
        <v>537822.4</v>
      </c>
      <c r="C764" s="57">
        <v>502983.18581034767</v>
      </c>
      <c r="D764" s="57">
        <v>0</v>
      </c>
      <c r="E764" s="57">
        <v>0</v>
      </c>
      <c r="F764" s="57">
        <v>0</v>
      </c>
      <c r="G764" s="57">
        <v>0</v>
      </c>
      <c r="H764" s="58">
        <v>-6.4778287757542907E-2</v>
      </c>
      <c r="I764" s="58">
        <v>0</v>
      </c>
      <c r="J764" s="58">
        <v>-6.4778287757542907E-2</v>
      </c>
    </row>
    <row r="765" spans="1:10" ht="11.25" customHeight="1" x14ac:dyDescent="0.2">
      <c r="A765" s="67">
        <v>44593</v>
      </c>
      <c r="B765" s="57">
        <v>537822.4</v>
      </c>
      <c r="C765" s="57">
        <v>502983.18581034767</v>
      </c>
      <c r="D765" s="57">
        <v>0</v>
      </c>
      <c r="E765" s="57">
        <v>0</v>
      </c>
      <c r="F765" s="57">
        <v>0</v>
      </c>
      <c r="G765" s="57">
        <v>0</v>
      </c>
      <c r="H765" s="58">
        <v>-6.4778287757542907E-2</v>
      </c>
      <c r="I765" s="58">
        <v>0</v>
      </c>
      <c r="J765" s="58">
        <v>-6.4778287757542907E-2</v>
      </c>
    </row>
    <row r="766" spans="1:10" ht="11.25" customHeight="1" x14ac:dyDescent="0.2">
      <c r="A766" s="67">
        <v>44621</v>
      </c>
      <c r="B766" s="57">
        <v>537822.4</v>
      </c>
      <c r="C766" s="57">
        <v>502983.18581034767</v>
      </c>
      <c r="D766" s="57">
        <v>0</v>
      </c>
      <c r="E766" s="57">
        <v>0</v>
      </c>
      <c r="F766" s="57">
        <v>0</v>
      </c>
      <c r="G766" s="57">
        <v>0</v>
      </c>
      <c r="H766" s="58">
        <v>-6.4778287757542907E-2</v>
      </c>
      <c r="I766" s="58">
        <v>0</v>
      </c>
      <c r="J766" s="58">
        <v>-6.4778287757542907E-2</v>
      </c>
    </row>
    <row r="767" spans="1:10" ht="11.25" customHeight="1" x14ac:dyDescent="0.2">
      <c r="A767" s="67">
        <v>44652</v>
      </c>
      <c r="B767" s="57">
        <v>537822.4</v>
      </c>
      <c r="C767" s="57">
        <v>502983.18581034767</v>
      </c>
      <c r="D767" s="57">
        <v>0</v>
      </c>
      <c r="E767" s="57">
        <v>0</v>
      </c>
      <c r="F767" s="57">
        <v>0</v>
      </c>
      <c r="G767" s="57">
        <v>0</v>
      </c>
      <c r="H767" s="58">
        <v>-6.4778287757542907E-2</v>
      </c>
      <c r="I767" s="58">
        <v>0</v>
      </c>
      <c r="J767" s="58">
        <v>-6.4778287757542907E-2</v>
      </c>
    </row>
    <row r="768" spans="1:10" ht="11.25" customHeight="1" x14ac:dyDescent="0.2">
      <c r="A768" s="67">
        <v>44682</v>
      </c>
      <c r="B768" s="57">
        <v>537822.4</v>
      </c>
      <c r="C768" s="57">
        <v>502983.18581034767</v>
      </c>
      <c r="D768" s="57">
        <v>0</v>
      </c>
      <c r="E768" s="57">
        <v>0</v>
      </c>
      <c r="F768" s="57">
        <v>0</v>
      </c>
      <c r="G768" s="57">
        <v>0</v>
      </c>
      <c r="H768" s="58">
        <v>-6.4778287757542907E-2</v>
      </c>
      <c r="I768" s="58">
        <v>0</v>
      </c>
      <c r="J768" s="58">
        <v>-6.4778287757542907E-2</v>
      </c>
    </row>
    <row r="769" spans="1:10" ht="11.25" customHeight="1" x14ac:dyDescent="0.2">
      <c r="A769" s="67">
        <v>44713</v>
      </c>
      <c r="B769" s="57">
        <v>537822.4</v>
      </c>
      <c r="C769" s="57">
        <v>502983.18581034767</v>
      </c>
      <c r="D769" s="57">
        <v>0</v>
      </c>
      <c r="E769" s="57">
        <v>0</v>
      </c>
      <c r="F769" s="57">
        <v>0</v>
      </c>
      <c r="G769" s="57">
        <v>0</v>
      </c>
      <c r="H769" s="58">
        <v>-6.4778287757542907E-2</v>
      </c>
      <c r="I769" s="58">
        <v>0</v>
      </c>
      <c r="J769" s="58">
        <v>-6.4778287757542907E-2</v>
      </c>
    </row>
    <row r="770" spans="1:10" ht="11.25" customHeight="1" x14ac:dyDescent="0.2">
      <c r="A770" s="67">
        <v>44743</v>
      </c>
      <c r="B770" s="57">
        <v>537822.4</v>
      </c>
      <c r="C770" s="57">
        <v>502983.18581034767</v>
      </c>
      <c r="D770" s="57">
        <v>0</v>
      </c>
      <c r="E770" s="57">
        <v>0</v>
      </c>
      <c r="F770" s="57">
        <v>0</v>
      </c>
      <c r="G770" s="57">
        <v>0</v>
      </c>
      <c r="H770" s="58">
        <v>-6.4778287757542907E-2</v>
      </c>
      <c r="I770" s="58">
        <v>0</v>
      </c>
      <c r="J770" s="58">
        <v>-6.4778287757542907E-2</v>
      </c>
    </row>
    <row r="771" spans="1:10" ht="11.25" customHeight="1" x14ac:dyDescent="0.2">
      <c r="A771" s="67">
        <v>44774</v>
      </c>
      <c r="B771" s="57">
        <v>537822.4</v>
      </c>
      <c r="C771" s="57">
        <v>502983.18581034767</v>
      </c>
      <c r="D771" s="57">
        <v>0</v>
      </c>
      <c r="E771" s="57">
        <v>0</v>
      </c>
      <c r="F771" s="57">
        <v>0</v>
      </c>
      <c r="G771" s="57">
        <v>0</v>
      </c>
      <c r="H771" s="58">
        <v>-6.4778287757542907E-2</v>
      </c>
      <c r="I771" s="58">
        <v>0</v>
      </c>
      <c r="J771" s="58">
        <v>-6.4778287757542907E-2</v>
      </c>
    </row>
    <row r="772" spans="1:10" ht="11.25" customHeight="1" x14ac:dyDescent="0.2">
      <c r="A772" s="67">
        <v>44805</v>
      </c>
      <c r="B772" s="57">
        <v>537822.4</v>
      </c>
      <c r="C772" s="57">
        <v>502983.18581034767</v>
      </c>
      <c r="D772" s="57">
        <v>0</v>
      </c>
      <c r="E772" s="57">
        <v>0</v>
      </c>
      <c r="F772" s="57">
        <v>0</v>
      </c>
      <c r="G772" s="57">
        <v>0</v>
      </c>
      <c r="H772" s="58">
        <v>-6.4778287757542907E-2</v>
      </c>
      <c r="I772" s="58">
        <v>0</v>
      </c>
      <c r="J772" s="58">
        <v>-6.4778287757542907E-2</v>
      </c>
    </row>
    <row r="773" spans="1:10" ht="11.25" customHeight="1" x14ac:dyDescent="0.2">
      <c r="A773" s="67">
        <v>44835</v>
      </c>
      <c r="B773" s="57">
        <v>537822.4</v>
      </c>
      <c r="C773" s="57">
        <v>502983.18581034767</v>
      </c>
      <c r="D773" s="57">
        <v>0</v>
      </c>
      <c r="E773" s="57">
        <v>0</v>
      </c>
      <c r="F773" s="57">
        <v>0</v>
      </c>
      <c r="G773" s="57">
        <v>0</v>
      </c>
      <c r="H773" s="58">
        <v>-6.4778287757542907E-2</v>
      </c>
      <c r="I773" s="58">
        <v>0</v>
      </c>
      <c r="J773" s="58">
        <v>-6.4778287757542907E-2</v>
      </c>
    </row>
    <row r="774" spans="1:10" ht="11.25" customHeight="1" x14ac:dyDescent="0.2">
      <c r="A774" s="67">
        <v>44866</v>
      </c>
      <c r="B774" s="57">
        <v>537822.4</v>
      </c>
      <c r="C774" s="57">
        <v>502983.18581034767</v>
      </c>
      <c r="D774" s="57">
        <v>0</v>
      </c>
      <c r="E774" s="57">
        <v>0</v>
      </c>
      <c r="F774" s="57">
        <v>0</v>
      </c>
      <c r="G774" s="57">
        <v>0</v>
      </c>
      <c r="H774" s="58">
        <v>-6.4778287757542907E-2</v>
      </c>
      <c r="I774" s="58">
        <v>0</v>
      </c>
      <c r="J774" s="58">
        <v>-6.4778287757542907E-2</v>
      </c>
    </row>
    <row r="775" spans="1:10" ht="11.25" customHeight="1" x14ac:dyDescent="0.2">
      <c r="A775" s="59" t="s">
        <v>56</v>
      </c>
      <c r="B775" s="57">
        <v>639852.64568468579</v>
      </c>
      <c r="C775" s="57">
        <v>634611.9781283742</v>
      </c>
      <c r="D775" s="57">
        <v>1357223.863055371</v>
      </c>
      <c r="E775" s="57">
        <v>1549489.4962726077</v>
      </c>
      <c r="F775" s="57">
        <v>0</v>
      </c>
      <c r="G775" s="57">
        <v>0</v>
      </c>
      <c r="H775" s="58">
        <v>9.3649374394232821E-2</v>
      </c>
      <c r="I775" s="58">
        <v>0</v>
      </c>
      <c r="J775" s="58">
        <v>9.3649374394232821E-2</v>
      </c>
    </row>
    <row r="776" spans="1:10" ht="11.25" customHeight="1" x14ac:dyDescent="0.2">
      <c r="A776" s="60" t="s">
        <v>41</v>
      </c>
      <c r="B776" s="57">
        <v>639852.64568468579</v>
      </c>
      <c r="C776" s="57">
        <v>634611.9781283742</v>
      </c>
      <c r="D776" s="57">
        <v>1357223.863055371</v>
      </c>
      <c r="E776" s="57">
        <v>1549489.4962726077</v>
      </c>
      <c r="F776" s="57">
        <v>0</v>
      </c>
      <c r="G776" s="57">
        <v>0</v>
      </c>
      <c r="H776" s="58">
        <v>9.3649374394232821E-2</v>
      </c>
      <c r="I776" s="58">
        <v>0</v>
      </c>
      <c r="J776" s="58">
        <v>9.3649374394232821E-2</v>
      </c>
    </row>
    <row r="777" spans="1:10" ht="11.25" customHeight="1" x14ac:dyDescent="0.2">
      <c r="A777" s="61" t="s">
        <v>43</v>
      </c>
      <c r="B777" s="57">
        <v>639852.64568468579</v>
      </c>
      <c r="C777" s="57">
        <v>634611.9781283742</v>
      </c>
      <c r="D777" s="57">
        <v>1357223.863055371</v>
      </c>
      <c r="E777" s="57">
        <v>1549489.4962726077</v>
      </c>
      <c r="F777" s="57">
        <v>0</v>
      </c>
      <c r="G777" s="57">
        <v>0</v>
      </c>
      <c r="H777" s="58">
        <v>9.3649374394232821E-2</v>
      </c>
      <c r="I777" s="58">
        <v>0</v>
      </c>
      <c r="J777" s="58">
        <v>9.3649374394232821E-2</v>
      </c>
    </row>
    <row r="778" spans="1:10" ht="11.25" customHeight="1" x14ac:dyDescent="0.2">
      <c r="A778" s="62" t="s">
        <v>38</v>
      </c>
      <c r="B778" s="57">
        <v>639852.64568468579</v>
      </c>
      <c r="C778" s="57">
        <v>634611.9781283742</v>
      </c>
      <c r="D778" s="57">
        <v>1357223.863055371</v>
      </c>
      <c r="E778" s="57">
        <v>1549489.4962726077</v>
      </c>
      <c r="F778" s="57">
        <v>0</v>
      </c>
      <c r="G778" s="57">
        <v>0</v>
      </c>
      <c r="H778" s="58">
        <v>9.3649374394232821E-2</v>
      </c>
      <c r="I778" s="58">
        <v>0</v>
      </c>
      <c r="J778" s="58">
        <v>9.3649374394232821E-2</v>
      </c>
    </row>
    <row r="779" spans="1:10" ht="11.25" customHeight="1" x14ac:dyDescent="0.2">
      <c r="A779" s="63" t="s">
        <v>25</v>
      </c>
      <c r="B779" s="57">
        <v>639852.64568468579</v>
      </c>
      <c r="C779" s="57">
        <v>634611.9781283742</v>
      </c>
      <c r="D779" s="57">
        <v>1357223.863055371</v>
      </c>
      <c r="E779" s="57">
        <v>1549489.4962726077</v>
      </c>
      <c r="F779" s="57">
        <v>0</v>
      </c>
      <c r="G779" s="57">
        <v>0</v>
      </c>
      <c r="H779" s="58">
        <v>9.3649374394232821E-2</v>
      </c>
      <c r="I779" s="58">
        <v>0</v>
      </c>
      <c r="J779" s="58">
        <v>9.3649374394232821E-2</v>
      </c>
    </row>
    <row r="780" spans="1:10" ht="11.25" customHeight="1" x14ac:dyDescent="0.2">
      <c r="A780" s="64" t="s">
        <v>55</v>
      </c>
      <c r="B780" s="57">
        <v>639852.64568468579</v>
      </c>
      <c r="C780" s="57">
        <v>634611.9781283742</v>
      </c>
      <c r="D780" s="57">
        <v>1357223.863055371</v>
      </c>
      <c r="E780" s="57">
        <v>1549489.4962726077</v>
      </c>
      <c r="F780" s="57">
        <v>0</v>
      </c>
      <c r="G780" s="57">
        <v>0</v>
      </c>
      <c r="H780" s="58">
        <v>9.3649374394232821E-2</v>
      </c>
      <c r="I780" s="58">
        <v>0</v>
      </c>
      <c r="J780" s="58">
        <v>9.3649374394232821E-2</v>
      </c>
    </row>
    <row r="781" spans="1:10" ht="11.25" customHeight="1" x14ac:dyDescent="0.2">
      <c r="A781" s="65" t="s">
        <v>25</v>
      </c>
      <c r="B781" s="57">
        <v>639852.64568468579</v>
      </c>
      <c r="C781" s="57">
        <v>634611.9781283742</v>
      </c>
      <c r="D781" s="57">
        <v>1357223.863055371</v>
      </c>
      <c r="E781" s="57">
        <v>1549489.4962726077</v>
      </c>
      <c r="F781" s="57">
        <v>0</v>
      </c>
      <c r="G781" s="57">
        <v>0</v>
      </c>
      <c r="H781" s="58">
        <v>9.3649374394232821E-2</v>
      </c>
      <c r="I781" s="58">
        <v>0</v>
      </c>
      <c r="J781" s="58">
        <v>9.3649374394232821E-2</v>
      </c>
    </row>
    <row r="782" spans="1:10" ht="11.25" customHeight="1" x14ac:dyDescent="0.2">
      <c r="A782" s="66" t="s">
        <v>35</v>
      </c>
      <c r="B782" s="57">
        <v>0</v>
      </c>
      <c r="C782" s="57">
        <v>0</v>
      </c>
      <c r="D782" s="57">
        <v>204671.4852</v>
      </c>
      <c r="E782" s="57">
        <v>362057.89679194521</v>
      </c>
      <c r="F782" s="57">
        <v>0</v>
      </c>
      <c r="G782" s="57">
        <v>0</v>
      </c>
      <c r="H782" s="58">
        <v>0.76897087759025662</v>
      </c>
      <c r="I782" s="58">
        <v>0</v>
      </c>
      <c r="J782" s="58">
        <v>0.76897087759025662</v>
      </c>
    </row>
    <row r="783" spans="1:10" ht="11.25" customHeight="1" x14ac:dyDescent="0.2">
      <c r="A783" s="67">
        <v>44531</v>
      </c>
      <c r="B783" s="57">
        <v>0</v>
      </c>
      <c r="C783" s="57">
        <v>0</v>
      </c>
      <c r="D783" s="57">
        <v>72437.713460000014</v>
      </c>
      <c r="E783" s="57">
        <v>128140.20554996772</v>
      </c>
      <c r="F783" s="57">
        <v>0</v>
      </c>
      <c r="G783" s="57">
        <v>0</v>
      </c>
      <c r="H783" s="58">
        <v>0.76897087759025595</v>
      </c>
      <c r="I783" s="58">
        <v>0</v>
      </c>
      <c r="J783" s="58">
        <v>0.76897087759025595</v>
      </c>
    </row>
    <row r="784" spans="1:10" ht="11.25" customHeight="1" x14ac:dyDescent="0.2">
      <c r="A784" s="67">
        <v>44562</v>
      </c>
      <c r="B784" s="57">
        <v>0</v>
      </c>
      <c r="C784" s="57">
        <v>0</v>
      </c>
      <c r="D784" s="57">
        <v>6782.4636600000003</v>
      </c>
      <c r="E784" s="57">
        <v>11997.980692854222</v>
      </c>
      <c r="F784" s="57">
        <v>0</v>
      </c>
      <c r="G784" s="57">
        <v>0</v>
      </c>
      <c r="H784" s="58">
        <v>0.76897087759025617</v>
      </c>
      <c r="I784" s="58">
        <v>0</v>
      </c>
      <c r="J784" s="58">
        <v>0.76897087759025617</v>
      </c>
    </row>
    <row r="785" spans="1:10" ht="11.25" customHeight="1" x14ac:dyDescent="0.2">
      <c r="A785" s="67">
        <v>44593</v>
      </c>
      <c r="B785" s="57">
        <v>0</v>
      </c>
      <c r="C785" s="57">
        <v>0</v>
      </c>
      <c r="D785" s="57">
        <v>7319.4741199999999</v>
      </c>
      <c r="E785" s="57">
        <v>12947.936557555566</v>
      </c>
      <c r="F785" s="57">
        <v>0</v>
      </c>
      <c r="G785" s="57">
        <v>0</v>
      </c>
      <c r="H785" s="58">
        <v>0.76897087759025595</v>
      </c>
      <c r="I785" s="58">
        <v>0</v>
      </c>
      <c r="J785" s="58">
        <v>0.76897087759025595</v>
      </c>
    </row>
    <row r="786" spans="1:10" ht="11.25" customHeight="1" x14ac:dyDescent="0.2">
      <c r="A786" s="67">
        <v>44621</v>
      </c>
      <c r="B786" s="57">
        <v>0</v>
      </c>
      <c r="C786" s="57">
        <v>0</v>
      </c>
      <c r="D786" s="57">
        <v>8986.8438800000004</v>
      </c>
      <c r="E786" s="57">
        <v>15897.465105170222</v>
      </c>
      <c r="F786" s="57">
        <v>0</v>
      </c>
      <c r="G786" s="57">
        <v>0</v>
      </c>
      <c r="H786" s="58">
        <v>0.76897087759025595</v>
      </c>
      <c r="I786" s="58">
        <v>0</v>
      </c>
      <c r="J786" s="58">
        <v>0.76897087759025595</v>
      </c>
    </row>
    <row r="787" spans="1:10" ht="11.25" customHeight="1" x14ac:dyDescent="0.2">
      <c r="A787" s="67">
        <v>44652</v>
      </c>
      <c r="B787" s="57">
        <v>0</v>
      </c>
      <c r="C787" s="57">
        <v>0</v>
      </c>
      <c r="D787" s="57">
        <v>11516.324260000001</v>
      </c>
      <c r="E787" s="57">
        <v>20372.042232826156</v>
      </c>
      <c r="F787" s="57">
        <v>0</v>
      </c>
      <c r="G787" s="57">
        <v>0</v>
      </c>
      <c r="H787" s="58">
        <v>0.76897087759025573</v>
      </c>
      <c r="I787" s="58">
        <v>0</v>
      </c>
      <c r="J787" s="58">
        <v>0.76897087759025573</v>
      </c>
    </row>
    <row r="788" spans="1:10" ht="11.25" customHeight="1" x14ac:dyDescent="0.2">
      <c r="A788" s="67">
        <v>44682</v>
      </c>
      <c r="B788" s="57">
        <v>0</v>
      </c>
      <c r="C788" s="57">
        <v>0</v>
      </c>
      <c r="D788" s="57">
        <v>13523.2636</v>
      </c>
      <c r="E788" s="57">
        <v>23922.259478376367</v>
      </c>
      <c r="F788" s="57">
        <v>0</v>
      </c>
      <c r="G788" s="57">
        <v>0</v>
      </c>
      <c r="H788" s="58">
        <v>0.76897087759025617</v>
      </c>
      <c r="I788" s="58">
        <v>0</v>
      </c>
      <c r="J788" s="58">
        <v>0.76897087759025617</v>
      </c>
    </row>
    <row r="789" spans="1:10" ht="11.25" customHeight="1" x14ac:dyDescent="0.2">
      <c r="A789" s="67">
        <v>44713</v>
      </c>
      <c r="B789" s="57">
        <v>0</v>
      </c>
      <c r="C789" s="57">
        <v>0</v>
      </c>
      <c r="D789" s="57">
        <v>13382.46896</v>
      </c>
      <c r="E789" s="57">
        <v>23673.197860495558</v>
      </c>
      <c r="F789" s="57">
        <v>0</v>
      </c>
      <c r="G789" s="57">
        <v>0</v>
      </c>
      <c r="H789" s="58">
        <v>0.76897087759025573</v>
      </c>
      <c r="I789" s="58">
        <v>0</v>
      </c>
      <c r="J789" s="58">
        <v>0.76897087759025573</v>
      </c>
    </row>
    <row r="790" spans="1:10" ht="11.25" customHeight="1" x14ac:dyDescent="0.2">
      <c r="A790" s="67">
        <v>44743</v>
      </c>
      <c r="B790" s="57">
        <v>0</v>
      </c>
      <c r="C790" s="57">
        <v>0</v>
      </c>
      <c r="D790" s="57">
        <v>11923.31518</v>
      </c>
      <c r="E790" s="57">
        <v>21091.997317749821</v>
      </c>
      <c r="F790" s="57">
        <v>0</v>
      </c>
      <c r="G790" s="57">
        <v>0</v>
      </c>
      <c r="H790" s="58">
        <v>0.76897087759025617</v>
      </c>
      <c r="I790" s="58">
        <v>0</v>
      </c>
      <c r="J790" s="58">
        <v>0.76897087759025617</v>
      </c>
    </row>
    <row r="791" spans="1:10" ht="11.25" customHeight="1" x14ac:dyDescent="0.2">
      <c r="A791" s="67">
        <v>44774</v>
      </c>
      <c r="B791" s="57">
        <v>0</v>
      </c>
      <c r="C791" s="57">
        <v>0</v>
      </c>
      <c r="D791" s="57">
        <v>15272.62674</v>
      </c>
      <c r="E791" s="57">
        <v>27016.831927366213</v>
      </c>
      <c r="F791" s="57">
        <v>0</v>
      </c>
      <c r="G791" s="57">
        <v>0</v>
      </c>
      <c r="H791" s="58">
        <v>0.76897087759025617</v>
      </c>
      <c r="I791" s="58">
        <v>0</v>
      </c>
      <c r="J791" s="58">
        <v>0.76897087759025617</v>
      </c>
    </row>
    <row r="792" spans="1:10" ht="11.25" customHeight="1" x14ac:dyDescent="0.2">
      <c r="A792" s="67">
        <v>44805</v>
      </c>
      <c r="B792" s="57">
        <v>0</v>
      </c>
      <c r="C792" s="57">
        <v>0</v>
      </c>
      <c r="D792" s="57">
        <v>14109.121180000002</v>
      </c>
      <c r="E792" s="57">
        <v>24958.62447581187</v>
      </c>
      <c r="F792" s="57">
        <v>0</v>
      </c>
      <c r="G792" s="57">
        <v>0</v>
      </c>
      <c r="H792" s="58">
        <v>0.76897087759025595</v>
      </c>
      <c r="I792" s="58">
        <v>0</v>
      </c>
      <c r="J792" s="58">
        <v>0.76897087759025595</v>
      </c>
    </row>
    <row r="793" spans="1:10" ht="11.25" customHeight="1" x14ac:dyDescent="0.2">
      <c r="A793" s="67">
        <v>44835</v>
      </c>
      <c r="B793" s="57">
        <v>0</v>
      </c>
      <c r="C793" s="57">
        <v>0</v>
      </c>
      <c r="D793" s="57">
        <v>14708.935080000001</v>
      </c>
      <c r="E793" s="57">
        <v>26019.677796885706</v>
      </c>
      <c r="F793" s="57">
        <v>0</v>
      </c>
      <c r="G793" s="57">
        <v>0</v>
      </c>
      <c r="H793" s="58">
        <v>0.76897087759025617</v>
      </c>
      <c r="I793" s="58">
        <v>0</v>
      </c>
      <c r="J793" s="58">
        <v>0.76897087759025617</v>
      </c>
    </row>
    <row r="794" spans="1:10" ht="11.25" customHeight="1" x14ac:dyDescent="0.2">
      <c r="A794" s="67">
        <v>44866</v>
      </c>
      <c r="B794" s="57">
        <v>0</v>
      </c>
      <c r="C794" s="57">
        <v>0</v>
      </c>
      <c r="D794" s="57">
        <v>14708.935080000001</v>
      </c>
      <c r="E794" s="57">
        <v>26019.677796885706</v>
      </c>
      <c r="F794" s="57">
        <v>0</v>
      </c>
      <c r="G794" s="57">
        <v>0</v>
      </c>
      <c r="H794" s="58">
        <v>0.76897087759025617</v>
      </c>
      <c r="I794" s="58">
        <v>0</v>
      </c>
      <c r="J794" s="58">
        <v>0.76897087759025617</v>
      </c>
    </row>
    <row r="795" spans="1:10" ht="11.25" customHeight="1" x14ac:dyDescent="0.2">
      <c r="A795" s="66" t="s">
        <v>25</v>
      </c>
      <c r="B795" s="57">
        <v>639852.64568468579</v>
      </c>
      <c r="C795" s="57">
        <v>634611.9781283742</v>
      </c>
      <c r="D795" s="57">
        <v>0</v>
      </c>
      <c r="E795" s="57">
        <v>0</v>
      </c>
      <c r="F795" s="57">
        <v>0</v>
      </c>
      <c r="G795" s="57">
        <v>0</v>
      </c>
      <c r="H795" s="58">
        <v>-8.1904288302250272E-3</v>
      </c>
      <c r="I795" s="58">
        <v>0</v>
      </c>
      <c r="J795" s="58">
        <v>-8.1904288302250272E-3</v>
      </c>
    </row>
    <row r="796" spans="1:10" ht="11.25" customHeight="1" x14ac:dyDescent="0.2">
      <c r="A796" s="67">
        <v>44531</v>
      </c>
      <c r="B796" s="57">
        <v>16081.610204685798</v>
      </c>
      <c r="C796" s="57">
        <v>15949.894920828903</v>
      </c>
      <c r="D796" s="57">
        <v>0</v>
      </c>
      <c r="E796" s="57">
        <v>0</v>
      </c>
      <c r="F796" s="57">
        <v>0</v>
      </c>
      <c r="G796" s="57">
        <v>0</v>
      </c>
      <c r="H796" s="58">
        <v>-8.1904288302246941E-3</v>
      </c>
      <c r="I796" s="58">
        <v>0</v>
      </c>
      <c r="J796" s="58">
        <v>-8.1904288302246941E-3</v>
      </c>
    </row>
    <row r="797" spans="1:10" ht="11.25" customHeight="1" x14ac:dyDescent="0.2">
      <c r="A797" s="67">
        <v>44562</v>
      </c>
      <c r="B797" s="57">
        <v>28387.466039999999</v>
      </c>
      <c r="C797" s="57">
        <v>28154.960519728957</v>
      </c>
      <c r="D797" s="57">
        <v>0</v>
      </c>
      <c r="E797" s="57">
        <v>0</v>
      </c>
      <c r="F797" s="57">
        <v>0</v>
      </c>
      <c r="G797" s="57">
        <v>0</v>
      </c>
      <c r="H797" s="58">
        <v>-8.1904288302248052E-3</v>
      </c>
      <c r="I797" s="58">
        <v>0</v>
      </c>
      <c r="J797" s="58">
        <v>-8.1904288302248052E-3</v>
      </c>
    </row>
    <row r="798" spans="1:10" ht="11.25" customHeight="1" x14ac:dyDescent="0.2">
      <c r="A798" s="67">
        <v>44593</v>
      </c>
      <c r="B798" s="57">
        <v>32078.030328000001</v>
      </c>
      <c r="C798" s="57">
        <v>31815.297503584727</v>
      </c>
      <c r="D798" s="57">
        <v>0</v>
      </c>
      <c r="E798" s="57">
        <v>0</v>
      </c>
      <c r="F798" s="57">
        <v>0</v>
      </c>
      <c r="G798" s="57">
        <v>0</v>
      </c>
      <c r="H798" s="58">
        <v>-8.1904288302246941E-3</v>
      </c>
      <c r="I798" s="58">
        <v>0</v>
      </c>
      <c r="J798" s="58">
        <v>-8.1904288302246941E-3</v>
      </c>
    </row>
    <row r="799" spans="1:10" ht="11.25" customHeight="1" x14ac:dyDescent="0.2">
      <c r="A799" s="67">
        <v>44621</v>
      </c>
      <c r="B799" s="57">
        <v>41020.249535999996</v>
      </c>
      <c r="C799" s="57">
        <v>40684.276101577329</v>
      </c>
      <c r="D799" s="57">
        <v>0</v>
      </c>
      <c r="E799" s="57">
        <v>0</v>
      </c>
      <c r="F799" s="57">
        <v>0</v>
      </c>
      <c r="G799" s="57">
        <v>0</v>
      </c>
      <c r="H799" s="58">
        <v>-8.1904288302246941E-3</v>
      </c>
      <c r="I799" s="58">
        <v>0</v>
      </c>
      <c r="J799" s="58">
        <v>-8.1904288302246941E-3</v>
      </c>
    </row>
    <row r="800" spans="1:10" ht="11.25" customHeight="1" x14ac:dyDescent="0.2">
      <c r="A800" s="67">
        <v>44652</v>
      </c>
      <c r="B800" s="57">
        <v>54987.307519999995</v>
      </c>
      <c r="C800" s="57">
        <v>54536.937891191759</v>
      </c>
      <c r="D800" s="57">
        <v>0</v>
      </c>
      <c r="E800" s="57">
        <v>0</v>
      </c>
      <c r="F800" s="57">
        <v>0</v>
      </c>
      <c r="G800" s="57">
        <v>0</v>
      </c>
      <c r="H800" s="58">
        <v>-8.1904288302245831E-3</v>
      </c>
      <c r="I800" s="58">
        <v>0</v>
      </c>
      <c r="J800" s="58">
        <v>-8.1904288302245831E-3</v>
      </c>
    </row>
    <row r="801" spans="1:10" ht="11.25" customHeight="1" x14ac:dyDescent="0.2">
      <c r="A801" s="67">
        <v>44682</v>
      </c>
      <c r="B801" s="57">
        <v>62381.120849999999</v>
      </c>
      <c r="C801" s="57">
        <v>61870.192719328428</v>
      </c>
      <c r="D801" s="57">
        <v>0</v>
      </c>
      <c r="E801" s="57">
        <v>0</v>
      </c>
      <c r="F801" s="57">
        <v>0</v>
      </c>
      <c r="G801" s="57">
        <v>0</v>
      </c>
      <c r="H801" s="58">
        <v>-8.1904288302246941E-3</v>
      </c>
      <c r="I801" s="58">
        <v>0</v>
      </c>
      <c r="J801" s="58">
        <v>-8.1904288302246941E-3</v>
      </c>
    </row>
    <row r="802" spans="1:10" ht="11.25" customHeight="1" x14ac:dyDescent="0.2">
      <c r="A802" s="67">
        <v>44713</v>
      </c>
      <c r="B802" s="57">
        <v>63516.400988000001</v>
      </c>
      <c r="C802" s="57">
        <v>62996.174426155769</v>
      </c>
      <c r="D802" s="57">
        <v>0</v>
      </c>
      <c r="E802" s="57">
        <v>0</v>
      </c>
      <c r="F802" s="57">
        <v>0</v>
      </c>
      <c r="G802" s="57">
        <v>0</v>
      </c>
      <c r="H802" s="58">
        <v>-8.1904288302248052E-3</v>
      </c>
      <c r="I802" s="58">
        <v>0</v>
      </c>
      <c r="J802" s="58">
        <v>-8.1904288302248052E-3</v>
      </c>
    </row>
    <row r="803" spans="1:10" ht="11.25" customHeight="1" x14ac:dyDescent="0.2">
      <c r="A803" s="67">
        <v>44743</v>
      </c>
      <c r="B803" s="57">
        <v>60759.954555999997</v>
      </c>
      <c r="C803" s="57">
        <v>60262.304472481388</v>
      </c>
      <c r="D803" s="57">
        <v>0</v>
      </c>
      <c r="E803" s="57">
        <v>0</v>
      </c>
      <c r="F803" s="57">
        <v>0</v>
      </c>
      <c r="G803" s="57">
        <v>0</v>
      </c>
      <c r="H803" s="58">
        <v>-8.1904288302248052E-3</v>
      </c>
      <c r="I803" s="58">
        <v>0</v>
      </c>
      <c r="J803" s="58">
        <v>-8.1904288302248052E-3</v>
      </c>
    </row>
    <row r="804" spans="1:10" ht="11.25" customHeight="1" x14ac:dyDescent="0.2">
      <c r="A804" s="67">
        <v>44774</v>
      </c>
      <c r="B804" s="57">
        <v>72010.653607999993</v>
      </c>
      <c r="C804" s="57">
        <v>71420.855474605705</v>
      </c>
      <c r="D804" s="57">
        <v>0</v>
      </c>
      <c r="E804" s="57">
        <v>0</v>
      </c>
      <c r="F804" s="57">
        <v>0</v>
      </c>
      <c r="G804" s="57">
        <v>0</v>
      </c>
      <c r="H804" s="58">
        <v>-8.1904288302246941E-3</v>
      </c>
      <c r="I804" s="58">
        <v>0</v>
      </c>
      <c r="J804" s="58">
        <v>-8.1904288302246941E-3</v>
      </c>
    </row>
    <row r="805" spans="1:10" ht="11.25" customHeight="1" x14ac:dyDescent="0.2">
      <c r="A805" s="67">
        <v>44805</v>
      </c>
      <c r="B805" s="57">
        <v>71941.645381999988</v>
      </c>
      <c r="C805" s="57">
        <v>71352.412455569458</v>
      </c>
      <c r="D805" s="57">
        <v>0</v>
      </c>
      <c r="E805" s="57">
        <v>0</v>
      </c>
      <c r="F805" s="57">
        <v>0</v>
      </c>
      <c r="G805" s="57">
        <v>0</v>
      </c>
      <c r="H805" s="58">
        <v>-8.1904288302245831E-3</v>
      </c>
      <c r="I805" s="58">
        <v>0</v>
      </c>
      <c r="J805" s="58">
        <v>-8.1904288302245831E-3</v>
      </c>
    </row>
    <row r="806" spans="1:10" ht="11.25" customHeight="1" x14ac:dyDescent="0.2">
      <c r="A806" s="67">
        <v>44835</v>
      </c>
      <c r="B806" s="57">
        <v>68344.103336</v>
      </c>
      <c r="C806" s="57">
        <v>67784.335821660963</v>
      </c>
      <c r="D806" s="57">
        <v>0</v>
      </c>
      <c r="E806" s="57">
        <v>0</v>
      </c>
      <c r="F806" s="57">
        <v>0</v>
      </c>
      <c r="G806" s="57">
        <v>0</v>
      </c>
      <c r="H806" s="58">
        <v>-8.1904288302248052E-3</v>
      </c>
      <c r="I806" s="58">
        <v>0</v>
      </c>
      <c r="J806" s="58">
        <v>-8.1904288302248052E-3</v>
      </c>
    </row>
    <row r="807" spans="1:10" ht="11.25" customHeight="1" x14ac:dyDescent="0.2">
      <c r="A807" s="67">
        <v>44866</v>
      </c>
      <c r="B807" s="57">
        <v>68344.103336</v>
      </c>
      <c r="C807" s="57">
        <v>67784.335821660963</v>
      </c>
      <c r="D807" s="57">
        <v>0</v>
      </c>
      <c r="E807" s="57">
        <v>0</v>
      </c>
      <c r="F807" s="57">
        <v>0</v>
      </c>
      <c r="G807" s="57">
        <v>0</v>
      </c>
      <c r="H807" s="58">
        <v>-8.1904288302248052E-3</v>
      </c>
      <c r="I807" s="58">
        <v>0</v>
      </c>
      <c r="J807" s="58">
        <v>-8.1904288302248052E-3</v>
      </c>
    </row>
    <row r="808" spans="1:10" ht="11.25" customHeight="1" x14ac:dyDescent="0.2">
      <c r="A808" s="66" t="s">
        <v>34</v>
      </c>
      <c r="B808" s="57">
        <v>0</v>
      </c>
      <c r="C808" s="57">
        <v>0</v>
      </c>
      <c r="D808" s="57">
        <v>1152552.377855371</v>
      </c>
      <c r="E808" s="57">
        <v>1187431.599480662</v>
      </c>
      <c r="F808" s="57">
        <v>0</v>
      </c>
      <c r="G808" s="57">
        <v>0</v>
      </c>
      <c r="H808" s="58">
        <v>3.0262591354150103E-2</v>
      </c>
      <c r="I808" s="58">
        <v>0</v>
      </c>
      <c r="J808" s="58">
        <v>3.0262591354150103E-2</v>
      </c>
    </row>
    <row r="809" spans="1:10" ht="11.25" customHeight="1" x14ac:dyDescent="0.2">
      <c r="A809" s="67">
        <v>44531</v>
      </c>
      <c r="B809" s="57">
        <v>0</v>
      </c>
      <c r="C809" s="57">
        <v>0</v>
      </c>
      <c r="D809" s="57">
        <v>47616.249217939236</v>
      </c>
      <c r="E809" s="57">
        <v>49057.240309839101</v>
      </c>
      <c r="F809" s="57">
        <v>0</v>
      </c>
      <c r="G809" s="57">
        <v>0</v>
      </c>
      <c r="H809" s="58">
        <v>3.0262591354150103E-2</v>
      </c>
      <c r="I809" s="58">
        <v>0</v>
      </c>
      <c r="J809" s="58">
        <v>3.0262591354150103E-2</v>
      </c>
    </row>
    <row r="810" spans="1:10" ht="11.25" customHeight="1" x14ac:dyDescent="0.2">
      <c r="A810" s="67">
        <v>44562</v>
      </c>
      <c r="B810" s="57">
        <v>0</v>
      </c>
      <c r="C810" s="57">
        <v>0</v>
      </c>
      <c r="D810" s="57">
        <v>361501.95579367998</v>
      </c>
      <c r="E810" s="57">
        <v>372441.94175559015</v>
      </c>
      <c r="F810" s="57">
        <v>0</v>
      </c>
      <c r="G810" s="57">
        <v>0</v>
      </c>
      <c r="H810" s="58">
        <v>3.0262591354150103E-2</v>
      </c>
      <c r="I810" s="58">
        <v>0</v>
      </c>
      <c r="J810" s="58">
        <v>3.0262591354150103E-2</v>
      </c>
    </row>
    <row r="811" spans="1:10" ht="11.25" customHeight="1" x14ac:dyDescent="0.2">
      <c r="A811" s="67">
        <v>44593</v>
      </c>
      <c r="B811" s="57">
        <v>0</v>
      </c>
      <c r="C811" s="57">
        <v>0</v>
      </c>
      <c r="D811" s="57">
        <v>453139.69303491199</v>
      </c>
      <c r="E811" s="57">
        <v>466852.87439157255</v>
      </c>
      <c r="F811" s="57">
        <v>0</v>
      </c>
      <c r="G811" s="57">
        <v>0</v>
      </c>
      <c r="H811" s="58">
        <v>3.0262591354150103E-2</v>
      </c>
      <c r="I811" s="58">
        <v>0</v>
      </c>
      <c r="J811" s="58">
        <v>3.0262591354150103E-2</v>
      </c>
    </row>
    <row r="812" spans="1:10" ht="11.25" customHeight="1" x14ac:dyDescent="0.2">
      <c r="A812" s="67">
        <v>44621</v>
      </c>
      <c r="B812" s="57">
        <v>0</v>
      </c>
      <c r="C812" s="57">
        <v>0</v>
      </c>
      <c r="D812" s="57">
        <v>90139.448968919998</v>
      </c>
      <c r="E812" s="57">
        <v>92867.302277954688</v>
      </c>
      <c r="F812" s="57">
        <v>0</v>
      </c>
      <c r="G812" s="57">
        <v>0</v>
      </c>
      <c r="H812" s="58">
        <v>3.0262591354150103E-2</v>
      </c>
      <c r="I812" s="58">
        <v>0</v>
      </c>
      <c r="J812" s="58">
        <v>3.0262591354150103E-2</v>
      </c>
    </row>
    <row r="813" spans="1:10" ht="11.25" customHeight="1" x14ac:dyDescent="0.2">
      <c r="A813" s="67">
        <v>44652</v>
      </c>
      <c r="B813" s="57">
        <v>0</v>
      </c>
      <c r="C813" s="57">
        <v>0</v>
      </c>
      <c r="D813" s="57">
        <v>186373.80889254401</v>
      </c>
      <c r="E813" s="57">
        <v>192013.96331017552</v>
      </c>
      <c r="F813" s="57">
        <v>0</v>
      </c>
      <c r="G813" s="57">
        <v>0</v>
      </c>
      <c r="H813" s="58">
        <v>3.0262591354150103E-2</v>
      </c>
      <c r="I813" s="58">
        <v>0</v>
      </c>
      <c r="J813" s="58">
        <v>3.0262591354150103E-2</v>
      </c>
    </row>
    <row r="814" spans="1:10" ht="11.25" customHeight="1" x14ac:dyDescent="0.2">
      <c r="A814" s="67">
        <v>44682</v>
      </c>
      <c r="B814" s="57">
        <v>0</v>
      </c>
      <c r="C814" s="57">
        <v>0</v>
      </c>
      <c r="D814" s="57">
        <v>-17000.313672576001</v>
      </c>
      <c r="E814" s="57">
        <v>-17514.787218141541</v>
      </c>
      <c r="F814" s="57">
        <v>0</v>
      </c>
      <c r="G814" s="57">
        <v>0</v>
      </c>
      <c r="H814" s="58">
        <v>3.0262591354150103E-2</v>
      </c>
      <c r="I814" s="58">
        <v>0</v>
      </c>
      <c r="J814" s="58">
        <v>3.0262591354150103E-2</v>
      </c>
    </row>
    <row r="815" spans="1:10" ht="11.25" customHeight="1" x14ac:dyDescent="0.2">
      <c r="A815" s="67">
        <v>44713</v>
      </c>
      <c r="B815" s="57">
        <v>0</v>
      </c>
      <c r="C815" s="57">
        <v>0</v>
      </c>
      <c r="D815" s="57">
        <v>139446.41090380002</v>
      </c>
      <c r="E815" s="57">
        <v>143666.42065278461</v>
      </c>
      <c r="F815" s="57">
        <v>0</v>
      </c>
      <c r="G815" s="57">
        <v>0</v>
      </c>
      <c r="H815" s="58">
        <v>3.0262591354150103E-2</v>
      </c>
      <c r="I815" s="58">
        <v>0</v>
      </c>
      <c r="J815" s="58">
        <v>3.0262591354150103E-2</v>
      </c>
    </row>
    <row r="816" spans="1:10" ht="11.25" customHeight="1" x14ac:dyDescent="0.2">
      <c r="A816" s="67">
        <v>44743</v>
      </c>
      <c r="B816" s="57">
        <v>0</v>
      </c>
      <c r="C816" s="57">
        <v>0</v>
      </c>
      <c r="D816" s="57">
        <v>483828.36801530403</v>
      </c>
      <c r="E816" s="57">
        <v>498470.26820209651</v>
      </c>
      <c r="F816" s="57">
        <v>0</v>
      </c>
      <c r="G816" s="57">
        <v>0</v>
      </c>
      <c r="H816" s="58">
        <v>3.0262591354150103E-2</v>
      </c>
      <c r="I816" s="58">
        <v>0</v>
      </c>
      <c r="J816" s="58">
        <v>3.0262591354150103E-2</v>
      </c>
    </row>
    <row r="817" spans="1:10" ht="11.25" customHeight="1" x14ac:dyDescent="0.2">
      <c r="A817" s="67">
        <v>44774</v>
      </c>
      <c r="B817" s="57">
        <v>0</v>
      </c>
      <c r="C817" s="57">
        <v>0</v>
      </c>
      <c r="D817" s="57">
        <v>-229933.11226600001</v>
      </c>
      <c r="E817" s="57">
        <v>-236891.48408129386</v>
      </c>
      <c r="F817" s="57">
        <v>0</v>
      </c>
      <c r="G817" s="57">
        <v>0</v>
      </c>
      <c r="H817" s="58">
        <v>3.0262591354150103E-2</v>
      </c>
      <c r="I817" s="58">
        <v>0</v>
      </c>
      <c r="J817" s="58">
        <v>3.0262591354150103E-2</v>
      </c>
    </row>
    <row r="818" spans="1:10" ht="11.25" customHeight="1" x14ac:dyDescent="0.2">
      <c r="A818" s="67">
        <v>44805</v>
      </c>
      <c r="B818" s="57">
        <v>0</v>
      </c>
      <c r="C818" s="57">
        <v>0</v>
      </c>
      <c r="D818" s="57">
        <v>218878.7408496</v>
      </c>
      <c r="E818" s="57">
        <v>225502.57874004237</v>
      </c>
      <c r="F818" s="57">
        <v>0</v>
      </c>
      <c r="G818" s="57">
        <v>0</v>
      </c>
      <c r="H818" s="58">
        <v>3.0262591354150103E-2</v>
      </c>
      <c r="I818" s="58">
        <v>0</v>
      </c>
      <c r="J818" s="58">
        <v>3.0262591354150103E-2</v>
      </c>
    </row>
    <row r="819" spans="1:10" ht="11.25" customHeight="1" x14ac:dyDescent="0.2">
      <c r="A819" s="67">
        <v>44835</v>
      </c>
      <c r="B819" s="57">
        <v>0</v>
      </c>
      <c r="C819" s="57">
        <v>0</v>
      </c>
      <c r="D819" s="57">
        <v>-290719.43594137602</v>
      </c>
      <c r="E819" s="57">
        <v>-299517.35942997888</v>
      </c>
      <c r="F819" s="57">
        <v>0</v>
      </c>
      <c r="G819" s="57">
        <v>0</v>
      </c>
      <c r="H819" s="58">
        <v>3.0262591354150103E-2</v>
      </c>
      <c r="I819" s="58">
        <v>0</v>
      </c>
      <c r="J819" s="58">
        <v>3.0262591354150103E-2</v>
      </c>
    </row>
    <row r="820" spans="1:10" ht="11.25" customHeight="1" x14ac:dyDescent="0.2">
      <c r="A820" s="67">
        <v>44866</v>
      </c>
      <c r="B820" s="57">
        <v>0</v>
      </c>
      <c r="C820" s="57">
        <v>0</v>
      </c>
      <c r="D820" s="57">
        <v>-290719.43594137602</v>
      </c>
      <c r="E820" s="57">
        <v>-299517.35942997888</v>
      </c>
      <c r="F820" s="57">
        <v>0</v>
      </c>
      <c r="G820" s="57">
        <v>0</v>
      </c>
      <c r="H820" s="58">
        <v>3.0262591354150103E-2</v>
      </c>
      <c r="I820" s="58">
        <v>0</v>
      </c>
      <c r="J820" s="58">
        <v>3.0262591354150103E-2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EF28-B05A-4B67-BDCF-B6ABF212116E}">
  <sheetPr codeName="Planilha19"/>
  <dimension ref="A1:G260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7" bestFit="1" customWidth="1"/>
    <col min="3" max="3" width="21.85546875" style="57" bestFit="1" customWidth="1"/>
    <col min="4" max="4" width="20.28515625" style="57" bestFit="1" customWidth="1"/>
    <col min="5" max="5" width="21.7109375" style="57" bestFit="1" customWidth="1"/>
    <col min="6" max="6" width="14.85546875" style="57" bestFit="1" customWidth="1"/>
    <col min="7" max="7" width="14.7109375" style="57" bestFit="1" customWidth="1"/>
    <col min="8" max="16384" width="9.140625" style="16"/>
  </cols>
  <sheetData>
    <row r="1" spans="1:7" ht="11.25" customHeight="1" x14ac:dyDescent="0.2">
      <c r="A1" s="56" t="s">
        <v>826</v>
      </c>
      <c r="B1" s="57" t="s">
        <v>852</v>
      </c>
      <c r="C1" s="57" t="s">
        <v>853</v>
      </c>
      <c r="D1" s="57" t="s">
        <v>854</v>
      </c>
      <c r="E1" s="57" t="s">
        <v>855</v>
      </c>
      <c r="F1" s="57" t="s">
        <v>856</v>
      </c>
      <c r="G1" s="57" t="s">
        <v>857</v>
      </c>
    </row>
    <row r="2" spans="1:7" ht="11.25" customHeight="1" x14ac:dyDescent="0.2">
      <c r="A2" s="59" t="s">
        <v>842</v>
      </c>
      <c r="B2" s="57">
        <v>238785.05100000015</v>
      </c>
      <c r="C2" s="57">
        <v>414142.89487380045</v>
      </c>
      <c r="D2" s="57">
        <v>234455.49804417876</v>
      </c>
      <c r="E2" s="57">
        <v>657820.13415023999</v>
      </c>
      <c r="F2" s="57">
        <v>652927.94587380043</v>
      </c>
      <c r="G2" s="57">
        <v>892275.63219441881</v>
      </c>
    </row>
    <row r="3" spans="1:7" ht="11.25" customHeight="1" x14ac:dyDescent="0.2">
      <c r="A3" s="60" t="s">
        <v>41</v>
      </c>
      <c r="B3" s="57">
        <v>238785.05100000015</v>
      </c>
      <c r="C3" s="57">
        <v>251723.06990460024</v>
      </c>
      <c r="D3" s="57">
        <v>234455.49804417876</v>
      </c>
      <c r="E3" s="57">
        <v>440557.02987136989</v>
      </c>
      <c r="F3" s="57">
        <v>490508.12090460036</v>
      </c>
      <c r="G3" s="57">
        <v>675012.52791554877</v>
      </c>
    </row>
    <row r="4" spans="1:7" ht="11.25" customHeight="1" x14ac:dyDescent="0.2">
      <c r="A4" s="61" t="s">
        <v>40</v>
      </c>
      <c r="B4" s="57">
        <v>177085.5780000001</v>
      </c>
      <c r="C4" s="57">
        <v>114545.97329460007</v>
      </c>
      <c r="D4" s="57">
        <v>173261.3701866476</v>
      </c>
      <c r="E4" s="57">
        <v>221072.72965156072</v>
      </c>
      <c r="F4" s="57">
        <v>291631.55129460018</v>
      </c>
      <c r="G4" s="57">
        <v>394334.09983820829</v>
      </c>
    </row>
    <row r="5" spans="1:7" ht="11.25" customHeight="1" x14ac:dyDescent="0.2">
      <c r="A5" s="62" t="s">
        <v>51</v>
      </c>
      <c r="B5" s="57">
        <v>177085.5780000001</v>
      </c>
      <c r="C5" s="57">
        <v>114545.97329460007</v>
      </c>
      <c r="D5" s="57">
        <v>173261.3701866476</v>
      </c>
      <c r="E5" s="57">
        <v>221072.72965156072</v>
      </c>
      <c r="F5" s="57">
        <v>291631.55129460018</v>
      </c>
      <c r="G5" s="57">
        <v>394334.09983820829</v>
      </c>
    </row>
    <row r="6" spans="1:7" ht="11.25" customHeight="1" x14ac:dyDescent="0.2">
      <c r="A6" s="63" t="s">
        <v>52</v>
      </c>
      <c r="B6" s="57">
        <v>177085.5780000001</v>
      </c>
      <c r="C6" s="57">
        <v>114545.97329460007</v>
      </c>
      <c r="D6" s="57">
        <v>173261.3701866476</v>
      </c>
      <c r="E6" s="57">
        <v>221072.72965156072</v>
      </c>
      <c r="F6" s="57">
        <v>291631.55129460018</v>
      </c>
      <c r="G6" s="57">
        <v>394334.09983820829</v>
      </c>
    </row>
    <row r="7" spans="1:7" ht="11.25" customHeight="1" x14ac:dyDescent="0.2">
      <c r="A7" s="64" t="s">
        <v>25</v>
      </c>
      <c r="B7" s="57">
        <v>177085.5780000001</v>
      </c>
      <c r="C7" s="57">
        <v>114545.97329460007</v>
      </c>
      <c r="D7" s="57">
        <v>173261.3701866476</v>
      </c>
      <c r="E7" s="57">
        <v>221072.72965156072</v>
      </c>
      <c r="F7" s="57">
        <v>291631.55129460018</v>
      </c>
      <c r="G7" s="57">
        <v>394334.09983820829</v>
      </c>
    </row>
    <row r="8" spans="1:7" ht="11.25" customHeight="1" x14ac:dyDescent="0.2">
      <c r="A8" s="65" t="s">
        <v>25</v>
      </c>
      <c r="B8" s="57">
        <v>177085.5780000001</v>
      </c>
      <c r="C8" s="57">
        <v>114545.97329460007</v>
      </c>
      <c r="D8" s="57">
        <v>173261.3701866476</v>
      </c>
      <c r="E8" s="57">
        <v>221072.72965156072</v>
      </c>
      <c r="F8" s="57">
        <v>291631.55129460018</v>
      </c>
      <c r="G8" s="57">
        <v>394334.09983820829</v>
      </c>
    </row>
    <row r="9" spans="1:7" ht="11.25" customHeight="1" x14ac:dyDescent="0.2">
      <c r="A9" s="66" t="s">
        <v>35</v>
      </c>
      <c r="B9" s="57">
        <v>51100.338000000018</v>
      </c>
      <c r="C9" s="57">
        <v>101963.94128160008</v>
      </c>
      <c r="D9" s="57">
        <v>50681.804318410563</v>
      </c>
      <c r="E9" s="57">
        <v>196882.83448541659</v>
      </c>
      <c r="F9" s="57">
        <v>153064.27928160009</v>
      </c>
      <c r="G9" s="57">
        <v>247564.63880382717</v>
      </c>
    </row>
    <row r="10" spans="1:7" ht="11.25" customHeight="1" x14ac:dyDescent="0.2">
      <c r="A10" s="67">
        <v>44531</v>
      </c>
      <c r="B10" s="57">
        <v>4618.08</v>
      </c>
      <c r="C10" s="57">
        <v>9361.0828800000054</v>
      </c>
      <c r="D10" s="57">
        <v>4580.2559444277158</v>
      </c>
      <c r="E10" s="57">
        <v>18075.375550433855</v>
      </c>
      <c r="F10" s="57">
        <v>13979.162880000005</v>
      </c>
      <c r="G10" s="57">
        <v>22655.631494861569</v>
      </c>
    </row>
    <row r="11" spans="1:7" ht="11.25" customHeight="1" x14ac:dyDescent="0.2">
      <c r="A11" s="67">
        <v>44562</v>
      </c>
      <c r="B11" s="57">
        <v>4618.08</v>
      </c>
      <c r="C11" s="57">
        <v>9206.7928800000045</v>
      </c>
      <c r="D11" s="57">
        <v>4580.2559444277158</v>
      </c>
      <c r="E11" s="57">
        <v>17777.455990333088</v>
      </c>
      <c r="F11" s="57">
        <v>13824.872880000004</v>
      </c>
      <c r="G11" s="57">
        <v>22357.711934760802</v>
      </c>
    </row>
    <row r="12" spans="1:7" ht="11.25" customHeight="1" x14ac:dyDescent="0.2">
      <c r="A12" s="67">
        <v>44593</v>
      </c>
      <c r="B12" s="57">
        <v>4618.08</v>
      </c>
      <c r="C12" s="57">
        <v>9947.0392704000151</v>
      </c>
      <c r="D12" s="57">
        <v>4580.2559444277158</v>
      </c>
      <c r="E12" s="57">
        <v>19206.802539002172</v>
      </c>
      <c r="F12" s="57">
        <v>14565.119270400015</v>
      </c>
      <c r="G12" s="57">
        <v>23787.058483429886</v>
      </c>
    </row>
    <row r="13" spans="1:7" ht="11.25" customHeight="1" x14ac:dyDescent="0.2">
      <c r="A13" s="67">
        <v>44621</v>
      </c>
      <c r="B13" s="57">
        <v>4618.08</v>
      </c>
      <c r="C13" s="57">
        <v>9496.9938552000058</v>
      </c>
      <c r="D13" s="57">
        <v>4580.2559444277158</v>
      </c>
      <c r="E13" s="57">
        <v>18337.806932535423</v>
      </c>
      <c r="F13" s="57">
        <v>14115.073855200006</v>
      </c>
      <c r="G13" s="57">
        <v>22918.062876963137</v>
      </c>
    </row>
    <row r="14" spans="1:7" ht="11.25" customHeight="1" x14ac:dyDescent="0.2">
      <c r="A14" s="67">
        <v>44652</v>
      </c>
      <c r="B14" s="57">
        <v>4618.08</v>
      </c>
      <c r="C14" s="57">
        <v>9331.1012472000184</v>
      </c>
      <c r="D14" s="57">
        <v>4580.2559444277158</v>
      </c>
      <c r="E14" s="57">
        <v>18017.483821515103</v>
      </c>
      <c r="F14" s="57">
        <v>13949.181247200018</v>
      </c>
      <c r="G14" s="57">
        <v>22597.739765942817</v>
      </c>
    </row>
    <row r="15" spans="1:7" ht="11.25" customHeight="1" x14ac:dyDescent="0.2">
      <c r="A15" s="67">
        <v>44682</v>
      </c>
      <c r="B15" s="57">
        <v>4618.08</v>
      </c>
      <c r="C15" s="57">
        <v>8879.747452800013</v>
      </c>
      <c r="D15" s="57">
        <v>4580.2559444277158</v>
      </c>
      <c r="E15" s="57">
        <v>17145.961857178707</v>
      </c>
      <c r="F15" s="57">
        <v>13497.827452800013</v>
      </c>
      <c r="G15" s="57">
        <v>21726.217801606421</v>
      </c>
    </row>
    <row r="16" spans="1:7" ht="11.25" customHeight="1" x14ac:dyDescent="0.2">
      <c r="A16" s="67">
        <v>44713</v>
      </c>
      <c r="B16" s="57">
        <v>4618.08</v>
      </c>
      <c r="C16" s="57">
        <v>8199.4766712000128</v>
      </c>
      <c r="D16" s="57">
        <v>4580.2559444277158</v>
      </c>
      <c r="E16" s="57">
        <v>15832.42259991201</v>
      </c>
      <c r="F16" s="57">
        <v>12817.556671200013</v>
      </c>
      <c r="G16" s="57">
        <v>20412.678544339724</v>
      </c>
    </row>
    <row r="17" spans="1:7" ht="11.25" customHeight="1" x14ac:dyDescent="0.2">
      <c r="A17" s="67">
        <v>44743</v>
      </c>
      <c r="B17" s="57">
        <v>4618.08</v>
      </c>
      <c r="C17" s="57">
        <v>3214.1692800000046</v>
      </c>
      <c r="D17" s="57">
        <v>4580.2559444277158</v>
      </c>
      <c r="E17" s="57">
        <v>6206.2602760192258</v>
      </c>
      <c r="F17" s="57">
        <v>7832.2492800000045</v>
      </c>
      <c r="G17" s="57">
        <v>10786.516220446942</v>
      </c>
    </row>
    <row r="18" spans="1:7" ht="11.25" customHeight="1" x14ac:dyDescent="0.2">
      <c r="A18" s="67">
        <v>44774</v>
      </c>
      <c r="B18" s="57">
        <v>3447.5249999999996</v>
      </c>
      <c r="C18" s="57">
        <v>12270.942907200009</v>
      </c>
      <c r="D18" s="57">
        <v>3419.2882918470791</v>
      </c>
      <c r="E18" s="57">
        <v>23694.043119675131</v>
      </c>
      <c r="F18" s="57">
        <v>15718.467907200009</v>
      </c>
      <c r="G18" s="57">
        <v>27113.331411522209</v>
      </c>
    </row>
    <row r="19" spans="1:7" ht="11.25" customHeight="1" x14ac:dyDescent="0.2">
      <c r="A19" s="67">
        <v>44805</v>
      </c>
      <c r="B19" s="57">
        <v>3569.391000000001</v>
      </c>
      <c r="C19" s="57">
        <v>6801.115543200005</v>
      </c>
      <c r="D19" s="57">
        <v>3540.1561570472563</v>
      </c>
      <c r="E19" s="57">
        <v>13132.318042806708</v>
      </c>
      <c r="F19" s="57">
        <v>10370.506543200006</v>
      </c>
      <c r="G19" s="57">
        <v>16672.474199853965</v>
      </c>
    </row>
    <row r="20" spans="1:7" ht="11.25" customHeight="1" x14ac:dyDescent="0.2">
      <c r="A20" s="67">
        <v>44835</v>
      </c>
      <c r="B20" s="57">
        <v>3569.391000000001</v>
      </c>
      <c r="C20" s="57">
        <v>7627.7396472</v>
      </c>
      <c r="D20" s="57">
        <v>3540.1561570472563</v>
      </c>
      <c r="E20" s="57">
        <v>14728.451878002579</v>
      </c>
      <c r="F20" s="57">
        <v>11197.130647200001</v>
      </c>
      <c r="G20" s="57">
        <v>18268.608035049834</v>
      </c>
    </row>
    <row r="21" spans="1:7" ht="11.25" customHeight="1" x14ac:dyDescent="0.2">
      <c r="A21" s="67">
        <v>44866</v>
      </c>
      <c r="B21" s="57">
        <v>3569.391000000001</v>
      </c>
      <c r="C21" s="57">
        <v>7627.7396472</v>
      </c>
      <c r="D21" s="57">
        <v>3540.1561570472563</v>
      </c>
      <c r="E21" s="57">
        <v>14728.451878002579</v>
      </c>
      <c r="F21" s="57">
        <v>11197.130647200001</v>
      </c>
      <c r="G21" s="57">
        <v>18268.608035049834</v>
      </c>
    </row>
    <row r="22" spans="1:7" ht="11.25" customHeight="1" x14ac:dyDescent="0.2">
      <c r="A22" s="66" t="s">
        <v>34</v>
      </c>
      <c r="B22" s="57">
        <v>125985.24000000008</v>
      </c>
      <c r="C22" s="57">
        <v>12582.032013000009</v>
      </c>
      <c r="D22" s="57">
        <v>122579.56586823704</v>
      </c>
      <c r="E22" s="57">
        <v>24189.895166144179</v>
      </c>
      <c r="F22" s="57">
        <v>138567.2720130001</v>
      </c>
      <c r="G22" s="57">
        <v>146769.46103438124</v>
      </c>
    </row>
    <row r="23" spans="1:7" ht="11.25" customHeight="1" x14ac:dyDescent="0.2">
      <c r="A23" s="67">
        <v>44531</v>
      </c>
      <c r="B23" s="57">
        <v>11249.280000000008</v>
      </c>
      <c r="C23" s="57">
        <v>1207.5264000000011</v>
      </c>
      <c r="D23" s="57">
        <v>10945.185791051726</v>
      </c>
      <c r="E23" s="57">
        <v>2321.5595856194941</v>
      </c>
      <c r="F23" s="57">
        <v>12456.806400000009</v>
      </c>
      <c r="G23" s="57">
        <v>13266.745376671221</v>
      </c>
    </row>
    <row r="24" spans="1:7" ht="11.25" customHeight="1" x14ac:dyDescent="0.2">
      <c r="A24" s="67">
        <v>44562</v>
      </c>
      <c r="B24" s="57">
        <v>11249.280000000008</v>
      </c>
      <c r="C24" s="57">
        <v>1167.2126280000004</v>
      </c>
      <c r="D24" s="57">
        <v>10945.185791051726</v>
      </c>
      <c r="E24" s="57">
        <v>2244.0533515370921</v>
      </c>
      <c r="F24" s="57">
        <v>12416.492628000009</v>
      </c>
      <c r="G24" s="57">
        <v>13189.239142588818</v>
      </c>
    </row>
    <row r="25" spans="1:7" ht="11.25" customHeight="1" x14ac:dyDescent="0.2">
      <c r="A25" s="67">
        <v>44593</v>
      </c>
      <c r="B25" s="57">
        <v>11249.280000000008</v>
      </c>
      <c r="C25" s="57">
        <v>1297.6349130000028</v>
      </c>
      <c r="D25" s="57">
        <v>10945.185791051726</v>
      </c>
      <c r="E25" s="57">
        <v>2494.7999239682645</v>
      </c>
      <c r="F25" s="57">
        <v>12546.914913000011</v>
      </c>
      <c r="G25" s="57">
        <v>13439.985715019991</v>
      </c>
    </row>
    <row r="26" spans="1:7" ht="11.25" customHeight="1" x14ac:dyDescent="0.2">
      <c r="A26" s="67">
        <v>44621</v>
      </c>
      <c r="B26" s="57">
        <v>11249.280000000008</v>
      </c>
      <c r="C26" s="57">
        <v>1208.1238740000008</v>
      </c>
      <c r="D26" s="57">
        <v>10945.185791051726</v>
      </c>
      <c r="E26" s="57">
        <v>2322.7082739561283</v>
      </c>
      <c r="F26" s="57">
        <v>12457.403874000009</v>
      </c>
      <c r="G26" s="57">
        <v>13267.894065007855</v>
      </c>
    </row>
    <row r="27" spans="1:7" ht="11.25" customHeight="1" x14ac:dyDescent="0.2">
      <c r="A27" s="67">
        <v>44652</v>
      </c>
      <c r="B27" s="57">
        <v>11249.280000000008</v>
      </c>
      <c r="C27" s="57">
        <v>1033.3312830000007</v>
      </c>
      <c r="D27" s="57">
        <v>10945.185791051726</v>
      </c>
      <c r="E27" s="57">
        <v>1986.6564782096186</v>
      </c>
      <c r="F27" s="57">
        <v>12282.611283000009</v>
      </c>
      <c r="G27" s="57">
        <v>12931.842269261346</v>
      </c>
    </row>
    <row r="28" spans="1:7" ht="11.25" customHeight="1" x14ac:dyDescent="0.2">
      <c r="A28" s="67">
        <v>44682</v>
      </c>
      <c r="B28" s="57">
        <v>11249.280000000008</v>
      </c>
      <c r="C28" s="57">
        <v>1094.9182740000001</v>
      </c>
      <c r="D28" s="57">
        <v>10945.185791051726</v>
      </c>
      <c r="E28" s="57">
        <v>2105.0620628042998</v>
      </c>
      <c r="F28" s="57">
        <v>12344.198274000008</v>
      </c>
      <c r="G28" s="57">
        <v>13050.247853856026</v>
      </c>
    </row>
    <row r="29" spans="1:7" ht="11.25" customHeight="1" x14ac:dyDescent="0.2">
      <c r="A29" s="67">
        <v>44713</v>
      </c>
      <c r="B29" s="57">
        <v>11249.280000000008</v>
      </c>
      <c r="C29" s="57">
        <v>1026.5389470000009</v>
      </c>
      <c r="D29" s="57">
        <v>10945.185791051726</v>
      </c>
      <c r="E29" s="57">
        <v>1973.5977055405094</v>
      </c>
      <c r="F29" s="57">
        <v>12275.818947000009</v>
      </c>
      <c r="G29" s="57">
        <v>12918.783496592236</v>
      </c>
    </row>
    <row r="30" spans="1:7" ht="11.25" customHeight="1" x14ac:dyDescent="0.2">
      <c r="A30" s="67">
        <v>44743</v>
      </c>
      <c r="B30" s="57">
        <v>11249.280000000008</v>
      </c>
      <c r="C30" s="57">
        <v>367.38361800000069</v>
      </c>
      <c r="D30" s="57">
        <v>10945.185791051726</v>
      </c>
      <c r="E30" s="57">
        <v>706.32241246855665</v>
      </c>
      <c r="F30" s="57">
        <v>11616.663618000008</v>
      </c>
      <c r="G30" s="57">
        <v>11651.508203520283</v>
      </c>
    </row>
    <row r="31" spans="1:7" ht="11.25" customHeight="1" x14ac:dyDescent="0.2">
      <c r="A31" s="67">
        <v>44774</v>
      </c>
      <c r="B31" s="57">
        <v>8997.75</v>
      </c>
      <c r="C31" s="57">
        <v>1602.5196060000012</v>
      </c>
      <c r="D31" s="57">
        <v>8754.5198849558019</v>
      </c>
      <c r="E31" s="57">
        <v>3080.9634906967449</v>
      </c>
      <c r="F31" s="57">
        <v>10600.269606000002</v>
      </c>
      <c r="G31" s="57">
        <v>11835.483375652548</v>
      </c>
    </row>
    <row r="32" spans="1:7" ht="11.25" customHeight="1" x14ac:dyDescent="0.2">
      <c r="A32" s="67">
        <v>44805</v>
      </c>
      <c r="B32" s="57">
        <v>8997.75</v>
      </c>
      <c r="C32" s="57">
        <v>856.43181000000004</v>
      </c>
      <c r="D32" s="57">
        <v>8754.5198849558019</v>
      </c>
      <c r="E32" s="57">
        <v>1646.5540446444497</v>
      </c>
      <c r="F32" s="57">
        <v>9854.18181</v>
      </c>
      <c r="G32" s="57">
        <v>10401.073929600252</v>
      </c>
    </row>
    <row r="33" spans="1:7" ht="11.25" customHeight="1" x14ac:dyDescent="0.2">
      <c r="A33" s="67">
        <v>44835</v>
      </c>
      <c r="B33" s="57">
        <v>8997.75</v>
      </c>
      <c r="C33" s="57">
        <v>860.20533000000057</v>
      </c>
      <c r="D33" s="57">
        <v>8754.5198849558019</v>
      </c>
      <c r="E33" s="57">
        <v>1653.8089183495117</v>
      </c>
      <c r="F33" s="57">
        <v>9857.9553300000007</v>
      </c>
      <c r="G33" s="57">
        <v>10408.328803305314</v>
      </c>
    </row>
    <row r="34" spans="1:7" ht="11.25" customHeight="1" x14ac:dyDescent="0.2">
      <c r="A34" s="67">
        <v>44866</v>
      </c>
      <c r="B34" s="57">
        <v>8997.75</v>
      </c>
      <c r="C34" s="57">
        <v>860.20533000000057</v>
      </c>
      <c r="D34" s="57">
        <v>8754.5198849558019</v>
      </c>
      <c r="E34" s="57">
        <v>1653.8089183495117</v>
      </c>
      <c r="F34" s="57">
        <v>9857.9553300000007</v>
      </c>
      <c r="G34" s="57">
        <v>10408.328803305314</v>
      </c>
    </row>
    <row r="35" spans="1:7" ht="11.25" customHeight="1" x14ac:dyDescent="0.2">
      <c r="A35" s="61" t="s">
        <v>43</v>
      </c>
      <c r="B35" s="57">
        <v>61699.47300000002</v>
      </c>
      <c r="C35" s="57">
        <v>137177.09661000015</v>
      </c>
      <c r="D35" s="57">
        <v>61194.127857531144</v>
      </c>
      <c r="E35" s="57">
        <v>219484.30021980937</v>
      </c>
      <c r="F35" s="57">
        <v>198876.56961000015</v>
      </c>
      <c r="G35" s="57">
        <v>280678.42807734053</v>
      </c>
    </row>
    <row r="36" spans="1:7" ht="11.25" customHeight="1" x14ac:dyDescent="0.2">
      <c r="A36" s="62" t="s">
        <v>51</v>
      </c>
      <c r="B36" s="57">
        <v>61699.47300000002</v>
      </c>
      <c r="C36" s="57">
        <v>137177.09661000015</v>
      </c>
      <c r="D36" s="57">
        <v>61194.127857531144</v>
      </c>
      <c r="E36" s="57">
        <v>219484.30021980937</v>
      </c>
      <c r="F36" s="57">
        <v>198876.56961000015</v>
      </c>
      <c r="G36" s="57">
        <v>280678.42807734053</v>
      </c>
    </row>
    <row r="37" spans="1:7" ht="11.25" customHeight="1" x14ac:dyDescent="0.2">
      <c r="A37" s="63" t="s">
        <v>52</v>
      </c>
      <c r="B37" s="57">
        <v>61699.47300000002</v>
      </c>
      <c r="C37" s="57">
        <v>137177.09661000015</v>
      </c>
      <c r="D37" s="57">
        <v>61194.127857531144</v>
      </c>
      <c r="E37" s="57">
        <v>219484.30021980937</v>
      </c>
      <c r="F37" s="57">
        <v>198876.56961000015</v>
      </c>
      <c r="G37" s="57">
        <v>280678.42807734053</v>
      </c>
    </row>
    <row r="38" spans="1:7" ht="11.25" customHeight="1" x14ac:dyDescent="0.2">
      <c r="A38" s="64" t="s">
        <v>25</v>
      </c>
      <c r="B38" s="57">
        <v>61699.47300000002</v>
      </c>
      <c r="C38" s="57">
        <v>137177.09661000015</v>
      </c>
      <c r="D38" s="57">
        <v>61194.127857531144</v>
      </c>
      <c r="E38" s="57">
        <v>219484.30021980937</v>
      </c>
      <c r="F38" s="57">
        <v>198876.56961000015</v>
      </c>
      <c r="G38" s="57">
        <v>280678.42807734053</v>
      </c>
    </row>
    <row r="39" spans="1:7" ht="11.25" customHeight="1" x14ac:dyDescent="0.2">
      <c r="A39" s="65" t="s">
        <v>25</v>
      </c>
      <c r="B39" s="57">
        <v>61699.47300000002</v>
      </c>
      <c r="C39" s="57">
        <v>137177.09661000015</v>
      </c>
      <c r="D39" s="57">
        <v>61194.127857531144</v>
      </c>
      <c r="E39" s="57">
        <v>219484.30021980937</v>
      </c>
      <c r="F39" s="57">
        <v>198876.56961000015</v>
      </c>
      <c r="G39" s="57">
        <v>280678.42807734053</v>
      </c>
    </row>
    <row r="40" spans="1:7" ht="11.25" customHeight="1" x14ac:dyDescent="0.2">
      <c r="A40" s="66" t="s">
        <v>35</v>
      </c>
      <c r="B40" s="57">
        <v>0</v>
      </c>
      <c r="C40" s="57">
        <v>80632.311952800083</v>
      </c>
      <c r="D40" s="57">
        <v>0</v>
      </c>
      <c r="E40" s="57">
        <v>155693.45328204142</v>
      </c>
      <c r="F40" s="57">
        <v>80632.311952800083</v>
      </c>
      <c r="G40" s="57">
        <v>155693.45328204142</v>
      </c>
    </row>
    <row r="41" spans="1:7" ht="11.25" customHeight="1" x14ac:dyDescent="0.2">
      <c r="A41" s="67">
        <v>44531</v>
      </c>
      <c r="B41" s="57">
        <v>0</v>
      </c>
      <c r="C41" s="57">
        <v>6588.4298640000034</v>
      </c>
      <c r="D41" s="57">
        <v>0</v>
      </c>
      <c r="E41" s="57">
        <v>12721.641887598998</v>
      </c>
      <c r="F41" s="57">
        <v>6588.4298640000034</v>
      </c>
      <c r="G41" s="57">
        <v>12721.641887598998</v>
      </c>
    </row>
    <row r="42" spans="1:7" ht="11.25" customHeight="1" x14ac:dyDescent="0.2">
      <c r="A42" s="67">
        <v>44562</v>
      </c>
      <c r="B42" s="57">
        <v>0</v>
      </c>
      <c r="C42" s="57">
        <v>6679.2264432000102</v>
      </c>
      <c r="D42" s="57">
        <v>0</v>
      </c>
      <c r="E42" s="57">
        <v>12896.961590327111</v>
      </c>
      <c r="F42" s="57">
        <v>6679.2264432000102</v>
      </c>
      <c r="G42" s="57">
        <v>12896.961590327111</v>
      </c>
    </row>
    <row r="43" spans="1:7" ht="11.25" customHeight="1" x14ac:dyDescent="0.2">
      <c r="A43" s="67">
        <v>44593</v>
      </c>
      <c r="B43" s="57">
        <v>0</v>
      </c>
      <c r="C43" s="57">
        <v>5607.5281032000003</v>
      </c>
      <c r="D43" s="57">
        <v>0</v>
      </c>
      <c r="E43" s="57">
        <v>10827.612325867152</v>
      </c>
      <c r="F43" s="57">
        <v>5607.5281032000003</v>
      </c>
      <c r="G43" s="57">
        <v>10827.612325867152</v>
      </c>
    </row>
    <row r="44" spans="1:7" ht="11.25" customHeight="1" x14ac:dyDescent="0.2">
      <c r="A44" s="67">
        <v>44621</v>
      </c>
      <c r="B44" s="57">
        <v>0</v>
      </c>
      <c r="C44" s="57">
        <v>7221.2286984000157</v>
      </c>
      <c r="D44" s="57">
        <v>0</v>
      </c>
      <c r="E44" s="57">
        <v>13943.517254613911</v>
      </c>
      <c r="F44" s="57">
        <v>7221.2286984000157</v>
      </c>
      <c r="G44" s="57">
        <v>13943.517254613911</v>
      </c>
    </row>
    <row r="45" spans="1:7" ht="11.25" customHeight="1" x14ac:dyDescent="0.2">
      <c r="A45" s="67">
        <v>44652</v>
      </c>
      <c r="B45" s="57">
        <v>0</v>
      </c>
      <c r="C45" s="57">
        <v>6288.2679264000089</v>
      </c>
      <c r="D45" s="57">
        <v>0</v>
      </c>
      <c r="E45" s="57">
        <v>12142.057258596571</v>
      </c>
      <c r="F45" s="57">
        <v>6288.2679264000089</v>
      </c>
      <c r="G45" s="57">
        <v>12142.057258596571</v>
      </c>
    </row>
    <row r="46" spans="1:7" ht="11.25" customHeight="1" x14ac:dyDescent="0.2">
      <c r="A46" s="67">
        <v>44682</v>
      </c>
      <c r="B46" s="57">
        <v>0</v>
      </c>
      <c r="C46" s="57">
        <v>6205.3956816000045</v>
      </c>
      <c r="D46" s="57">
        <v>0</v>
      </c>
      <c r="E46" s="57">
        <v>11982.038704475235</v>
      </c>
      <c r="F46" s="57">
        <v>6205.3956816000045</v>
      </c>
      <c r="G46" s="57">
        <v>11982.038704475235</v>
      </c>
    </row>
    <row r="47" spans="1:7" ht="11.25" customHeight="1" x14ac:dyDescent="0.2">
      <c r="A47" s="67">
        <v>44713</v>
      </c>
      <c r="B47" s="57">
        <v>0</v>
      </c>
      <c r="C47" s="57">
        <v>5983.3044840000002</v>
      </c>
      <c r="D47" s="57">
        <v>0</v>
      </c>
      <c r="E47" s="57">
        <v>11553.201372883774</v>
      </c>
      <c r="F47" s="57">
        <v>5983.3044840000002</v>
      </c>
      <c r="G47" s="57">
        <v>11553.201372883774</v>
      </c>
    </row>
    <row r="48" spans="1:7" ht="11.25" customHeight="1" x14ac:dyDescent="0.2">
      <c r="A48" s="67">
        <v>44743</v>
      </c>
      <c r="B48" s="57">
        <v>0</v>
      </c>
      <c r="C48" s="57">
        <v>2350.996960800001</v>
      </c>
      <c r="D48" s="57">
        <v>0</v>
      </c>
      <c r="E48" s="57">
        <v>4539.5552554266696</v>
      </c>
      <c r="F48" s="57">
        <v>2350.996960800001</v>
      </c>
      <c r="G48" s="57">
        <v>4539.5552554266696</v>
      </c>
    </row>
    <row r="49" spans="1:7" ht="11.25" customHeight="1" x14ac:dyDescent="0.2">
      <c r="A49" s="67">
        <v>44774</v>
      </c>
      <c r="B49" s="57">
        <v>0</v>
      </c>
      <c r="C49" s="57">
        <v>11577.551304000006</v>
      </c>
      <c r="D49" s="57">
        <v>0</v>
      </c>
      <c r="E49" s="57">
        <v>22355.168783017463</v>
      </c>
      <c r="F49" s="57">
        <v>11577.551304000006</v>
      </c>
      <c r="G49" s="57">
        <v>22355.168783017463</v>
      </c>
    </row>
    <row r="50" spans="1:7" ht="11.25" customHeight="1" x14ac:dyDescent="0.2">
      <c r="A50" s="67">
        <v>44805</v>
      </c>
      <c r="B50" s="57">
        <v>0</v>
      </c>
      <c r="C50" s="57">
        <v>6757.0503192000033</v>
      </c>
      <c r="D50" s="57">
        <v>0</v>
      </c>
      <c r="E50" s="57">
        <v>13047.232216441927</v>
      </c>
      <c r="F50" s="57">
        <v>6757.0503192000033</v>
      </c>
      <c r="G50" s="57">
        <v>13047.232216441927</v>
      </c>
    </row>
    <row r="51" spans="1:7" ht="11.25" customHeight="1" x14ac:dyDescent="0.2">
      <c r="A51" s="67">
        <v>44835</v>
      </c>
      <c r="B51" s="57">
        <v>0</v>
      </c>
      <c r="C51" s="57">
        <v>7686.6660840000168</v>
      </c>
      <c r="D51" s="57">
        <v>0</v>
      </c>
      <c r="E51" s="57">
        <v>14842.233316396298</v>
      </c>
      <c r="F51" s="57">
        <v>7686.6660840000168</v>
      </c>
      <c r="G51" s="57">
        <v>14842.233316396298</v>
      </c>
    </row>
    <row r="52" spans="1:7" ht="11.25" customHeight="1" x14ac:dyDescent="0.2">
      <c r="A52" s="67">
        <v>44866</v>
      </c>
      <c r="B52" s="57">
        <v>0</v>
      </c>
      <c r="C52" s="57">
        <v>7686.6660840000168</v>
      </c>
      <c r="D52" s="57">
        <v>0</v>
      </c>
      <c r="E52" s="57">
        <v>14842.233316396298</v>
      </c>
      <c r="F52" s="57">
        <v>7686.6660840000168</v>
      </c>
      <c r="G52" s="57">
        <v>14842.233316396298</v>
      </c>
    </row>
    <row r="53" spans="1:7" ht="11.25" customHeight="1" x14ac:dyDescent="0.2">
      <c r="A53" s="66" t="s">
        <v>25</v>
      </c>
      <c r="B53" s="57">
        <v>61699.47300000002</v>
      </c>
      <c r="C53" s="57">
        <v>0</v>
      </c>
      <c r="D53" s="57">
        <v>61194.127857531144</v>
      </c>
      <c r="E53" s="57">
        <v>0</v>
      </c>
      <c r="F53" s="57">
        <v>61699.47300000002</v>
      </c>
      <c r="G53" s="57">
        <v>61194.127857531144</v>
      </c>
    </row>
    <row r="54" spans="1:7" ht="11.25" customHeight="1" x14ac:dyDescent="0.2">
      <c r="A54" s="67">
        <v>44531</v>
      </c>
      <c r="B54" s="57">
        <v>4983.6780000000026</v>
      </c>
      <c r="C54" s="57">
        <v>0</v>
      </c>
      <c r="D54" s="57">
        <v>4942.8595400282456</v>
      </c>
      <c r="E54" s="57">
        <v>0</v>
      </c>
      <c r="F54" s="57">
        <v>4983.6780000000026</v>
      </c>
      <c r="G54" s="57">
        <v>4942.8595400282456</v>
      </c>
    </row>
    <row r="55" spans="1:7" ht="11.25" customHeight="1" x14ac:dyDescent="0.2">
      <c r="A55" s="67">
        <v>44562</v>
      </c>
      <c r="B55" s="57">
        <v>4945.1939999999986</v>
      </c>
      <c r="C55" s="57">
        <v>0</v>
      </c>
      <c r="D55" s="57">
        <v>4904.6907404913445</v>
      </c>
      <c r="E55" s="57">
        <v>0</v>
      </c>
      <c r="F55" s="57">
        <v>4945.1939999999986</v>
      </c>
      <c r="G55" s="57">
        <v>4904.6907404913445</v>
      </c>
    </row>
    <row r="56" spans="1:7" ht="11.25" customHeight="1" x14ac:dyDescent="0.2">
      <c r="A56" s="67">
        <v>44593</v>
      </c>
      <c r="B56" s="57">
        <v>4832.9489999999987</v>
      </c>
      <c r="C56" s="57">
        <v>0</v>
      </c>
      <c r="D56" s="57">
        <v>4793.365075175393</v>
      </c>
      <c r="E56" s="57">
        <v>0</v>
      </c>
      <c r="F56" s="57">
        <v>4832.9489999999987</v>
      </c>
      <c r="G56" s="57">
        <v>4793.365075175393</v>
      </c>
    </row>
    <row r="57" spans="1:7" ht="11.25" customHeight="1" x14ac:dyDescent="0.2">
      <c r="A57" s="67">
        <v>44621</v>
      </c>
      <c r="B57" s="57">
        <v>4951.6080000000029</v>
      </c>
      <c r="C57" s="57">
        <v>0</v>
      </c>
      <c r="D57" s="57">
        <v>4911.0522070808311</v>
      </c>
      <c r="E57" s="57">
        <v>0</v>
      </c>
      <c r="F57" s="57">
        <v>4951.6080000000029</v>
      </c>
      <c r="G57" s="57">
        <v>4911.0522070808311</v>
      </c>
    </row>
    <row r="58" spans="1:7" ht="11.25" customHeight="1" x14ac:dyDescent="0.2">
      <c r="A58" s="67">
        <v>44652</v>
      </c>
      <c r="B58" s="57">
        <v>4948.4010000000007</v>
      </c>
      <c r="C58" s="57">
        <v>0</v>
      </c>
      <c r="D58" s="57">
        <v>4907.8714737860882</v>
      </c>
      <c r="E58" s="57">
        <v>0</v>
      </c>
      <c r="F58" s="57">
        <v>4948.4010000000007</v>
      </c>
      <c r="G58" s="57">
        <v>4907.8714737860882</v>
      </c>
    </row>
    <row r="59" spans="1:7" ht="11.25" customHeight="1" x14ac:dyDescent="0.2">
      <c r="A59" s="67">
        <v>44682</v>
      </c>
      <c r="B59" s="57">
        <v>4948.4010000000007</v>
      </c>
      <c r="C59" s="57">
        <v>0</v>
      </c>
      <c r="D59" s="57">
        <v>4907.8714737860882</v>
      </c>
      <c r="E59" s="57">
        <v>0</v>
      </c>
      <c r="F59" s="57">
        <v>4948.4010000000007</v>
      </c>
      <c r="G59" s="57">
        <v>4907.8714737860882</v>
      </c>
    </row>
    <row r="60" spans="1:7" ht="11.25" customHeight="1" x14ac:dyDescent="0.2">
      <c r="A60" s="67">
        <v>44713</v>
      </c>
      <c r="B60" s="57">
        <v>5211.375</v>
      </c>
      <c r="C60" s="57">
        <v>0</v>
      </c>
      <c r="D60" s="57">
        <v>5168.6916039548869</v>
      </c>
      <c r="E60" s="57">
        <v>0</v>
      </c>
      <c r="F60" s="57">
        <v>5211.375</v>
      </c>
      <c r="G60" s="57">
        <v>5168.6916039548869</v>
      </c>
    </row>
    <row r="61" spans="1:7" ht="11.25" customHeight="1" x14ac:dyDescent="0.2">
      <c r="A61" s="67">
        <v>44743</v>
      </c>
      <c r="B61" s="57">
        <v>5185.7190000000019</v>
      </c>
      <c r="C61" s="57">
        <v>0</v>
      </c>
      <c r="D61" s="57">
        <v>5143.245737596958</v>
      </c>
      <c r="E61" s="57">
        <v>0</v>
      </c>
      <c r="F61" s="57">
        <v>5185.7190000000019</v>
      </c>
      <c r="G61" s="57">
        <v>5143.245737596958</v>
      </c>
    </row>
    <row r="62" spans="1:7" ht="11.25" customHeight="1" x14ac:dyDescent="0.2">
      <c r="A62" s="67">
        <v>44774</v>
      </c>
      <c r="B62" s="57">
        <v>5702.0459999999985</v>
      </c>
      <c r="C62" s="57">
        <v>0</v>
      </c>
      <c r="D62" s="57">
        <v>5655.3437980503313</v>
      </c>
      <c r="E62" s="57">
        <v>0</v>
      </c>
      <c r="F62" s="57">
        <v>5702.0459999999985</v>
      </c>
      <c r="G62" s="57">
        <v>5655.3437980503313</v>
      </c>
    </row>
    <row r="63" spans="1:7" ht="11.25" customHeight="1" x14ac:dyDescent="0.2">
      <c r="A63" s="67">
        <v>44805</v>
      </c>
      <c r="B63" s="57">
        <v>5240.238000000003</v>
      </c>
      <c r="C63" s="57">
        <v>0</v>
      </c>
      <c r="D63" s="57">
        <v>5197.3182036075632</v>
      </c>
      <c r="E63" s="57">
        <v>0</v>
      </c>
      <c r="F63" s="57">
        <v>5240.238000000003</v>
      </c>
      <c r="G63" s="57">
        <v>5197.3182036075632</v>
      </c>
    </row>
    <row r="64" spans="1:7" ht="11.25" customHeight="1" x14ac:dyDescent="0.2">
      <c r="A64" s="67">
        <v>44835</v>
      </c>
      <c r="B64" s="57">
        <v>5374.9320000000016</v>
      </c>
      <c r="C64" s="57">
        <v>0</v>
      </c>
      <c r="D64" s="57">
        <v>5330.9090019867044</v>
      </c>
      <c r="E64" s="57">
        <v>0</v>
      </c>
      <c r="F64" s="57">
        <v>5374.9320000000016</v>
      </c>
      <c r="G64" s="57">
        <v>5330.9090019867044</v>
      </c>
    </row>
    <row r="65" spans="1:7" ht="11.25" customHeight="1" x14ac:dyDescent="0.2">
      <c r="A65" s="67">
        <v>44866</v>
      </c>
      <c r="B65" s="57">
        <v>5374.9320000000016</v>
      </c>
      <c r="C65" s="57">
        <v>0</v>
      </c>
      <c r="D65" s="57">
        <v>5330.9090019867044</v>
      </c>
      <c r="E65" s="57">
        <v>0</v>
      </c>
      <c r="F65" s="57">
        <v>5374.9320000000016</v>
      </c>
      <c r="G65" s="57">
        <v>5330.9090019867044</v>
      </c>
    </row>
    <row r="66" spans="1:7" ht="11.25" customHeight="1" x14ac:dyDescent="0.2">
      <c r="A66" s="66" t="s">
        <v>34</v>
      </c>
      <c r="B66" s="57">
        <v>0</v>
      </c>
      <c r="C66" s="57">
        <v>56544.784657200064</v>
      </c>
      <c r="D66" s="57">
        <v>0</v>
      </c>
      <c r="E66" s="57">
        <v>63790.846937767936</v>
      </c>
      <c r="F66" s="57">
        <v>56544.784657200056</v>
      </c>
      <c r="G66" s="57">
        <v>63790.846937767943</v>
      </c>
    </row>
    <row r="67" spans="1:7" ht="11.25" customHeight="1" x14ac:dyDescent="0.2">
      <c r="A67" s="67">
        <v>44531</v>
      </c>
      <c r="B67" s="57">
        <v>0</v>
      </c>
      <c r="C67" s="57">
        <v>5239.5350328000104</v>
      </c>
      <c r="D67" s="57">
        <v>0</v>
      </c>
      <c r="E67" s="57">
        <v>5910.9673744218435</v>
      </c>
      <c r="F67" s="57">
        <v>5239.5350328000104</v>
      </c>
      <c r="G67" s="57">
        <v>5910.9673744218435</v>
      </c>
    </row>
    <row r="68" spans="1:7" ht="11.25" customHeight="1" x14ac:dyDescent="0.2">
      <c r="A68" s="67">
        <v>44562</v>
      </c>
      <c r="B68" s="57">
        <v>0</v>
      </c>
      <c r="C68" s="57">
        <v>4696.2282221999994</v>
      </c>
      <c r="D68" s="57">
        <v>0</v>
      </c>
      <c r="E68" s="57">
        <v>5298.0372553075067</v>
      </c>
      <c r="F68" s="57">
        <v>4696.2282221999994</v>
      </c>
      <c r="G68" s="57">
        <v>5298.0372553075067</v>
      </c>
    </row>
    <row r="69" spans="1:7" ht="11.25" customHeight="1" x14ac:dyDescent="0.2">
      <c r="A69" s="67">
        <v>44593</v>
      </c>
      <c r="B69" s="57">
        <v>0</v>
      </c>
      <c r="C69" s="57">
        <v>3760.2371880000005</v>
      </c>
      <c r="D69" s="57">
        <v>0</v>
      </c>
      <c r="E69" s="57">
        <v>4242.1014840467269</v>
      </c>
      <c r="F69" s="57">
        <v>3760.2371880000005</v>
      </c>
      <c r="G69" s="57">
        <v>4242.1014840467269</v>
      </c>
    </row>
    <row r="70" spans="1:7" ht="11.25" customHeight="1" x14ac:dyDescent="0.2">
      <c r="A70" s="67">
        <v>44621</v>
      </c>
      <c r="B70" s="57">
        <v>0</v>
      </c>
      <c r="C70" s="57">
        <v>5025.75750900001</v>
      </c>
      <c r="D70" s="57">
        <v>0</v>
      </c>
      <c r="E70" s="57">
        <v>5669.7948351304703</v>
      </c>
      <c r="F70" s="57">
        <v>5025.75750900001</v>
      </c>
      <c r="G70" s="57">
        <v>5669.7948351304703</v>
      </c>
    </row>
    <row r="71" spans="1:7" ht="11.25" customHeight="1" x14ac:dyDescent="0.2">
      <c r="A71" s="67">
        <v>44652</v>
      </c>
      <c r="B71" s="57">
        <v>0</v>
      </c>
      <c r="C71" s="57">
        <v>4221.5975622000051</v>
      </c>
      <c r="D71" s="57">
        <v>0</v>
      </c>
      <c r="E71" s="57">
        <v>4762.5839510357728</v>
      </c>
      <c r="F71" s="57">
        <v>4221.5975622000051</v>
      </c>
      <c r="G71" s="57">
        <v>4762.5839510357728</v>
      </c>
    </row>
    <row r="72" spans="1:7" ht="11.25" customHeight="1" x14ac:dyDescent="0.2">
      <c r="A72" s="67">
        <v>44682</v>
      </c>
      <c r="B72" s="57">
        <v>0</v>
      </c>
      <c r="C72" s="57">
        <v>4403.9913444000049</v>
      </c>
      <c r="D72" s="57">
        <v>0</v>
      </c>
      <c r="E72" s="57">
        <v>4968.3510065344844</v>
      </c>
      <c r="F72" s="57">
        <v>4403.9913444000049</v>
      </c>
      <c r="G72" s="57">
        <v>4968.3510065344844</v>
      </c>
    </row>
    <row r="73" spans="1:7" ht="11.25" customHeight="1" x14ac:dyDescent="0.2">
      <c r="A73" s="67">
        <v>44713</v>
      </c>
      <c r="B73" s="57">
        <v>0</v>
      </c>
      <c r="C73" s="57">
        <v>4333.7653794000025</v>
      </c>
      <c r="D73" s="57">
        <v>0</v>
      </c>
      <c r="E73" s="57">
        <v>4889.125772739173</v>
      </c>
      <c r="F73" s="57">
        <v>4333.7653794000025</v>
      </c>
      <c r="G73" s="57">
        <v>4889.125772739173</v>
      </c>
    </row>
    <row r="74" spans="1:7" ht="11.25" customHeight="1" x14ac:dyDescent="0.2">
      <c r="A74" s="67">
        <v>44743</v>
      </c>
      <c r="B74" s="57">
        <v>0</v>
      </c>
      <c r="C74" s="57">
        <v>1598.5366902000023</v>
      </c>
      <c r="D74" s="57">
        <v>0</v>
      </c>
      <c r="E74" s="57">
        <v>1803.3848735503152</v>
      </c>
      <c r="F74" s="57">
        <v>1598.5366902000023</v>
      </c>
      <c r="G74" s="57">
        <v>1803.3848735503152</v>
      </c>
    </row>
    <row r="75" spans="1:7" ht="11.25" customHeight="1" x14ac:dyDescent="0.2">
      <c r="A75" s="67">
        <v>44774</v>
      </c>
      <c r="B75" s="57">
        <v>0</v>
      </c>
      <c r="C75" s="57">
        <v>8429.4405216000123</v>
      </c>
      <c r="D75" s="57">
        <v>0</v>
      </c>
      <c r="E75" s="57">
        <v>9509.6506838661244</v>
      </c>
      <c r="F75" s="57">
        <v>8429.4405216000123</v>
      </c>
      <c r="G75" s="57">
        <v>9509.6506838661244</v>
      </c>
    </row>
    <row r="76" spans="1:7" ht="11.25" customHeight="1" x14ac:dyDescent="0.2">
      <c r="A76" s="67">
        <v>44805</v>
      </c>
      <c r="B76" s="57">
        <v>0</v>
      </c>
      <c r="C76" s="57">
        <v>4802.7779622000035</v>
      </c>
      <c r="D76" s="57">
        <v>0</v>
      </c>
      <c r="E76" s="57">
        <v>5418.2410583072906</v>
      </c>
      <c r="F76" s="57">
        <v>4802.7779622000035</v>
      </c>
      <c r="G76" s="57">
        <v>5418.2410583072906</v>
      </c>
    </row>
    <row r="77" spans="1:7" ht="11.25" customHeight="1" x14ac:dyDescent="0.2">
      <c r="A77" s="67">
        <v>44835</v>
      </c>
      <c r="B77" s="57">
        <v>0</v>
      </c>
      <c r="C77" s="57">
        <v>5016.458622600001</v>
      </c>
      <c r="D77" s="57">
        <v>0</v>
      </c>
      <c r="E77" s="57">
        <v>5659.3043214141162</v>
      </c>
      <c r="F77" s="57">
        <v>5016.458622600001</v>
      </c>
      <c r="G77" s="57">
        <v>5659.3043214141162</v>
      </c>
    </row>
    <row r="78" spans="1:7" ht="11.25" customHeight="1" x14ac:dyDescent="0.2">
      <c r="A78" s="67">
        <v>44866</v>
      </c>
      <c r="B78" s="57">
        <v>0</v>
      </c>
      <c r="C78" s="57">
        <v>5016.458622600001</v>
      </c>
      <c r="D78" s="57">
        <v>0</v>
      </c>
      <c r="E78" s="57">
        <v>5659.3043214141162</v>
      </c>
      <c r="F78" s="57">
        <v>5016.458622600001</v>
      </c>
      <c r="G78" s="57">
        <v>5659.3043214141162</v>
      </c>
    </row>
    <row r="79" spans="1:7" ht="11.25" customHeight="1" x14ac:dyDescent="0.2">
      <c r="A79" s="60" t="s">
        <v>37</v>
      </c>
      <c r="B79" s="57">
        <v>0</v>
      </c>
      <c r="C79" s="57">
        <v>162419.82496920016</v>
      </c>
      <c r="D79" s="57">
        <v>0</v>
      </c>
      <c r="E79" s="57">
        <v>217263.10427887013</v>
      </c>
      <c r="F79" s="57">
        <v>162419.82496920013</v>
      </c>
      <c r="G79" s="57">
        <v>217263.10427887013</v>
      </c>
    </row>
    <row r="80" spans="1:7" ht="11.25" customHeight="1" x14ac:dyDescent="0.2">
      <c r="A80" s="61" t="s">
        <v>23</v>
      </c>
      <c r="B80" s="57">
        <v>0</v>
      </c>
      <c r="C80" s="57">
        <v>162419.82496920016</v>
      </c>
      <c r="D80" s="57">
        <v>0</v>
      </c>
      <c r="E80" s="57">
        <v>217263.10427887013</v>
      </c>
      <c r="F80" s="57">
        <v>162419.82496920013</v>
      </c>
      <c r="G80" s="57">
        <v>217263.10427887013</v>
      </c>
    </row>
    <row r="81" spans="1:7" ht="11.25" customHeight="1" x14ac:dyDescent="0.2">
      <c r="A81" s="62" t="s">
        <v>51</v>
      </c>
      <c r="B81" s="57">
        <v>0</v>
      </c>
      <c r="C81" s="57">
        <v>162419.82496920016</v>
      </c>
      <c r="D81" s="57">
        <v>0</v>
      </c>
      <c r="E81" s="57">
        <v>217263.10427887013</v>
      </c>
      <c r="F81" s="57">
        <v>162419.82496920013</v>
      </c>
      <c r="G81" s="57">
        <v>217263.10427887013</v>
      </c>
    </row>
    <row r="82" spans="1:7" ht="11.25" customHeight="1" x14ac:dyDescent="0.2">
      <c r="A82" s="63" t="s">
        <v>52</v>
      </c>
      <c r="B82" s="57">
        <v>0</v>
      </c>
      <c r="C82" s="57">
        <v>162419.82496920016</v>
      </c>
      <c r="D82" s="57">
        <v>0</v>
      </c>
      <c r="E82" s="57">
        <v>217263.10427887013</v>
      </c>
      <c r="F82" s="57">
        <v>162419.82496920013</v>
      </c>
      <c r="G82" s="57">
        <v>217263.10427887013</v>
      </c>
    </row>
    <row r="83" spans="1:7" ht="11.25" customHeight="1" x14ac:dyDescent="0.2">
      <c r="A83" s="64" t="s">
        <v>25</v>
      </c>
      <c r="B83" s="57">
        <v>0</v>
      </c>
      <c r="C83" s="57">
        <v>162419.82496920016</v>
      </c>
      <c r="D83" s="57">
        <v>0</v>
      </c>
      <c r="E83" s="57">
        <v>217263.10427887013</v>
      </c>
      <c r="F83" s="57">
        <v>162419.82496920013</v>
      </c>
      <c r="G83" s="57">
        <v>217263.10427887013</v>
      </c>
    </row>
    <row r="84" spans="1:7" ht="11.25" customHeight="1" x14ac:dyDescent="0.2">
      <c r="A84" s="65" t="s">
        <v>25</v>
      </c>
      <c r="B84" s="57">
        <v>0</v>
      </c>
      <c r="C84" s="57">
        <v>162419.82496920016</v>
      </c>
      <c r="D84" s="57">
        <v>0</v>
      </c>
      <c r="E84" s="57">
        <v>217263.10427887013</v>
      </c>
      <c r="F84" s="57">
        <v>162419.82496920013</v>
      </c>
      <c r="G84" s="57">
        <v>217263.10427887013</v>
      </c>
    </row>
    <row r="85" spans="1:7" ht="11.25" customHeight="1" x14ac:dyDescent="0.2">
      <c r="A85" s="66" t="s">
        <v>25</v>
      </c>
      <c r="B85" s="57">
        <v>0</v>
      </c>
      <c r="C85" s="57">
        <v>162419.82496920016</v>
      </c>
      <c r="D85" s="57">
        <v>0</v>
      </c>
      <c r="E85" s="57">
        <v>217263.10427887013</v>
      </c>
      <c r="F85" s="57">
        <v>162419.82496920013</v>
      </c>
      <c r="G85" s="57">
        <v>217263.10427887013</v>
      </c>
    </row>
    <row r="86" spans="1:7" ht="11.25" customHeight="1" x14ac:dyDescent="0.2">
      <c r="A86" s="67">
        <v>44531</v>
      </c>
      <c r="B86" s="57">
        <v>0</v>
      </c>
      <c r="C86" s="57">
        <v>8008.1461272000179</v>
      </c>
      <c r="D86" s="57">
        <v>0</v>
      </c>
      <c r="E86" s="57">
        <v>10712.206391333209</v>
      </c>
      <c r="F86" s="57">
        <v>8008.1461272000179</v>
      </c>
      <c r="G86" s="57">
        <v>10712.206391333209</v>
      </c>
    </row>
    <row r="87" spans="1:7" ht="11.25" customHeight="1" x14ac:dyDescent="0.2">
      <c r="A87" s="67">
        <v>44562</v>
      </c>
      <c r="B87" s="57">
        <v>0</v>
      </c>
      <c r="C87" s="57">
        <v>10271.688215400007</v>
      </c>
      <c r="D87" s="57">
        <v>0</v>
      </c>
      <c r="E87" s="57">
        <v>13740.064479725212</v>
      </c>
      <c r="F87" s="57">
        <v>10271.688215400007</v>
      </c>
      <c r="G87" s="57">
        <v>13740.064479725212</v>
      </c>
    </row>
    <row r="88" spans="1:7" ht="11.25" customHeight="1" x14ac:dyDescent="0.2">
      <c r="A88" s="67">
        <v>44593</v>
      </c>
      <c r="B88" s="57">
        <v>0</v>
      </c>
      <c r="C88" s="57">
        <v>9561.0175541999943</v>
      </c>
      <c r="D88" s="57">
        <v>0</v>
      </c>
      <c r="E88" s="57">
        <v>12789.426132457495</v>
      </c>
      <c r="F88" s="57">
        <v>9561.0175541999943</v>
      </c>
      <c r="G88" s="57">
        <v>12789.426132457495</v>
      </c>
    </row>
    <row r="89" spans="1:7" ht="11.25" customHeight="1" x14ac:dyDescent="0.2">
      <c r="A89" s="67">
        <v>44621</v>
      </c>
      <c r="B89" s="57">
        <v>0</v>
      </c>
      <c r="C89" s="57">
        <v>11059.443744600003</v>
      </c>
      <c r="D89" s="57">
        <v>0</v>
      </c>
      <c r="E89" s="57">
        <v>14793.816456857869</v>
      </c>
      <c r="F89" s="57">
        <v>11059.443744600003</v>
      </c>
      <c r="G89" s="57">
        <v>14793.816456857869</v>
      </c>
    </row>
    <row r="90" spans="1:7" ht="11.25" customHeight="1" x14ac:dyDescent="0.2">
      <c r="A90" s="67">
        <v>44652</v>
      </c>
      <c r="B90" s="57">
        <v>0</v>
      </c>
      <c r="C90" s="57">
        <v>20360.186509200044</v>
      </c>
      <c r="D90" s="57">
        <v>0</v>
      </c>
      <c r="E90" s="57">
        <v>27235.082450830188</v>
      </c>
      <c r="F90" s="57">
        <v>20360.186509200044</v>
      </c>
      <c r="G90" s="57">
        <v>27235.082450830188</v>
      </c>
    </row>
    <row r="91" spans="1:7" ht="11.25" customHeight="1" x14ac:dyDescent="0.2">
      <c r="A91" s="67">
        <v>44682</v>
      </c>
      <c r="B91" s="57">
        <v>0</v>
      </c>
      <c r="C91" s="57">
        <v>13223.390887799998</v>
      </c>
      <c r="D91" s="57">
        <v>0</v>
      </c>
      <c r="E91" s="57">
        <v>17688.450002462156</v>
      </c>
      <c r="F91" s="57">
        <v>13223.390887799998</v>
      </c>
      <c r="G91" s="57">
        <v>17688.450002462156</v>
      </c>
    </row>
    <row r="92" spans="1:7" ht="11.25" customHeight="1" x14ac:dyDescent="0.2">
      <c r="A92" s="67">
        <v>44713</v>
      </c>
      <c r="B92" s="57">
        <v>0</v>
      </c>
      <c r="C92" s="57">
        <v>15260.730993600026</v>
      </c>
      <c r="D92" s="57">
        <v>0</v>
      </c>
      <c r="E92" s="57">
        <v>20413.725909771463</v>
      </c>
      <c r="F92" s="57">
        <v>15260.730993600026</v>
      </c>
      <c r="G92" s="57">
        <v>20413.725909771463</v>
      </c>
    </row>
    <row r="93" spans="1:7" ht="11.25" customHeight="1" x14ac:dyDescent="0.2">
      <c r="A93" s="67">
        <v>44743</v>
      </c>
      <c r="B93" s="57">
        <v>0</v>
      </c>
      <c r="C93" s="57">
        <v>7154.7389058000026</v>
      </c>
      <c r="D93" s="57">
        <v>0</v>
      </c>
      <c r="E93" s="57">
        <v>9570.6345285970419</v>
      </c>
      <c r="F93" s="57">
        <v>7154.7389058000026</v>
      </c>
      <c r="G93" s="57">
        <v>9570.6345285970419</v>
      </c>
    </row>
    <row r="94" spans="1:7" ht="11.25" customHeight="1" x14ac:dyDescent="0.2">
      <c r="A94" s="67">
        <v>44774</v>
      </c>
      <c r="B94" s="57">
        <v>0</v>
      </c>
      <c r="C94" s="57">
        <v>19272.318212400005</v>
      </c>
      <c r="D94" s="57">
        <v>0</v>
      </c>
      <c r="E94" s="57">
        <v>25779.880518097136</v>
      </c>
      <c r="F94" s="57">
        <v>19272.318212400005</v>
      </c>
      <c r="G94" s="57">
        <v>25779.880518097136</v>
      </c>
    </row>
    <row r="95" spans="1:7" ht="11.25" customHeight="1" x14ac:dyDescent="0.2">
      <c r="A95" s="67">
        <v>44805</v>
      </c>
      <c r="B95" s="57">
        <v>0</v>
      </c>
      <c r="C95" s="57">
        <v>15152.520681000013</v>
      </c>
      <c r="D95" s="57">
        <v>0</v>
      </c>
      <c r="E95" s="57">
        <v>20268.976902469403</v>
      </c>
      <c r="F95" s="57">
        <v>15152.520681000013</v>
      </c>
      <c r="G95" s="57">
        <v>20268.976902469403</v>
      </c>
    </row>
    <row r="96" spans="1:7" ht="11.25" customHeight="1" x14ac:dyDescent="0.2">
      <c r="A96" s="67">
        <v>44835</v>
      </c>
      <c r="B96" s="57">
        <v>0</v>
      </c>
      <c r="C96" s="57">
        <v>16547.821569000029</v>
      </c>
      <c r="D96" s="57">
        <v>0</v>
      </c>
      <c r="E96" s="57">
        <v>22135.420253134471</v>
      </c>
      <c r="F96" s="57">
        <v>16547.821569000029</v>
      </c>
      <c r="G96" s="57">
        <v>22135.420253134471</v>
      </c>
    </row>
    <row r="97" spans="1:7" ht="11.25" customHeight="1" x14ac:dyDescent="0.2">
      <c r="A97" s="67">
        <v>44866</v>
      </c>
      <c r="B97" s="57">
        <v>0</v>
      </c>
      <c r="C97" s="57">
        <v>16547.821569000029</v>
      </c>
      <c r="D97" s="57">
        <v>0</v>
      </c>
      <c r="E97" s="57">
        <v>22135.420253134471</v>
      </c>
      <c r="F97" s="57">
        <v>16547.821569000029</v>
      </c>
      <c r="G97" s="57">
        <v>22135.420253134471</v>
      </c>
    </row>
    <row r="98" spans="1:7" ht="11.25" customHeight="1" x14ac:dyDescent="0.2">
      <c r="A98" s="59" t="s">
        <v>844</v>
      </c>
      <c r="B98" s="57">
        <v>0</v>
      </c>
      <c r="C98" s="57">
        <v>10245697.592760002</v>
      </c>
      <c r="D98" s="57">
        <v>0</v>
      </c>
      <c r="E98" s="57">
        <v>13147161.35263359</v>
      </c>
      <c r="F98" s="57">
        <v>10245697.592760002</v>
      </c>
      <c r="G98" s="57">
        <v>13147161.352633588</v>
      </c>
    </row>
    <row r="99" spans="1:7" ht="11.25" customHeight="1" x14ac:dyDescent="0.2">
      <c r="A99" s="60" t="s">
        <v>22</v>
      </c>
      <c r="B99" s="57">
        <v>0</v>
      </c>
      <c r="C99" s="57">
        <v>10245697.592760002</v>
      </c>
      <c r="D99" s="57">
        <v>0</v>
      </c>
      <c r="E99" s="57">
        <v>13147161.35263359</v>
      </c>
      <c r="F99" s="57">
        <v>10245697.592760002</v>
      </c>
      <c r="G99" s="57">
        <v>13147161.352633588</v>
      </c>
    </row>
    <row r="100" spans="1:7" ht="11.25" customHeight="1" x14ac:dyDescent="0.2">
      <c r="A100" s="61" t="s">
        <v>23</v>
      </c>
      <c r="B100" s="57">
        <v>0</v>
      </c>
      <c r="C100" s="57">
        <v>10245697.592760002</v>
      </c>
      <c r="D100" s="57">
        <v>0</v>
      </c>
      <c r="E100" s="57">
        <v>13147161.35263359</v>
      </c>
      <c r="F100" s="57">
        <v>10245697.592760002</v>
      </c>
      <c r="G100" s="57">
        <v>13147161.352633588</v>
      </c>
    </row>
    <row r="101" spans="1:7" ht="11.25" customHeight="1" x14ac:dyDescent="0.2">
      <c r="A101" s="62" t="s">
        <v>24</v>
      </c>
      <c r="B101" s="57">
        <v>0</v>
      </c>
      <c r="C101" s="57">
        <v>10245697.592760002</v>
      </c>
      <c r="D101" s="57">
        <v>0</v>
      </c>
      <c r="E101" s="57">
        <v>13147161.35263359</v>
      </c>
      <c r="F101" s="57">
        <v>10245697.592760002</v>
      </c>
      <c r="G101" s="57">
        <v>13147161.352633588</v>
      </c>
    </row>
    <row r="102" spans="1:7" ht="11.25" customHeight="1" x14ac:dyDescent="0.2">
      <c r="A102" s="63" t="s">
        <v>29</v>
      </c>
      <c r="B102" s="57">
        <v>0</v>
      </c>
      <c r="C102" s="57">
        <v>4816319.4168100003</v>
      </c>
      <c r="D102" s="57">
        <v>0</v>
      </c>
      <c r="E102" s="57">
        <v>6180320.9787521297</v>
      </c>
      <c r="F102" s="57">
        <v>4816319.4168100003</v>
      </c>
      <c r="G102" s="57">
        <v>6180320.9787521297</v>
      </c>
    </row>
    <row r="103" spans="1:7" ht="11.25" customHeight="1" x14ac:dyDescent="0.2">
      <c r="A103" s="64" t="s">
        <v>25</v>
      </c>
      <c r="B103" s="57">
        <v>0</v>
      </c>
      <c r="C103" s="57">
        <v>4816319.4168100003</v>
      </c>
      <c r="D103" s="57">
        <v>0</v>
      </c>
      <c r="E103" s="57">
        <v>6180320.9787521297</v>
      </c>
      <c r="F103" s="57">
        <v>4816319.4168100003</v>
      </c>
      <c r="G103" s="57">
        <v>6180320.9787521297</v>
      </c>
    </row>
    <row r="104" spans="1:7" ht="11.25" customHeight="1" x14ac:dyDescent="0.2">
      <c r="A104" s="65" t="s">
        <v>25</v>
      </c>
      <c r="B104" s="57">
        <v>0</v>
      </c>
      <c r="C104" s="57">
        <v>4816319.4168100003</v>
      </c>
      <c r="D104" s="57">
        <v>0</v>
      </c>
      <c r="E104" s="57">
        <v>6180320.9787521297</v>
      </c>
      <c r="F104" s="57">
        <v>4816319.4168100003</v>
      </c>
      <c r="G104" s="57">
        <v>6180320.9787521297</v>
      </c>
    </row>
    <row r="105" spans="1:7" ht="11.25" customHeight="1" x14ac:dyDescent="0.2">
      <c r="A105" s="66" t="s">
        <v>25</v>
      </c>
      <c r="B105" s="57">
        <v>0</v>
      </c>
      <c r="C105" s="57">
        <v>4816319.4168100003</v>
      </c>
      <c r="D105" s="57">
        <v>0</v>
      </c>
      <c r="E105" s="57">
        <v>6180320.9787521297</v>
      </c>
      <c r="F105" s="57">
        <v>4816319.4168100003</v>
      </c>
      <c r="G105" s="57">
        <v>6180320.9787521297</v>
      </c>
    </row>
    <row r="106" spans="1:7" ht="11.25" customHeight="1" x14ac:dyDescent="0.2">
      <c r="A106" s="67">
        <v>44531</v>
      </c>
      <c r="B106" s="57">
        <v>0</v>
      </c>
      <c r="C106" s="57">
        <v>278240.9118</v>
      </c>
      <c r="D106" s="57">
        <v>0</v>
      </c>
      <c r="E106" s="57">
        <v>357039.88783277548</v>
      </c>
      <c r="F106" s="57">
        <v>278240.9118</v>
      </c>
      <c r="G106" s="57">
        <v>357039.88783277548</v>
      </c>
    </row>
    <row r="107" spans="1:7" ht="11.25" customHeight="1" x14ac:dyDescent="0.2">
      <c r="A107" s="67">
        <v>44562</v>
      </c>
      <c r="B107" s="57">
        <v>0</v>
      </c>
      <c r="C107" s="57">
        <v>315975.20372000005</v>
      </c>
      <c r="D107" s="57">
        <v>0</v>
      </c>
      <c r="E107" s="57">
        <v>405460.68715882918</v>
      </c>
      <c r="F107" s="57">
        <v>315975.20372000005</v>
      </c>
      <c r="G107" s="57">
        <v>405460.68715882918</v>
      </c>
    </row>
    <row r="108" spans="1:7" ht="11.25" customHeight="1" x14ac:dyDescent="0.2">
      <c r="A108" s="67">
        <v>44593</v>
      </c>
      <c r="B108" s="57">
        <v>0</v>
      </c>
      <c r="C108" s="57">
        <v>309285.70789000008</v>
      </c>
      <c r="D108" s="57">
        <v>0</v>
      </c>
      <c r="E108" s="57">
        <v>396876.69846590172</v>
      </c>
      <c r="F108" s="57">
        <v>309285.70789000008</v>
      </c>
      <c r="G108" s="57">
        <v>396876.69846590172</v>
      </c>
    </row>
    <row r="109" spans="1:7" ht="11.25" customHeight="1" x14ac:dyDescent="0.2">
      <c r="A109" s="67">
        <v>44621</v>
      </c>
      <c r="B109" s="57">
        <v>0</v>
      </c>
      <c r="C109" s="57">
        <v>305813.13421000005</v>
      </c>
      <c r="D109" s="57">
        <v>0</v>
      </c>
      <c r="E109" s="57">
        <v>392420.67756955902</v>
      </c>
      <c r="F109" s="57">
        <v>305813.13421000005</v>
      </c>
      <c r="G109" s="57">
        <v>392420.67756955902</v>
      </c>
    </row>
    <row r="110" spans="1:7" ht="11.25" customHeight="1" x14ac:dyDescent="0.2">
      <c r="A110" s="67">
        <v>44652</v>
      </c>
      <c r="B110" s="57">
        <v>0</v>
      </c>
      <c r="C110" s="57">
        <v>324319.65705000004</v>
      </c>
      <c r="D110" s="57">
        <v>0</v>
      </c>
      <c r="E110" s="57">
        <v>416168.32415475213</v>
      </c>
      <c r="F110" s="57">
        <v>324319.65705000004</v>
      </c>
      <c r="G110" s="57">
        <v>416168.32415475213</v>
      </c>
    </row>
    <row r="111" spans="1:7" ht="11.25" customHeight="1" x14ac:dyDescent="0.2">
      <c r="A111" s="67">
        <v>44682</v>
      </c>
      <c r="B111" s="57">
        <v>0</v>
      </c>
      <c r="C111" s="57">
        <v>324665.14913000003</v>
      </c>
      <c r="D111" s="57">
        <v>0</v>
      </c>
      <c r="E111" s="57">
        <v>416611.66101952991</v>
      </c>
      <c r="F111" s="57">
        <v>324665.14913000003</v>
      </c>
      <c r="G111" s="57">
        <v>416611.66101952991</v>
      </c>
    </row>
    <row r="112" spans="1:7" ht="11.25" customHeight="1" x14ac:dyDescent="0.2">
      <c r="A112" s="67">
        <v>44713</v>
      </c>
      <c r="B112" s="57">
        <v>0</v>
      </c>
      <c r="C112" s="57">
        <v>335867.16240999999</v>
      </c>
      <c r="D112" s="57">
        <v>0</v>
      </c>
      <c r="E112" s="57">
        <v>430986.13075195852</v>
      </c>
      <c r="F112" s="57">
        <v>335867.16240999999</v>
      </c>
      <c r="G112" s="57">
        <v>430986.13075195852</v>
      </c>
    </row>
    <row r="113" spans="1:7" ht="11.25" customHeight="1" x14ac:dyDescent="0.2">
      <c r="A113" s="67">
        <v>44743</v>
      </c>
      <c r="B113" s="57">
        <v>0</v>
      </c>
      <c r="C113" s="57">
        <v>345319.96442000003</v>
      </c>
      <c r="D113" s="57">
        <v>0</v>
      </c>
      <c r="E113" s="57">
        <v>443116.00535423058</v>
      </c>
      <c r="F113" s="57">
        <v>345319.96442000003</v>
      </c>
      <c r="G113" s="57">
        <v>443116.00535423058</v>
      </c>
    </row>
    <row r="114" spans="1:7" ht="11.25" customHeight="1" x14ac:dyDescent="0.2">
      <c r="A114" s="67">
        <v>44774</v>
      </c>
      <c r="B114" s="57">
        <v>0</v>
      </c>
      <c r="C114" s="57">
        <v>356295.95779000001</v>
      </c>
      <c r="D114" s="57">
        <v>0</v>
      </c>
      <c r="E114" s="57">
        <v>457200.44540413597</v>
      </c>
      <c r="F114" s="57">
        <v>356295.95779000001</v>
      </c>
      <c r="G114" s="57">
        <v>457200.44540413597</v>
      </c>
    </row>
    <row r="115" spans="1:7" ht="11.25" customHeight="1" x14ac:dyDescent="0.2">
      <c r="A115" s="67">
        <v>44805</v>
      </c>
      <c r="B115" s="57">
        <v>0</v>
      </c>
      <c r="C115" s="57">
        <v>525901.67653000006</v>
      </c>
      <c r="D115" s="57">
        <v>0</v>
      </c>
      <c r="E115" s="57">
        <v>674839.20457501803</v>
      </c>
      <c r="F115" s="57">
        <v>525901.67653000006</v>
      </c>
      <c r="G115" s="57">
        <v>674839.20457501803</v>
      </c>
    </row>
    <row r="116" spans="1:7" ht="11.25" customHeight="1" x14ac:dyDescent="0.2">
      <c r="A116" s="67">
        <v>44835</v>
      </c>
      <c r="B116" s="57">
        <v>0</v>
      </c>
      <c r="C116" s="57">
        <v>697317.44593000005</v>
      </c>
      <c r="D116" s="57">
        <v>0</v>
      </c>
      <c r="E116" s="57">
        <v>894800.62823271949</v>
      </c>
      <c r="F116" s="57">
        <v>697317.44593000005</v>
      </c>
      <c r="G116" s="57">
        <v>894800.62823271949</v>
      </c>
    </row>
    <row r="117" spans="1:7" ht="11.25" customHeight="1" x14ac:dyDescent="0.2">
      <c r="A117" s="67">
        <v>44866</v>
      </c>
      <c r="B117" s="57">
        <v>0</v>
      </c>
      <c r="C117" s="57">
        <v>697317.44593000005</v>
      </c>
      <c r="D117" s="57">
        <v>0</v>
      </c>
      <c r="E117" s="57">
        <v>894800.62823271949</v>
      </c>
      <c r="F117" s="57">
        <v>697317.44593000005</v>
      </c>
      <c r="G117" s="57">
        <v>894800.62823271949</v>
      </c>
    </row>
    <row r="118" spans="1:7" ht="11.25" customHeight="1" x14ac:dyDescent="0.2">
      <c r="A118" s="63" t="s">
        <v>30</v>
      </c>
      <c r="B118" s="57">
        <v>0</v>
      </c>
      <c r="C118" s="57">
        <v>4261330.8024499994</v>
      </c>
      <c r="D118" s="57">
        <v>0</v>
      </c>
      <c r="E118" s="57">
        <v>5468092.2465136386</v>
      </c>
      <c r="F118" s="57">
        <v>4261330.8024500003</v>
      </c>
      <c r="G118" s="57">
        <v>5468092.2465136386</v>
      </c>
    </row>
    <row r="119" spans="1:7" ht="11.25" customHeight="1" x14ac:dyDescent="0.2">
      <c r="A119" s="64" t="s">
        <v>25</v>
      </c>
      <c r="B119" s="57">
        <v>0</v>
      </c>
      <c r="C119" s="57">
        <v>4261330.8024499994</v>
      </c>
      <c r="D119" s="57">
        <v>0</v>
      </c>
      <c r="E119" s="57">
        <v>5468092.2465136386</v>
      </c>
      <c r="F119" s="57">
        <v>4261330.8024500003</v>
      </c>
      <c r="G119" s="57">
        <v>5468092.2465136386</v>
      </c>
    </row>
    <row r="120" spans="1:7" ht="11.25" customHeight="1" x14ac:dyDescent="0.2">
      <c r="A120" s="65" t="s">
        <v>25</v>
      </c>
      <c r="B120" s="57">
        <v>0</v>
      </c>
      <c r="C120" s="57">
        <v>4261330.8024499994</v>
      </c>
      <c r="D120" s="57">
        <v>0</v>
      </c>
      <c r="E120" s="57">
        <v>5468092.2465136386</v>
      </c>
      <c r="F120" s="57">
        <v>4261330.8024500003</v>
      </c>
      <c r="G120" s="57">
        <v>5468092.2465136386</v>
      </c>
    </row>
    <row r="121" spans="1:7" ht="11.25" customHeight="1" x14ac:dyDescent="0.2">
      <c r="A121" s="66" t="s">
        <v>25</v>
      </c>
      <c r="B121" s="57">
        <v>0</v>
      </c>
      <c r="C121" s="57">
        <v>4261330.8024499994</v>
      </c>
      <c r="D121" s="57">
        <v>0</v>
      </c>
      <c r="E121" s="57">
        <v>5468092.2465136386</v>
      </c>
      <c r="F121" s="57">
        <v>4261330.8024500003</v>
      </c>
      <c r="G121" s="57">
        <v>5468092.2465136386</v>
      </c>
    </row>
    <row r="122" spans="1:7" ht="11.25" customHeight="1" x14ac:dyDescent="0.2">
      <c r="A122" s="67">
        <v>44531</v>
      </c>
      <c r="B122" s="57">
        <v>0</v>
      </c>
      <c r="C122" s="57">
        <v>254634.18385000003</v>
      </c>
      <c r="D122" s="57">
        <v>0</v>
      </c>
      <c r="E122" s="57">
        <v>326743.75000574737</v>
      </c>
      <c r="F122" s="57">
        <v>254634.18385000003</v>
      </c>
      <c r="G122" s="57">
        <v>326743.75000574737</v>
      </c>
    </row>
    <row r="123" spans="1:7" ht="11.25" customHeight="1" x14ac:dyDescent="0.2">
      <c r="A123" s="67">
        <v>44562</v>
      </c>
      <c r="B123" s="57">
        <v>0</v>
      </c>
      <c r="C123" s="57">
        <v>290105.44934000005</v>
      </c>
      <c r="D123" s="57">
        <v>0</v>
      </c>
      <c r="E123" s="57">
        <v>372260.08299927623</v>
      </c>
      <c r="F123" s="57">
        <v>290105.44934000005</v>
      </c>
      <c r="G123" s="57">
        <v>372260.08299927623</v>
      </c>
    </row>
    <row r="124" spans="1:7" ht="11.25" customHeight="1" x14ac:dyDescent="0.2">
      <c r="A124" s="67">
        <v>44593</v>
      </c>
      <c r="B124" s="57">
        <v>0</v>
      </c>
      <c r="C124" s="57">
        <v>294088.84000000003</v>
      </c>
      <c r="D124" s="57">
        <v>0</v>
      </c>
      <c r="E124" s="57">
        <v>377371.52554916177</v>
      </c>
      <c r="F124" s="57">
        <v>294088.84000000003</v>
      </c>
      <c r="G124" s="57">
        <v>377371.52554916177</v>
      </c>
    </row>
    <row r="125" spans="1:7" ht="11.25" customHeight="1" x14ac:dyDescent="0.2">
      <c r="A125" s="67">
        <v>44621</v>
      </c>
      <c r="B125" s="57">
        <v>0</v>
      </c>
      <c r="C125" s="57">
        <v>297459.99821999995</v>
      </c>
      <c r="D125" s="57">
        <v>0</v>
      </c>
      <c r="E125" s="57">
        <v>381697.35824770614</v>
      </c>
      <c r="F125" s="57">
        <v>297459.99821999995</v>
      </c>
      <c r="G125" s="57">
        <v>381697.35824770614</v>
      </c>
    </row>
    <row r="126" spans="1:7" ht="11.25" customHeight="1" x14ac:dyDescent="0.2">
      <c r="A126" s="67">
        <v>44652</v>
      </c>
      <c r="B126" s="57">
        <v>0</v>
      </c>
      <c r="C126" s="57">
        <v>317459.78525000002</v>
      </c>
      <c r="D126" s="57">
        <v>0</v>
      </c>
      <c r="E126" s="57">
        <v>407360.86231732485</v>
      </c>
      <c r="F126" s="57">
        <v>317459.78525000002</v>
      </c>
      <c r="G126" s="57">
        <v>407360.86231732485</v>
      </c>
    </row>
    <row r="127" spans="1:7" ht="11.25" customHeight="1" x14ac:dyDescent="0.2">
      <c r="A127" s="67">
        <v>44682</v>
      </c>
      <c r="B127" s="57">
        <v>0</v>
      </c>
      <c r="C127" s="57">
        <v>320877.30708</v>
      </c>
      <c r="D127" s="57">
        <v>0</v>
      </c>
      <c r="E127" s="57">
        <v>411746.1882840792</v>
      </c>
      <c r="F127" s="57">
        <v>320877.30708</v>
      </c>
      <c r="G127" s="57">
        <v>411746.1882840792</v>
      </c>
    </row>
    <row r="128" spans="1:7" ht="11.25" customHeight="1" x14ac:dyDescent="0.2">
      <c r="A128" s="67">
        <v>44713</v>
      </c>
      <c r="B128" s="57">
        <v>0</v>
      </c>
      <c r="C128" s="57">
        <v>338308.27853000007</v>
      </c>
      <c r="D128" s="57">
        <v>0</v>
      </c>
      <c r="E128" s="57">
        <v>434113.41679873614</v>
      </c>
      <c r="F128" s="57">
        <v>338308.27853000007</v>
      </c>
      <c r="G128" s="57">
        <v>434113.41679873614</v>
      </c>
    </row>
    <row r="129" spans="1:7" ht="11.25" customHeight="1" x14ac:dyDescent="0.2">
      <c r="A129" s="67">
        <v>44743</v>
      </c>
      <c r="B129" s="57">
        <v>0</v>
      </c>
      <c r="C129" s="57">
        <v>354397.61514000001</v>
      </c>
      <c r="D129" s="57">
        <v>0</v>
      </c>
      <c r="E129" s="57">
        <v>454759.07442243135</v>
      </c>
      <c r="F129" s="57">
        <v>354397.61514000001</v>
      </c>
      <c r="G129" s="57">
        <v>454759.07442243135</v>
      </c>
    </row>
    <row r="130" spans="1:7" ht="11.25" customHeight="1" x14ac:dyDescent="0.2">
      <c r="A130" s="67">
        <v>44774</v>
      </c>
      <c r="B130" s="57">
        <v>0</v>
      </c>
      <c r="C130" s="57">
        <v>371621.40527000005</v>
      </c>
      <c r="D130" s="57">
        <v>0</v>
      </c>
      <c r="E130" s="57">
        <v>476860.45017370669</v>
      </c>
      <c r="F130" s="57">
        <v>371621.40527000005</v>
      </c>
      <c r="G130" s="57">
        <v>476860.45017370669</v>
      </c>
    </row>
    <row r="131" spans="1:7" ht="11.25" customHeight="1" x14ac:dyDescent="0.2">
      <c r="A131" s="67">
        <v>44805</v>
      </c>
      <c r="B131" s="57">
        <v>0</v>
      </c>
      <c r="C131" s="57">
        <v>415879.83578999998</v>
      </c>
      <c r="D131" s="57">
        <v>0</v>
      </c>
      <c r="E131" s="57">
        <v>533652.37551077141</v>
      </c>
      <c r="F131" s="57">
        <v>415879.83578999998</v>
      </c>
      <c r="G131" s="57">
        <v>533652.37551077141</v>
      </c>
    </row>
    <row r="132" spans="1:7" ht="11.25" customHeight="1" x14ac:dyDescent="0.2">
      <c r="A132" s="67">
        <v>44835</v>
      </c>
      <c r="B132" s="57">
        <v>0</v>
      </c>
      <c r="C132" s="57">
        <v>503249.05199000001</v>
      </c>
      <c r="D132" s="57">
        <v>0</v>
      </c>
      <c r="E132" s="57">
        <v>645763.58110234886</v>
      </c>
      <c r="F132" s="57">
        <v>503249.05199000001</v>
      </c>
      <c r="G132" s="57">
        <v>645763.58110234886</v>
      </c>
    </row>
    <row r="133" spans="1:7" ht="11.25" customHeight="1" x14ac:dyDescent="0.2">
      <c r="A133" s="67">
        <v>44866</v>
      </c>
      <c r="B133" s="57">
        <v>0</v>
      </c>
      <c r="C133" s="57">
        <v>503249.05199000001</v>
      </c>
      <c r="D133" s="57">
        <v>0</v>
      </c>
      <c r="E133" s="57">
        <v>645763.58110234886</v>
      </c>
      <c r="F133" s="57">
        <v>503249.05199000001</v>
      </c>
      <c r="G133" s="57">
        <v>645763.58110234886</v>
      </c>
    </row>
    <row r="134" spans="1:7" ht="11.25" customHeight="1" x14ac:dyDescent="0.2">
      <c r="A134" s="63" t="s">
        <v>31</v>
      </c>
      <c r="B134" s="57">
        <v>0</v>
      </c>
      <c r="C134" s="57">
        <v>1168047.3735000012</v>
      </c>
      <c r="D134" s="57">
        <v>0</v>
      </c>
      <c r="E134" s="57">
        <v>1498748.1273678225</v>
      </c>
      <c r="F134" s="57">
        <v>1168047.3735000012</v>
      </c>
      <c r="G134" s="57">
        <v>1498748.1273678222</v>
      </c>
    </row>
    <row r="135" spans="1:7" ht="11.25" customHeight="1" x14ac:dyDescent="0.2">
      <c r="A135" s="64" t="s">
        <v>25</v>
      </c>
      <c r="B135" s="57">
        <v>0</v>
      </c>
      <c r="C135" s="57">
        <v>1168047.3735000012</v>
      </c>
      <c r="D135" s="57">
        <v>0</v>
      </c>
      <c r="E135" s="57">
        <v>1498748.1273678225</v>
      </c>
      <c r="F135" s="57">
        <v>1168047.3735000012</v>
      </c>
      <c r="G135" s="57">
        <v>1498748.1273678222</v>
      </c>
    </row>
    <row r="136" spans="1:7" ht="11.25" customHeight="1" x14ac:dyDescent="0.2">
      <c r="A136" s="65" t="s">
        <v>25</v>
      </c>
      <c r="B136" s="57">
        <v>0</v>
      </c>
      <c r="C136" s="57">
        <v>1168047.3735000012</v>
      </c>
      <c r="D136" s="57">
        <v>0</v>
      </c>
      <c r="E136" s="57">
        <v>1498748.1273678225</v>
      </c>
      <c r="F136" s="57">
        <v>1168047.3735000012</v>
      </c>
      <c r="G136" s="57">
        <v>1498748.1273678222</v>
      </c>
    </row>
    <row r="137" spans="1:7" ht="11.25" customHeight="1" x14ac:dyDescent="0.2">
      <c r="A137" s="66" t="s">
        <v>25</v>
      </c>
      <c r="B137" s="57">
        <v>0</v>
      </c>
      <c r="C137" s="57">
        <v>1168047.3735000012</v>
      </c>
      <c r="D137" s="57">
        <v>0</v>
      </c>
      <c r="E137" s="57">
        <v>1498748.1273678225</v>
      </c>
      <c r="F137" s="57">
        <v>1168047.3735000012</v>
      </c>
      <c r="G137" s="57">
        <v>1498748.1273678222</v>
      </c>
    </row>
    <row r="138" spans="1:7" ht="11.25" customHeight="1" x14ac:dyDescent="0.2">
      <c r="A138" s="67">
        <v>44531</v>
      </c>
      <c r="B138" s="57">
        <v>0</v>
      </c>
      <c r="C138" s="57">
        <v>69790.578500000061</v>
      </c>
      <c r="D138" s="57">
        <v>0</v>
      </c>
      <c r="E138" s="57">
        <v>89549.87717781293</v>
      </c>
      <c r="F138" s="57">
        <v>69790.578500000061</v>
      </c>
      <c r="G138" s="57">
        <v>89549.87717781293</v>
      </c>
    </row>
    <row r="139" spans="1:7" ht="11.25" customHeight="1" x14ac:dyDescent="0.2">
      <c r="A139" s="67">
        <v>44562</v>
      </c>
      <c r="B139" s="57">
        <v>0</v>
      </c>
      <c r="C139" s="57">
        <v>76088.594500000065</v>
      </c>
      <c r="D139" s="57">
        <v>0</v>
      </c>
      <c r="E139" s="57">
        <v>97631.004622026638</v>
      </c>
      <c r="F139" s="57">
        <v>76088.594500000065</v>
      </c>
      <c r="G139" s="57">
        <v>97631.004622026638</v>
      </c>
    </row>
    <row r="140" spans="1:7" ht="11.25" customHeight="1" x14ac:dyDescent="0.2">
      <c r="A140" s="67">
        <v>44593</v>
      </c>
      <c r="B140" s="57">
        <v>0</v>
      </c>
      <c r="C140" s="57">
        <v>72357.974500000069</v>
      </c>
      <c r="D140" s="57">
        <v>0</v>
      </c>
      <c r="E140" s="57">
        <v>92844.161326307381</v>
      </c>
      <c r="F140" s="57">
        <v>72357.974500000069</v>
      </c>
      <c r="G140" s="57">
        <v>92844.161326307381</v>
      </c>
    </row>
    <row r="141" spans="1:7" ht="11.25" customHeight="1" x14ac:dyDescent="0.2">
      <c r="A141" s="67">
        <v>44621</v>
      </c>
      <c r="B141" s="57">
        <v>0</v>
      </c>
      <c r="C141" s="57">
        <v>76633.104000000079</v>
      </c>
      <c r="D141" s="57">
        <v>0</v>
      </c>
      <c r="E141" s="57">
        <v>98329.677134780664</v>
      </c>
      <c r="F141" s="57">
        <v>76633.104000000079</v>
      </c>
      <c r="G141" s="57">
        <v>98329.677134780664</v>
      </c>
    </row>
    <row r="142" spans="1:7" ht="11.25" customHeight="1" x14ac:dyDescent="0.2">
      <c r="A142" s="67">
        <v>44652</v>
      </c>
      <c r="B142" s="57">
        <v>0</v>
      </c>
      <c r="C142" s="57">
        <v>79877.269000000073</v>
      </c>
      <c r="D142" s="57">
        <v>0</v>
      </c>
      <c r="E142" s="57">
        <v>102492.33896591251</v>
      </c>
      <c r="F142" s="57">
        <v>79877.269000000073</v>
      </c>
      <c r="G142" s="57">
        <v>102492.33896591251</v>
      </c>
    </row>
    <row r="143" spans="1:7" ht="11.25" customHeight="1" x14ac:dyDescent="0.2">
      <c r="A143" s="67">
        <v>44682</v>
      </c>
      <c r="B143" s="57">
        <v>0</v>
      </c>
      <c r="C143" s="57">
        <v>85523.299500000066</v>
      </c>
      <c r="D143" s="57">
        <v>0</v>
      </c>
      <c r="E143" s="57">
        <v>109736.88899951316</v>
      </c>
      <c r="F143" s="57">
        <v>85523.299500000066</v>
      </c>
      <c r="G143" s="57">
        <v>109736.88899951316</v>
      </c>
    </row>
    <row r="144" spans="1:7" ht="11.25" customHeight="1" x14ac:dyDescent="0.2">
      <c r="A144" s="67">
        <v>44713</v>
      </c>
      <c r="B144" s="57">
        <v>0</v>
      </c>
      <c r="C144" s="57">
        <v>91542.44050000007</v>
      </c>
      <c r="D144" s="57">
        <v>0</v>
      </c>
      <c r="E144" s="57">
        <v>117460.18559413787</v>
      </c>
      <c r="F144" s="57">
        <v>91542.44050000007</v>
      </c>
      <c r="G144" s="57">
        <v>117460.18559413787</v>
      </c>
    </row>
    <row r="145" spans="1:7" ht="11.25" customHeight="1" x14ac:dyDescent="0.2">
      <c r="A145" s="67">
        <v>44743</v>
      </c>
      <c r="B145" s="57">
        <v>0</v>
      </c>
      <c r="C145" s="57">
        <v>94983.661000000095</v>
      </c>
      <c r="D145" s="57">
        <v>0</v>
      </c>
      <c r="E145" s="57">
        <v>121875.6938151619</v>
      </c>
      <c r="F145" s="57">
        <v>94983.661000000095</v>
      </c>
      <c r="G145" s="57">
        <v>121875.6938151619</v>
      </c>
    </row>
    <row r="146" spans="1:7" ht="11.25" customHeight="1" x14ac:dyDescent="0.2">
      <c r="A146" s="67">
        <v>44774</v>
      </c>
      <c r="B146" s="57">
        <v>0</v>
      </c>
      <c r="C146" s="57">
        <v>103342.73300000011</v>
      </c>
      <c r="D146" s="57">
        <v>0</v>
      </c>
      <c r="E146" s="57">
        <v>132601.40904792064</v>
      </c>
      <c r="F146" s="57">
        <v>103342.73300000011</v>
      </c>
      <c r="G146" s="57">
        <v>132601.40904792064</v>
      </c>
    </row>
    <row r="147" spans="1:7" ht="11.25" customHeight="1" x14ac:dyDescent="0.2">
      <c r="A147" s="67">
        <v>44805</v>
      </c>
      <c r="B147" s="57">
        <v>0</v>
      </c>
      <c r="C147" s="57">
        <v>119910.3330000001</v>
      </c>
      <c r="D147" s="57">
        <v>0</v>
      </c>
      <c r="E147" s="57">
        <v>153859.67308611216</v>
      </c>
      <c r="F147" s="57">
        <v>119910.3330000001</v>
      </c>
      <c r="G147" s="57">
        <v>153859.67308611216</v>
      </c>
    </row>
    <row r="148" spans="1:7" ht="11.25" customHeight="1" x14ac:dyDescent="0.2">
      <c r="A148" s="67">
        <v>44835</v>
      </c>
      <c r="B148" s="57">
        <v>0</v>
      </c>
      <c r="C148" s="57">
        <v>148998.69300000014</v>
      </c>
      <c r="D148" s="57">
        <v>0</v>
      </c>
      <c r="E148" s="57">
        <v>191183.60879906814</v>
      </c>
      <c r="F148" s="57">
        <v>148998.69300000014</v>
      </c>
      <c r="G148" s="57">
        <v>191183.60879906814</v>
      </c>
    </row>
    <row r="149" spans="1:7" ht="11.25" customHeight="1" x14ac:dyDescent="0.2">
      <c r="A149" s="67">
        <v>44866</v>
      </c>
      <c r="B149" s="57">
        <v>0</v>
      </c>
      <c r="C149" s="57">
        <v>148998.69300000014</v>
      </c>
      <c r="D149" s="57">
        <v>0</v>
      </c>
      <c r="E149" s="57">
        <v>191183.60879906814</v>
      </c>
      <c r="F149" s="57">
        <v>148998.69300000014</v>
      </c>
      <c r="G149" s="57">
        <v>191183.60879906814</v>
      </c>
    </row>
    <row r="150" spans="1:7" ht="11.25" customHeight="1" x14ac:dyDescent="0.2">
      <c r="A150" s="63" t="s">
        <v>32</v>
      </c>
      <c r="B150" s="57">
        <v>0</v>
      </c>
      <c r="C150" s="57">
        <v>4.3159981544249602E-10</v>
      </c>
      <c r="D150" s="57">
        <v>0</v>
      </c>
      <c r="E150" s="57">
        <v>-1.7263992617699841E-9</v>
      </c>
      <c r="F150" s="57">
        <v>4.3159981544249602E-10</v>
      </c>
      <c r="G150" s="57">
        <v>-1.7263992617699841E-9</v>
      </c>
    </row>
    <row r="151" spans="1:7" ht="11.25" customHeight="1" x14ac:dyDescent="0.2">
      <c r="A151" s="64" t="s">
        <v>25</v>
      </c>
      <c r="B151" s="57">
        <v>0</v>
      </c>
      <c r="C151" s="57">
        <v>4.3159981544249602E-10</v>
      </c>
      <c r="D151" s="57">
        <v>0</v>
      </c>
      <c r="E151" s="57">
        <v>-1.7263992617699841E-9</v>
      </c>
      <c r="F151" s="57">
        <v>4.3159981544249602E-10</v>
      </c>
      <c r="G151" s="57">
        <v>-1.7263992617699841E-9</v>
      </c>
    </row>
    <row r="152" spans="1:7" ht="11.25" customHeight="1" x14ac:dyDescent="0.2">
      <c r="A152" s="65" t="s">
        <v>25</v>
      </c>
      <c r="B152" s="57">
        <v>0</v>
      </c>
      <c r="C152" s="57">
        <v>4.3159981544249602E-10</v>
      </c>
      <c r="D152" s="57">
        <v>0</v>
      </c>
      <c r="E152" s="57">
        <v>-1.7263992617699841E-9</v>
      </c>
      <c r="F152" s="57">
        <v>4.3159981544249602E-10</v>
      </c>
      <c r="G152" s="57">
        <v>-1.7263992617699841E-9</v>
      </c>
    </row>
    <row r="153" spans="1:7" ht="11.25" customHeight="1" x14ac:dyDescent="0.2">
      <c r="A153" s="66" t="s">
        <v>25</v>
      </c>
      <c r="B153" s="57">
        <v>0</v>
      </c>
      <c r="C153" s="57">
        <v>4.3159981544249602E-10</v>
      </c>
      <c r="D153" s="57">
        <v>0</v>
      </c>
      <c r="E153" s="57">
        <v>-1.7263992617699841E-9</v>
      </c>
      <c r="F153" s="57">
        <v>4.3159981544249602E-10</v>
      </c>
      <c r="G153" s="57">
        <v>-1.7263992617699841E-9</v>
      </c>
    </row>
    <row r="154" spans="1:7" ht="11.25" customHeight="1" x14ac:dyDescent="0.2">
      <c r="A154" s="67">
        <v>44531</v>
      </c>
      <c r="B154" s="57">
        <v>0</v>
      </c>
      <c r="C154" s="57">
        <v>2.5351170052090311E-11</v>
      </c>
      <c r="D154" s="57">
        <v>0</v>
      </c>
      <c r="E154" s="57">
        <v>-1.0140468020836125E-10</v>
      </c>
      <c r="F154" s="57">
        <v>2.5351170052090311E-11</v>
      </c>
      <c r="G154" s="57">
        <v>-1.0140468020836125E-10</v>
      </c>
    </row>
    <row r="155" spans="1:7" ht="11.25" customHeight="1" x14ac:dyDescent="0.2">
      <c r="A155" s="67">
        <v>44562</v>
      </c>
      <c r="B155" s="57">
        <v>0</v>
      </c>
      <c r="C155" s="57">
        <v>2.5453786633988785E-11</v>
      </c>
      <c r="D155" s="57">
        <v>0</v>
      </c>
      <c r="E155" s="57">
        <v>-1.0181514653595514E-10</v>
      </c>
      <c r="F155" s="57">
        <v>2.5453786633988785E-11</v>
      </c>
      <c r="G155" s="57">
        <v>-1.0181514653595514E-10</v>
      </c>
    </row>
    <row r="156" spans="1:7" ht="11.25" customHeight="1" x14ac:dyDescent="0.2">
      <c r="A156" s="67">
        <v>44593</v>
      </c>
      <c r="B156" s="57">
        <v>0</v>
      </c>
      <c r="C156" s="57">
        <v>1.9440960841166089E-11</v>
      </c>
      <c r="D156" s="57">
        <v>0</v>
      </c>
      <c r="E156" s="57">
        <v>-7.7763843364664357E-11</v>
      </c>
      <c r="F156" s="57">
        <v>1.9440960841166089E-11</v>
      </c>
      <c r="G156" s="57">
        <v>-7.7763843364664357E-11</v>
      </c>
    </row>
    <row r="157" spans="1:7" ht="11.25" customHeight="1" x14ac:dyDescent="0.2">
      <c r="A157" s="67">
        <v>44621</v>
      </c>
      <c r="B157" s="57">
        <v>0</v>
      </c>
      <c r="C157" s="57">
        <v>2.1386156845437653E-11</v>
      </c>
      <c r="D157" s="57">
        <v>0</v>
      </c>
      <c r="E157" s="57">
        <v>-8.5544627381750611E-11</v>
      </c>
      <c r="F157" s="57">
        <v>2.1386156845437653E-11</v>
      </c>
      <c r="G157" s="57">
        <v>-8.5544627381750611E-11</v>
      </c>
    </row>
    <row r="158" spans="1:7" ht="11.25" customHeight="1" x14ac:dyDescent="0.2">
      <c r="A158" s="67">
        <v>44652</v>
      </c>
      <c r="B158" s="57">
        <v>0</v>
      </c>
      <c r="C158" s="57">
        <v>2.2525341591972394E-11</v>
      </c>
      <c r="D158" s="57">
        <v>0</v>
      </c>
      <c r="E158" s="57">
        <v>-9.0101366367889577E-11</v>
      </c>
      <c r="F158" s="57">
        <v>2.2525341591972394E-11</v>
      </c>
      <c r="G158" s="57">
        <v>-9.0101366367889577E-11</v>
      </c>
    </row>
    <row r="159" spans="1:7" ht="11.25" customHeight="1" x14ac:dyDescent="0.2">
      <c r="A159" s="67">
        <v>44682</v>
      </c>
      <c r="B159" s="57">
        <v>0</v>
      </c>
      <c r="C159" s="57">
        <v>2.9281935098879335E-11</v>
      </c>
      <c r="D159" s="57">
        <v>0</v>
      </c>
      <c r="E159" s="57">
        <v>-1.1712774039551734E-10</v>
      </c>
      <c r="F159" s="57">
        <v>2.9281935098879335E-11</v>
      </c>
      <c r="G159" s="57">
        <v>-1.1712774039551734E-10</v>
      </c>
    </row>
    <row r="160" spans="1:7" ht="11.25" customHeight="1" x14ac:dyDescent="0.2">
      <c r="A160" s="67">
        <v>44713</v>
      </c>
      <c r="B160" s="57">
        <v>0</v>
      </c>
      <c r="C160" s="57">
        <v>3.1289459911931768E-11</v>
      </c>
      <c r="D160" s="57">
        <v>0</v>
      </c>
      <c r="E160" s="57">
        <v>-1.2515783964772707E-10</v>
      </c>
      <c r="F160" s="57">
        <v>3.1289459911931768E-11</v>
      </c>
      <c r="G160" s="57">
        <v>-1.2515783964772707E-10</v>
      </c>
    </row>
    <row r="161" spans="1:7" ht="11.25" customHeight="1" x14ac:dyDescent="0.2">
      <c r="A161" s="67">
        <v>44743</v>
      </c>
      <c r="B161" s="57">
        <v>0</v>
      </c>
      <c r="C161" s="57">
        <v>3.2513540304535125E-11</v>
      </c>
      <c r="D161" s="57">
        <v>0</v>
      </c>
      <c r="E161" s="57">
        <v>-1.300541612181405E-10</v>
      </c>
      <c r="F161" s="57">
        <v>3.2513540304535125E-11</v>
      </c>
      <c r="G161" s="57">
        <v>-1.300541612181405E-10</v>
      </c>
    </row>
    <row r="162" spans="1:7" ht="11.25" customHeight="1" x14ac:dyDescent="0.2">
      <c r="A162" s="67">
        <v>44774</v>
      </c>
      <c r="B162" s="57">
        <v>0</v>
      </c>
      <c r="C162" s="57">
        <v>3.8013027392480575E-11</v>
      </c>
      <c r="D162" s="57">
        <v>0</v>
      </c>
      <c r="E162" s="57">
        <v>-1.520521095699223E-10</v>
      </c>
      <c r="F162" s="57">
        <v>3.8013027392480575E-11</v>
      </c>
      <c r="G162" s="57">
        <v>-1.520521095699223E-10</v>
      </c>
    </row>
    <row r="163" spans="1:7" ht="11.25" customHeight="1" x14ac:dyDescent="0.2">
      <c r="A163" s="67">
        <v>44805</v>
      </c>
      <c r="B163" s="57">
        <v>0</v>
      </c>
      <c r="C163" s="57">
        <v>5.0276440788366015E-11</v>
      </c>
      <c r="D163" s="57">
        <v>0</v>
      </c>
      <c r="E163" s="57">
        <v>-2.0110576315346406E-10</v>
      </c>
      <c r="F163" s="57">
        <v>5.0276440788366015E-11</v>
      </c>
      <c r="G163" s="57">
        <v>-2.0110576315346406E-10</v>
      </c>
    </row>
    <row r="164" spans="1:7" ht="11.25" customHeight="1" x14ac:dyDescent="0.2">
      <c r="A164" s="67">
        <v>44835</v>
      </c>
      <c r="B164" s="57">
        <v>0</v>
      </c>
      <c r="C164" s="57">
        <v>6.8033997990823999E-11</v>
      </c>
      <c r="D164" s="57">
        <v>0</v>
      </c>
      <c r="E164" s="57">
        <v>-2.72135991963296E-10</v>
      </c>
      <c r="F164" s="57">
        <v>6.8033997990823999E-11</v>
      </c>
      <c r="G164" s="57">
        <v>-2.72135991963296E-10</v>
      </c>
    </row>
    <row r="165" spans="1:7" ht="11.25" customHeight="1" x14ac:dyDescent="0.2">
      <c r="A165" s="67">
        <v>44866</v>
      </c>
      <c r="B165" s="57">
        <v>0</v>
      </c>
      <c r="C165" s="57">
        <v>6.8033997990823999E-11</v>
      </c>
      <c r="D165" s="57">
        <v>0</v>
      </c>
      <c r="E165" s="57">
        <v>-2.72135991963296E-10</v>
      </c>
      <c r="F165" s="57">
        <v>6.8033997990823999E-11</v>
      </c>
      <c r="G165" s="57">
        <v>-2.72135991963296E-10</v>
      </c>
    </row>
    <row r="166" spans="1:7" ht="11.25" customHeight="1" x14ac:dyDescent="0.2">
      <c r="A166" s="59" t="s">
        <v>843</v>
      </c>
      <c r="B166" s="57">
        <v>510305.83431531419</v>
      </c>
      <c r="C166" s="57">
        <v>16371646.413984628</v>
      </c>
      <c r="D166" s="57">
        <v>506126.21069770609</v>
      </c>
      <c r="E166" s="57">
        <v>16867094.859205682</v>
      </c>
      <c r="F166" s="57">
        <v>16881952.248299941</v>
      </c>
      <c r="G166" s="57">
        <v>17373221.069903389</v>
      </c>
    </row>
    <row r="167" spans="1:7" ht="11.25" customHeight="1" x14ac:dyDescent="0.2">
      <c r="A167" s="60" t="s">
        <v>41</v>
      </c>
      <c r="B167" s="57">
        <v>510305.83431531419</v>
      </c>
      <c r="C167" s="57">
        <v>16371646.413984628</v>
      </c>
      <c r="D167" s="57">
        <v>506126.21069770609</v>
      </c>
      <c r="E167" s="57">
        <v>16867094.859205682</v>
      </c>
      <c r="F167" s="57">
        <v>16881952.248299941</v>
      </c>
      <c r="G167" s="57">
        <v>17373221.069903389</v>
      </c>
    </row>
    <row r="168" spans="1:7" ht="11.25" customHeight="1" x14ac:dyDescent="0.2">
      <c r="A168" s="61" t="s">
        <v>43</v>
      </c>
      <c r="B168" s="57">
        <v>510305.83431531419</v>
      </c>
      <c r="C168" s="57">
        <v>16371646.413984628</v>
      </c>
      <c r="D168" s="57">
        <v>506126.21069770609</v>
      </c>
      <c r="E168" s="57">
        <v>16867094.859205682</v>
      </c>
      <c r="F168" s="57">
        <v>16881952.248299941</v>
      </c>
      <c r="G168" s="57">
        <v>17373221.069903389</v>
      </c>
    </row>
    <row r="169" spans="1:7" ht="11.25" customHeight="1" x14ac:dyDescent="0.2">
      <c r="A169" s="62" t="s">
        <v>38</v>
      </c>
      <c r="B169" s="57">
        <v>510305.83431531419</v>
      </c>
      <c r="C169" s="57">
        <v>16371646.413984628</v>
      </c>
      <c r="D169" s="57">
        <v>506126.21069770609</v>
      </c>
      <c r="E169" s="57">
        <v>16867094.859205682</v>
      </c>
      <c r="F169" s="57">
        <v>16881952.248299941</v>
      </c>
      <c r="G169" s="57">
        <v>17373221.069903389</v>
      </c>
    </row>
    <row r="170" spans="1:7" ht="11.25" customHeight="1" x14ac:dyDescent="0.2">
      <c r="A170" s="63" t="s">
        <v>25</v>
      </c>
      <c r="B170" s="57">
        <v>510305.83431531419</v>
      </c>
      <c r="C170" s="57">
        <v>16371646.413984628</v>
      </c>
      <c r="D170" s="57">
        <v>506126.21069770609</v>
      </c>
      <c r="E170" s="57">
        <v>16867094.859205682</v>
      </c>
      <c r="F170" s="57">
        <v>16881952.248299941</v>
      </c>
      <c r="G170" s="57">
        <v>17373221.069903389</v>
      </c>
    </row>
    <row r="171" spans="1:7" ht="11.25" customHeight="1" x14ac:dyDescent="0.2">
      <c r="A171" s="64" t="s">
        <v>55</v>
      </c>
      <c r="B171" s="57">
        <v>510305.83431531419</v>
      </c>
      <c r="C171" s="57">
        <v>16371646.413984628</v>
      </c>
      <c r="D171" s="57">
        <v>506126.21069770609</v>
      </c>
      <c r="E171" s="57">
        <v>16867094.859205682</v>
      </c>
      <c r="F171" s="57">
        <v>16881952.248299941</v>
      </c>
      <c r="G171" s="57">
        <v>17373221.069903389</v>
      </c>
    </row>
    <row r="172" spans="1:7" ht="11.25" customHeight="1" x14ac:dyDescent="0.2">
      <c r="A172" s="65" t="s">
        <v>25</v>
      </c>
      <c r="B172" s="57">
        <v>510305.83431531419</v>
      </c>
      <c r="C172" s="57">
        <v>16371646.413984628</v>
      </c>
      <c r="D172" s="57">
        <v>506126.21069770609</v>
      </c>
      <c r="E172" s="57">
        <v>16867094.859205682</v>
      </c>
      <c r="F172" s="57">
        <v>16881952.248299941</v>
      </c>
      <c r="G172" s="57">
        <v>17373221.069903389</v>
      </c>
    </row>
    <row r="173" spans="1:7" ht="11.25" customHeight="1" x14ac:dyDescent="0.2">
      <c r="A173" s="66" t="s">
        <v>35</v>
      </c>
      <c r="B173" s="57">
        <v>0</v>
      </c>
      <c r="C173" s="57">
        <v>0</v>
      </c>
      <c r="D173" s="57">
        <v>0</v>
      </c>
      <c r="E173" s="57">
        <v>0</v>
      </c>
      <c r="F173" s="57">
        <v>0</v>
      </c>
      <c r="G173" s="57">
        <v>0</v>
      </c>
    </row>
    <row r="174" spans="1:7" ht="11.25" customHeight="1" x14ac:dyDescent="0.2">
      <c r="A174" s="67">
        <v>44531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</row>
    <row r="175" spans="1:7" ht="11.25" customHeight="1" x14ac:dyDescent="0.2">
      <c r="A175" s="67">
        <v>44562</v>
      </c>
      <c r="B175" s="57">
        <v>0</v>
      </c>
      <c r="C175" s="57">
        <v>0</v>
      </c>
      <c r="D175" s="57">
        <v>0</v>
      </c>
      <c r="E175" s="57">
        <v>0</v>
      </c>
      <c r="F175" s="57">
        <v>0</v>
      </c>
      <c r="G175" s="57">
        <v>0</v>
      </c>
    </row>
    <row r="176" spans="1:7" ht="11.25" customHeight="1" x14ac:dyDescent="0.2">
      <c r="A176" s="67">
        <v>44593</v>
      </c>
      <c r="B176" s="57">
        <v>0</v>
      </c>
      <c r="C176" s="57">
        <v>0</v>
      </c>
      <c r="D176" s="57">
        <v>0</v>
      </c>
      <c r="E176" s="57">
        <v>0</v>
      </c>
      <c r="F176" s="57">
        <v>0</v>
      </c>
      <c r="G176" s="57">
        <v>0</v>
      </c>
    </row>
    <row r="177" spans="1:7" ht="11.25" customHeight="1" x14ac:dyDescent="0.2">
      <c r="A177" s="67">
        <v>44621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</row>
    <row r="178" spans="1:7" ht="11.25" customHeight="1" x14ac:dyDescent="0.2">
      <c r="A178" s="67">
        <v>44652</v>
      </c>
      <c r="B178" s="57">
        <v>0</v>
      </c>
      <c r="C178" s="57">
        <v>0</v>
      </c>
      <c r="D178" s="57">
        <v>0</v>
      </c>
      <c r="E178" s="57">
        <v>0</v>
      </c>
      <c r="F178" s="57">
        <v>0</v>
      </c>
      <c r="G178" s="57">
        <v>0</v>
      </c>
    </row>
    <row r="179" spans="1:7" ht="11.25" customHeight="1" x14ac:dyDescent="0.2">
      <c r="A179" s="67">
        <v>44682</v>
      </c>
      <c r="B179" s="57">
        <v>0</v>
      </c>
      <c r="C179" s="57">
        <v>0</v>
      </c>
      <c r="D179" s="57">
        <v>0</v>
      </c>
      <c r="E179" s="57">
        <v>0</v>
      </c>
      <c r="F179" s="57">
        <v>0</v>
      </c>
      <c r="G179" s="57">
        <v>0</v>
      </c>
    </row>
    <row r="180" spans="1:7" ht="11.25" customHeight="1" x14ac:dyDescent="0.2">
      <c r="A180" s="67">
        <v>44713</v>
      </c>
      <c r="B180" s="57">
        <v>0</v>
      </c>
      <c r="C180" s="57">
        <v>0</v>
      </c>
      <c r="D180" s="57">
        <v>0</v>
      </c>
      <c r="E180" s="57">
        <v>0</v>
      </c>
      <c r="F180" s="57">
        <v>0</v>
      </c>
      <c r="G180" s="57">
        <v>0</v>
      </c>
    </row>
    <row r="181" spans="1:7" ht="11.25" customHeight="1" x14ac:dyDescent="0.2">
      <c r="A181" s="67">
        <v>44743</v>
      </c>
      <c r="B181" s="57">
        <v>0</v>
      </c>
      <c r="C181" s="57">
        <v>0</v>
      </c>
      <c r="D181" s="57">
        <v>0</v>
      </c>
      <c r="E181" s="57">
        <v>0</v>
      </c>
      <c r="F181" s="57">
        <v>0</v>
      </c>
      <c r="G181" s="57">
        <v>0</v>
      </c>
    </row>
    <row r="182" spans="1:7" ht="11.25" customHeight="1" x14ac:dyDescent="0.2">
      <c r="A182" s="67">
        <v>44774</v>
      </c>
      <c r="B182" s="57">
        <v>0</v>
      </c>
      <c r="C182" s="57">
        <v>0</v>
      </c>
      <c r="D182" s="57">
        <v>0</v>
      </c>
      <c r="E182" s="57">
        <v>0</v>
      </c>
      <c r="F182" s="57">
        <v>0</v>
      </c>
      <c r="G182" s="57">
        <v>0</v>
      </c>
    </row>
    <row r="183" spans="1:7" ht="11.25" customHeight="1" x14ac:dyDescent="0.2">
      <c r="A183" s="67">
        <v>44805</v>
      </c>
      <c r="B183" s="57">
        <v>0</v>
      </c>
      <c r="C183" s="57">
        <v>0</v>
      </c>
      <c r="D183" s="57">
        <v>0</v>
      </c>
      <c r="E183" s="57">
        <v>0</v>
      </c>
      <c r="F183" s="57">
        <v>0</v>
      </c>
      <c r="G183" s="57">
        <v>0</v>
      </c>
    </row>
    <row r="184" spans="1:7" ht="11.25" customHeight="1" x14ac:dyDescent="0.2">
      <c r="A184" s="67">
        <v>44835</v>
      </c>
      <c r="B184" s="57">
        <v>0</v>
      </c>
      <c r="C184" s="57">
        <v>0</v>
      </c>
      <c r="D184" s="57">
        <v>0</v>
      </c>
      <c r="E184" s="57">
        <v>0</v>
      </c>
      <c r="F184" s="57">
        <v>0</v>
      </c>
      <c r="G184" s="57">
        <v>0</v>
      </c>
    </row>
    <row r="185" spans="1:7" ht="11.25" customHeight="1" x14ac:dyDescent="0.2">
      <c r="A185" s="67">
        <v>44866</v>
      </c>
      <c r="B185" s="57">
        <v>0</v>
      </c>
      <c r="C185" s="57">
        <v>0</v>
      </c>
      <c r="D185" s="57">
        <v>0</v>
      </c>
      <c r="E185" s="57">
        <v>0</v>
      </c>
      <c r="F185" s="57">
        <v>0</v>
      </c>
      <c r="G185" s="57">
        <v>0</v>
      </c>
    </row>
    <row r="186" spans="1:7" ht="11.25" customHeight="1" x14ac:dyDescent="0.2">
      <c r="A186" s="66" t="s">
        <v>25</v>
      </c>
      <c r="B186" s="57">
        <v>510305.83431531419</v>
      </c>
      <c r="C186" s="57">
        <v>0</v>
      </c>
      <c r="D186" s="57">
        <v>506126.21069770609</v>
      </c>
      <c r="E186" s="57">
        <v>0</v>
      </c>
      <c r="F186" s="57">
        <v>510305.83431531419</v>
      </c>
      <c r="G186" s="57">
        <v>506126.21069770609</v>
      </c>
    </row>
    <row r="187" spans="1:7" ht="11.25" customHeight="1" x14ac:dyDescent="0.2">
      <c r="A187" s="67">
        <v>44531</v>
      </c>
      <c r="B187" s="57">
        <v>62660.929795314201</v>
      </c>
      <c r="C187" s="57">
        <v>0</v>
      </c>
      <c r="D187" s="57">
        <v>62147.709909389974</v>
      </c>
      <c r="E187" s="57">
        <v>0</v>
      </c>
      <c r="F187" s="57">
        <v>62660.929795314201</v>
      </c>
      <c r="G187" s="57">
        <v>62147.709909389974</v>
      </c>
    </row>
    <row r="188" spans="1:7" ht="11.25" customHeight="1" x14ac:dyDescent="0.2">
      <c r="A188" s="67">
        <v>44562</v>
      </c>
      <c r="B188" s="57">
        <v>50248.17396</v>
      </c>
      <c r="C188" s="57">
        <v>0</v>
      </c>
      <c r="D188" s="57">
        <v>49836.619867331872</v>
      </c>
      <c r="E188" s="57">
        <v>0</v>
      </c>
      <c r="F188" s="57">
        <v>50248.17396</v>
      </c>
      <c r="G188" s="57">
        <v>49836.619867331872</v>
      </c>
    </row>
    <row r="189" spans="1:7" ht="11.25" customHeight="1" x14ac:dyDescent="0.2">
      <c r="A189" s="67">
        <v>44593</v>
      </c>
      <c r="B189" s="57">
        <v>46621.749671999991</v>
      </c>
      <c r="C189" s="57">
        <v>0</v>
      </c>
      <c r="D189" s="57">
        <v>46239.897549370922</v>
      </c>
      <c r="E189" s="57">
        <v>0</v>
      </c>
      <c r="F189" s="57">
        <v>46621.749671999991</v>
      </c>
      <c r="G189" s="57">
        <v>46239.897549370922</v>
      </c>
    </row>
    <row r="190" spans="1:7" ht="11.25" customHeight="1" x14ac:dyDescent="0.2">
      <c r="A190" s="67">
        <v>44621</v>
      </c>
      <c r="B190" s="57">
        <v>37743.670464000003</v>
      </c>
      <c r="C190" s="57">
        <v>0</v>
      </c>
      <c r="D190" s="57">
        <v>37434.533617273155</v>
      </c>
      <c r="E190" s="57">
        <v>0</v>
      </c>
      <c r="F190" s="57">
        <v>37743.670464000003</v>
      </c>
      <c r="G190" s="57">
        <v>37434.533617273155</v>
      </c>
    </row>
    <row r="191" spans="1:7" ht="11.25" customHeight="1" x14ac:dyDescent="0.2">
      <c r="A191" s="67">
        <v>44652</v>
      </c>
      <c r="B191" s="57">
        <v>41821.332479999997</v>
      </c>
      <c r="C191" s="57">
        <v>0</v>
      </c>
      <c r="D191" s="57">
        <v>41478.797832737393</v>
      </c>
      <c r="E191" s="57">
        <v>0</v>
      </c>
      <c r="F191" s="57">
        <v>41821.332479999997</v>
      </c>
      <c r="G191" s="57">
        <v>41478.797832737393</v>
      </c>
    </row>
    <row r="192" spans="1:7" ht="11.25" customHeight="1" x14ac:dyDescent="0.2">
      <c r="A192" s="67">
        <v>44682</v>
      </c>
      <c r="B192" s="57">
        <v>36715.179149999996</v>
      </c>
      <c r="C192" s="57">
        <v>0</v>
      </c>
      <c r="D192" s="57">
        <v>36414.46608818297</v>
      </c>
      <c r="E192" s="57">
        <v>0</v>
      </c>
      <c r="F192" s="57">
        <v>36715.179149999996</v>
      </c>
      <c r="G192" s="57">
        <v>36414.46608818297</v>
      </c>
    </row>
    <row r="193" spans="1:7" ht="11.25" customHeight="1" x14ac:dyDescent="0.2">
      <c r="A193" s="67">
        <v>44713</v>
      </c>
      <c r="B193" s="57">
        <v>36841.319011999993</v>
      </c>
      <c r="C193" s="57">
        <v>0</v>
      </c>
      <c r="D193" s="57">
        <v>36539.572810620601</v>
      </c>
      <c r="E193" s="57">
        <v>0</v>
      </c>
      <c r="F193" s="57">
        <v>36841.319011999993</v>
      </c>
      <c r="G193" s="57">
        <v>36539.572810620601</v>
      </c>
    </row>
    <row r="194" spans="1:7" ht="11.25" customHeight="1" x14ac:dyDescent="0.2">
      <c r="A194" s="67">
        <v>44743</v>
      </c>
      <c r="B194" s="57">
        <v>46268.325444000002</v>
      </c>
      <c r="C194" s="57">
        <v>0</v>
      </c>
      <c r="D194" s="57">
        <v>45889.368017357243</v>
      </c>
      <c r="E194" s="57">
        <v>0</v>
      </c>
      <c r="F194" s="57">
        <v>46268.325444000002</v>
      </c>
      <c r="G194" s="57">
        <v>45889.368017357243</v>
      </c>
    </row>
    <row r="195" spans="1:7" ht="11.25" customHeight="1" x14ac:dyDescent="0.2">
      <c r="A195" s="67">
        <v>44774</v>
      </c>
      <c r="B195" s="57">
        <v>37711.506391999996</v>
      </c>
      <c r="C195" s="57">
        <v>0</v>
      </c>
      <c r="D195" s="57">
        <v>37402.632982815754</v>
      </c>
      <c r="E195" s="57">
        <v>0</v>
      </c>
      <c r="F195" s="57">
        <v>37711.506391999996</v>
      </c>
      <c r="G195" s="57">
        <v>37402.632982815754</v>
      </c>
    </row>
    <row r="196" spans="1:7" ht="11.25" customHeight="1" x14ac:dyDescent="0.2">
      <c r="A196" s="67">
        <v>44805</v>
      </c>
      <c r="B196" s="57">
        <v>35578.374618000002</v>
      </c>
      <c r="C196" s="57">
        <v>0</v>
      </c>
      <c r="D196" s="57">
        <v>35286.972472796202</v>
      </c>
      <c r="E196" s="57">
        <v>0</v>
      </c>
      <c r="F196" s="57">
        <v>35578.374618000002</v>
      </c>
      <c r="G196" s="57">
        <v>35286.972472796202</v>
      </c>
    </row>
    <row r="197" spans="1:7" ht="11.25" customHeight="1" x14ac:dyDescent="0.2">
      <c r="A197" s="67">
        <v>44835</v>
      </c>
      <c r="B197" s="57">
        <v>39047.636663999998</v>
      </c>
      <c r="C197" s="57">
        <v>0</v>
      </c>
      <c r="D197" s="57">
        <v>38727.819774915028</v>
      </c>
      <c r="E197" s="57">
        <v>0</v>
      </c>
      <c r="F197" s="57">
        <v>39047.636663999998</v>
      </c>
      <c r="G197" s="57">
        <v>38727.819774915028</v>
      </c>
    </row>
    <row r="198" spans="1:7" ht="11.25" customHeight="1" x14ac:dyDescent="0.2">
      <c r="A198" s="67">
        <v>44866</v>
      </c>
      <c r="B198" s="57">
        <v>39047.636663999998</v>
      </c>
      <c r="C198" s="57">
        <v>0</v>
      </c>
      <c r="D198" s="57">
        <v>38727.819774915028</v>
      </c>
      <c r="E198" s="57">
        <v>0</v>
      </c>
      <c r="F198" s="57">
        <v>39047.636663999998</v>
      </c>
      <c r="G198" s="57">
        <v>38727.819774915028</v>
      </c>
    </row>
    <row r="199" spans="1:7" ht="11.25" customHeight="1" x14ac:dyDescent="0.2">
      <c r="A199" s="66" t="s">
        <v>34</v>
      </c>
      <c r="B199" s="57">
        <v>0</v>
      </c>
      <c r="C199" s="57">
        <v>16371646.413984628</v>
      </c>
      <c r="D199" s="57">
        <v>0</v>
      </c>
      <c r="E199" s="57">
        <v>16867094.859205682</v>
      </c>
      <c r="F199" s="57">
        <v>16371646.413984628</v>
      </c>
      <c r="G199" s="57">
        <v>16867094.859205682</v>
      </c>
    </row>
    <row r="200" spans="1:7" ht="11.25" customHeight="1" x14ac:dyDescent="0.2">
      <c r="A200" s="67">
        <v>44531</v>
      </c>
      <c r="B200" s="57">
        <v>0</v>
      </c>
      <c r="C200" s="57">
        <v>67840.646622060769</v>
      </c>
      <c r="D200" s="57">
        <v>0</v>
      </c>
      <c r="E200" s="57">
        <v>69893.6803879855</v>
      </c>
      <c r="F200" s="57">
        <v>67840.646622060769</v>
      </c>
      <c r="G200" s="57">
        <v>69893.6803879855</v>
      </c>
    </row>
    <row r="201" spans="1:7" ht="11.25" customHeight="1" x14ac:dyDescent="0.2">
      <c r="A201" s="67">
        <v>44562</v>
      </c>
      <c r="B201" s="57">
        <v>0</v>
      </c>
      <c r="C201" s="57">
        <v>593589.07668632001</v>
      </c>
      <c r="D201" s="57">
        <v>0</v>
      </c>
      <c r="E201" s="57">
        <v>611552.62034636538</v>
      </c>
      <c r="F201" s="57">
        <v>593589.07668632001</v>
      </c>
      <c r="G201" s="57">
        <v>611552.62034636538</v>
      </c>
    </row>
    <row r="202" spans="1:7" ht="11.25" customHeight="1" x14ac:dyDescent="0.2">
      <c r="A202" s="67">
        <v>44593</v>
      </c>
      <c r="B202" s="57">
        <v>0</v>
      </c>
      <c r="C202" s="57">
        <v>473147.49632508797</v>
      </c>
      <c r="D202" s="57">
        <v>0</v>
      </c>
      <c r="E202" s="57">
        <v>487466.16565661336</v>
      </c>
      <c r="F202" s="57">
        <v>473147.49632508797</v>
      </c>
      <c r="G202" s="57">
        <v>487466.16565661336</v>
      </c>
    </row>
    <row r="203" spans="1:7" ht="11.25" customHeight="1" x14ac:dyDescent="0.2">
      <c r="A203" s="67">
        <v>44621</v>
      </c>
      <c r="B203" s="57">
        <v>0</v>
      </c>
      <c r="C203" s="57">
        <v>964123.11207108013</v>
      </c>
      <c r="D203" s="57">
        <v>0</v>
      </c>
      <c r="E203" s="57">
        <v>993299.97582677868</v>
      </c>
      <c r="F203" s="57">
        <v>964123.11207108013</v>
      </c>
      <c r="G203" s="57">
        <v>993299.97582677868</v>
      </c>
    </row>
    <row r="204" spans="1:7" ht="11.25" customHeight="1" x14ac:dyDescent="0.2">
      <c r="A204" s="67">
        <v>44652</v>
      </c>
      <c r="B204" s="57">
        <v>0</v>
      </c>
      <c r="C204" s="57">
        <v>1361581.4144674558</v>
      </c>
      <c r="D204" s="57">
        <v>0</v>
      </c>
      <c r="E204" s="57">
        <v>1402786.3964088901</v>
      </c>
      <c r="F204" s="57">
        <v>1361581.4144674558</v>
      </c>
      <c r="G204" s="57">
        <v>1402786.3964088901</v>
      </c>
    </row>
    <row r="205" spans="1:7" ht="11.25" customHeight="1" x14ac:dyDescent="0.2">
      <c r="A205" s="67">
        <v>44682</v>
      </c>
      <c r="B205" s="57">
        <v>0</v>
      </c>
      <c r="C205" s="57">
        <v>1683697.7325525761</v>
      </c>
      <c r="D205" s="57">
        <v>0</v>
      </c>
      <c r="E205" s="57">
        <v>1734650.7889967237</v>
      </c>
      <c r="F205" s="57">
        <v>1683697.7325525761</v>
      </c>
      <c r="G205" s="57">
        <v>1734650.7889967237</v>
      </c>
    </row>
    <row r="206" spans="1:7" ht="11.25" customHeight="1" x14ac:dyDescent="0.2">
      <c r="A206" s="67">
        <v>44713</v>
      </c>
      <c r="B206" s="57">
        <v>0</v>
      </c>
      <c r="C206" s="57">
        <v>1592807.1406962001</v>
      </c>
      <c r="D206" s="57">
        <v>0</v>
      </c>
      <c r="E206" s="57">
        <v>1641009.6123010614</v>
      </c>
      <c r="F206" s="57">
        <v>1592807.1406962001</v>
      </c>
      <c r="G206" s="57">
        <v>1641009.6123010614</v>
      </c>
    </row>
    <row r="207" spans="1:7" ht="11.25" customHeight="1" x14ac:dyDescent="0.2">
      <c r="A207" s="67">
        <v>44743</v>
      </c>
      <c r="B207" s="57">
        <v>0</v>
      </c>
      <c r="C207" s="57">
        <v>1264738.1951046961</v>
      </c>
      <c r="D207" s="57">
        <v>0</v>
      </c>
      <c r="E207" s="57">
        <v>1303012.4502731347</v>
      </c>
      <c r="F207" s="57">
        <v>1264738.1951046961</v>
      </c>
      <c r="G207" s="57">
        <v>1303012.4502731347</v>
      </c>
    </row>
    <row r="208" spans="1:7" ht="11.25" customHeight="1" x14ac:dyDescent="0.2">
      <c r="A208" s="67">
        <v>44774</v>
      </c>
      <c r="B208" s="57">
        <v>0</v>
      </c>
      <c r="C208" s="57">
        <v>2186810.663466</v>
      </c>
      <c r="D208" s="57">
        <v>0</v>
      </c>
      <c r="E208" s="57">
        <v>2252989.2209433694</v>
      </c>
      <c r="F208" s="57">
        <v>2186810.663466</v>
      </c>
      <c r="G208" s="57">
        <v>2252989.2209433694</v>
      </c>
    </row>
    <row r="209" spans="1:7" ht="11.25" customHeight="1" x14ac:dyDescent="0.2">
      <c r="A209" s="67">
        <v>44805</v>
      </c>
      <c r="B209" s="57">
        <v>0</v>
      </c>
      <c r="C209" s="57">
        <v>1651879.7279504</v>
      </c>
      <c r="D209" s="57">
        <v>0</v>
      </c>
      <c r="E209" s="57">
        <v>1701869.8891235676</v>
      </c>
      <c r="F209" s="57">
        <v>1651879.7279504</v>
      </c>
      <c r="G209" s="57">
        <v>1701869.8891235676</v>
      </c>
    </row>
    <row r="210" spans="1:7" ht="11.25" customHeight="1" x14ac:dyDescent="0.2">
      <c r="A210" s="67">
        <v>44835</v>
      </c>
      <c r="B210" s="57">
        <v>0</v>
      </c>
      <c r="C210" s="57">
        <v>2265715.604021376</v>
      </c>
      <c r="D210" s="57">
        <v>0</v>
      </c>
      <c r="E210" s="57">
        <v>2334282.029470596</v>
      </c>
      <c r="F210" s="57">
        <v>2265715.604021376</v>
      </c>
      <c r="G210" s="57">
        <v>2334282.029470596</v>
      </c>
    </row>
    <row r="211" spans="1:7" ht="11.25" customHeight="1" x14ac:dyDescent="0.2">
      <c r="A211" s="67">
        <v>44866</v>
      </c>
      <c r="B211" s="57">
        <v>0</v>
      </c>
      <c r="C211" s="57">
        <v>2265715.604021376</v>
      </c>
      <c r="D211" s="57">
        <v>0</v>
      </c>
      <c r="E211" s="57">
        <v>2334282.029470596</v>
      </c>
      <c r="F211" s="57">
        <v>2265715.604021376</v>
      </c>
      <c r="G211" s="57">
        <v>2334282.029470596</v>
      </c>
    </row>
    <row r="212" spans="1:7" ht="11.25" customHeight="1" x14ac:dyDescent="0.2">
      <c r="A212" s="59" t="s">
        <v>841</v>
      </c>
      <c r="B212" s="57">
        <v>0</v>
      </c>
      <c r="C212" s="57">
        <v>0</v>
      </c>
      <c r="D212" s="57">
        <v>0</v>
      </c>
      <c r="E212" s="57">
        <v>0</v>
      </c>
      <c r="F212" s="57">
        <v>0</v>
      </c>
      <c r="G212" s="57">
        <v>0</v>
      </c>
    </row>
    <row r="213" spans="1:7" ht="11.25" customHeight="1" x14ac:dyDescent="0.2">
      <c r="A213" s="60" t="s">
        <v>57</v>
      </c>
      <c r="B213" s="57">
        <v>0</v>
      </c>
      <c r="C213" s="57">
        <v>0</v>
      </c>
      <c r="D213" s="57">
        <v>0</v>
      </c>
      <c r="E213" s="57">
        <v>0</v>
      </c>
      <c r="F213" s="57">
        <v>0</v>
      </c>
      <c r="G213" s="57">
        <v>0</v>
      </c>
    </row>
    <row r="214" spans="1:7" ht="11.25" customHeight="1" x14ac:dyDescent="0.2">
      <c r="A214" s="61" t="s">
        <v>58</v>
      </c>
      <c r="B214" s="57">
        <v>0</v>
      </c>
      <c r="C214" s="57">
        <v>0</v>
      </c>
      <c r="D214" s="57">
        <v>0</v>
      </c>
      <c r="E214" s="57">
        <v>0</v>
      </c>
      <c r="F214" s="57">
        <v>0</v>
      </c>
      <c r="G214" s="57">
        <v>0</v>
      </c>
    </row>
    <row r="215" spans="1:7" ht="11.25" customHeight="1" x14ac:dyDescent="0.2">
      <c r="A215" s="62" t="s">
        <v>25</v>
      </c>
      <c r="B215" s="57">
        <v>0</v>
      </c>
      <c r="C215" s="57">
        <v>0</v>
      </c>
      <c r="D215" s="57">
        <v>0</v>
      </c>
      <c r="E215" s="57">
        <v>0</v>
      </c>
      <c r="F215" s="57">
        <v>0</v>
      </c>
      <c r="G215" s="57">
        <v>0</v>
      </c>
    </row>
    <row r="216" spans="1:7" ht="11.25" customHeight="1" x14ac:dyDescent="0.2">
      <c r="A216" s="63" t="s">
        <v>25</v>
      </c>
      <c r="B216" s="57">
        <v>0</v>
      </c>
      <c r="C216" s="57">
        <v>0</v>
      </c>
      <c r="D216" s="57">
        <v>0</v>
      </c>
      <c r="E216" s="57">
        <v>0</v>
      </c>
      <c r="F216" s="57">
        <v>0</v>
      </c>
      <c r="G216" s="57">
        <v>0</v>
      </c>
    </row>
    <row r="217" spans="1:7" ht="11.25" customHeight="1" x14ac:dyDescent="0.2">
      <c r="A217" s="64" t="s">
        <v>25</v>
      </c>
      <c r="B217" s="57">
        <v>0</v>
      </c>
      <c r="C217" s="57">
        <v>0</v>
      </c>
      <c r="D217" s="57">
        <v>0</v>
      </c>
      <c r="E217" s="57">
        <v>0</v>
      </c>
      <c r="F217" s="57">
        <v>0</v>
      </c>
      <c r="G217" s="57">
        <v>0</v>
      </c>
    </row>
    <row r="218" spans="1:7" ht="11.25" customHeight="1" x14ac:dyDescent="0.2">
      <c r="A218" s="65" t="s">
        <v>59</v>
      </c>
      <c r="B218" s="57">
        <v>0</v>
      </c>
      <c r="C218" s="57">
        <v>0</v>
      </c>
      <c r="D218" s="57">
        <v>0</v>
      </c>
      <c r="E218" s="57">
        <v>0</v>
      </c>
      <c r="F218" s="57">
        <v>0</v>
      </c>
      <c r="G218" s="57">
        <v>0</v>
      </c>
    </row>
    <row r="219" spans="1:7" ht="11.25" customHeight="1" x14ac:dyDescent="0.2">
      <c r="A219" s="66" t="s">
        <v>25</v>
      </c>
      <c r="B219" s="57">
        <v>0</v>
      </c>
      <c r="C219" s="57">
        <v>0</v>
      </c>
      <c r="D219" s="57">
        <v>0</v>
      </c>
      <c r="E219" s="57">
        <v>0</v>
      </c>
      <c r="F219" s="57">
        <v>0</v>
      </c>
      <c r="G219" s="57">
        <v>0</v>
      </c>
    </row>
    <row r="220" spans="1:7" ht="11.25" customHeight="1" x14ac:dyDescent="0.2">
      <c r="A220" s="67">
        <v>44531</v>
      </c>
      <c r="B220" s="57">
        <v>0</v>
      </c>
      <c r="C220" s="57">
        <v>0</v>
      </c>
      <c r="D220" s="57">
        <v>0</v>
      </c>
      <c r="E220" s="57">
        <v>0</v>
      </c>
      <c r="F220" s="57">
        <v>0</v>
      </c>
      <c r="G220" s="57">
        <v>0</v>
      </c>
    </row>
    <row r="221" spans="1:7" ht="11.25" customHeight="1" x14ac:dyDescent="0.2">
      <c r="A221" s="67">
        <v>44562</v>
      </c>
      <c r="B221" s="57">
        <v>0</v>
      </c>
      <c r="C221" s="57">
        <v>0</v>
      </c>
      <c r="D221" s="57">
        <v>0</v>
      </c>
      <c r="E221" s="57">
        <v>0</v>
      </c>
      <c r="F221" s="57">
        <v>0</v>
      </c>
      <c r="G221" s="57">
        <v>0</v>
      </c>
    </row>
    <row r="222" spans="1:7" ht="11.25" customHeight="1" x14ac:dyDescent="0.2">
      <c r="A222" s="67">
        <v>44593</v>
      </c>
      <c r="B222" s="57">
        <v>0</v>
      </c>
      <c r="C222" s="57">
        <v>0</v>
      </c>
      <c r="D222" s="57">
        <v>0</v>
      </c>
      <c r="E222" s="57">
        <v>0</v>
      </c>
      <c r="F222" s="57">
        <v>0</v>
      </c>
      <c r="G222" s="57">
        <v>0</v>
      </c>
    </row>
    <row r="223" spans="1:7" ht="11.25" customHeight="1" x14ac:dyDescent="0.2">
      <c r="A223" s="67">
        <v>44621</v>
      </c>
      <c r="B223" s="57">
        <v>0</v>
      </c>
      <c r="C223" s="57">
        <v>0</v>
      </c>
      <c r="D223" s="57">
        <v>0</v>
      </c>
      <c r="E223" s="57">
        <v>0</v>
      </c>
      <c r="F223" s="57">
        <v>0</v>
      </c>
      <c r="G223" s="57">
        <v>0</v>
      </c>
    </row>
    <row r="224" spans="1:7" ht="11.25" customHeight="1" x14ac:dyDescent="0.2">
      <c r="A224" s="67">
        <v>44652</v>
      </c>
      <c r="B224" s="57">
        <v>0</v>
      </c>
      <c r="C224" s="57">
        <v>0</v>
      </c>
      <c r="D224" s="57">
        <v>0</v>
      </c>
      <c r="E224" s="57">
        <v>0</v>
      </c>
      <c r="F224" s="57">
        <v>0</v>
      </c>
      <c r="G224" s="57">
        <v>0</v>
      </c>
    </row>
    <row r="225" spans="1:7" ht="11.25" customHeight="1" x14ac:dyDescent="0.2">
      <c r="A225" s="67">
        <v>44682</v>
      </c>
      <c r="B225" s="57">
        <v>0</v>
      </c>
      <c r="C225" s="57">
        <v>0</v>
      </c>
      <c r="D225" s="57">
        <v>0</v>
      </c>
      <c r="E225" s="57">
        <v>0</v>
      </c>
      <c r="F225" s="57">
        <v>0</v>
      </c>
      <c r="G225" s="57">
        <v>0</v>
      </c>
    </row>
    <row r="226" spans="1:7" ht="11.25" customHeight="1" x14ac:dyDescent="0.2">
      <c r="A226" s="67">
        <v>44713</v>
      </c>
      <c r="B226" s="57">
        <v>0</v>
      </c>
      <c r="C226" s="57">
        <v>0</v>
      </c>
      <c r="D226" s="57">
        <v>0</v>
      </c>
      <c r="E226" s="57">
        <v>0</v>
      </c>
      <c r="F226" s="57">
        <v>0</v>
      </c>
      <c r="G226" s="57">
        <v>0</v>
      </c>
    </row>
    <row r="227" spans="1:7" ht="11.25" customHeight="1" x14ac:dyDescent="0.2">
      <c r="A227" s="67">
        <v>44743</v>
      </c>
      <c r="B227" s="57">
        <v>0</v>
      </c>
      <c r="C227" s="57">
        <v>0</v>
      </c>
      <c r="D227" s="57">
        <v>0</v>
      </c>
      <c r="E227" s="57">
        <v>0</v>
      </c>
      <c r="F227" s="57">
        <v>0</v>
      </c>
      <c r="G227" s="57">
        <v>0</v>
      </c>
    </row>
    <row r="228" spans="1:7" ht="11.25" customHeight="1" x14ac:dyDescent="0.2">
      <c r="A228" s="67">
        <v>44774</v>
      </c>
      <c r="B228" s="57">
        <v>0</v>
      </c>
      <c r="C228" s="57">
        <v>0</v>
      </c>
      <c r="D228" s="57">
        <v>0</v>
      </c>
      <c r="E228" s="57">
        <v>0</v>
      </c>
      <c r="F228" s="57">
        <v>0</v>
      </c>
      <c r="G228" s="57">
        <v>0</v>
      </c>
    </row>
    <row r="229" spans="1:7" ht="11.25" customHeight="1" x14ac:dyDescent="0.2">
      <c r="A229" s="67">
        <v>44805</v>
      </c>
      <c r="B229" s="57">
        <v>0</v>
      </c>
      <c r="C229" s="57">
        <v>0</v>
      </c>
      <c r="D229" s="57">
        <v>0</v>
      </c>
      <c r="E229" s="57">
        <v>0</v>
      </c>
      <c r="F229" s="57">
        <v>0</v>
      </c>
      <c r="G229" s="57">
        <v>0</v>
      </c>
    </row>
    <row r="230" spans="1:7" ht="11.25" customHeight="1" x14ac:dyDescent="0.2">
      <c r="A230" s="67">
        <v>44835</v>
      </c>
      <c r="B230" s="57">
        <v>0</v>
      </c>
      <c r="C230" s="57">
        <v>0</v>
      </c>
      <c r="D230" s="57">
        <v>0</v>
      </c>
      <c r="E230" s="57">
        <v>0</v>
      </c>
      <c r="F230" s="57">
        <v>0</v>
      </c>
      <c r="G230" s="57">
        <v>0</v>
      </c>
    </row>
    <row r="231" spans="1:7" ht="11.25" customHeight="1" x14ac:dyDescent="0.2">
      <c r="A231" s="67">
        <v>44866</v>
      </c>
      <c r="B231" s="57">
        <v>0</v>
      </c>
      <c r="C231" s="57">
        <v>0</v>
      </c>
      <c r="D231" s="57">
        <v>0</v>
      </c>
      <c r="E231" s="57">
        <v>0</v>
      </c>
      <c r="F231" s="57">
        <v>0</v>
      </c>
      <c r="G231" s="57">
        <v>0</v>
      </c>
    </row>
    <row r="232" spans="1:7" ht="11.25" customHeight="1" x14ac:dyDescent="0.2">
      <c r="A232" s="59" t="s">
        <v>845</v>
      </c>
      <c r="B232" s="57">
        <v>0</v>
      </c>
      <c r="C232" s="57">
        <v>268543.22084999975</v>
      </c>
      <c r="D232" s="57">
        <v>0</v>
      </c>
      <c r="E232" s="57">
        <v>179630.22535768591</v>
      </c>
      <c r="F232" s="57">
        <v>268543.22084999981</v>
      </c>
      <c r="G232" s="57">
        <v>179630.22535768588</v>
      </c>
    </row>
    <row r="233" spans="1:7" ht="11.25" customHeight="1" x14ac:dyDescent="0.2">
      <c r="A233" s="60" t="s">
        <v>45</v>
      </c>
      <c r="B233" s="57">
        <v>0</v>
      </c>
      <c r="C233" s="57">
        <v>268543.22084999975</v>
      </c>
      <c r="D233" s="57">
        <v>0</v>
      </c>
      <c r="E233" s="57">
        <v>179630.22535768591</v>
      </c>
      <c r="F233" s="57">
        <v>268543.22084999981</v>
      </c>
      <c r="G233" s="57">
        <v>179630.22535768588</v>
      </c>
    </row>
    <row r="234" spans="1:7" ht="11.25" customHeight="1" x14ac:dyDescent="0.2">
      <c r="A234" s="61" t="s">
        <v>23</v>
      </c>
      <c r="B234" s="57">
        <v>0</v>
      </c>
      <c r="C234" s="57">
        <v>268543.22084999975</v>
      </c>
      <c r="D234" s="57">
        <v>0</v>
      </c>
      <c r="E234" s="57">
        <v>179630.22535768591</v>
      </c>
      <c r="F234" s="57">
        <v>268543.22084999981</v>
      </c>
      <c r="G234" s="57">
        <v>179630.22535768588</v>
      </c>
    </row>
    <row r="235" spans="1:7" ht="11.25" customHeight="1" x14ac:dyDescent="0.2">
      <c r="A235" s="62" t="s">
        <v>46</v>
      </c>
      <c r="B235" s="57">
        <v>0</v>
      </c>
      <c r="C235" s="57">
        <v>268543.22084999975</v>
      </c>
      <c r="D235" s="57">
        <v>0</v>
      </c>
      <c r="E235" s="57">
        <v>179630.22535768591</v>
      </c>
      <c r="F235" s="57">
        <v>268543.22084999981</v>
      </c>
      <c r="G235" s="57">
        <v>179630.22535768588</v>
      </c>
    </row>
    <row r="236" spans="1:7" ht="11.25" customHeight="1" x14ac:dyDescent="0.2">
      <c r="A236" s="63" t="s">
        <v>25</v>
      </c>
      <c r="B236" s="57">
        <v>0</v>
      </c>
      <c r="C236" s="57">
        <v>268543.22084999975</v>
      </c>
      <c r="D236" s="57">
        <v>0</v>
      </c>
      <c r="E236" s="57">
        <v>179630.22535768591</v>
      </c>
      <c r="F236" s="57">
        <v>268543.22084999981</v>
      </c>
      <c r="G236" s="57">
        <v>179630.22535768588</v>
      </c>
    </row>
    <row r="237" spans="1:7" ht="11.25" customHeight="1" x14ac:dyDescent="0.2">
      <c r="A237" s="64" t="s">
        <v>25</v>
      </c>
      <c r="B237" s="57">
        <v>0</v>
      </c>
      <c r="C237" s="57">
        <v>268543.22084999975</v>
      </c>
      <c r="D237" s="57">
        <v>0</v>
      </c>
      <c r="E237" s="57">
        <v>179630.22535768591</v>
      </c>
      <c r="F237" s="57">
        <v>268543.22084999981</v>
      </c>
      <c r="G237" s="57">
        <v>179630.22535768588</v>
      </c>
    </row>
    <row r="238" spans="1:7" ht="11.25" customHeight="1" x14ac:dyDescent="0.2">
      <c r="A238" s="65" t="s">
        <v>25</v>
      </c>
      <c r="B238" s="57">
        <v>0</v>
      </c>
      <c r="C238" s="57">
        <v>268543.22084999975</v>
      </c>
      <c r="D238" s="57">
        <v>0</v>
      </c>
      <c r="E238" s="57">
        <v>179630.22535768591</v>
      </c>
      <c r="F238" s="57">
        <v>268543.22084999981</v>
      </c>
      <c r="G238" s="57">
        <v>179630.22535768588</v>
      </c>
    </row>
    <row r="239" spans="1:7" ht="11.25" customHeight="1" x14ac:dyDescent="0.2">
      <c r="A239" s="66" t="s">
        <v>25</v>
      </c>
      <c r="B239" s="57">
        <v>0</v>
      </c>
      <c r="C239" s="57">
        <v>268543.22084999975</v>
      </c>
      <c r="D239" s="57">
        <v>0</v>
      </c>
      <c r="E239" s="57">
        <v>179630.22535768591</v>
      </c>
      <c r="F239" s="57">
        <v>268543.22084999981</v>
      </c>
      <c r="G239" s="57">
        <v>179630.22535768588</v>
      </c>
    </row>
    <row r="240" spans="1:7" ht="11.25" customHeight="1" x14ac:dyDescent="0.2">
      <c r="A240" s="67">
        <v>44531</v>
      </c>
      <c r="B240" s="57">
        <v>0</v>
      </c>
      <c r="C240" s="57">
        <v>22760.437079999978</v>
      </c>
      <c r="D240" s="57">
        <v>0</v>
      </c>
      <c r="E240" s="57">
        <v>15224.597474398804</v>
      </c>
      <c r="F240" s="57">
        <v>22760.437079999978</v>
      </c>
      <c r="G240" s="57">
        <v>15224.597474398804</v>
      </c>
    </row>
    <row r="241" spans="1:7" ht="11.25" customHeight="1" x14ac:dyDescent="0.2">
      <c r="A241" s="67">
        <v>44562</v>
      </c>
      <c r="B241" s="57">
        <v>0</v>
      </c>
      <c r="C241" s="57">
        <v>21917.585069999979</v>
      </c>
      <c r="D241" s="57">
        <v>0</v>
      </c>
      <c r="E241" s="57">
        <v>14660.808539342997</v>
      </c>
      <c r="F241" s="57">
        <v>21917.585069999979</v>
      </c>
      <c r="G241" s="57">
        <v>14660.808539342997</v>
      </c>
    </row>
    <row r="242" spans="1:7" ht="11.25" customHeight="1" x14ac:dyDescent="0.2">
      <c r="A242" s="67">
        <v>44593</v>
      </c>
      <c r="B242" s="57">
        <v>0</v>
      </c>
      <c r="C242" s="57">
        <v>16803.281099999982</v>
      </c>
      <c r="D242" s="57">
        <v>0</v>
      </c>
      <c r="E242" s="57">
        <v>11239.818905827145</v>
      </c>
      <c r="F242" s="57">
        <v>16803.281099999982</v>
      </c>
      <c r="G242" s="57">
        <v>11239.818905827145</v>
      </c>
    </row>
    <row r="243" spans="1:7" ht="11.25" customHeight="1" x14ac:dyDescent="0.2">
      <c r="A243" s="67">
        <v>44621</v>
      </c>
      <c r="B243" s="57">
        <v>0</v>
      </c>
      <c r="C243" s="57">
        <v>19936.594619999982</v>
      </c>
      <c r="D243" s="57">
        <v>0</v>
      </c>
      <c r="E243" s="57">
        <v>13335.711745469031</v>
      </c>
      <c r="F243" s="57">
        <v>19936.594619999982</v>
      </c>
      <c r="G243" s="57">
        <v>13335.711745469031</v>
      </c>
    </row>
    <row r="244" spans="1:7" ht="11.25" customHeight="1" x14ac:dyDescent="0.2">
      <c r="A244" s="67">
        <v>44652</v>
      </c>
      <c r="B244" s="57">
        <v>0</v>
      </c>
      <c r="C244" s="57">
        <v>18661.208549999985</v>
      </c>
      <c r="D244" s="57">
        <v>0</v>
      </c>
      <c r="E244" s="57">
        <v>12482.598096027401</v>
      </c>
      <c r="F244" s="57">
        <v>18661.208549999985</v>
      </c>
      <c r="G244" s="57">
        <v>12482.598096027401</v>
      </c>
    </row>
    <row r="245" spans="1:7" ht="11.25" customHeight="1" x14ac:dyDescent="0.2">
      <c r="A245" s="67">
        <v>44682</v>
      </c>
      <c r="B245" s="57">
        <v>0</v>
      </c>
      <c r="C245" s="57">
        <v>21242.616899999983</v>
      </c>
      <c r="D245" s="57">
        <v>0</v>
      </c>
      <c r="E245" s="57">
        <v>14209.318145719959</v>
      </c>
      <c r="F245" s="57">
        <v>21242.616899999983</v>
      </c>
      <c r="G245" s="57">
        <v>14209.318145719959</v>
      </c>
    </row>
    <row r="246" spans="1:7" ht="11.25" customHeight="1" x14ac:dyDescent="0.2">
      <c r="A246" s="67">
        <v>44713</v>
      </c>
      <c r="B246" s="57">
        <v>0</v>
      </c>
      <c r="C246" s="57">
        <v>24511.558799999973</v>
      </c>
      <c r="D246" s="57">
        <v>0</v>
      </c>
      <c r="E246" s="57">
        <v>16395.933649621187</v>
      </c>
      <c r="F246" s="57">
        <v>24511.558799999973</v>
      </c>
      <c r="G246" s="57">
        <v>16395.933649621187</v>
      </c>
    </row>
    <row r="247" spans="1:7" ht="11.25" customHeight="1" x14ac:dyDescent="0.2">
      <c r="A247" s="67">
        <v>44743</v>
      </c>
      <c r="B247" s="57">
        <v>0</v>
      </c>
      <c r="C247" s="57">
        <v>23773.439879999976</v>
      </c>
      <c r="D247" s="57">
        <v>0</v>
      </c>
      <c r="E247" s="57">
        <v>15902.201327797166</v>
      </c>
      <c r="F247" s="57">
        <v>23773.439879999976</v>
      </c>
      <c r="G247" s="57">
        <v>15902.201327797166</v>
      </c>
    </row>
    <row r="248" spans="1:7" ht="11.25" customHeight="1" x14ac:dyDescent="0.2">
      <c r="A248" s="67">
        <v>44774</v>
      </c>
      <c r="B248" s="57">
        <v>0</v>
      </c>
      <c r="C248" s="57">
        <v>23335.206059999979</v>
      </c>
      <c r="D248" s="57">
        <v>0</v>
      </c>
      <c r="E248" s="57">
        <v>15609.064008609615</v>
      </c>
      <c r="F248" s="57">
        <v>23335.206059999979</v>
      </c>
      <c r="G248" s="57">
        <v>15609.064008609615</v>
      </c>
    </row>
    <row r="249" spans="1:7" ht="11.25" customHeight="1" x14ac:dyDescent="0.2">
      <c r="A249" s="67">
        <v>44805</v>
      </c>
      <c r="B249" s="57">
        <v>0</v>
      </c>
      <c r="C249" s="57">
        <v>23653.680149999978</v>
      </c>
      <c r="D249" s="57">
        <v>0</v>
      </c>
      <c r="E249" s="57">
        <v>15822.093301906274</v>
      </c>
      <c r="F249" s="57">
        <v>23653.680149999978</v>
      </c>
      <c r="G249" s="57">
        <v>15822.093301906274</v>
      </c>
    </row>
    <row r="250" spans="1:7" ht="11.25" customHeight="1" x14ac:dyDescent="0.2">
      <c r="A250" s="67">
        <v>44835</v>
      </c>
      <c r="B250" s="57">
        <v>0</v>
      </c>
      <c r="C250" s="57">
        <v>25973.806319999978</v>
      </c>
      <c r="D250" s="57">
        <v>0</v>
      </c>
      <c r="E250" s="57">
        <v>17374.04008148317</v>
      </c>
      <c r="F250" s="57">
        <v>25973.806319999978</v>
      </c>
      <c r="G250" s="57">
        <v>17374.04008148317</v>
      </c>
    </row>
    <row r="251" spans="1:7" ht="11.25" customHeight="1" x14ac:dyDescent="0.2">
      <c r="A251" s="67">
        <v>44866</v>
      </c>
      <c r="B251" s="57">
        <v>0</v>
      </c>
      <c r="C251" s="57">
        <v>25973.806319999978</v>
      </c>
      <c r="D251" s="57">
        <v>0</v>
      </c>
      <c r="E251" s="57">
        <v>17374.04008148317</v>
      </c>
      <c r="F251" s="57">
        <v>25973.806319999978</v>
      </c>
      <c r="G251" s="57">
        <v>17374.04008148317</v>
      </c>
    </row>
    <row r="252" spans="1:7" ht="11.25" customHeight="1" x14ac:dyDescent="0.2">
      <c r="A252" s="59" t="s">
        <v>851</v>
      </c>
      <c r="B252" s="57">
        <v>0</v>
      </c>
      <c r="C252" s="57">
        <v>0</v>
      </c>
      <c r="D252" s="57">
        <v>0</v>
      </c>
      <c r="E252" s="57">
        <v>0</v>
      </c>
      <c r="F252" s="57">
        <v>0</v>
      </c>
      <c r="G252" s="57">
        <v>0</v>
      </c>
    </row>
    <row r="253" spans="1:7" ht="11.25" customHeight="1" x14ac:dyDescent="0.2">
      <c r="A253" s="60" t="s">
        <v>22</v>
      </c>
      <c r="B253" s="57">
        <v>0</v>
      </c>
      <c r="C253" s="57">
        <v>0</v>
      </c>
      <c r="D253" s="57">
        <v>0</v>
      </c>
      <c r="E253" s="57">
        <v>0</v>
      </c>
      <c r="F253" s="57">
        <v>0</v>
      </c>
      <c r="G253" s="57">
        <v>0</v>
      </c>
    </row>
    <row r="254" spans="1:7" ht="11.25" customHeight="1" x14ac:dyDescent="0.2">
      <c r="A254" s="61" t="s">
        <v>23</v>
      </c>
      <c r="B254" s="57">
        <v>0</v>
      </c>
      <c r="C254" s="57">
        <v>0</v>
      </c>
      <c r="D254" s="57">
        <v>0</v>
      </c>
      <c r="E254" s="57">
        <v>0</v>
      </c>
      <c r="F254" s="57">
        <v>0</v>
      </c>
      <c r="G254" s="57">
        <v>0</v>
      </c>
    </row>
    <row r="255" spans="1:7" ht="11.25" customHeight="1" x14ac:dyDescent="0.2">
      <c r="A255" s="62" t="s">
        <v>24</v>
      </c>
      <c r="B255" s="57">
        <v>0</v>
      </c>
      <c r="C255" s="57">
        <v>0</v>
      </c>
      <c r="D255" s="57">
        <v>0</v>
      </c>
      <c r="E255" s="57">
        <v>0</v>
      </c>
      <c r="F255" s="57">
        <v>0</v>
      </c>
      <c r="G255" s="57">
        <v>0</v>
      </c>
    </row>
    <row r="256" spans="1:7" ht="11.25" customHeight="1" x14ac:dyDescent="0.2">
      <c r="A256" s="63" t="s">
        <v>24</v>
      </c>
      <c r="B256" s="57">
        <v>0</v>
      </c>
      <c r="C256" s="57">
        <v>0</v>
      </c>
      <c r="D256" s="57">
        <v>0</v>
      </c>
      <c r="E256" s="57">
        <v>0</v>
      </c>
      <c r="F256" s="57">
        <v>0</v>
      </c>
      <c r="G256" s="57">
        <v>0</v>
      </c>
    </row>
    <row r="257" spans="1:7" ht="11.25" customHeight="1" x14ac:dyDescent="0.2">
      <c r="A257" s="64" t="s">
        <v>25</v>
      </c>
      <c r="B257" s="57">
        <v>0</v>
      </c>
      <c r="C257" s="57">
        <v>0</v>
      </c>
      <c r="D257" s="57">
        <v>0</v>
      </c>
      <c r="E257" s="57">
        <v>0</v>
      </c>
      <c r="F257" s="57">
        <v>0</v>
      </c>
      <c r="G257" s="57">
        <v>0</v>
      </c>
    </row>
    <row r="258" spans="1:7" ht="11.25" customHeight="1" x14ac:dyDescent="0.2">
      <c r="A258" s="65" t="s">
        <v>25</v>
      </c>
      <c r="B258" s="57">
        <v>0</v>
      </c>
      <c r="C258" s="57">
        <v>0</v>
      </c>
      <c r="D258" s="57">
        <v>0</v>
      </c>
      <c r="E258" s="57">
        <v>0</v>
      </c>
      <c r="F258" s="57">
        <v>0</v>
      </c>
      <c r="G258" s="57">
        <v>0</v>
      </c>
    </row>
    <row r="259" spans="1:7" ht="11.25" customHeight="1" x14ac:dyDescent="0.2">
      <c r="A259" s="66" t="s">
        <v>25</v>
      </c>
      <c r="B259" s="57">
        <v>0</v>
      </c>
      <c r="C259" s="57">
        <v>0</v>
      </c>
      <c r="D259" s="57">
        <v>0</v>
      </c>
      <c r="E259" s="57">
        <v>0</v>
      </c>
      <c r="F259" s="57">
        <v>0</v>
      </c>
      <c r="G259" s="57">
        <v>0</v>
      </c>
    </row>
    <row r="260" spans="1:7" ht="11.25" customHeight="1" x14ac:dyDescent="0.2">
      <c r="A260" s="67">
        <v>44531</v>
      </c>
      <c r="B260" s="57">
        <v>0</v>
      </c>
      <c r="C260" s="57">
        <v>0</v>
      </c>
      <c r="D260" s="57">
        <v>0</v>
      </c>
      <c r="E260" s="57">
        <v>0</v>
      </c>
      <c r="F260" s="57">
        <v>0</v>
      </c>
      <c r="G260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C1CF-ECDA-4A73-8E7C-5EA797A24DF7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0" bestFit="1" customWidth="1"/>
    <col min="2" max="2" width="11.140625" style="80" bestFit="1" customWidth="1"/>
    <col min="3" max="3" width="17.42578125" style="80" bestFit="1" customWidth="1"/>
    <col min="4" max="4" width="6.28515625" style="80" bestFit="1" customWidth="1"/>
    <col min="5" max="10" width="7.7109375" style="80" customWidth="1"/>
    <col min="11" max="12" width="9.140625" style="80"/>
    <col min="13" max="13" width="14.28515625" style="80" customWidth="1"/>
    <col min="14" max="14" width="16.7109375" style="80" customWidth="1"/>
    <col min="15" max="15" width="31.7109375" style="80" customWidth="1"/>
    <col min="16" max="22" width="7.7109375" style="80" customWidth="1"/>
    <col min="23" max="16384" width="9.140625" style="80"/>
  </cols>
  <sheetData>
    <row r="1" spans="1:22" ht="11.25" customHeight="1" x14ac:dyDescent="0.25">
      <c r="A1" s="107" t="s">
        <v>920</v>
      </c>
      <c r="B1" s="133"/>
      <c r="C1" s="133"/>
      <c r="D1" s="133"/>
      <c r="E1" s="133"/>
      <c r="F1" s="133"/>
      <c r="G1" s="133"/>
      <c r="H1" s="133"/>
      <c r="I1" s="133"/>
      <c r="J1" s="133"/>
      <c r="L1" s="107" t="s">
        <v>930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ht="11.25" customHeight="1" x14ac:dyDescent="0.25">
      <c r="A2" s="128" t="s">
        <v>67</v>
      </c>
      <c r="B2" s="128" t="s">
        <v>68</v>
      </c>
      <c r="C2" s="128" t="s">
        <v>921</v>
      </c>
      <c r="D2" s="128" t="s">
        <v>73</v>
      </c>
      <c r="E2" s="128" t="s">
        <v>922</v>
      </c>
      <c r="F2" s="130"/>
      <c r="G2" s="130"/>
      <c r="H2" s="128" t="s">
        <v>686</v>
      </c>
      <c r="I2" s="130"/>
      <c r="J2" s="130"/>
      <c r="L2" s="128" t="s">
        <v>67</v>
      </c>
      <c r="M2" s="128" t="s">
        <v>68</v>
      </c>
      <c r="N2" s="128" t="s">
        <v>69</v>
      </c>
      <c r="O2" s="128" t="s">
        <v>70</v>
      </c>
      <c r="P2" s="128" t="s">
        <v>73</v>
      </c>
      <c r="Q2" s="128" t="s">
        <v>922</v>
      </c>
      <c r="R2" s="132"/>
      <c r="S2" s="132"/>
      <c r="T2" s="128" t="s">
        <v>686</v>
      </c>
      <c r="U2" s="132"/>
      <c r="V2" s="132"/>
    </row>
    <row r="3" spans="1:22" ht="11.25" customHeight="1" x14ac:dyDescent="0.25">
      <c r="A3" s="130"/>
      <c r="B3" s="130"/>
      <c r="C3" s="130"/>
      <c r="D3" s="130"/>
      <c r="E3" s="128" t="s">
        <v>644</v>
      </c>
      <c r="F3" s="130"/>
      <c r="G3" s="101" t="s">
        <v>672</v>
      </c>
      <c r="H3" s="128" t="s">
        <v>644</v>
      </c>
      <c r="I3" s="130"/>
      <c r="J3" s="101" t="s">
        <v>672</v>
      </c>
      <c r="L3" s="132"/>
      <c r="M3" s="132"/>
      <c r="N3" s="132"/>
      <c r="O3" s="132"/>
      <c r="P3" s="132"/>
      <c r="Q3" s="128" t="s">
        <v>644</v>
      </c>
      <c r="R3" s="132"/>
      <c r="S3" s="101" t="s">
        <v>672</v>
      </c>
      <c r="T3" s="128" t="s">
        <v>644</v>
      </c>
      <c r="U3" s="132"/>
      <c r="V3" s="101" t="s">
        <v>672</v>
      </c>
    </row>
    <row r="4" spans="1:22" ht="11.25" customHeight="1" x14ac:dyDescent="0.25">
      <c r="A4" s="130"/>
      <c r="B4" s="130"/>
      <c r="C4" s="130"/>
      <c r="D4" s="130"/>
      <c r="E4" s="101" t="s">
        <v>923</v>
      </c>
      <c r="F4" s="101" t="s">
        <v>924</v>
      </c>
      <c r="G4" s="101" t="s">
        <v>924</v>
      </c>
      <c r="H4" s="101" t="s">
        <v>923</v>
      </c>
      <c r="I4" s="101" t="s">
        <v>924</v>
      </c>
      <c r="J4" s="101" t="s">
        <v>924</v>
      </c>
      <c r="L4" s="132"/>
      <c r="M4" s="132"/>
      <c r="N4" s="132"/>
      <c r="O4" s="132"/>
      <c r="P4" s="132"/>
      <c r="Q4" s="101" t="s">
        <v>923</v>
      </c>
      <c r="R4" s="101" t="s">
        <v>924</v>
      </c>
      <c r="S4" s="101" t="s">
        <v>924</v>
      </c>
      <c r="T4" s="101" t="s">
        <v>923</v>
      </c>
      <c r="U4" s="101" t="s">
        <v>924</v>
      </c>
      <c r="V4" s="101" t="s">
        <v>924</v>
      </c>
    </row>
    <row r="5" spans="1:22" ht="11.25" customHeight="1" x14ac:dyDescent="0.25">
      <c r="A5" s="131" t="s">
        <v>57</v>
      </c>
      <c r="B5" s="131" t="s">
        <v>58</v>
      </c>
      <c r="C5" s="102" t="s">
        <v>59</v>
      </c>
      <c r="D5" s="102" t="s">
        <v>925</v>
      </c>
      <c r="E5" s="45">
        <f ca="1">ROUND('TUSD BE'!$AM$5+'TUSD BF'!$AM$5+'TUSD CVA'!$AM$5,2)</f>
        <v>6.47</v>
      </c>
      <c r="F5" s="45">
        <v>0</v>
      </c>
      <c r="G5" s="45">
        <v>0</v>
      </c>
      <c r="H5" s="45">
        <f>ROUND('TUSD BE'!$AM$5,2)</f>
        <v>6.9</v>
      </c>
      <c r="I5" s="45">
        <v>0</v>
      </c>
      <c r="J5" s="45">
        <v>0</v>
      </c>
      <c r="L5" s="134" t="s">
        <v>22</v>
      </c>
      <c r="M5" s="134" t="s">
        <v>931</v>
      </c>
      <c r="N5" s="134" t="s">
        <v>932</v>
      </c>
      <c r="O5" s="134" t="s">
        <v>932</v>
      </c>
      <c r="P5" s="102" t="s">
        <v>926</v>
      </c>
      <c r="Q5" s="45">
        <v>0</v>
      </c>
      <c r="R5" s="45">
        <f ca="1">ROUND('TUSD BE'!$AM$33+'TUSD BF'!$AM$33+'TUSD CVA'!$AM$33,2)</f>
        <v>1169.55</v>
      </c>
      <c r="S5" s="45">
        <f>ROUND('TE BE'!$AB$13+'TE BF'!$AB$13+'TE CVA'!$AB$13,2)</f>
        <v>322.12</v>
      </c>
      <c r="T5" s="45">
        <v>0</v>
      </c>
      <c r="U5" s="45">
        <f ca="1">ROUND('TUSD BE'!$AM$33,2)</f>
        <v>1251.51</v>
      </c>
      <c r="V5" s="45">
        <f>ROUND('TE BE'!$AB$13,2)</f>
        <v>362.45</v>
      </c>
    </row>
    <row r="6" spans="1:22" ht="11.25" customHeight="1" x14ac:dyDescent="0.25">
      <c r="A6" s="130"/>
      <c r="B6" s="130"/>
      <c r="C6" s="102" t="s">
        <v>77</v>
      </c>
      <c r="D6" s="102" t="s">
        <v>925</v>
      </c>
      <c r="E6" s="45">
        <f ca="1">ROUND('TUSD BE'!$AM$6+'TUSD BF'!$AM$6+'TUSD CVA'!$AM$6,2)</f>
        <v>1.2</v>
      </c>
      <c r="F6" s="45">
        <v>0</v>
      </c>
      <c r="G6" s="45">
        <v>0</v>
      </c>
      <c r="H6" s="45">
        <f>ROUND('TUSD BE'!$AM$6,2)</f>
        <v>1.28</v>
      </c>
      <c r="I6" s="45">
        <v>0</v>
      </c>
      <c r="J6" s="45">
        <v>0</v>
      </c>
      <c r="L6" s="135"/>
      <c r="M6" s="135"/>
      <c r="N6" s="135"/>
      <c r="O6" s="135"/>
      <c r="P6" s="102" t="s">
        <v>933</v>
      </c>
      <c r="Q6" s="45">
        <v>0</v>
      </c>
      <c r="R6" s="45">
        <f ca="1">ROUND('TUSD BE'!$AM$34+'TUSD BF'!$AM$34+'TUSD CVA'!$AM$34,2)</f>
        <v>781.08</v>
      </c>
      <c r="S6" s="45">
        <f>ROUND('TE BE'!$AB$14+'TE BF'!$AB$14+'TE CVA'!$AB$14,2)</f>
        <v>215.6</v>
      </c>
      <c r="T6" s="45">
        <v>0</v>
      </c>
      <c r="U6" s="45">
        <f ca="1">ROUND('TUSD BE'!$AM$34,2)</f>
        <v>831.97</v>
      </c>
      <c r="V6" s="45">
        <f>ROUND('TE BE'!$AB$14,2)</f>
        <v>226.47</v>
      </c>
    </row>
    <row r="7" spans="1:22" ht="11.25" customHeight="1" x14ac:dyDescent="0.25">
      <c r="A7" s="131" t="s">
        <v>39</v>
      </c>
      <c r="B7" s="131" t="s">
        <v>40</v>
      </c>
      <c r="C7" s="131" t="s">
        <v>25</v>
      </c>
      <c r="D7" s="102" t="s">
        <v>926</v>
      </c>
      <c r="E7" s="45">
        <f ca="1">ROUND('TUSD BE'!$AM$7+'TUSD BF'!$AM$7+'TUSD CVA'!$AM$7,2)</f>
        <v>46.36</v>
      </c>
      <c r="F7" s="45">
        <f ca="1">ROUND('TUSD BE'!$AM$9+'TUSD BF'!$AM$9+'TUSD CVA'!$AM$9,2)</f>
        <v>133.62</v>
      </c>
      <c r="G7" s="45">
        <f>ROUND('TE BE'!$AB$5+'TE BF'!$AB$5+'TE CVA'!$AB$5,2)</f>
        <v>322.12</v>
      </c>
      <c r="H7" s="45">
        <f ca="1">ROUND('TUSD BE'!$AM$7,2)</f>
        <v>50.53</v>
      </c>
      <c r="I7" s="45">
        <f ca="1">ROUND('TUSD BE'!$AM$9,2)</f>
        <v>135.32</v>
      </c>
      <c r="J7" s="45">
        <f>ROUND('TE BE'!$AB$5,2)</f>
        <v>362.45</v>
      </c>
      <c r="L7" s="135"/>
      <c r="M7" s="136"/>
      <c r="N7" s="136"/>
      <c r="O7" s="136"/>
      <c r="P7" s="102" t="s">
        <v>927</v>
      </c>
      <c r="Q7" s="45">
        <v>0</v>
      </c>
      <c r="R7" s="45">
        <f ca="1">ROUND('TUSD BE'!$AM$35+'TUSD BF'!$AM$35+'TUSD CVA'!$AM$35,2)</f>
        <v>392.6</v>
      </c>
      <c r="S7" s="45">
        <f>ROUND('TE BE'!$AB$15+'TE BF'!$AB$15+'TE CVA'!$AB$15,2)</f>
        <v>215.6</v>
      </c>
      <c r="T7" s="45">
        <v>0</v>
      </c>
      <c r="U7" s="45">
        <f ca="1">ROUND('TUSD BE'!$AM$35,2)</f>
        <v>412.42</v>
      </c>
      <c r="V7" s="45">
        <f>ROUND('TE BE'!$AB$15,2)</f>
        <v>226.47</v>
      </c>
    </row>
    <row r="8" spans="1:22" ht="11.25" customHeight="1" x14ac:dyDescent="0.25">
      <c r="A8" s="130"/>
      <c r="B8" s="130"/>
      <c r="C8" s="130"/>
      <c r="D8" s="102" t="s">
        <v>927</v>
      </c>
      <c r="E8" s="45">
        <f ca="1">ROUND('TUSD BE'!$AM$8+'TUSD BF'!$AM$8+'TUSD CVA'!$AM$8,2)</f>
        <v>15.5</v>
      </c>
      <c r="F8" s="45">
        <f ca="1">ROUND('TUSD BE'!$AM$9+'TUSD BF'!$AM$9+'TUSD CVA'!$AM$9,2)</f>
        <v>133.62</v>
      </c>
      <c r="G8" s="45">
        <f>ROUND('TE BE'!$AB$6+'TE BF'!$AB$6+'TE CVA'!$AB$6,2)</f>
        <v>215.6</v>
      </c>
      <c r="H8" s="45">
        <f ca="1">ROUND('TUSD BE'!$AM$8,2)</f>
        <v>17.73</v>
      </c>
      <c r="I8" s="45">
        <f ca="1">ROUND('TUSD BE'!$AM$9,2)</f>
        <v>135.32</v>
      </c>
      <c r="J8" s="45">
        <f>ROUND('TE BE'!$AB$6,2)</f>
        <v>226.47</v>
      </c>
      <c r="L8" s="135"/>
      <c r="M8" s="102" t="s">
        <v>934</v>
      </c>
      <c r="N8" s="102" t="s">
        <v>932</v>
      </c>
      <c r="O8" s="102" t="s">
        <v>932</v>
      </c>
      <c r="P8" s="102" t="s">
        <v>925</v>
      </c>
      <c r="Q8" s="45">
        <v>0</v>
      </c>
      <c r="R8" s="45">
        <f ca="1">ROUND('TUSD BE'!$AM$41+'TUSD BF'!$AM$41+'TUSD CVA'!$AM$41,2)</f>
        <v>497.19</v>
      </c>
      <c r="S8" s="45">
        <f>ROUND('TE BE'!$AB$21+'TE BF'!$AB$21+'TE CVA'!$AB$21,2)</f>
        <v>224.48</v>
      </c>
      <c r="T8" s="45">
        <v>0</v>
      </c>
      <c r="U8" s="45">
        <f ca="1">ROUND('TUSD BE'!$AM$41,2)</f>
        <v>525.38</v>
      </c>
      <c r="V8" s="45">
        <f>ROUND('TE BE'!$AB$21,2)</f>
        <v>237.8</v>
      </c>
    </row>
    <row r="9" spans="1:22" ht="11.25" customHeight="1" x14ac:dyDescent="0.25">
      <c r="A9" s="130"/>
      <c r="B9" s="131" t="s">
        <v>928</v>
      </c>
      <c r="C9" s="131" t="s">
        <v>25</v>
      </c>
      <c r="D9" s="102" t="s">
        <v>926</v>
      </c>
      <c r="E9" s="45">
        <f ca="1">ROUND('TUSD BE'!$AM$7+'TUSD BF'!$AM$7+'TUSD CVA'!$AM$7,2)</f>
        <v>46.36</v>
      </c>
      <c r="F9" s="45">
        <f ca="1">ROUND('TUSD BE'!$AM$10+'TUSD BF'!$AM$10+'TUSD CVA'!$AM$10,2)</f>
        <v>63.91</v>
      </c>
      <c r="G9" s="45">
        <v>0</v>
      </c>
      <c r="H9" s="45">
        <f ca="1">ROUND('TUSD BE'!$AM$7,2)</f>
        <v>50.53</v>
      </c>
      <c r="I9" s="45">
        <f ca="1">ROUND('TUSD BE'!$AM$10,2)</f>
        <v>80.05</v>
      </c>
      <c r="J9" s="45">
        <v>0</v>
      </c>
      <c r="L9" s="135"/>
      <c r="M9" s="102" t="s">
        <v>936</v>
      </c>
      <c r="N9" s="102" t="s">
        <v>932</v>
      </c>
      <c r="O9" s="102" t="s">
        <v>932</v>
      </c>
      <c r="P9" s="102" t="s">
        <v>925</v>
      </c>
      <c r="Q9" s="45">
        <v>0</v>
      </c>
      <c r="R9" s="45">
        <f ca="1">ROUND('TUSD BE'!$AM$36+'TUSD BF'!$AM$36+'TUSD CVA'!$AM$36,2)</f>
        <v>497.19</v>
      </c>
      <c r="S9" s="45">
        <f>ROUND('TE BE'!$AB$16+'TE BF'!$AB$16+'TE CVA'!$AB$16,2)</f>
        <v>224.48</v>
      </c>
      <c r="T9" s="45">
        <v>0</v>
      </c>
      <c r="U9" s="45">
        <f ca="1">ROUND('TUSD BE'!$AM$36,2)</f>
        <v>525.38</v>
      </c>
      <c r="V9" s="45">
        <f>ROUND('TE BE'!$AB$16,2)</f>
        <v>237.8</v>
      </c>
    </row>
    <row r="10" spans="1:22" ht="11.25" customHeight="1" x14ac:dyDescent="0.25">
      <c r="A10" s="130"/>
      <c r="B10" s="130"/>
      <c r="C10" s="130"/>
      <c r="D10" s="102" t="s">
        <v>927</v>
      </c>
      <c r="E10" s="45">
        <f ca="1">ROUND('TUSD BE'!$AM$8+'TUSD BF'!$AM$8+'TUSD CVA'!$AM$8,2)</f>
        <v>15.5</v>
      </c>
      <c r="F10" s="45">
        <f ca="1">ROUND('TUSD BE'!$AM$10+'TUSD BF'!$AM$10+'TUSD CVA'!$AM$10,2)</f>
        <v>63.91</v>
      </c>
      <c r="G10" s="45">
        <v>0</v>
      </c>
      <c r="H10" s="45">
        <f ca="1">ROUND('TUSD BE'!$AM$8,2)</f>
        <v>17.73</v>
      </c>
      <c r="I10" s="45">
        <f ca="1">ROUND('TUSD BE'!$AM$10,2)</f>
        <v>80.05</v>
      </c>
      <c r="J10" s="45">
        <v>0</v>
      </c>
      <c r="L10" s="135"/>
      <c r="M10" s="102" t="s">
        <v>934</v>
      </c>
      <c r="N10" s="102" t="s">
        <v>932</v>
      </c>
      <c r="O10" s="102" t="s">
        <v>935</v>
      </c>
      <c r="P10" s="102" t="s">
        <v>925</v>
      </c>
      <c r="Q10" s="45">
        <v>0</v>
      </c>
      <c r="R10" s="45">
        <f ca="1">ROUND('TUSD BE'!$AM$42+'TUSD BF'!$AM$42+'TUSD CVA'!$AM$42,2)</f>
        <v>397.43</v>
      </c>
      <c r="S10" s="45">
        <f>ROUND('TE BE'!$AB$22+'TE BF'!$AB$22+'TE CVA'!$AB$22,2)</f>
        <v>224.48</v>
      </c>
      <c r="T10" s="45">
        <v>0</v>
      </c>
      <c r="U10" s="45">
        <f ca="1">ROUND('TUSD BE'!$AM$42,2)</f>
        <v>445.44</v>
      </c>
      <c r="V10" s="45">
        <f>ROUND('TE BE'!$AB$22,2)</f>
        <v>237.8</v>
      </c>
    </row>
    <row r="11" spans="1:22" ht="11.25" customHeight="1" x14ac:dyDescent="0.25">
      <c r="A11" s="131" t="s">
        <v>42</v>
      </c>
      <c r="B11" s="131" t="s">
        <v>40</v>
      </c>
      <c r="C11" s="131" t="s">
        <v>25</v>
      </c>
      <c r="D11" s="102" t="s">
        <v>926</v>
      </c>
      <c r="E11" s="45">
        <f ca="1">ROUND('TUSD BE'!$AM$11+'TUSD BF'!$AM$11+'TUSD CVA'!$AM$11,2)</f>
        <v>54.25</v>
      </c>
      <c r="F11" s="45">
        <f ca="1">ROUND('TUSD BE'!$AM$13+'TUSD BF'!$AM$13+'TUSD CVA'!$AM$13,2)</f>
        <v>181.48</v>
      </c>
      <c r="G11" s="45">
        <f>ROUND('TE BE'!$AB$7+'TE BF'!$AB$7+'TE CVA'!$AB$7,2)</f>
        <v>322.12</v>
      </c>
      <c r="H11" s="45">
        <f ca="1">ROUND('TUSD BE'!$AM$11,2)</f>
        <v>58.94</v>
      </c>
      <c r="I11" s="45">
        <f ca="1">ROUND('TUSD BE'!$AM$13,2)</f>
        <v>187.07</v>
      </c>
      <c r="J11" s="45">
        <f>ROUND('TE BE'!$AB$7,2)</f>
        <v>362.45</v>
      </c>
      <c r="L11" s="136"/>
      <c r="M11" s="102" t="s">
        <v>936</v>
      </c>
      <c r="N11" s="102" t="s">
        <v>932</v>
      </c>
      <c r="O11" s="102" t="s">
        <v>935</v>
      </c>
      <c r="P11" s="102" t="s">
        <v>925</v>
      </c>
      <c r="Q11" s="45">
        <v>0</v>
      </c>
      <c r="R11" s="45">
        <f ca="1">ROUND('TUSD BE'!$AM$37+'TUSD BF'!$AM$37+'TUSD CVA'!$AM$37,2)</f>
        <v>397.43</v>
      </c>
      <c r="S11" s="45">
        <f>ROUND('TE BE'!$AB$17+'TE BF'!$AB$17+'TE CVA'!$AB$17,2)</f>
        <v>224.48</v>
      </c>
      <c r="T11" s="45">
        <v>0</v>
      </c>
      <c r="U11" s="45">
        <f ca="1">ROUND('TUSD BE'!$AM$37,2)</f>
        <v>445.44</v>
      </c>
      <c r="V11" s="45">
        <f>ROUND('TE BE'!$AB$17,2)</f>
        <v>237.8</v>
      </c>
    </row>
    <row r="12" spans="1:22" ht="11.25" customHeight="1" x14ac:dyDescent="0.25">
      <c r="A12" s="130"/>
      <c r="B12" s="130"/>
      <c r="C12" s="130"/>
      <c r="D12" s="102" t="s">
        <v>927</v>
      </c>
      <c r="E12" s="45">
        <f ca="1">ROUND('TUSD BE'!$AM$12+'TUSD BF'!$AM$12+'TUSD CVA'!$AM$12,2)</f>
        <v>21.19</v>
      </c>
      <c r="F12" s="45">
        <f ca="1">ROUND('TUSD BE'!$AM$13+'TUSD BF'!$AM$13+'TUSD CVA'!$AM$13,2)</f>
        <v>181.48</v>
      </c>
      <c r="G12" s="45">
        <f>ROUND('TE BE'!$AB$8+'TE BF'!$AB$8+'TE CVA'!$AB$8,2)</f>
        <v>215.6</v>
      </c>
      <c r="H12" s="45">
        <f ca="1">ROUND('TUSD BE'!$AM$12,2)</f>
        <v>23.19</v>
      </c>
      <c r="I12" s="45">
        <f ca="1">ROUND('TUSD BE'!$AM$13,2)</f>
        <v>187.07</v>
      </c>
      <c r="J12" s="45">
        <f>ROUND('TE BE'!$AB$8,2)</f>
        <v>226.47</v>
      </c>
      <c r="L12" s="134" t="s">
        <v>45</v>
      </c>
      <c r="M12" s="134" t="s">
        <v>931</v>
      </c>
      <c r="N12" s="134" t="s">
        <v>937</v>
      </c>
      <c r="O12" s="134" t="s">
        <v>938</v>
      </c>
      <c r="P12" s="102" t="s">
        <v>926</v>
      </c>
      <c r="Q12" s="45">
        <v>0</v>
      </c>
      <c r="R12" s="45">
        <f ca="1">ROUND(('TUSD BE'!$AM$46+'TUSD BF'!$AM$46+'TUSD CVA'!$AM$46)*(1-CUSTOS!$M$38),2)</f>
        <v>1099.3800000000001</v>
      </c>
      <c r="S12" s="45">
        <f>ROUND(('TE BE'!$AB$26+'TE BF'!$AB$26+'TE CVA'!$AB$26)*(1-CUSTOS!$M$38),2)</f>
        <v>302.8</v>
      </c>
      <c r="T12" s="45">
        <v>0</v>
      </c>
      <c r="U12" s="45">
        <f ca="1">ROUND('TUSD BE'!$AM$46*(1-CUSTOS!$M$38),2)</f>
        <v>1176.42</v>
      </c>
      <c r="V12" s="45">
        <f>ROUND('TE BE'!$AB$26*(1-CUSTOS!$M$38),2)</f>
        <v>340.71</v>
      </c>
    </row>
    <row r="13" spans="1:22" ht="11.25" customHeight="1" x14ac:dyDescent="0.25">
      <c r="A13" s="130"/>
      <c r="B13" s="131" t="s">
        <v>928</v>
      </c>
      <c r="C13" s="131" t="s">
        <v>25</v>
      </c>
      <c r="D13" s="102" t="s">
        <v>926</v>
      </c>
      <c r="E13" s="45">
        <f ca="1">ROUND('TUSD BE'!$AM$11+'TUSD BF'!$AM$11+'TUSD CVA'!$AM$11,2)</f>
        <v>54.25</v>
      </c>
      <c r="F13" s="45">
        <f ca="1">ROUND('TUSD BE'!$AM$14+'TUSD BF'!$AM$14+'TUSD CVA'!$AM$14,2)</f>
        <v>94.36</v>
      </c>
      <c r="G13" s="45">
        <v>0</v>
      </c>
      <c r="H13" s="45">
        <f ca="1">ROUND('TUSD BE'!$AM$11,2)</f>
        <v>58.94</v>
      </c>
      <c r="I13" s="45">
        <f ca="1">ROUND('TUSD BE'!$AM$14,2)</f>
        <v>117.53</v>
      </c>
      <c r="J13" s="45">
        <v>0</v>
      </c>
      <c r="L13" s="135"/>
      <c r="M13" s="135"/>
      <c r="N13" s="135"/>
      <c r="O13" s="135"/>
      <c r="P13" s="102" t="s">
        <v>933</v>
      </c>
      <c r="Q13" s="45">
        <v>0</v>
      </c>
      <c r="R13" s="45">
        <f ca="1">ROUND(('TUSD BE'!$AM$47+'TUSD BF'!$AM$47+'TUSD CVA'!$AM$47)*(1-CUSTOS!$M$38),2)</f>
        <v>734.21</v>
      </c>
      <c r="S13" s="45">
        <f>ROUND(('TE BE'!$AB$27+'TE BF'!$AB$27+'TE CVA'!$AB$27)*(1-CUSTOS!$M$38),2)</f>
        <v>202.67</v>
      </c>
      <c r="T13" s="45">
        <v>0</v>
      </c>
      <c r="U13" s="45">
        <f ca="1">ROUND('TUSD BE'!$AM$47*(1-CUSTOS!$M$38),2)</f>
        <v>782.05</v>
      </c>
      <c r="V13" s="45">
        <f>ROUND('TE BE'!$AB$27*(1-CUSTOS!$M$38),2)</f>
        <v>212.88</v>
      </c>
    </row>
    <row r="14" spans="1:22" ht="11.25" customHeight="1" x14ac:dyDescent="0.25">
      <c r="A14" s="130"/>
      <c r="B14" s="130"/>
      <c r="C14" s="130"/>
      <c r="D14" s="102" t="s">
        <v>927</v>
      </c>
      <c r="E14" s="45">
        <f ca="1">ROUND('TUSD BE'!$AM$12+'TUSD BF'!$AM$12+'TUSD CVA'!$AM$12,2)</f>
        <v>21.19</v>
      </c>
      <c r="F14" s="45">
        <f ca="1">ROUND('TUSD BE'!$AM$14+'TUSD BF'!$AM$14+'TUSD CVA'!$AM$14,2)</f>
        <v>94.36</v>
      </c>
      <c r="G14" s="45">
        <v>0</v>
      </c>
      <c r="H14" s="45">
        <f ca="1">ROUND('TUSD BE'!$AM$12,2)</f>
        <v>23.19</v>
      </c>
      <c r="I14" s="45">
        <f ca="1">ROUND('TUSD BE'!$AM$14,2)</f>
        <v>117.53</v>
      </c>
      <c r="J14" s="45">
        <v>0</v>
      </c>
      <c r="L14" s="135"/>
      <c r="M14" s="136"/>
      <c r="N14" s="136"/>
      <c r="O14" s="136"/>
      <c r="P14" s="102" t="s">
        <v>927</v>
      </c>
      <c r="Q14" s="45">
        <v>0</v>
      </c>
      <c r="R14" s="45">
        <f ca="1">ROUND(('TUSD BE'!$AM$48+'TUSD BF'!$AM$48+'TUSD CVA'!$AM$48)*(1-CUSTOS!$M$38),2)</f>
        <v>369.05</v>
      </c>
      <c r="S14" s="45">
        <f>ROUND(('TE BE'!$AB$28+'TE BF'!$AB$28+'TE CVA'!$AB$28)*(1-CUSTOS!$M$38),2)</f>
        <v>202.67</v>
      </c>
      <c r="T14" s="45">
        <v>0</v>
      </c>
      <c r="U14" s="45">
        <f ca="1">ROUND('TUSD BE'!$AM$48*(1-CUSTOS!$M$38),2)</f>
        <v>387.67</v>
      </c>
      <c r="V14" s="45">
        <f>ROUND('TE BE'!$AB$28*(1-CUSTOS!$M$38),2)</f>
        <v>212.88</v>
      </c>
    </row>
    <row r="15" spans="1:22" ht="11.25" customHeight="1" x14ac:dyDescent="0.25">
      <c r="A15" s="130"/>
      <c r="B15" s="131" t="s">
        <v>43</v>
      </c>
      <c r="C15" s="131" t="s">
        <v>25</v>
      </c>
      <c r="D15" s="102" t="s">
        <v>925</v>
      </c>
      <c r="E15" s="45">
        <f ca="1">ROUND('TUSD BE'!$AM$16+'TUSD BF'!$AM$16+'TUSD CVA'!$AM$16,2)</f>
        <v>21.19</v>
      </c>
      <c r="F15" s="45">
        <v>0</v>
      </c>
      <c r="G15" s="45">
        <v>0</v>
      </c>
      <c r="H15" s="45">
        <f ca="1">ROUND('TUSD BE'!$AM$16,2)</f>
        <v>23.19</v>
      </c>
      <c r="I15" s="45">
        <v>0</v>
      </c>
      <c r="J15" s="45">
        <v>0</v>
      </c>
      <c r="L15" s="135"/>
      <c r="M15" s="102" t="s">
        <v>934</v>
      </c>
      <c r="N15" s="102" t="s">
        <v>937</v>
      </c>
      <c r="O15" s="102" t="s">
        <v>938</v>
      </c>
      <c r="P15" s="102" t="s">
        <v>925</v>
      </c>
      <c r="Q15" s="45">
        <v>0</v>
      </c>
      <c r="R15" s="45">
        <f ca="1">ROUND(('TUSD BE'!$AM$58+'TUSD BF'!$AM$58+'TUSD CVA'!$AM$58)*(1-CUSTOS!$M$38),2)</f>
        <v>467.36</v>
      </c>
      <c r="S15" s="45">
        <f>ROUND(('TE BE'!$AB$38+'TE BF'!$AB$38+'TE CVA'!$AB$38)*(1-CUSTOS!$M$38),2)</f>
        <v>211.01</v>
      </c>
      <c r="T15" s="45">
        <v>0</v>
      </c>
      <c r="U15" s="45">
        <f ca="1">ROUND(('TUSD BE'!$AM$58)*(1-CUSTOS!$M$38),2)</f>
        <v>493.85</v>
      </c>
      <c r="V15" s="45">
        <f>ROUND(('TE BE'!$AB$38)*(1-CUSTOS!$M$38),2)</f>
        <v>223.53</v>
      </c>
    </row>
    <row r="16" spans="1:22" ht="11.25" customHeight="1" x14ac:dyDescent="0.25">
      <c r="A16" s="130"/>
      <c r="B16" s="130"/>
      <c r="C16" s="130"/>
      <c r="D16" s="102" t="s">
        <v>926</v>
      </c>
      <c r="E16" s="45">
        <v>0</v>
      </c>
      <c r="F16" s="45">
        <f ca="1">ROUND('TUSD BE'!$AM$17+'TUSD BF'!$AM$17+'TUSD CVA'!$AM$17,2)</f>
        <v>1497.89</v>
      </c>
      <c r="G16" s="45">
        <f>ROUND('TE BE'!$AB$7+'TE BF'!$AB$7+'TE CVA'!$AB$7,2)</f>
        <v>322.12</v>
      </c>
      <c r="H16" s="45">
        <v>0</v>
      </c>
      <c r="I16" s="45">
        <f ca="1">ROUND('TUSD BE'!$AM$17,2)</f>
        <v>1617.25</v>
      </c>
      <c r="J16" s="45">
        <f>ROUND('TE BE'!$AB$7,2)</f>
        <v>362.45</v>
      </c>
      <c r="L16" s="135"/>
      <c r="M16" s="102" t="s">
        <v>936</v>
      </c>
      <c r="N16" s="102" t="s">
        <v>937</v>
      </c>
      <c r="O16" s="102" t="s">
        <v>938</v>
      </c>
      <c r="P16" s="102" t="s">
        <v>925</v>
      </c>
      <c r="Q16" s="45">
        <v>0</v>
      </c>
      <c r="R16" s="45">
        <f ca="1">ROUND(('TUSD BE'!$AM$49+'TUSD BF'!$AM$49+'TUSD CVA'!$AM$49)*(1-CUSTOS!$M$38),2)</f>
        <v>467.36</v>
      </c>
      <c r="S16" s="45">
        <f>ROUND(('TE BE'!$AB$29+'TE BF'!$AB$29+'TE CVA'!$AB$29)*(1-CUSTOS!$M$38),2)</f>
        <v>211.01</v>
      </c>
      <c r="T16" s="45">
        <v>0</v>
      </c>
      <c r="U16" s="45">
        <f ca="1">ROUND(('TUSD BE'!$AM$49)*(1-CUSTOS!$M$38),2)</f>
        <v>493.85</v>
      </c>
      <c r="V16" s="45">
        <f>ROUND(('TE BE'!$AB$29)*(1-CUSTOS!$M$38),2)</f>
        <v>223.53</v>
      </c>
    </row>
    <row r="17" spans="1:22" ht="11.25" customHeight="1" x14ac:dyDescent="0.25">
      <c r="A17" s="130"/>
      <c r="B17" s="130"/>
      <c r="C17" s="130"/>
      <c r="D17" s="102" t="s">
        <v>927</v>
      </c>
      <c r="E17" s="45">
        <v>0</v>
      </c>
      <c r="F17" s="45">
        <f ca="1">ROUND('TUSD BE'!$AM$18+'TUSD BF'!$AM$18+'TUSD CVA'!$AM$18,2)</f>
        <v>181.48</v>
      </c>
      <c r="G17" s="45">
        <f>ROUND('TE BE'!$AB$8+'TE BF'!$AB$8+'TE CVA'!$AB$8,2)</f>
        <v>215.6</v>
      </c>
      <c r="H17" s="45">
        <v>0</v>
      </c>
      <c r="I17" s="45">
        <f ca="1">ROUND('TUSD BE'!$AM$18,2)</f>
        <v>187.07</v>
      </c>
      <c r="J17" s="45">
        <f>ROUND('TE BE'!$AB$8,2)</f>
        <v>226.47</v>
      </c>
      <c r="L17" s="135"/>
      <c r="M17" s="134" t="s">
        <v>931</v>
      </c>
      <c r="N17" s="134" t="s">
        <v>937</v>
      </c>
      <c r="O17" s="134" t="s">
        <v>939</v>
      </c>
      <c r="P17" s="102" t="s">
        <v>926</v>
      </c>
      <c r="Q17" s="45">
        <v>0</v>
      </c>
      <c r="R17" s="45">
        <f ca="1">ROUND(('TUSD BE'!$AM$50+'TUSD BF'!$AM$50+'TUSD CVA'!$AM$50)*(1-CUSTOS!$M$39),2)</f>
        <v>1099.3800000000001</v>
      </c>
      <c r="S17" s="45">
        <f>ROUND(('TE BE'!$AB$30+'TE BF'!$AB$30+'TE CVA'!$AB$30)*(1-CUSTOS!$M$39),2)</f>
        <v>302.8</v>
      </c>
      <c r="T17" s="45">
        <v>0</v>
      </c>
      <c r="U17" s="45">
        <f ca="1">ROUND('TUSD BE'!$AM$50*(1-CUSTOS!$M$39),2)</f>
        <v>1176.42</v>
      </c>
      <c r="V17" s="45">
        <f>ROUND('TE BE'!$AB$30*(1-CUSTOS!$M$39),2)</f>
        <v>340.71</v>
      </c>
    </row>
    <row r="18" spans="1:22" ht="11.25" customHeight="1" x14ac:dyDescent="0.25">
      <c r="A18" s="130"/>
      <c r="B18" s="131" t="s">
        <v>929</v>
      </c>
      <c r="C18" s="131" t="s">
        <v>25</v>
      </c>
      <c r="D18" s="102" t="s">
        <v>925</v>
      </c>
      <c r="E18" s="45">
        <f ca="1">ROUND('TUSD BE'!$AM$16+'TUSD BF'!$AM$16+'TUSD CVA'!$AM$16,2)</f>
        <v>21.19</v>
      </c>
      <c r="F18" s="45">
        <v>0</v>
      </c>
      <c r="G18" s="45">
        <v>0</v>
      </c>
      <c r="H18" s="45">
        <f ca="1">ROUND('TUSD BE'!$AM$16,2)</f>
        <v>23.19</v>
      </c>
      <c r="I18" s="45">
        <v>0</v>
      </c>
      <c r="J18" s="45">
        <v>0</v>
      </c>
      <c r="L18" s="135"/>
      <c r="M18" s="135"/>
      <c r="N18" s="135"/>
      <c r="O18" s="135"/>
      <c r="P18" s="102" t="s">
        <v>933</v>
      </c>
      <c r="Q18" s="45">
        <v>0</v>
      </c>
      <c r="R18" s="45">
        <f ca="1">ROUND(('TUSD BE'!$AM$51+'TUSD BF'!$AM$51+'TUSD CVA'!$AM$51)*(1-CUSTOS!$M$39),2)</f>
        <v>734.21</v>
      </c>
      <c r="S18" s="45">
        <f>ROUND(('TE BE'!$AB$31+'TE BF'!$AB$31+'TE CVA'!$AB$31)*(1-CUSTOS!$M$39),2)</f>
        <v>202.67</v>
      </c>
      <c r="T18" s="45">
        <v>0</v>
      </c>
      <c r="U18" s="45">
        <f ca="1">ROUND('TUSD BE'!$AM$51*(1-CUSTOS!$M$39),2)</f>
        <v>782.05</v>
      </c>
      <c r="V18" s="45">
        <f>ROUND('TE BE'!$AB$31*(1-CUSTOS!$M$39),2)</f>
        <v>212.88</v>
      </c>
    </row>
    <row r="19" spans="1:22" ht="11.25" customHeight="1" x14ac:dyDescent="0.25">
      <c r="A19" s="130"/>
      <c r="B19" s="130"/>
      <c r="C19" s="130"/>
      <c r="D19" s="102" t="s">
        <v>926</v>
      </c>
      <c r="E19" s="45">
        <v>0</v>
      </c>
      <c r="F19" s="45">
        <f ca="1">ROUND('TUSD BE'!$AM$19+'TUSD BF'!$AM$19+'TUSD CVA'!$AM$19,2)</f>
        <v>1410.78</v>
      </c>
      <c r="G19" s="45">
        <v>0</v>
      </c>
      <c r="H19" s="45">
        <v>0</v>
      </c>
      <c r="I19" s="45">
        <f ca="1">ROUND('TUSD BE'!$AM$19,2)</f>
        <v>1547.71</v>
      </c>
      <c r="J19" s="45">
        <v>0</v>
      </c>
      <c r="L19" s="135"/>
      <c r="M19" s="136"/>
      <c r="N19" s="136"/>
      <c r="O19" s="136"/>
      <c r="P19" s="102" t="s">
        <v>927</v>
      </c>
      <c r="Q19" s="45">
        <v>0</v>
      </c>
      <c r="R19" s="45">
        <f ca="1">ROUND(('TUSD BE'!$AM$52+'TUSD BF'!$AM$52+'TUSD CVA'!$AM$52)*(1-CUSTOS!$M$39),2)</f>
        <v>369.05</v>
      </c>
      <c r="S19" s="45">
        <f>ROUND(('TE BE'!$AB$32+'TE BF'!$AB$32+'TE CVA'!$AB$32)*(1-CUSTOS!$M$39),2)</f>
        <v>202.67</v>
      </c>
      <c r="T19" s="45">
        <v>0</v>
      </c>
      <c r="U19" s="45">
        <f ca="1">ROUND('TUSD BE'!$AM$52*(1-CUSTOS!$M$39),2)</f>
        <v>387.67</v>
      </c>
      <c r="V19" s="45">
        <f>ROUND('TE BE'!$AB$32*(1-CUSTOS!$M$39),2)</f>
        <v>212.88</v>
      </c>
    </row>
    <row r="20" spans="1:22" ht="11.25" customHeight="1" x14ac:dyDescent="0.25">
      <c r="A20" s="130"/>
      <c r="B20" s="130"/>
      <c r="C20" s="130"/>
      <c r="D20" s="102" t="s">
        <v>927</v>
      </c>
      <c r="E20" s="45">
        <v>0</v>
      </c>
      <c r="F20" s="45">
        <f ca="1">ROUND('TUSD BE'!$AM$20+'TUSD BF'!$AM$20+'TUSD CVA'!$AM$20,2)</f>
        <v>94.36</v>
      </c>
      <c r="G20" s="45">
        <v>0</v>
      </c>
      <c r="H20" s="45">
        <v>0</v>
      </c>
      <c r="I20" s="45">
        <f ca="1">ROUND('TUSD BE'!$AM$20,2)</f>
        <v>117.53</v>
      </c>
      <c r="J20" s="45">
        <v>0</v>
      </c>
      <c r="L20" s="135"/>
      <c r="M20" s="102" t="s">
        <v>934</v>
      </c>
      <c r="N20" s="102" t="s">
        <v>937</v>
      </c>
      <c r="O20" s="102" t="s">
        <v>939</v>
      </c>
      <c r="P20" s="102" t="s">
        <v>925</v>
      </c>
      <c r="Q20" s="45">
        <v>0</v>
      </c>
      <c r="R20" s="45">
        <f ca="1">ROUND(('TUSD BE'!$AM$58+'TUSD BF'!$AM$58+'TUSD CVA'!$AM$58)*(1-CUSTOS!$M$39),2)</f>
        <v>467.36</v>
      </c>
      <c r="S20" s="45">
        <f>ROUND(('TE BE'!$AB$38+'TE BF'!$AB$38+'TE CVA'!$AB$38)*(1-CUSTOS!$M$39),2)</f>
        <v>211.01</v>
      </c>
      <c r="T20" s="45">
        <v>0</v>
      </c>
      <c r="U20" s="45">
        <f ca="1">ROUND(('TUSD BE'!$AM$58)*(1-CUSTOS!$M$39),2)</f>
        <v>493.85</v>
      </c>
      <c r="V20" s="45">
        <f>ROUND(('TE BE'!$AB$38)*(1-CUSTOS!$M$39),2)</f>
        <v>223.53</v>
      </c>
    </row>
    <row r="21" spans="1:22" ht="11.25" customHeight="1" x14ac:dyDescent="0.25">
      <c r="A21" s="130"/>
      <c r="B21" s="102" t="s">
        <v>58</v>
      </c>
      <c r="C21" s="102" t="s">
        <v>25</v>
      </c>
      <c r="D21" s="102" t="s">
        <v>925</v>
      </c>
      <c r="E21" s="45">
        <f ca="1">ROUND('TUSD BE'!$AM$15+'TUSD BF'!$AM$15+'TUSD CVA'!$AM$15,2)</f>
        <v>10.43</v>
      </c>
      <c r="F21" s="45">
        <v>0</v>
      </c>
      <c r="G21" s="45">
        <v>0</v>
      </c>
      <c r="H21" s="45">
        <f ca="1">ROUND('TUSD BE'!$AM$15,2)</f>
        <v>11.13</v>
      </c>
      <c r="I21" s="45">
        <v>0</v>
      </c>
      <c r="J21" s="45">
        <v>0</v>
      </c>
      <c r="L21" s="135"/>
      <c r="M21" s="102" t="s">
        <v>936</v>
      </c>
      <c r="N21" s="102" t="s">
        <v>937</v>
      </c>
      <c r="O21" s="102" t="s">
        <v>939</v>
      </c>
      <c r="P21" s="102" t="s">
        <v>925</v>
      </c>
      <c r="Q21" s="45">
        <v>0</v>
      </c>
      <c r="R21" s="45">
        <f ca="1">ROUND(('TUSD BE'!$AM$49+'TUSD BF'!$AM$49+'TUSD CVA'!$AM$49)*(1-CUSTOS!$M$39),2)</f>
        <v>467.36</v>
      </c>
      <c r="S21" s="45">
        <f>ROUND(('TE BE'!$AB$29+'TE BF'!$AB$29+'TE CVA'!$AB$29)*(1-CUSTOS!$M$39),2)</f>
        <v>211.01</v>
      </c>
      <c r="T21" s="45">
        <v>0</v>
      </c>
      <c r="U21" s="45">
        <f ca="1">ROUND(('TUSD BE'!$AM$49)*(1-CUSTOS!$M$39),2)</f>
        <v>493.85</v>
      </c>
      <c r="V21" s="45">
        <f>ROUND(('TE BE'!$AB$29)*(1-CUSTOS!$M$39),2)</f>
        <v>223.53</v>
      </c>
    </row>
    <row r="22" spans="1:22" ht="11.25" customHeight="1" x14ac:dyDescent="0.25">
      <c r="A22" s="131" t="s">
        <v>41</v>
      </c>
      <c r="B22" s="131" t="s">
        <v>40</v>
      </c>
      <c r="C22" s="131" t="s">
        <v>25</v>
      </c>
      <c r="D22" s="102" t="s">
        <v>926</v>
      </c>
      <c r="E22" s="45">
        <f ca="1">ROUND('TUSD BE'!$AM$21+'TUSD BF'!$AM$21+'TUSD CVA'!$AM$21,2)</f>
        <v>54.25</v>
      </c>
      <c r="F22" s="45">
        <f ca="1">ROUND('TUSD BE'!$AM$23+'TUSD BF'!$AM$23+'TUSD CVA'!$AM$23,2)</f>
        <v>181.48</v>
      </c>
      <c r="G22" s="45">
        <f>ROUND('TE BE'!$AB$10+'TE BF'!$AB$10+'TE CVA'!$AB$10,2)</f>
        <v>322.12</v>
      </c>
      <c r="H22" s="45">
        <f ca="1">ROUND('TUSD BE'!$AM$21,2)</f>
        <v>58.94</v>
      </c>
      <c r="I22" s="45">
        <f ca="1">ROUND('TUSD BE'!$AM$23,2)</f>
        <v>187.07</v>
      </c>
      <c r="J22" s="45">
        <f>ROUND('TE BE'!$AB$10,2)</f>
        <v>362.45</v>
      </c>
      <c r="L22" s="135"/>
      <c r="M22" s="134" t="s">
        <v>931</v>
      </c>
      <c r="N22" s="134" t="s">
        <v>937</v>
      </c>
      <c r="O22" s="134" t="s">
        <v>940</v>
      </c>
      <c r="P22" s="102" t="s">
        <v>926</v>
      </c>
      <c r="Q22" s="45">
        <v>0</v>
      </c>
      <c r="R22" s="45">
        <f ca="1">ROUND(('TUSD BE'!$AM$54+'TUSD BF'!$AM$54+'TUSD CVA'!$AM$54)*(1-CUSTOS!$M$40),2)</f>
        <v>1075.99</v>
      </c>
      <c r="S22" s="45">
        <f>ROUND(('TE BE'!$AB$34+'TE BF'!$AB$34+'TE CVA'!$AB$34)*(1-CUSTOS!$M$40),2)</f>
        <v>296.35000000000002</v>
      </c>
      <c r="T22" s="45">
        <v>0</v>
      </c>
      <c r="U22" s="45">
        <f ca="1">ROUND('TUSD BE'!$AM$54*(1-CUSTOS!$M$40),2)</f>
        <v>1151.3900000000001</v>
      </c>
      <c r="V22" s="45">
        <f>ROUND('TE BE'!$AB$34*(1-CUSTOS!$M$40),2)</f>
        <v>333.46</v>
      </c>
    </row>
    <row r="23" spans="1:22" ht="11.25" customHeight="1" x14ac:dyDescent="0.25">
      <c r="A23" s="130"/>
      <c r="B23" s="130"/>
      <c r="C23" s="130"/>
      <c r="D23" s="102" t="s">
        <v>927</v>
      </c>
      <c r="E23" s="45">
        <f ca="1">ROUND('TUSD BE'!$AM$22+'TUSD BF'!$AM$22+'TUSD CVA'!$AM$22,2)</f>
        <v>21.19</v>
      </c>
      <c r="F23" s="45">
        <f ca="1">ROUND('TUSD BE'!$AM$23+'TUSD BF'!$AM$23+'TUSD CVA'!$AM$23,2)</f>
        <v>181.48</v>
      </c>
      <c r="G23" s="45">
        <f>ROUND('TE BE'!$AB$11+'TE BF'!$AB$11+'TE CVA'!$AB$11,2)</f>
        <v>215.6</v>
      </c>
      <c r="H23" s="45">
        <f ca="1">ROUND('TUSD BE'!$AM$22,2)</f>
        <v>23.19</v>
      </c>
      <c r="I23" s="45">
        <f ca="1">ROUND('TUSD BE'!$AM$23,2)</f>
        <v>187.07</v>
      </c>
      <c r="J23" s="45">
        <f>ROUND('TE BE'!$AB$11,2)</f>
        <v>226.47</v>
      </c>
      <c r="L23" s="135"/>
      <c r="M23" s="135"/>
      <c r="N23" s="135"/>
      <c r="O23" s="135"/>
      <c r="P23" s="102" t="s">
        <v>933</v>
      </c>
      <c r="Q23" s="45">
        <v>0</v>
      </c>
      <c r="R23" s="45">
        <f ca="1">ROUND(('TUSD BE'!$AM$55+'TUSD BF'!$AM$55+'TUSD CVA'!$AM$55)*(1-CUSTOS!$M$40),2)</f>
        <v>718.59</v>
      </c>
      <c r="S23" s="45">
        <f>ROUND(('TE BE'!$AB$35+'TE BF'!$AB$35+'TE CVA'!$AB$35)*(1-CUSTOS!$M$40),2)</f>
        <v>198.35</v>
      </c>
      <c r="T23" s="45">
        <v>0</v>
      </c>
      <c r="U23" s="45">
        <f ca="1">ROUND('TUSD BE'!$AM$55*(1-CUSTOS!$M$40),2)</f>
        <v>765.41</v>
      </c>
      <c r="V23" s="45">
        <f>ROUND('TE BE'!$AB$35*(1-CUSTOS!$M$40),2)</f>
        <v>208.35</v>
      </c>
    </row>
    <row r="24" spans="1:22" ht="11.25" customHeight="1" x14ac:dyDescent="0.25">
      <c r="A24" s="130"/>
      <c r="B24" s="131" t="s">
        <v>928</v>
      </c>
      <c r="C24" s="131" t="s">
        <v>25</v>
      </c>
      <c r="D24" s="102" t="s">
        <v>926</v>
      </c>
      <c r="E24" s="45">
        <f ca="1">ROUND('TUSD BE'!$AM$21+'TUSD BF'!$AM$21+'TUSD CVA'!$AM$21,2)</f>
        <v>54.25</v>
      </c>
      <c r="F24" s="45">
        <f ca="1">ROUND('TUSD BE'!$AM$24+'TUSD BF'!$AM$24+'TUSD CVA'!$AM$24,2)</f>
        <v>94.36</v>
      </c>
      <c r="G24" s="45">
        <v>0</v>
      </c>
      <c r="H24" s="45">
        <f ca="1">ROUND('TUSD BE'!$AM$21,2)</f>
        <v>58.94</v>
      </c>
      <c r="I24" s="45">
        <f ca="1">ROUND('TUSD BE'!$AM$24,2)</f>
        <v>117.53</v>
      </c>
      <c r="J24" s="45">
        <v>0</v>
      </c>
      <c r="L24" s="135"/>
      <c r="M24" s="136"/>
      <c r="N24" s="136"/>
      <c r="O24" s="136"/>
      <c r="P24" s="102" t="s">
        <v>927</v>
      </c>
      <c r="Q24" s="45">
        <v>0</v>
      </c>
      <c r="R24" s="45">
        <f ca="1">ROUND(('TUSD BE'!$AM$56+'TUSD BF'!$AM$56+'TUSD CVA'!$AM$56)*(1-CUSTOS!$M$40),2)</f>
        <v>361.19</v>
      </c>
      <c r="S24" s="45">
        <f>ROUND(('TE BE'!$AB$36+'TE BF'!$AB$36+'TE CVA'!$AB$36)*(1-CUSTOS!$M$40),2)</f>
        <v>198.35</v>
      </c>
      <c r="T24" s="45">
        <v>0</v>
      </c>
      <c r="U24" s="45">
        <f ca="1">ROUND('TUSD BE'!$AM$56*(1-CUSTOS!$M$40),2)</f>
        <v>379.43</v>
      </c>
      <c r="V24" s="45">
        <f>ROUND('TE BE'!$AB$36*(1-CUSTOS!$M$40),2)</f>
        <v>208.35</v>
      </c>
    </row>
    <row r="25" spans="1:22" ht="11.25" customHeight="1" x14ac:dyDescent="0.25">
      <c r="A25" s="130"/>
      <c r="B25" s="130"/>
      <c r="C25" s="130"/>
      <c r="D25" s="102" t="s">
        <v>927</v>
      </c>
      <c r="E25" s="45">
        <f ca="1">ROUND('TUSD BE'!$AM$22+'TUSD BF'!$AM$22+'TUSD CVA'!$AM$22,2)</f>
        <v>21.19</v>
      </c>
      <c r="F25" s="45">
        <f ca="1">ROUND('TUSD BE'!$AM$24+'TUSD BF'!$AM$24+'TUSD CVA'!$AM$24,2)</f>
        <v>94.36</v>
      </c>
      <c r="G25" s="45">
        <v>0</v>
      </c>
      <c r="H25" s="45">
        <f ca="1">ROUND('TUSD BE'!$AM$22,2)</f>
        <v>23.19</v>
      </c>
      <c r="I25" s="45">
        <f ca="1">ROUND('TUSD BE'!$AM$24,2)</f>
        <v>117.53</v>
      </c>
      <c r="J25" s="45">
        <v>0</v>
      </c>
      <c r="L25" s="135"/>
      <c r="M25" s="102" t="s">
        <v>934</v>
      </c>
      <c r="N25" s="102" t="s">
        <v>937</v>
      </c>
      <c r="O25" s="102" t="s">
        <v>940</v>
      </c>
      <c r="P25" s="102" t="s">
        <v>925</v>
      </c>
      <c r="Q25" s="45">
        <v>0</v>
      </c>
      <c r="R25" s="45">
        <f ca="1">ROUND(('TUSD BE'!$AM$58+'TUSD BF'!$AM$58+'TUSD CVA'!$AM$58)*(1-CUSTOS!$M$40),2)</f>
        <v>457.42</v>
      </c>
      <c r="S25" s="45">
        <f>ROUND(('TE BE'!$AB$38+'TE BF'!$AB$38+'TE CVA'!$AB$38)*(1-CUSTOS!$M$40),2)</f>
        <v>206.52</v>
      </c>
      <c r="T25" s="45">
        <v>0</v>
      </c>
      <c r="U25" s="45">
        <f ca="1">ROUND(('TUSD BE'!$AM$58)*(1-CUSTOS!$M$40),2)</f>
        <v>483.35</v>
      </c>
      <c r="V25" s="45">
        <f>ROUND(('TE BE'!$AB$38)*(1-CUSTOS!$M$40),2)</f>
        <v>218.78</v>
      </c>
    </row>
    <row r="26" spans="1:22" ht="11.25" customHeight="1" x14ac:dyDescent="0.25">
      <c r="A26" s="130"/>
      <c r="B26" s="131" t="s">
        <v>43</v>
      </c>
      <c r="C26" s="131" t="s">
        <v>25</v>
      </c>
      <c r="D26" s="102" t="s">
        <v>925</v>
      </c>
      <c r="E26" s="45">
        <f ca="1">ROUND('TUSD BE'!$AM$26+'TUSD BF'!$AM$26+'TUSD CVA'!$AM$26,2)</f>
        <v>21.19</v>
      </c>
      <c r="F26" s="45">
        <v>0</v>
      </c>
      <c r="G26" s="45">
        <v>0</v>
      </c>
      <c r="H26" s="45">
        <f ca="1">ROUND('TUSD BE'!$AM$26,2)</f>
        <v>23.19</v>
      </c>
      <c r="I26" s="45">
        <v>0</v>
      </c>
      <c r="J26" s="45">
        <v>0</v>
      </c>
      <c r="L26" s="136"/>
      <c r="M26" s="102" t="s">
        <v>936</v>
      </c>
      <c r="N26" s="102" t="s">
        <v>937</v>
      </c>
      <c r="O26" s="102" t="s">
        <v>940</v>
      </c>
      <c r="P26" s="102" t="s">
        <v>925</v>
      </c>
      <c r="Q26" s="45">
        <v>0</v>
      </c>
      <c r="R26" s="45">
        <f ca="1">ROUND(('TUSD BE'!$AM$49+'TUSD BF'!$AM$49+'TUSD CVA'!$AM$49)*(1-CUSTOS!$M$40),2)</f>
        <v>457.42</v>
      </c>
      <c r="S26" s="45">
        <f>ROUND(('TE BE'!$AB$29+'TE BF'!$AB$29+'TE CVA'!$AB$29)*(1-CUSTOS!$M$40),2)</f>
        <v>206.52</v>
      </c>
      <c r="T26" s="45">
        <v>0</v>
      </c>
      <c r="U26" s="45">
        <f ca="1">ROUND(('TUSD BE'!$AM$49)*(1-CUSTOS!$M$40),2)</f>
        <v>483.35</v>
      </c>
      <c r="V26" s="45">
        <f>ROUND(('TE BE'!$AB$29)*(1-CUSTOS!$M$40),2)</f>
        <v>218.78</v>
      </c>
    </row>
    <row r="27" spans="1:22" ht="11.25" customHeight="1" x14ac:dyDescent="0.25">
      <c r="A27" s="130"/>
      <c r="B27" s="130"/>
      <c r="C27" s="130"/>
      <c r="D27" s="102" t="s">
        <v>926</v>
      </c>
      <c r="E27" s="45">
        <v>0</v>
      </c>
      <c r="F27" s="45">
        <f ca="1">ROUND('TUSD BE'!$AM$27+'TUSD BF'!$AM$27+'TUSD CVA'!$AM$27,2)</f>
        <v>1497.89</v>
      </c>
      <c r="G27" s="45">
        <f>ROUND('TE BE'!$AB$10+'TE BF'!$AB$10+'TE CVA'!$AB$10,2)</f>
        <v>322.12</v>
      </c>
      <c r="H27" s="45">
        <v>0</v>
      </c>
      <c r="I27" s="45">
        <f ca="1">ROUND('TUSD BE'!$AM$27,2)</f>
        <v>1617.25</v>
      </c>
      <c r="J27" s="45">
        <f>ROUND('TE BE'!$AB$10,2)</f>
        <v>362.45</v>
      </c>
      <c r="L27" s="134" t="s">
        <v>37</v>
      </c>
      <c r="M27" s="134" t="s">
        <v>931</v>
      </c>
      <c r="N27" s="134" t="s">
        <v>925</v>
      </c>
      <c r="O27" s="134" t="s">
        <v>925</v>
      </c>
      <c r="P27" s="102" t="s">
        <v>926</v>
      </c>
      <c r="Q27" s="45">
        <v>0</v>
      </c>
      <c r="R27" s="45">
        <f ca="1">ROUND(('TUSD BE'!$AM$61+'TUSD BF'!$AM$61+'TUSD CVA'!$AM$61)*(1-CUSTOS!$M$31),2)</f>
        <v>1169.55</v>
      </c>
      <c r="S27" s="45">
        <f>ROUND(('TE BE'!$AB$41+'TE BF'!$AB$41+'TE CVA'!$AB$41)*(1-CUSTOS!$M$31),2)</f>
        <v>322.12</v>
      </c>
      <c r="T27" s="45">
        <v>0</v>
      </c>
      <c r="U27" s="45">
        <f ca="1">ROUND('TUSD BE'!$AM$61*(1-CUSTOS!$M$31),2)</f>
        <v>1251.51</v>
      </c>
      <c r="V27" s="45">
        <f>ROUND('TE BE'!$AB$41*(1-CUSTOS!$M$31),2)</f>
        <v>362.45</v>
      </c>
    </row>
    <row r="28" spans="1:22" ht="11.25" customHeight="1" x14ac:dyDescent="0.25">
      <c r="A28" s="130"/>
      <c r="B28" s="130"/>
      <c r="C28" s="130"/>
      <c r="D28" s="102" t="s">
        <v>927</v>
      </c>
      <c r="E28" s="45">
        <v>0</v>
      </c>
      <c r="F28" s="45">
        <f ca="1">ROUND('TUSD BE'!$AM$28+'TUSD BF'!$AM$28+'TUSD CVA'!$AM$28,2)</f>
        <v>181.48</v>
      </c>
      <c r="G28" s="45">
        <f>ROUND('TE BE'!$AB$11+'TE BF'!$AB$11+'TE CVA'!$AB$11,2)</f>
        <v>215.6</v>
      </c>
      <c r="H28" s="45">
        <v>0</v>
      </c>
      <c r="I28" s="45">
        <f ca="1">ROUND('TUSD BE'!$AM$28,2)</f>
        <v>187.07</v>
      </c>
      <c r="J28" s="45">
        <f>ROUND('TE BE'!$AB$11,2)</f>
        <v>226.47</v>
      </c>
      <c r="L28" s="135"/>
      <c r="M28" s="135"/>
      <c r="N28" s="135"/>
      <c r="O28" s="135"/>
      <c r="P28" s="102" t="s">
        <v>933</v>
      </c>
      <c r="Q28" s="45">
        <v>0</v>
      </c>
      <c r="R28" s="45">
        <f ca="1">ROUND(('TUSD BE'!$AM$62+'TUSD BF'!$AM$62+'TUSD CVA'!$AM$62)*(1-CUSTOS!$M$31),2)</f>
        <v>781.08</v>
      </c>
      <c r="S28" s="45">
        <f>ROUND(('TE BE'!$AB$42+'TE BF'!$AB$42+'TE CVA'!$AB$42)*(1-CUSTOS!$M$31),2)</f>
        <v>215.6</v>
      </c>
      <c r="T28" s="45">
        <v>0</v>
      </c>
      <c r="U28" s="45">
        <f ca="1">ROUND('TUSD BE'!$AM$62*(1-CUSTOS!$M$31),2)</f>
        <v>831.97</v>
      </c>
      <c r="V28" s="45">
        <f>ROUND('TE BE'!$AB$42*(1-CUSTOS!$M$31),2)</f>
        <v>226.47</v>
      </c>
    </row>
    <row r="29" spans="1:22" ht="11.25" customHeight="1" x14ac:dyDescent="0.25">
      <c r="A29" s="130"/>
      <c r="B29" s="131" t="s">
        <v>929</v>
      </c>
      <c r="C29" s="131" t="s">
        <v>25</v>
      </c>
      <c r="D29" s="102" t="s">
        <v>925</v>
      </c>
      <c r="E29" s="45">
        <f ca="1">ROUND('TUSD BE'!$AM$26+'TUSD BF'!$AM$26+'TUSD CVA'!$AM$26,2)</f>
        <v>21.19</v>
      </c>
      <c r="F29" s="45">
        <v>0</v>
      </c>
      <c r="G29" s="45">
        <v>0</v>
      </c>
      <c r="H29" s="45">
        <f ca="1">ROUND('TUSD BE'!$AM$26,2)</f>
        <v>23.19</v>
      </c>
      <c r="I29" s="45">
        <v>0</v>
      </c>
      <c r="J29" s="45">
        <v>0</v>
      </c>
      <c r="L29" s="135"/>
      <c r="M29" s="136"/>
      <c r="N29" s="136"/>
      <c r="O29" s="136"/>
      <c r="P29" s="102" t="s">
        <v>927</v>
      </c>
      <c r="Q29" s="45">
        <v>0</v>
      </c>
      <c r="R29" s="45">
        <f ca="1">ROUND(('TUSD BE'!$AM$63+'TUSD BF'!$AM$63+'TUSD CVA'!$AM$63)*(1-CUSTOS!$M$31),2)</f>
        <v>392.6</v>
      </c>
      <c r="S29" s="45">
        <f>ROUND(('TE BE'!$AB$43+'TE BF'!$AB$43+'TE CVA'!$AB$43)*(1-CUSTOS!$M$31),2)</f>
        <v>215.6</v>
      </c>
      <c r="T29" s="45">
        <v>0</v>
      </c>
      <c r="U29" s="45">
        <f ca="1">ROUND('TUSD BE'!$AM$63*(1-CUSTOS!$M$31),2)</f>
        <v>412.42</v>
      </c>
      <c r="V29" s="45">
        <f>ROUND('TE BE'!$AB$43*(1-CUSTOS!$M$31),2)</f>
        <v>226.47</v>
      </c>
    </row>
    <row r="30" spans="1:22" ht="11.25" customHeight="1" x14ac:dyDescent="0.25">
      <c r="A30" s="130"/>
      <c r="B30" s="130"/>
      <c r="C30" s="130"/>
      <c r="D30" s="102" t="s">
        <v>926</v>
      </c>
      <c r="E30" s="45">
        <v>0</v>
      </c>
      <c r="F30" s="45">
        <f ca="1">ROUND('TUSD BE'!$AM$29+'TUSD BF'!$AM$29+'TUSD CVA'!$AM$29,2)</f>
        <v>1410.78</v>
      </c>
      <c r="G30" s="45">
        <v>0</v>
      </c>
      <c r="H30" s="45">
        <v>0</v>
      </c>
      <c r="I30" s="45">
        <f ca="1">ROUND('TUSD BE'!$AM$29,2)</f>
        <v>1547.71</v>
      </c>
      <c r="J30" s="45">
        <v>0</v>
      </c>
      <c r="L30" s="135"/>
      <c r="M30" s="102" t="s">
        <v>934</v>
      </c>
      <c r="N30" s="102" t="s">
        <v>925</v>
      </c>
      <c r="O30" s="102" t="s">
        <v>925</v>
      </c>
      <c r="P30" s="102" t="s">
        <v>925</v>
      </c>
      <c r="Q30" s="45">
        <v>0</v>
      </c>
      <c r="R30" s="45">
        <f ca="1">ROUND(('TUSD BE'!$AM$65+'TUSD BF'!$AM$65+'TUSD CVA'!$AM$65)*(1-CUSTOS!$M$31),2)</f>
        <v>497.19</v>
      </c>
      <c r="S30" s="45">
        <f>ROUND(('TE BE'!$AB$45+'TE BF'!$AB$45+'TE CVA'!$AB$45)*(1-CUSTOS!$M$31),2)</f>
        <v>224.48</v>
      </c>
      <c r="T30" s="45">
        <v>0</v>
      </c>
      <c r="U30" s="45">
        <f ca="1">ROUND(('TUSD BE'!$AM$65)*(1-CUSTOS!$M$31),2)</f>
        <v>525.38</v>
      </c>
      <c r="V30" s="45">
        <f>ROUND(('TE BE'!$AB$45)*(1-CUSTOS!$M$31),2)</f>
        <v>237.8</v>
      </c>
    </row>
    <row r="31" spans="1:22" ht="11.25" customHeight="1" x14ac:dyDescent="0.25">
      <c r="A31" s="130"/>
      <c r="B31" s="130"/>
      <c r="C31" s="130"/>
      <c r="D31" s="102" t="s">
        <v>927</v>
      </c>
      <c r="E31" s="45">
        <v>0</v>
      </c>
      <c r="F31" s="45">
        <f ca="1">ROUND('TUSD BE'!$AM$30+'TUSD BF'!$AM$30+'TUSD CVA'!$AM$30,2)</f>
        <v>94.36</v>
      </c>
      <c r="G31" s="45">
        <v>0</v>
      </c>
      <c r="H31" s="45">
        <v>0</v>
      </c>
      <c r="I31" s="45">
        <f ca="1">ROUND('TUSD BE'!$AM$30,2)</f>
        <v>117.53</v>
      </c>
      <c r="J31" s="45">
        <v>0</v>
      </c>
      <c r="L31" s="136"/>
      <c r="M31" s="102" t="s">
        <v>936</v>
      </c>
      <c r="N31" s="102" t="s">
        <v>925</v>
      </c>
      <c r="O31" s="102" t="s">
        <v>925</v>
      </c>
      <c r="P31" s="102" t="s">
        <v>925</v>
      </c>
      <c r="Q31" s="45">
        <v>0</v>
      </c>
      <c r="R31" s="45">
        <f ca="1">ROUND(('TUSD BE'!$AM$64+'TUSD BF'!$AM$64+'TUSD CVA'!$AM$64)*(1-CUSTOS!$M$31),2)</f>
        <v>497.19</v>
      </c>
      <c r="S31" s="45">
        <f>ROUND(('TE BE'!$AB$44+'TE BF'!$AB$44+'TE CVA'!$AB$44)*(1-CUSTOS!$M$31),2)</f>
        <v>224.48</v>
      </c>
      <c r="T31" s="45">
        <v>0</v>
      </c>
      <c r="U31" s="45">
        <f ca="1">ROUND(('TUSD BE'!$AM$64)*(1-CUSTOS!$M$31),2)</f>
        <v>525.38</v>
      </c>
      <c r="V31" s="45">
        <f>ROUND(('TE BE'!$AB$44)*(1-CUSTOS!$M$31),2)</f>
        <v>237.8</v>
      </c>
    </row>
    <row r="32" spans="1:22" ht="11.25" customHeight="1" x14ac:dyDescent="0.25">
      <c r="A32" s="130"/>
      <c r="B32" s="102" t="s">
        <v>58</v>
      </c>
      <c r="C32" s="102" t="s">
        <v>25</v>
      </c>
      <c r="D32" s="102" t="s">
        <v>925</v>
      </c>
      <c r="E32" s="45">
        <f ca="1">ROUND('TUSD BE'!$AM$25+'TUSD BF'!$AM$25+'TUSD CVA'!$AM$25,2)</f>
        <v>10.43</v>
      </c>
      <c r="F32" s="45">
        <v>0</v>
      </c>
      <c r="G32" s="45">
        <v>0</v>
      </c>
      <c r="H32" s="45">
        <f ca="1">ROUND('TUSD BE'!$AM$25,2)</f>
        <v>11.13</v>
      </c>
      <c r="I32" s="45">
        <v>0</v>
      </c>
      <c r="J32" s="45">
        <v>0</v>
      </c>
      <c r="L32" s="134" t="s">
        <v>48</v>
      </c>
      <c r="M32" s="134" t="s">
        <v>936</v>
      </c>
      <c r="N32" s="134" t="s">
        <v>941</v>
      </c>
      <c r="O32" s="102" t="s">
        <v>942</v>
      </c>
      <c r="P32" s="102" t="s">
        <v>925</v>
      </c>
      <c r="Q32" s="45">
        <v>0</v>
      </c>
      <c r="R32" s="45">
        <f ca="1">ROUND(('TUSD BE'!$AM$66+'TUSD BF'!$AM$66+'TUSD CVA'!$AM$66),2)</f>
        <v>273.45999999999998</v>
      </c>
      <c r="S32" s="45">
        <f>ROUND(('TE BE'!$AB$46+'TE BF'!$AB$46+'TE CVA'!$AB$46),2)</f>
        <v>123.46</v>
      </c>
      <c r="T32" s="45">
        <v>0</v>
      </c>
      <c r="U32" s="45">
        <f ca="1">ROUND(('TUSD BE'!$AM$66),2)</f>
        <v>288.95999999999998</v>
      </c>
      <c r="V32" s="45">
        <f>ROUND(('TE BE'!$AB$46),2)</f>
        <v>130.79</v>
      </c>
    </row>
    <row r="33" spans="12:22" ht="11.25" customHeight="1" x14ac:dyDescent="0.25">
      <c r="L33" s="136"/>
      <c r="M33" s="136"/>
      <c r="N33" s="136"/>
      <c r="O33" s="102" t="s">
        <v>943</v>
      </c>
      <c r="P33" s="102" t="s">
        <v>925</v>
      </c>
      <c r="Q33" s="45">
        <v>0</v>
      </c>
      <c r="R33" s="45">
        <f ca="1">ROUND(('TUSD BE'!$AM$67+'TUSD BF'!$AM$67+'TUSD CVA'!$AM$67),2)</f>
        <v>298.32</v>
      </c>
      <c r="S33" s="45">
        <f>ROUND(('TE BE'!$AB$47+'TE BF'!$AB$47+'TE CVA'!$AB$47),2)</f>
        <v>134.69</v>
      </c>
      <c r="T33" s="45">
        <v>0</v>
      </c>
      <c r="U33" s="45">
        <f ca="1">ROUND(('TUSD BE'!$AM$67),2)</f>
        <v>315.23</v>
      </c>
      <c r="V33" s="45">
        <f>ROUND(('TE BE'!$AB$47),2)</f>
        <v>142.68</v>
      </c>
    </row>
    <row r="34" spans="12:22" ht="11.25" customHeight="1" x14ac:dyDescent="0.25">
      <c r="L34" s="134" t="s">
        <v>87</v>
      </c>
      <c r="M34" s="134" t="s">
        <v>60</v>
      </c>
      <c r="N34" s="102" t="s">
        <v>88</v>
      </c>
      <c r="O34" s="102" t="s">
        <v>925</v>
      </c>
      <c r="P34" s="102" t="s">
        <v>925</v>
      </c>
      <c r="Q34" s="45">
        <f ca="1">ROUND(('TUSD BE'!$AM$31+'TUSD BF'!$AM$31+'TUSD CVA'!$AM$31),2)</f>
        <v>10.33</v>
      </c>
      <c r="R34" s="45">
        <v>0</v>
      </c>
      <c r="S34" s="45">
        <v>0</v>
      </c>
      <c r="T34" s="45">
        <f ca="1">ROUND(('TUSD BE'!$AM$31),2)</f>
        <v>11.02</v>
      </c>
      <c r="U34" s="45">
        <v>0</v>
      </c>
      <c r="V34" s="45">
        <v>0</v>
      </c>
    </row>
    <row r="35" spans="12:22" ht="11.25" customHeight="1" x14ac:dyDescent="0.25">
      <c r="L35" s="136"/>
      <c r="M35" s="136"/>
      <c r="N35" s="102" t="s">
        <v>89</v>
      </c>
      <c r="O35" s="102" t="s">
        <v>925</v>
      </c>
      <c r="P35" s="102" t="s">
        <v>925</v>
      </c>
      <c r="Q35" s="45">
        <f ca="1">ROUND(('TUSD BE'!$AM$32+'TUSD BF'!$AM$32+'TUSD CVA'!$AM$32),2)</f>
        <v>23.4</v>
      </c>
      <c r="R35" s="45">
        <v>0</v>
      </c>
      <c r="S35" s="45">
        <v>0</v>
      </c>
      <c r="T35" s="45">
        <f ca="1">ROUND(('TUSD BE'!$AM$32),2)</f>
        <v>24.97</v>
      </c>
      <c r="U35" s="45">
        <v>0</v>
      </c>
      <c r="V35" s="45">
        <v>0</v>
      </c>
    </row>
  </sheetData>
  <mergeCells count="67">
    <mergeCell ref="N32:N33"/>
    <mergeCell ref="L32:L33"/>
    <mergeCell ref="L34:L35"/>
    <mergeCell ref="M5:M7"/>
    <mergeCell ref="M12:M14"/>
    <mergeCell ref="M17:M19"/>
    <mergeCell ref="M22:M24"/>
    <mergeCell ref="M27:M29"/>
    <mergeCell ref="M32:M33"/>
    <mergeCell ref="L5:L11"/>
    <mergeCell ref="M34:M35"/>
    <mergeCell ref="P2:P4"/>
    <mergeCell ref="Q2:S2"/>
    <mergeCell ref="Q3:R3"/>
    <mergeCell ref="T2:V2"/>
    <mergeCell ref="T3:U3"/>
    <mergeCell ref="O5:O7"/>
    <mergeCell ref="C18:C20"/>
    <mergeCell ref="C22:C23"/>
    <mergeCell ref="C24:C25"/>
    <mergeCell ref="C26:C28"/>
    <mergeCell ref="L12:L26"/>
    <mergeCell ref="L27:L31"/>
    <mergeCell ref="N5:N7"/>
    <mergeCell ref="N12:N14"/>
    <mergeCell ref="N17:N19"/>
    <mergeCell ref="N22:N24"/>
    <mergeCell ref="N27:N29"/>
    <mergeCell ref="O12:O14"/>
    <mergeCell ref="O17:O19"/>
    <mergeCell ref="O22:O24"/>
    <mergeCell ref="O27:O29"/>
    <mergeCell ref="C29:C31"/>
    <mergeCell ref="L1:V1"/>
    <mergeCell ref="L2:L4"/>
    <mergeCell ref="M2:M4"/>
    <mergeCell ref="N2:N4"/>
    <mergeCell ref="O2:O4"/>
    <mergeCell ref="C7:C8"/>
    <mergeCell ref="C9:C10"/>
    <mergeCell ref="C11:C12"/>
    <mergeCell ref="C13:C14"/>
    <mergeCell ref="C15:C17"/>
    <mergeCell ref="A1:J1"/>
    <mergeCell ref="A2:A4"/>
    <mergeCell ref="B2:B4"/>
    <mergeCell ref="C2:C4"/>
    <mergeCell ref="D2:D4"/>
    <mergeCell ref="A7:A10"/>
    <mergeCell ref="A11:A21"/>
    <mergeCell ref="A22:A32"/>
    <mergeCell ref="B5:B6"/>
    <mergeCell ref="B7:B8"/>
    <mergeCell ref="B9:B10"/>
    <mergeCell ref="B11:B12"/>
    <mergeCell ref="B13:B14"/>
    <mergeCell ref="B15:B17"/>
    <mergeCell ref="B18:B20"/>
    <mergeCell ref="B22:B23"/>
    <mergeCell ref="B24:B25"/>
    <mergeCell ref="B26:B28"/>
    <mergeCell ref="B29:B31"/>
    <mergeCell ref="E2:G2"/>
    <mergeCell ref="E3:F3"/>
    <mergeCell ref="H2:J2"/>
    <mergeCell ref="H3:I3"/>
    <mergeCell ref="A5:A6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8BCE-6A48-4700-A934-8AC7A6082D3A}">
  <sheetPr codeName="Planilha20"/>
  <dimension ref="A1:AN1039"/>
  <sheetViews>
    <sheetView showGridLines="0" topLeftCell="X1" workbookViewId="0">
      <selection activeCell="AE47" sqref="AE47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7.425781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2" width="10.8554687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4" t="s">
        <v>8</v>
      </c>
      <c r="J1" s="73" t="s">
        <v>888</v>
      </c>
      <c r="K1" s="73" t="s">
        <v>889</v>
      </c>
      <c r="L1" s="73" t="s">
        <v>890</v>
      </c>
      <c r="M1" s="73" t="s">
        <v>891</v>
      </c>
      <c r="N1" s="73" t="s">
        <v>892</v>
      </c>
      <c r="O1" s="73" t="s">
        <v>893</v>
      </c>
      <c r="P1" s="72"/>
      <c r="Q1" s="128" t="s">
        <v>894</v>
      </c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L1" s="52" t="s">
        <v>915</v>
      </c>
      <c r="AM1" s="52" t="s">
        <v>64</v>
      </c>
      <c r="AN1" s="52" t="s">
        <v>916</v>
      </c>
    </row>
    <row r="2" spans="1:40" ht="11.25" customHeight="1" x14ac:dyDescent="0.2">
      <c r="A2" s="53" t="s">
        <v>21</v>
      </c>
      <c r="B2" s="53" t="s">
        <v>57</v>
      </c>
      <c r="C2" s="53" t="s">
        <v>58</v>
      </c>
      <c r="D2" s="53" t="s">
        <v>25</v>
      </c>
      <c r="E2" s="53" t="s">
        <v>25</v>
      </c>
      <c r="F2" s="53" t="s">
        <v>25</v>
      </c>
      <c r="G2" s="53" t="s">
        <v>59</v>
      </c>
      <c r="H2" s="53" t="s">
        <v>25</v>
      </c>
      <c r="I2" s="75">
        <v>44531</v>
      </c>
      <c r="J2" s="76">
        <f ca="1">EFEITO!$J$2*EFEITO!$Y$2</f>
        <v>502966.03409123619</v>
      </c>
      <c r="K2" s="76">
        <f>EFEITO!$L$2*EFEITO!$Z$2</f>
        <v>0</v>
      </c>
      <c r="L2" s="76">
        <f>EFEITO!$N$2*EFEITO!$AA$2</f>
        <v>0</v>
      </c>
      <c r="M2" s="76">
        <f ca="1">$J$2-EFEITO!$K$2*EFEITO!$Y$2</f>
        <v>0</v>
      </c>
      <c r="N2" s="76">
        <f>$K$2-EFEITO!$M$2*EFEITO!$Z$2</f>
        <v>0</v>
      </c>
      <c r="O2" s="76">
        <f>$L$2-EFEITO!$O$2*EFEITO!$AA$2</f>
        <v>0</v>
      </c>
      <c r="P2" s="57"/>
      <c r="Q2" s="44" t="s">
        <v>67</v>
      </c>
      <c r="R2" s="44" t="s">
        <v>896</v>
      </c>
      <c r="S2" s="44" t="s">
        <v>897</v>
      </c>
      <c r="T2" s="44" t="s">
        <v>898</v>
      </c>
      <c r="U2" s="44" t="s">
        <v>899</v>
      </c>
      <c r="V2" s="44" t="s">
        <v>900</v>
      </c>
      <c r="W2" s="44" t="s">
        <v>901</v>
      </c>
      <c r="X2" s="77" t="s">
        <v>902</v>
      </c>
      <c r="Y2" s="77" t="s">
        <v>903</v>
      </c>
      <c r="Z2" s="77" t="s">
        <v>904</v>
      </c>
      <c r="AA2" s="77" t="s">
        <v>905</v>
      </c>
      <c r="AB2" s="77" t="s">
        <v>906</v>
      </c>
      <c r="AC2" s="77" t="s">
        <v>907</v>
      </c>
      <c r="AD2" s="77" t="s">
        <v>908</v>
      </c>
      <c r="AE2" s="77" t="s">
        <v>909</v>
      </c>
      <c r="AF2" s="77" t="s">
        <v>910</v>
      </c>
      <c r="AG2" s="77" t="s">
        <v>911</v>
      </c>
      <c r="AH2" s="77" t="s">
        <v>912</v>
      </c>
      <c r="AI2" s="77" t="s">
        <v>913</v>
      </c>
      <c r="AJ2" s="77" t="s">
        <v>914</v>
      </c>
      <c r="AL2" s="53"/>
      <c r="AM2" s="53"/>
      <c r="AN2" s="53"/>
    </row>
    <row r="3" spans="1:40" ht="11.25" customHeight="1" x14ac:dyDescent="0.2">
      <c r="A3" s="53" t="s">
        <v>21</v>
      </c>
      <c r="B3" s="53" t="s">
        <v>57</v>
      </c>
      <c r="C3" s="53" t="s">
        <v>58</v>
      </c>
      <c r="D3" s="53" t="s">
        <v>25</v>
      </c>
      <c r="E3" s="53" t="s">
        <v>25</v>
      </c>
      <c r="F3" s="53" t="s">
        <v>25</v>
      </c>
      <c r="G3" s="53" t="s">
        <v>59</v>
      </c>
      <c r="H3" s="53" t="s">
        <v>25</v>
      </c>
      <c r="I3" s="75">
        <v>44562</v>
      </c>
      <c r="J3" s="76">
        <f ca="1">EFEITO!$J$3*EFEITO!$Y$3</f>
        <v>502966.03409123619</v>
      </c>
      <c r="K3" s="76">
        <f>EFEITO!$L$3*EFEITO!$Z$3</f>
        <v>0</v>
      </c>
      <c r="L3" s="76">
        <f>EFEITO!$N$3*EFEITO!$AA$3</f>
        <v>0</v>
      </c>
      <c r="M3" s="76">
        <f ca="1">$J$3-EFEITO!$K$3*EFEITO!$Y$3</f>
        <v>0</v>
      </c>
      <c r="N3" s="76">
        <f>$K$3-EFEITO!$M$3*EFEITO!$Z$3</f>
        <v>0</v>
      </c>
      <c r="O3" s="76">
        <f>$L$3-EFEITO!$O$3*EFEITO!$AA$3</f>
        <v>0</v>
      </c>
      <c r="P3" s="57"/>
      <c r="Q3" s="76" t="s">
        <v>895</v>
      </c>
      <c r="R3" s="76">
        <f>SUMIF($B$2:$B$1039,$Q$3,$J$2:$J$1039)</f>
        <v>0</v>
      </c>
      <c r="S3" s="76">
        <f>SUMIF($B$2:$B$1039,$Q$3,$K$2:$K$1039)</f>
        <v>0</v>
      </c>
      <c r="T3" s="76">
        <f>SUMIF($B$2:$B$1039,$Q$3,$L$2:$L$1039)</f>
        <v>0</v>
      </c>
      <c r="U3" s="76">
        <f>SUMIF($B$2:$B$1039,$Q$3,$M$2:$M$1039)</f>
        <v>0</v>
      </c>
      <c r="V3" s="76">
        <f>SUMIF($B$2:$B$1039,$Q$3,$N$2:$N$1039)</f>
        <v>0</v>
      </c>
      <c r="W3" s="76">
        <f>SUMIF($B$2:$B$1039,$Q$3,$O$2:$O$1039)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SUMIF(EFEITO!$B$2:$B$1039,$Q$3,EFEITO!$AE$2:$AE$1039)</f>
        <v>0</v>
      </c>
      <c r="AB3" s="54">
        <f>SUMIF(EFEITO!$B$2:$B$1039,$Q$3,EFEITO!$AF$2:$AF$1039)</f>
        <v>0</v>
      </c>
      <c r="AC3" s="54">
        <f>SUMIF(EFEITO!$B$2:$B$1039,$Q$3,EFEITO!$AG$2:$AH$1039)</f>
        <v>0</v>
      </c>
      <c r="AD3" s="54">
        <f>SUMIF(SUBSIDIO!$B$2:$B$1039,$Q$3,SUBSIDIO!$AD$2:$AD$1039)</f>
        <v>0</v>
      </c>
      <c r="AE3" s="54">
        <f>SUMIF(SUBSIDIO!$B$2:$B$1039,$Q$3,SUBSIDIO!$AE$2:$AE$1039)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57</v>
      </c>
      <c r="C4" s="53" t="s">
        <v>58</v>
      </c>
      <c r="D4" s="53" t="s">
        <v>25</v>
      </c>
      <c r="E4" s="53" t="s">
        <v>25</v>
      </c>
      <c r="F4" s="53" t="s">
        <v>25</v>
      </c>
      <c r="G4" s="53" t="s">
        <v>59</v>
      </c>
      <c r="H4" s="53" t="s">
        <v>25</v>
      </c>
      <c r="I4" s="75">
        <v>44593</v>
      </c>
      <c r="J4" s="76">
        <f ca="1">EFEITO!$J$4*EFEITO!$Y$4</f>
        <v>502966.03409123619</v>
      </c>
      <c r="K4" s="76">
        <f>EFEITO!$L$4*EFEITO!$Z$4</f>
        <v>0</v>
      </c>
      <c r="L4" s="76">
        <f>EFEITO!$N$4*EFEITO!$AA$4</f>
        <v>0</v>
      </c>
      <c r="M4" s="76">
        <f ca="1">$J$4-EFEITO!$K$4*EFEITO!$Y$4</f>
        <v>0</v>
      </c>
      <c r="N4" s="76">
        <f>$K$4-EFEITO!$M$4*EFEITO!$Z$4</f>
        <v>0</v>
      </c>
      <c r="O4" s="76">
        <f>$L$4-EFEITO!$O$4*EFEITO!$AA$4</f>
        <v>0</v>
      </c>
      <c r="P4" s="57"/>
      <c r="Q4" s="76" t="s">
        <v>57</v>
      </c>
      <c r="R4" s="76">
        <f ca="1">SUMIF($B$2:$B$1039,$Q$4,$J$2:$J$1039)</f>
        <v>6035592.4090948338</v>
      </c>
      <c r="S4" s="76">
        <f>SUMIF($B$2:$B$1039,$Q$4,$K$2:$K$1039)</f>
        <v>0</v>
      </c>
      <c r="T4" s="76">
        <f>SUMIF($B$2:$B$1039,$Q$4,$L$2:$L$1039)</f>
        <v>0</v>
      </c>
      <c r="U4" s="76">
        <f ca="1">SUMIF($B$2:$B$1039,$Q$4,$M$2:$M$1039)</f>
        <v>0</v>
      </c>
      <c r="V4" s="76">
        <f>SUMIF($B$2:$B$1039,$Q$4,$N$2:$N$1039)</f>
        <v>0</v>
      </c>
      <c r="W4" s="76">
        <f>SUMIF($B$2:$B$1039,$Q$4,$O$2:$O$1039)</f>
        <v>0</v>
      </c>
      <c r="X4" s="54">
        <f ca="1">$R$4-$U$4</f>
        <v>6035592.4090948338</v>
      </c>
      <c r="Y4" s="54">
        <f>$S$4-$V$4</f>
        <v>0</v>
      </c>
      <c r="Z4" s="54">
        <f>$T$4-$W$4</f>
        <v>0</v>
      </c>
      <c r="AA4" s="54">
        <f ca="1">SUMIF(EFEITO!$B$2:$B$1039,$Q$4,EFEITO!$AE$2:$AE$1039)</f>
        <v>6035592.4090948338</v>
      </c>
      <c r="AB4" s="54">
        <f>SUMIF(EFEITO!$B$2:$B$1039,$Q$4,EFEITO!$AF$2:$AF$1039)</f>
        <v>0</v>
      </c>
      <c r="AC4" s="54">
        <f>SUMIF(EFEITO!$B$2:$B$1039,$Q$4,EFEITO!$AG$2:$AH$1039)</f>
        <v>0</v>
      </c>
      <c r="AD4" s="54">
        <f ca="1">SUMIF(SUBSIDIO!$B$2:$B$1039,$Q$4,SUBSIDIO!$AD$2:$AD$1039)</f>
        <v>0</v>
      </c>
      <c r="AE4" s="54">
        <f>SUMIF(SUBSIDIO!$B$2:$B$1039,$Q$4,SUBSIDIO!$AE$2:$AE$1039)</f>
        <v>0</v>
      </c>
      <c r="AF4" s="54" t="str">
        <f ca="1"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 ca="1"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21</v>
      </c>
      <c r="B5" s="53" t="s">
        <v>57</v>
      </c>
      <c r="C5" s="53" t="s">
        <v>58</v>
      </c>
      <c r="D5" s="53" t="s">
        <v>25</v>
      </c>
      <c r="E5" s="53" t="s">
        <v>25</v>
      </c>
      <c r="F5" s="53" t="s">
        <v>25</v>
      </c>
      <c r="G5" s="53" t="s">
        <v>59</v>
      </c>
      <c r="H5" s="53" t="s">
        <v>25</v>
      </c>
      <c r="I5" s="75">
        <v>44621</v>
      </c>
      <c r="J5" s="76">
        <f ca="1">EFEITO!$J$5*EFEITO!$Y$5</f>
        <v>502966.03409123619</v>
      </c>
      <c r="K5" s="76">
        <f>EFEITO!$L$5*EFEITO!$Z$5</f>
        <v>0</v>
      </c>
      <c r="L5" s="76">
        <f>EFEITO!$N$5*EFEITO!$AA$5</f>
        <v>0</v>
      </c>
      <c r="M5" s="76">
        <f ca="1">$J$5-EFEITO!$K$5*EFEITO!$Y$5</f>
        <v>0</v>
      </c>
      <c r="N5" s="76">
        <f>$K$5-EFEITO!$M$5*EFEITO!$Z$5</f>
        <v>0</v>
      </c>
      <c r="O5" s="76">
        <f>$L$5-EFEITO!$O$5*EFEITO!$AA$5</f>
        <v>0</v>
      </c>
      <c r="P5" s="57"/>
      <c r="Q5" s="76" t="s">
        <v>39</v>
      </c>
      <c r="R5" s="76">
        <f ca="1">SUMIF($B$2:$B$1039,$Q$5,$J$2:$J$1039)</f>
        <v>7864339.3643015586</v>
      </c>
      <c r="S5" s="76">
        <f ca="1">SUMIF($B$2:$B$1039,$Q$5,$K$2:$K$1039)</f>
        <v>9772203.2070797738</v>
      </c>
      <c r="T5" s="76">
        <f>SUMIF($B$2:$B$1039,$Q$5,$L$2:$L$1039)</f>
        <v>16451559.691602638</v>
      </c>
      <c r="U5" s="76">
        <f ca="1">SUMIF($B$2:$B$1039,$Q$5,$M$2:$M$1039)</f>
        <v>0</v>
      </c>
      <c r="V5" s="76">
        <f ca="1">SUMIF($B$2:$B$1039,$Q$5,$N$2:$N$1039)</f>
        <v>0</v>
      </c>
      <c r="W5" s="76">
        <f>SUMIF($B$2:$B$1039,$Q$5,$O$2:$O$1039)</f>
        <v>0</v>
      </c>
      <c r="X5" s="54">
        <f ca="1">$R$5-$U$5</f>
        <v>7864339.3643015586</v>
      </c>
      <c r="Y5" s="54">
        <f ca="1">$S$5-$V$5</f>
        <v>9772203.2070797738</v>
      </c>
      <c r="Z5" s="54">
        <f>$T$5-$W$5</f>
        <v>16451559.691602638</v>
      </c>
      <c r="AA5" s="54">
        <f ca="1">SUMIF(EFEITO!$B$2:$B$1039,$Q$5,EFEITO!$AE$2:$AE$1039)</f>
        <v>7864339.3643015586</v>
      </c>
      <c r="AB5" s="54">
        <f ca="1">SUMIF(EFEITO!$B$2:$B$1039,$Q$5,EFEITO!$AF$2:$AF$1039)</f>
        <v>9772203.2070797738</v>
      </c>
      <c r="AC5" s="54">
        <f>SUMIF(EFEITO!$B$2:$B$1039,$Q$5,EFEITO!$AG$2:$AH$1039)</f>
        <v>16451559.691602638</v>
      </c>
      <c r="AD5" s="54">
        <f>SUMIF(SUBSIDIO!$B$2:$B$1039,$Q$5,SUBSIDIO!$AD$2:$AD$1039)</f>
        <v>0</v>
      </c>
      <c r="AE5" s="54">
        <f>SUMIF(SUBSIDIO!$B$2:$B$1039,$Q$5,SUBSIDIO!$AE$2:$AE$1039)</f>
        <v>0</v>
      </c>
      <c r="AF5" s="54" t="str">
        <f ca="1">IF(ABS($X$5-$AA$5)&lt;0.01,"OK","ERRO")</f>
        <v>OK</v>
      </c>
      <c r="AG5" s="54" t="str">
        <f ca="1">IF(ABS($Y$5-$AB$5)&lt;0.01,"OK","ERRO")</f>
        <v>OK</v>
      </c>
      <c r="AH5" s="54" t="str">
        <f>IF(ABS($Z$5-$AC$5)&lt;0.01,"OK","ERRO")</f>
        <v>OK</v>
      </c>
      <c r="AI5" s="54" t="str">
        <f ca="1">IF(ABS($U$5-$AD$5)&lt;0.01,"OK","ERRO")</f>
        <v>OK</v>
      </c>
      <c r="AJ5" s="54" t="str">
        <f ca="1">IF(ABS(($V$5+$W$5)-$AE$5)&lt;0.01,"OK","ERRO")</f>
        <v>OK</v>
      </c>
    </row>
    <row r="6" spans="1:40" ht="11.25" customHeight="1" x14ac:dyDescent="0.2">
      <c r="A6" s="53" t="s">
        <v>21</v>
      </c>
      <c r="B6" s="53" t="s">
        <v>57</v>
      </c>
      <c r="C6" s="53" t="s">
        <v>58</v>
      </c>
      <c r="D6" s="53" t="s">
        <v>25</v>
      </c>
      <c r="E6" s="53" t="s">
        <v>25</v>
      </c>
      <c r="F6" s="53" t="s">
        <v>25</v>
      </c>
      <c r="G6" s="53" t="s">
        <v>59</v>
      </c>
      <c r="H6" s="53" t="s">
        <v>25</v>
      </c>
      <c r="I6" s="75">
        <v>44652</v>
      </c>
      <c r="J6" s="76">
        <f ca="1">EFEITO!$J$6*EFEITO!$Y$6</f>
        <v>502966.03409123619</v>
      </c>
      <c r="K6" s="76">
        <f>EFEITO!$L$6*EFEITO!$Z$6</f>
        <v>0</v>
      </c>
      <c r="L6" s="76">
        <f>EFEITO!$N$6*EFEITO!$AA$6</f>
        <v>0</v>
      </c>
      <c r="M6" s="76">
        <f ca="1">$J$6-EFEITO!$K$6*EFEITO!$Y$6</f>
        <v>0</v>
      </c>
      <c r="N6" s="76">
        <f>$K$6-EFEITO!$M$6*EFEITO!$Z$6</f>
        <v>0</v>
      </c>
      <c r="O6" s="76">
        <f>$L$6-EFEITO!$O$6*EFEITO!$AA$6</f>
        <v>0</v>
      </c>
      <c r="P6" s="57"/>
      <c r="Q6" s="76" t="s">
        <v>42</v>
      </c>
      <c r="R6" s="76">
        <f ca="1">SUMIF($B$2:$B$1039,$Q$6,$J$2:$J$1039)</f>
        <v>39412.266915025357</v>
      </c>
      <c r="S6" s="76">
        <f ca="1">SUMIF($B$2:$B$1039,$Q$6,$K$2:$K$1039)</f>
        <v>80691.118412642129</v>
      </c>
      <c r="T6" s="76">
        <f>SUMIF($B$2:$B$1039,$Q$6,$L$2:$L$1039)</f>
        <v>50881.037061760035</v>
      </c>
      <c r="U6" s="76">
        <f ca="1">SUMIF($B$2:$B$1039,$Q$6,$M$2:$M$1039)</f>
        <v>0</v>
      </c>
      <c r="V6" s="76">
        <f ca="1">SUMIF($B$2:$B$1039,$Q$6,$N$2:$N$1039)</f>
        <v>0</v>
      </c>
      <c r="W6" s="76">
        <f>SUMIF($B$2:$B$1039,$Q$6,$O$2:$O$1039)</f>
        <v>0</v>
      </c>
      <c r="X6" s="54">
        <f ca="1">$R$6-$U$6</f>
        <v>39412.266915025357</v>
      </c>
      <c r="Y6" s="54">
        <f ca="1">$S$6-$V$6</f>
        <v>80691.118412642129</v>
      </c>
      <c r="Z6" s="54">
        <f>$T$6-$W$6</f>
        <v>50881.037061760035</v>
      </c>
      <c r="AA6" s="54">
        <f ca="1">SUMIF(EFEITO!$B$2:$B$1039,$Q$6,EFEITO!$AE$2:$AE$1039)</f>
        <v>39412.266915025357</v>
      </c>
      <c r="AB6" s="54">
        <f ca="1">SUMIF(EFEITO!$B$2:$B$1039,$Q$6,EFEITO!$AF$2:$AF$1039)</f>
        <v>80691.118412642129</v>
      </c>
      <c r="AC6" s="54">
        <f>SUMIF(EFEITO!$B$2:$B$1039,$Q$6,EFEITO!$AG$2:$AH$1039)</f>
        <v>50881.037061760035</v>
      </c>
      <c r="AD6" s="54">
        <f>SUMIF(SUBSIDIO!$B$2:$B$1039,$Q$6,SUBSIDIO!$AD$2:$AD$1039)</f>
        <v>0</v>
      </c>
      <c r="AE6" s="54">
        <f>SUMIF(SUBSIDIO!$B$2:$B$1039,$Q$6,SUBSIDIO!$AE$2:$AE$1039)</f>
        <v>0</v>
      </c>
      <c r="AF6" s="54" t="str">
        <f ca="1">IF(ABS($X$6-$AA$6)&lt;0.01,"OK","ERRO")</f>
        <v>OK</v>
      </c>
      <c r="AG6" s="54" t="str">
        <f ca="1">IF(ABS($Y$6-$AB$6)&lt;0.01,"OK","ERRO")</f>
        <v>OK</v>
      </c>
      <c r="AH6" s="54" t="str">
        <f>IF(ABS($Z$6-$AC$6)&lt;0.01,"OK","ERRO")</f>
        <v>OK</v>
      </c>
      <c r="AI6" s="54" t="str">
        <f ca="1">IF(ABS($U$6-$AD$6)&lt;0.01,"OK","ERRO")</f>
        <v>OK</v>
      </c>
      <c r="AJ6" s="54" t="str">
        <f ca="1">IF(ABS(($V$6+$W$6)-$AE$6)&lt;0.01,"OK","ERRO")</f>
        <v>OK</v>
      </c>
    </row>
    <row r="7" spans="1:40" ht="11.25" customHeight="1" x14ac:dyDescent="0.2">
      <c r="A7" s="53" t="s">
        <v>21</v>
      </c>
      <c r="B7" s="53" t="s">
        <v>57</v>
      </c>
      <c r="C7" s="53" t="s">
        <v>58</v>
      </c>
      <c r="D7" s="53" t="s">
        <v>25</v>
      </c>
      <c r="E7" s="53" t="s">
        <v>25</v>
      </c>
      <c r="F7" s="53" t="s">
        <v>25</v>
      </c>
      <c r="G7" s="53" t="s">
        <v>59</v>
      </c>
      <c r="H7" s="53" t="s">
        <v>25</v>
      </c>
      <c r="I7" s="75">
        <v>44682</v>
      </c>
      <c r="J7" s="76">
        <f ca="1">EFEITO!$J$7*EFEITO!$Y$7</f>
        <v>502966.03409123619</v>
      </c>
      <c r="K7" s="76">
        <f>EFEITO!$L$7*EFEITO!$Z$7</f>
        <v>0</v>
      </c>
      <c r="L7" s="76">
        <f>EFEITO!$N$7*EFEITO!$AA$7</f>
        <v>0</v>
      </c>
      <c r="M7" s="76">
        <f ca="1">$J$7-EFEITO!$K$7*EFEITO!$Y$7</f>
        <v>0</v>
      </c>
      <c r="N7" s="76">
        <f>$K$7-EFEITO!$M$7*EFEITO!$Z$7</f>
        <v>0</v>
      </c>
      <c r="O7" s="76">
        <f>$L$7-EFEITO!$O$7*EFEITO!$AA$7</f>
        <v>0</v>
      </c>
      <c r="P7" s="57"/>
      <c r="Q7" s="76" t="s">
        <v>41</v>
      </c>
      <c r="R7" s="76">
        <f ca="1">SUMIF($B$2:$B$1039,$Q$7,$J$2:$J$1039)</f>
        <v>30407175.357694831</v>
      </c>
      <c r="S7" s="76">
        <f ca="1">SUMIF($B$2:$B$1039,$Q$7,$K$2:$K$1039)</f>
        <v>76349465.494260222</v>
      </c>
      <c r="T7" s="76">
        <f>SUMIF($B$2:$B$1039,$Q$7,$L$2:$L$1039)</f>
        <v>50434323.373731926</v>
      </c>
      <c r="U7" s="76">
        <f ca="1">SUMIF($B$2:$B$1039,$Q$7,$M$2:$M$1039)</f>
        <v>552611.55352896824</v>
      </c>
      <c r="V7" s="76">
        <f ca="1">SUMIF($B$2:$B$1039,$Q$7,$N$2:$N$1039)</f>
        <v>16965836.151717708</v>
      </c>
      <c r="W7" s="76">
        <f>SUMIF($B$2:$B$1039,$Q$7,$O$2:$O$1039)</f>
        <v>109058.59914023518</v>
      </c>
      <c r="X7" s="54">
        <f ca="1">$R$7-$U$7</f>
        <v>29854563.804165863</v>
      </c>
      <c r="Y7" s="54">
        <f ca="1">$S$7-$V$7</f>
        <v>59383629.342542514</v>
      </c>
      <c r="Z7" s="54">
        <f>$T$7-$W$7</f>
        <v>50325264.774591692</v>
      </c>
      <c r="AA7" s="54">
        <f ca="1">SUMIF(EFEITO!$B$2:$B$1039,$Q$7,EFEITO!$AE$2:$AE$1039)</f>
        <v>29854563.804165863</v>
      </c>
      <c r="AB7" s="54">
        <f ca="1">SUMIF(EFEITO!$B$2:$B$1039,$Q$7,EFEITO!$AF$2:$AF$1039)</f>
        <v>59383629.342542447</v>
      </c>
      <c r="AC7" s="54">
        <f>SUMIF(EFEITO!$B$2:$B$1039,$Q$7,EFEITO!$AG$2:$AH$1039)</f>
        <v>50325264.774591699</v>
      </c>
      <c r="AD7" s="54">
        <f ca="1">SUMIF(SUBSIDIO!$B$2:$B$1039,$Q$7,SUBSIDIO!$AD$2:$AD$1039)</f>
        <v>552611.55352896813</v>
      </c>
      <c r="AE7" s="54">
        <f ca="1">SUMIF(SUBSIDIO!$B$2:$B$1039,$Q$7,SUBSIDIO!$AE$2:$AE$1039)</f>
        <v>17074894.750857949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57</v>
      </c>
      <c r="C8" s="53" t="s">
        <v>58</v>
      </c>
      <c r="D8" s="53" t="s">
        <v>25</v>
      </c>
      <c r="E8" s="53" t="s">
        <v>25</v>
      </c>
      <c r="F8" s="53" t="s">
        <v>25</v>
      </c>
      <c r="G8" s="53" t="s">
        <v>59</v>
      </c>
      <c r="H8" s="53" t="s">
        <v>25</v>
      </c>
      <c r="I8" s="75">
        <v>44713</v>
      </c>
      <c r="J8" s="76">
        <f ca="1">EFEITO!$J$8*EFEITO!$Y$8</f>
        <v>502966.03409123619</v>
      </c>
      <c r="K8" s="76">
        <f>EFEITO!$L$8*EFEITO!$Z$8</f>
        <v>0</v>
      </c>
      <c r="L8" s="76">
        <f>EFEITO!$N$8*EFEITO!$AA$8</f>
        <v>0</v>
      </c>
      <c r="M8" s="76">
        <f ca="1">$J$8-EFEITO!$K$8*EFEITO!$Y$8</f>
        <v>0</v>
      </c>
      <c r="N8" s="76">
        <f>$K$8-EFEITO!$M$8*EFEITO!$Z$8</f>
        <v>0</v>
      </c>
      <c r="O8" s="76">
        <f>$L$8-EFEITO!$O$8*EFEITO!$AA$8</f>
        <v>0</v>
      </c>
      <c r="P8" s="57"/>
      <c r="Q8" s="76" t="s">
        <v>776</v>
      </c>
      <c r="R8" s="76">
        <f>SUMIF($B$2:$B$1039,$Q$8,$J$2:$J$1039)</f>
        <v>0</v>
      </c>
      <c r="S8" s="76">
        <f>SUMIF($B$2:$B$1039,$Q$8,$K$2:$K$1039)</f>
        <v>0</v>
      </c>
      <c r="T8" s="76">
        <f>SUMIF($B$2:$B$1039,$Q$8,$L$2:$L$1039)</f>
        <v>0</v>
      </c>
      <c r="U8" s="76">
        <f>SUMIF($B$2:$B$1039,$Q$8,$M$2:$M$1039)</f>
        <v>0</v>
      </c>
      <c r="V8" s="76">
        <f>SUMIF($B$2:$B$1039,$Q$8,$N$2:$N$1039)</f>
        <v>0</v>
      </c>
      <c r="W8" s="76">
        <f>SUMIF($B$2:$B$1039,$Q$8,$O$2:$O$1039)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SUMIF(EFEITO!$B$2:$B$1039,$Q$8,EFEITO!$AE$2:$AE$1039)</f>
        <v>0</v>
      </c>
      <c r="AB8" s="54">
        <f>SUMIF(EFEITO!$B$2:$B$1039,$Q$8,EFEITO!$AF$2:$AF$1039)</f>
        <v>0</v>
      </c>
      <c r="AC8" s="54">
        <f>SUMIF(EFEITO!$B$2:$B$1039,$Q$8,EFEITO!$AG$2:$AH$1039)</f>
        <v>0</v>
      </c>
      <c r="AD8" s="54">
        <f>SUMIF(SUBSIDIO!$B$2:$B$1039,$Q$8,SUBSIDIO!$AD$2:$AD$1039)</f>
        <v>0</v>
      </c>
      <c r="AE8" s="54">
        <f>SUMIF(SUBSIDIO!$B$2:$B$1039,$Q$8,SUBSIDIO!$AE$2:$AE$1039)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21</v>
      </c>
      <c r="B9" s="53" t="s">
        <v>57</v>
      </c>
      <c r="C9" s="53" t="s">
        <v>58</v>
      </c>
      <c r="D9" s="53" t="s">
        <v>25</v>
      </c>
      <c r="E9" s="53" t="s">
        <v>25</v>
      </c>
      <c r="F9" s="53" t="s">
        <v>25</v>
      </c>
      <c r="G9" s="53" t="s">
        <v>59</v>
      </c>
      <c r="H9" s="53" t="s">
        <v>25</v>
      </c>
      <c r="I9" s="75">
        <v>44743</v>
      </c>
      <c r="J9" s="76">
        <f ca="1">EFEITO!$J$9*EFEITO!$Y$9</f>
        <v>502966.03409123619</v>
      </c>
      <c r="K9" s="76">
        <f>EFEITO!$L$9*EFEITO!$Z$9</f>
        <v>0</v>
      </c>
      <c r="L9" s="76">
        <f>EFEITO!$N$9*EFEITO!$AA$9</f>
        <v>0</v>
      </c>
      <c r="M9" s="76">
        <f ca="1">$J$9-EFEITO!$K$9*EFEITO!$Y$9</f>
        <v>0</v>
      </c>
      <c r="N9" s="76">
        <f>$K$9-EFEITO!$M$9*EFEITO!$Z$9</f>
        <v>0</v>
      </c>
      <c r="O9" s="76">
        <f>$L$9-EFEITO!$O$9*EFEITO!$AA$9</f>
        <v>0</v>
      </c>
      <c r="P9" s="57"/>
      <c r="Q9" s="76" t="s">
        <v>22</v>
      </c>
      <c r="R9" s="76">
        <f>SUMIF($B$2:$B$1039,$Q$9,$J$2:$J$1039)</f>
        <v>0</v>
      </c>
      <c r="S9" s="76">
        <f ca="1">SUMIF($B$2:$B$1039,$Q$9,$K$2:$K$1039)</f>
        <v>261142375.06875107</v>
      </c>
      <c r="T9" s="76">
        <f>SUMIF($B$2:$B$1039,$Q$9,$L$2:$L$1039)</f>
        <v>122037606.0346462</v>
      </c>
      <c r="U9" s="76">
        <f>SUMIF($B$2:$B$1039,$Q$9,$M$2:$M$1039)</f>
        <v>0</v>
      </c>
      <c r="V9" s="76">
        <f ca="1">SUMIF($B$2:$B$1039,$Q$9,$N$2:$N$1039)</f>
        <v>8396095.7024907432</v>
      </c>
      <c r="W9" s="76">
        <f>SUMIF($B$2:$B$1039,$Q$9,$O$2:$O$1039)</f>
        <v>4742408.53072464</v>
      </c>
      <c r="X9" s="54">
        <f>$R$9-$U$9</f>
        <v>0</v>
      </c>
      <c r="Y9" s="54">
        <f ca="1">$S$9-$V$9</f>
        <v>252746279.36626032</v>
      </c>
      <c r="Z9" s="54">
        <f>$T$9-$W$9</f>
        <v>117295197.50392155</v>
      </c>
      <c r="AA9" s="54">
        <f>SUMIF(EFEITO!$B$2:$B$1039,$Q$9,EFEITO!$AE$2:$AE$1039)</f>
        <v>0</v>
      </c>
      <c r="AB9" s="54">
        <f ca="1">SUMIF(EFEITO!$B$2:$B$1039,$Q$9,EFEITO!$AF$2:$AF$1039)</f>
        <v>252746279.36626038</v>
      </c>
      <c r="AC9" s="54">
        <f>SUMIF(EFEITO!$B$2:$B$1039,$Q$9,EFEITO!$AG$2:$AH$1039)</f>
        <v>117295197.50392152</v>
      </c>
      <c r="AD9" s="54">
        <f>SUMIF(SUBSIDIO!$B$2:$B$1039,$Q$9,SUBSIDIO!$AD$2:$AD$1039)</f>
        <v>0</v>
      </c>
      <c r="AE9" s="54">
        <f ca="1">SUMIF(SUBSIDIO!$B$2:$B$1039,$Q$9,SUBSIDIO!$AE$2:$AE$1039)</f>
        <v>13138504.233215386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57</v>
      </c>
      <c r="C10" s="53" t="s">
        <v>58</v>
      </c>
      <c r="D10" s="53" t="s">
        <v>25</v>
      </c>
      <c r="E10" s="53" t="s">
        <v>25</v>
      </c>
      <c r="F10" s="53" t="s">
        <v>25</v>
      </c>
      <c r="G10" s="53" t="s">
        <v>59</v>
      </c>
      <c r="H10" s="53" t="s">
        <v>25</v>
      </c>
      <c r="I10" s="75">
        <v>44774</v>
      </c>
      <c r="J10" s="76">
        <f ca="1">EFEITO!$J$10*EFEITO!$Y$10</f>
        <v>502966.03409123619</v>
      </c>
      <c r="K10" s="76">
        <f>EFEITO!$L$10*EFEITO!$Z$10</f>
        <v>0</v>
      </c>
      <c r="L10" s="76">
        <f>EFEITO!$N$10*EFEITO!$AA$10</f>
        <v>0</v>
      </c>
      <c r="M10" s="76">
        <f ca="1">$J$10-EFEITO!$K$10*EFEITO!$Y$10</f>
        <v>0</v>
      </c>
      <c r="N10" s="76">
        <f>$K$10-EFEITO!$M$10*EFEITO!$Z$10</f>
        <v>0</v>
      </c>
      <c r="O10" s="76">
        <f>$L$10-EFEITO!$O$10*EFEITO!$AA$10</f>
        <v>0</v>
      </c>
      <c r="P10" s="57"/>
      <c r="Q10" s="76" t="s">
        <v>45</v>
      </c>
      <c r="R10" s="76">
        <f>SUMIF($B$2:$B$1039,$Q$10,$J$2:$J$1039)</f>
        <v>0</v>
      </c>
      <c r="S10" s="76">
        <f ca="1">SUMIF($B$2:$B$1039,$Q$10,$K$2:$K$1039)</f>
        <v>2061410.4276329756</v>
      </c>
      <c r="T10" s="76">
        <f>SUMIF($B$2:$B$1039,$Q$10,$L$2:$L$1039)</f>
        <v>930716.04611341236</v>
      </c>
      <c r="U10" s="76">
        <f>SUMIF($B$2:$B$1039,$Q$10,$M$2:$M$1039)</f>
        <v>0</v>
      </c>
      <c r="V10" s="76">
        <f ca="1">SUMIF($B$2:$B$1039,$Q$10,$N$2:$N$1039)</f>
        <v>123684.62565797857</v>
      </c>
      <c r="W10" s="76">
        <f>SUMIF($B$2:$B$1039,$Q$10,$O$2:$O$1039)</f>
        <v>55842.962766804805</v>
      </c>
      <c r="X10" s="54">
        <f>$R$10-$U$10</f>
        <v>0</v>
      </c>
      <c r="Y10" s="54">
        <f ca="1">$S$10-$V$10</f>
        <v>1937725.8019749972</v>
      </c>
      <c r="Z10" s="54">
        <f>$T$10-$W$10</f>
        <v>874873.08334660751</v>
      </c>
      <c r="AA10" s="54">
        <f>SUMIF(EFEITO!$B$2:$B$1039,$Q$10,EFEITO!$AE$2:$AE$1039)</f>
        <v>0</v>
      </c>
      <c r="AB10" s="54">
        <f ca="1">SUMIF(EFEITO!$B$2:$B$1039,$Q$10,EFEITO!$AF$2:$AF$1039)</f>
        <v>1937725.8019749955</v>
      </c>
      <c r="AC10" s="54">
        <f>SUMIF(EFEITO!$B$2:$B$1039,$Q$10,EFEITO!$AG$2:$AH$1039)</f>
        <v>874873.0833466074</v>
      </c>
      <c r="AD10" s="54">
        <f>SUMIF(SUBSIDIO!$B$2:$B$1039,$Q$10,SUBSIDIO!$AD$2:$AD$1039)</f>
        <v>0</v>
      </c>
      <c r="AE10" s="54">
        <f ca="1">SUMIF(SUBSIDIO!$B$2:$B$1039,$Q$10,SUBSIDIO!$AE$2:$AE$1039)</f>
        <v>179527.58842478343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57</v>
      </c>
      <c r="C11" s="53" t="s">
        <v>58</v>
      </c>
      <c r="D11" s="53" t="s">
        <v>25</v>
      </c>
      <c r="E11" s="53" t="s">
        <v>25</v>
      </c>
      <c r="F11" s="53" t="s">
        <v>25</v>
      </c>
      <c r="G11" s="53" t="s">
        <v>59</v>
      </c>
      <c r="H11" s="53" t="s">
        <v>25</v>
      </c>
      <c r="I11" s="75">
        <v>44805</v>
      </c>
      <c r="J11" s="76">
        <f ca="1">EFEITO!$J$11*EFEITO!$Y$11</f>
        <v>502966.03409123619</v>
      </c>
      <c r="K11" s="76">
        <f>EFEITO!$L$11*EFEITO!$Z$11</f>
        <v>0</v>
      </c>
      <c r="L11" s="76">
        <f>EFEITO!$N$11*EFEITO!$AA$11</f>
        <v>0</v>
      </c>
      <c r="M11" s="76">
        <f ca="1">$J$11-EFEITO!$K$11*EFEITO!$Y$11</f>
        <v>0</v>
      </c>
      <c r="N11" s="76">
        <f>$K$11-EFEITO!$M$11*EFEITO!$Z$11</f>
        <v>0</v>
      </c>
      <c r="O11" s="76">
        <f>$L$11-EFEITO!$O$11*EFEITO!$AA$11</f>
        <v>0</v>
      </c>
      <c r="P11" s="57"/>
      <c r="Q11" s="76" t="s">
        <v>37</v>
      </c>
      <c r="R11" s="76">
        <f>SUMIF($B$2:$B$1039,$Q$11,$J$2:$J$1039)</f>
        <v>0</v>
      </c>
      <c r="S11" s="76">
        <f ca="1">SUMIF($B$2:$B$1039,$Q$11,$K$2:$K$1039)</f>
        <v>90487181.424929366</v>
      </c>
      <c r="T11" s="76">
        <f>SUMIF($B$2:$B$1039,$Q$11,$L$2:$L$1039)</f>
        <v>40868190.161847606</v>
      </c>
      <c r="U11" s="76">
        <f>SUMIF($B$2:$B$1039,$Q$11,$M$2:$M$1039)</f>
        <v>0</v>
      </c>
      <c r="V11" s="76">
        <f ca="1">SUMIF($B$2:$B$1039,$Q$11,$N$2:$N$1039)</f>
        <v>74798.396730042819</v>
      </c>
      <c r="W11" s="76">
        <f>SUMIF($B$2:$B$1039,$Q$11,$O$2:$O$1039)</f>
        <v>33771.085625168314</v>
      </c>
      <c r="X11" s="54">
        <f>$R$11-$U$11</f>
        <v>0</v>
      </c>
      <c r="Y11" s="54">
        <f ca="1">$S$11-$V$11</f>
        <v>90412383.02819933</v>
      </c>
      <c r="Z11" s="54">
        <f>$T$11-$W$11</f>
        <v>40834419.076222435</v>
      </c>
      <c r="AA11" s="54">
        <f>SUMIF(EFEITO!$B$2:$B$1039,$Q$11,EFEITO!$AE$2:$AE$1039)</f>
        <v>0</v>
      </c>
      <c r="AB11" s="54">
        <f ca="1">SUMIF(EFEITO!$B$2:$B$1039,$Q$11,EFEITO!$AF$2:$AF$1039)</f>
        <v>90412383.028199315</v>
      </c>
      <c r="AC11" s="54">
        <f>SUMIF(EFEITO!$B$2:$B$1039,$Q$11,EFEITO!$AG$2:$AH$1039)</f>
        <v>40834419.076222457</v>
      </c>
      <c r="AD11" s="54">
        <f>SUMIF(SUBSIDIO!$B$2:$B$1039,$Q$11,SUBSIDIO!$AD$2:$AD$1039)</f>
        <v>0</v>
      </c>
      <c r="AE11" s="54">
        <f ca="1">SUMIF(SUBSIDIO!$B$2:$B$1039,$Q$11,SUBSIDIO!$AE$2:$AE$1039)</f>
        <v>108569.48235521118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57</v>
      </c>
      <c r="C12" s="53" t="s">
        <v>58</v>
      </c>
      <c r="D12" s="53" t="s">
        <v>25</v>
      </c>
      <c r="E12" s="53" t="s">
        <v>25</v>
      </c>
      <c r="F12" s="53" t="s">
        <v>25</v>
      </c>
      <c r="G12" s="53" t="s">
        <v>59</v>
      </c>
      <c r="H12" s="53" t="s">
        <v>25</v>
      </c>
      <c r="I12" s="75">
        <v>44835</v>
      </c>
      <c r="J12" s="76">
        <f ca="1">EFEITO!$J$12*EFEITO!$Y$12</f>
        <v>502966.03409123619</v>
      </c>
      <c r="K12" s="76">
        <f>EFEITO!$L$12*EFEITO!$Z$12</f>
        <v>0</v>
      </c>
      <c r="L12" s="76">
        <f>EFEITO!$N$12*EFEITO!$AA$12</f>
        <v>0</v>
      </c>
      <c r="M12" s="76">
        <f ca="1">$J$12-EFEITO!$K$12*EFEITO!$Y$12</f>
        <v>0</v>
      </c>
      <c r="N12" s="76">
        <f>$K$12-EFEITO!$M$12*EFEITO!$Z$12</f>
        <v>0</v>
      </c>
      <c r="O12" s="76">
        <f>$L$12-EFEITO!$O$12*EFEITO!$AA$12</f>
        <v>0</v>
      </c>
      <c r="P12" s="57"/>
      <c r="Q12" s="76" t="s">
        <v>48</v>
      </c>
      <c r="R12" s="76">
        <f>SUMIF($B$2:$B$1039,$Q$12,$J$2:$J$1039)</f>
        <v>0</v>
      </c>
      <c r="S12" s="76">
        <f ca="1">SUMIF($B$2:$B$1039,$Q$12,$K$2:$K$1039)</f>
        <v>10797032.488057537</v>
      </c>
      <c r="T12" s="76">
        <f>SUMIF($B$2:$B$1039,$Q$12,$L$2:$L$1039)</f>
        <v>4874803.8005132992</v>
      </c>
      <c r="U12" s="76">
        <f>SUMIF($B$2:$B$1039,$Q$12,$M$2:$M$1039)</f>
        <v>0</v>
      </c>
      <c r="V12" s="76">
        <f ca="1">SUMIF($B$2:$B$1039,$Q$12,$N$2:$N$1039)</f>
        <v>0</v>
      </c>
      <c r="W12" s="76">
        <f>SUMIF($B$2:$B$1039,$Q$12,$O$2:$O$1039)</f>
        <v>0</v>
      </c>
      <c r="X12" s="54">
        <f>$R$12-$U$12</f>
        <v>0</v>
      </c>
      <c r="Y12" s="54">
        <f ca="1">$S$12-$V$12</f>
        <v>10797032.488057537</v>
      </c>
      <c r="Z12" s="54">
        <f>$T$12-$W$12</f>
        <v>4874803.8005132992</v>
      </c>
      <c r="AA12" s="54">
        <f>SUMIF(EFEITO!$B$2:$B$1039,$Q$12,EFEITO!$AE$2:$AE$1039)</f>
        <v>0</v>
      </c>
      <c r="AB12" s="54">
        <f ca="1">SUMIF(EFEITO!$B$2:$B$1039,$Q$12,EFEITO!$AF$2:$AF$1039)</f>
        <v>10797032.488057537</v>
      </c>
      <c r="AC12" s="54">
        <f>SUMIF(EFEITO!$B$2:$B$1039,$Q$12,EFEITO!$AG$2:$AH$1039)</f>
        <v>4874803.8005132992</v>
      </c>
      <c r="AD12" s="54">
        <f>SUMIF(SUBSIDIO!$B$2:$B$1039,$Q$12,SUBSIDIO!$AD$2:$AD$1039)</f>
        <v>0</v>
      </c>
      <c r="AE12" s="54">
        <f>SUMIF(SUBSIDIO!$B$2:$B$1039,$Q$12,SUBSIDIO!$AE$2:$AE$1039)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54</v>
      </c>
      <c r="B13" s="53" t="s">
        <v>57</v>
      </c>
      <c r="C13" s="53" t="s">
        <v>58</v>
      </c>
      <c r="D13" s="53" t="s">
        <v>25</v>
      </c>
      <c r="E13" s="53" t="s">
        <v>25</v>
      </c>
      <c r="F13" s="53" t="s">
        <v>25</v>
      </c>
      <c r="G13" s="53" t="s">
        <v>59</v>
      </c>
      <c r="H13" s="53" t="s">
        <v>25</v>
      </c>
      <c r="I13" s="75">
        <v>44866</v>
      </c>
      <c r="J13" s="76">
        <f ca="1">EFEITO!$J$13*EFEITO!$Y$13</f>
        <v>502966.03409123619</v>
      </c>
      <c r="K13" s="76">
        <f>EFEITO!$L$13*EFEITO!$Z$13</f>
        <v>0</v>
      </c>
      <c r="L13" s="76">
        <f>EFEITO!$N$13*EFEITO!$AA$13</f>
        <v>0</v>
      </c>
      <c r="M13" s="76">
        <f ca="1">$J$13-EFEITO!$K$13*EFEITO!$Y$13</f>
        <v>0</v>
      </c>
      <c r="N13" s="76">
        <f>$K$13-EFEITO!$M$13*EFEITO!$Z$13</f>
        <v>0</v>
      </c>
      <c r="O13" s="76">
        <f>$L$13-EFEITO!$O$13*EFEITO!$AA$13</f>
        <v>0</v>
      </c>
      <c r="P13" s="57"/>
      <c r="Q13" s="76" t="s">
        <v>87</v>
      </c>
      <c r="R13" s="76">
        <f>SUMIF($B$2:$B$1039,$Q$13,$J$2:$J$1039)</f>
        <v>0</v>
      </c>
      <c r="S13" s="76">
        <f>SUMIF($B$2:$B$1039,$Q$13,$K$2:$K$1039)</f>
        <v>0</v>
      </c>
      <c r="T13" s="76">
        <f>SUMIF($B$2:$B$1039,$Q$13,$L$2:$L$1039)</f>
        <v>0</v>
      </c>
      <c r="U13" s="76">
        <f>SUMIF($B$2:$B$1039,$Q$13,$M$2:$M$1039)</f>
        <v>0</v>
      </c>
      <c r="V13" s="76">
        <f>SUMIF($B$2:$B$1039,$Q$13,$N$2:$N$1039)</f>
        <v>0</v>
      </c>
      <c r="W13" s="76">
        <f>SUMIF($B$2:$B$1039,$Q$13,$O$2:$O$1039)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SUMIF(EFEITO!$B$2:$B$1039,$Q$13,EFEITO!$AE$2:$AE$1039)</f>
        <v>0</v>
      </c>
      <c r="AB13" s="54">
        <f>SUMIF(EFEITO!$B$2:$B$1039,$Q$13,EFEITO!$AF$2:$AF$1039)</f>
        <v>0</v>
      </c>
      <c r="AC13" s="54">
        <f>SUMIF(EFEITO!$B$2:$B$1039,$Q$13,EFEITO!$AG$2:$AH$1039)</f>
        <v>0</v>
      </c>
      <c r="AD13" s="54">
        <f>SUMIF(SUBSIDIO!$B$2:$B$1039,$Q$13,SUBSIDIO!$AD$2:$AD$1039)</f>
        <v>0</v>
      </c>
      <c r="AE13" s="54">
        <f>SUMIF(SUBSIDIO!$B$2:$B$1039,$Q$13,SUBSIDIO!$AE$2:$AE$1039)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39</v>
      </c>
      <c r="C14" s="53" t="s">
        <v>40</v>
      </c>
      <c r="D14" s="53" t="s">
        <v>38</v>
      </c>
      <c r="E14" s="53" t="s">
        <v>25</v>
      </c>
      <c r="F14" s="53" t="s">
        <v>25</v>
      </c>
      <c r="G14" s="53" t="s">
        <v>25</v>
      </c>
      <c r="H14" s="53" t="s">
        <v>35</v>
      </c>
      <c r="I14" s="75">
        <v>44531</v>
      </c>
      <c r="J14" s="76">
        <f ca="1">EFEITO!$J$14*EFEITO!$Y$14</f>
        <v>162774.8854370664</v>
      </c>
      <c r="K14" s="76">
        <f ca="1">EFEITO!$L$14*EFEITO!$Z$14</f>
        <v>781004.26892159507</v>
      </c>
      <c r="L14" s="76">
        <f>EFEITO!$N$14*EFEITO!$AA$14</f>
        <v>1260198.2506137656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21</v>
      </c>
      <c r="B15" s="53" t="s">
        <v>39</v>
      </c>
      <c r="C15" s="53" t="s">
        <v>40</v>
      </c>
      <c r="D15" s="53" t="s">
        <v>38</v>
      </c>
      <c r="E15" s="53" t="s">
        <v>25</v>
      </c>
      <c r="F15" s="53" t="s">
        <v>25</v>
      </c>
      <c r="G15" s="53" t="s">
        <v>25</v>
      </c>
      <c r="H15" s="53" t="s">
        <v>35</v>
      </c>
      <c r="I15" s="75">
        <v>44562</v>
      </c>
      <c r="J15" s="76">
        <f ca="1">EFEITO!$J$15*EFEITO!$Y$15</f>
        <v>169285.88085454906</v>
      </c>
      <c r="K15" s="76">
        <f ca="1">EFEITO!$L$15*EFEITO!$Z$15</f>
        <v>802787.0057776887</v>
      </c>
      <c r="L15" s="76">
        <f>EFEITO!$N$15*EFEITO!$AA$15</f>
        <v>1295346.0314543655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39</v>
      </c>
      <c r="C16" s="53" t="s">
        <v>40</v>
      </c>
      <c r="D16" s="53" t="s">
        <v>38</v>
      </c>
      <c r="E16" s="53" t="s">
        <v>25</v>
      </c>
      <c r="F16" s="53" t="s">
        <v>25</v>
      </c>
      <c r="G16" s="53" t="s">
        <v>25</v>
      </c>
      <c r="H16" s="53" t="s">
        <v>35</v>
      </c>
      <c r="I16" s="75">
        <v>44593</v>
      </c>
      <c r="J16" s="76">
        <f ca="1">EFEITO!$J$16*EFEITO!$Y$16</f>
        <v>171890.27902154214</v>
      </c>
      <c r="K16" s="76">
        <f ca="1">EFEITO!$L$16*EFEITO!$Z$16</f>
        <v>748321.01072172809</v>
      </c>
      <c r="L16" s="76">
        <f>EFEITO!$N$16*EFEITO!$AA$16</f>
        <v>1207461.8105624178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21</v>
      </c>
      <c r="B17" s="53" t="s">
        <v>39</v>
      </c>
      <c r="C17" s="53" t="s">
        <v>40</v>
      </c>
      <c r="D17" s="53" t="s">
        <v>38</v>
      </c>
      <c r="E17" s="53" t="s">
        <v>25</v>
      </c>
      <c r="F17" s="53" t="s">
        <v>25</v>
      </c>
      <c r="G17" s="53" t="s">
        <v>25</v>
      </c>
      <c r="H17" s="53" t="s">
        <v>35</v>
      </c>
      <c r="I17" s="75">
        <v>44621</v>
      </c>
      <c r="J17" s="76">
        <f ca="1">EFEITO!$J$17*EFEITO!$Y$17</f>
        <v>169611.43062542321</v>
      </c>
      <c r="K17" s="76">
        <f ca="1">EFEITO!$L$17*EFEITO!$Z$17</f>
        <v>471987.26950283779</v>
      </c>
      <c r="L17" s="76">
        <f>EFEITO!$N$17*EFEITO!$AA$17</f>
        <v>761580.38439499971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39</v>
      </c>
      <c r="C18" s="53" t="s">
        <v>40</v>
      </c>
      <c r="D18" s="53" t="s">
        <v>38</v>
      </c>
      <c r="E18" s="53" t="s">
        <v>25</v>
      </c>
      <c r="F18" s="53" t="s">
        <v>25</v>
      </c>
      <c r="G18" s="53" t="s">
        <v>25</v>
      </c>
      <c r="H18" s="53" t="s">
        <v>35</v>
      </c>
      <c r="I18" s="75">
        <v>44652</v>
      </c>
      <c r="J18" s="76">
        <f ca="1">EFEITO!$J$18*EFEITO!$Y$18</f>
        <v>170262.53016717147</v>
      </c>
      <c r="K18" s="76">
        <f ca="1">EFEITO!$L$18*EFEITO!$Z$18</f>
        <v>752338.53943920729</v>
      </c>
      <c r="L18" s="76">
        <f>EFEITO!$N$18*EFEITO!$AA$18</f>
        <v>1213944.3393564648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27</v>
      </c>
      <c r="B19" s="53" t="s">
        <v>39</v>
      </c>
      <c r="C19" s="53" t="s">
        <v>40</v>
      </c>
      <c r="D19" s="53" t="s">
        <v>38</v>
      </c>
      <c r="E19" s="53" t="s">
        <v>25</v>
      </c>
      <c r="F19" s="53" t="s">
        <v>25</v>
      </c>
      <c r="G19" s="53" t="s">
        <v>25</v>
      </c>
      <c r="H19" s="53" t="s">
        <v>35</v>
      </c>
      <c r="I19" s="75">
        <v>44652</v>
      </c>
      <c r="J19" s="76">
        <f ca="1">EFEITO!$J$19*EFEITO!$Y$19</f>
        <v>0</v>
      </c>
      <c r="K19" s="76">
        <f ca="1">EFEITO!$L$19*EFEITO!$Z$19</f>
        <v>366758.66935112723</v>
      </c>
      <c r="L19" s="76">
        <f>EFEITO!$N$19*EFEITO!$AA$19</f>
        <v>591787.5892687625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39</v>
      </c>
      <c r="C20" s="53" t="s">
        <v>40</v>
      </c>
      <c r="D20" s="53" t="s">
        <v>38</v>
      </c>
      <c r="E20" s="53" t="s">
        <v>25</v>
      </c>
      <c r="F20" s="53" t="s">
        <v>25</v>
      </c>
      <c r="G20" s="53" t="s">
        <v>25</v>
      </c>
      <c r="H20" s="53" t="s">
        <v>35</v>
      </c>
      <c r="I20" s="75">
        <v>44682</v>
      </c>
      <c r="J20" s="76">
        <f ca="1">EFEITO!$J$20*EFEITO!$Y$20</f>
        <v>172541.3785632904</v>
      </c>
      <c r="K20" s="76">
        <f ca="1">EFEITO!$L$20*EFEITO!$Z$20</f>
        <v>861228.30588149978</v>
      </c>
      <c r="L20" s="76">
        <f>EFEITO!$N$20*EFEITO!$AA$20</f>
        <v>1389644.6506617982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21</v>
      </c>
      <c r="B21" s="53" t="s">
        <v>39</v>
      </c>
      <c r="C21" s="53" t="s">
        <v>40</v>
      </c>
      <c r="D21" s="53" t="s">
        <v>38</v>
      </c>
      <c r="E21" s="53" t="s">
        <v>25</v>
      </c>
      <c r="F21" s="53" t="s">
        <v>25</v>
      </c>
      <c r="G21" s="53" t="s">
        <v>25</v>
      </c>
      <c r="H21" s="53" t="s">
        <v>35</v>
      </c>
      <c r="I21" s="75">
        <v>44713</v>
      </c>
      <c r="J21" s="76">
        <f ca="1">EFEITO!$J$21*EFEITO!$Y$21</f>
        <v>170588.07993804559</v>
      </c>
      <c r="K21" s="76">
        <f ca="1">EFEITO!$L$21*EFEITO!$Z$21</f>
        <v>817491.79958347511</v>
      </c>
      <c r="L21" s="76">
        <f>EFEITO!$N$21*EFEITO!$AA$21</f>
        <v>1319073.1174218666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39</v>
      </c>
      <c r="C22" s="53" t="s">
        <v>40</v>
      </c>
      <c r="D22" s="53" t="s">
        <v>38</v>
      </c>
      <c r="E22" s="53" t="s">
        <v>25</v>
      </c>
      <c r="F22" s="53" t="s">
        <v>25</v>
      </c>
      <c r="G22" s="53" t="s">
        <v>25</v>
      </c>
      <c r="H22" s="53" t="s">
        <v>35</v>
      </c>
      <c r="I22" s="75">
        <v>44743</v>
      </c>
      <c r="J22" s="76">
        <f ca="1">EFEITO!$J$22*EFEITO!$Y$22</f>
        <v>164945.21724289397</v>
      </c>
      <c r="K22" s="76">
        <f ca="1">EFEITO!$L$22*EFEITO!$Z$22</f>
        <v>784668.37483474612</v>
      </c>
      <c r="L22" s="76">
        <f>EFEITO!$N$22*EFEITO!$AA$22</f>
        <v>1266110.5100540274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21</v>
      </c>
      <c r="B23" s="53" t="s">
        <v>39</v>
      </c>
      <c r="C23" s="53" t="s">
        <v>40</v>
      </c>
      <c r="D23" s="53" t="s">
        <v>38</v>
      </c>
      <c r="E23" s="53" t="s">
        <v>25</v>
      </c>
      <c r="F23" s="53" t="s">
        <v>25</v>
      </c>
      <c r="G23" s="53" t="s">
        <v>25</v>
      </c>
      <c r="H23" s="53" t="s">
        <v>35</v>
      </c>
      <c r="I23" s="75">
        <v>44774</v>
      </c>
      <c r="J23" s="76">
        <f ca="1">EFEITO!$J$23*EFEITO!$Y$23</f>
        <v>162774.8854370664</v>
      </c>
      <c r="K23" s="76">
        <f ca="1">EFEITO!$L$23*EFEITO!$Z$23</f>
        <v>760578.8359771705</v>
      </c>
      <c r="L23" s="76">
        <f>EFEITO!$N$23*EFEITO!$AA$23</f>
        <v>1227240.5628150364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21</v>
      </c>
      <c r="B24" s="53" t="s">
        <v>39</v>
      </c>
      <c r="C24" s="53" t="s">
        <v>40</v>
      </c>
      <c r="D24" s="53" t="s">
        <v>38</v>
      </c>
      <c r="E24" s="53" t="s">
        <v>25</v>
      </c>
      <c r="F24" s="53" t="s">
        <v>25</v>
      </c>
      <c r="G24" s="53" t="s">
        <v>25</v>
      </c>
      <c r="H24" s="53" t="s">
        <v>35</v>
      </c>
      <c r="I24" s="75">
        <v>44805</v>
      </c>
      <c r="J24" s="76">
        <f ca="1">EFEITO!$J$24*EFEITO!$Y$24</f>
        <v>162774.8854370664</v>
      </c>
      <c r="K24" s="76">
        <f ca="1">EFEITO!$L$24*EFEITO!$Z$24</f>
        <v>306191.08679541718</v>
      </c>
      <c r="L24" s="76">
        <f>EFEITO!$N$24*EFEITO!$AA$24</f>
        <v>494058.08301906858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21</v>
      </c>
      <c r="B25" s="53" t="s">
        <v>39</v>
      </c>
      <c r="C25" s="53" t="s">
        <v>40</v>
      </c>
      <c r="D25" s="53" t="s">
        <v>38</v>
      </c>
      <c r="E25" s="53" t="s">
        <v>25</v>
      </c>
      <c r="F25" s="53" t="s">
        <v>25</v>
      </c>
      <c r="G25" s="53" t="s">
        <v>25</v>
      </c>
      <c r="H25" s="53" t="s">
        <v>35</v>
      </c>
      <c r="I25" s="75">
        <v>44835</v>
      </c>
      <c r="J25" s="76">
        <f ca="1">EFEITO!$J$25*EFEITO!$Y$25</f>
        <v>163860.05133998019</v>
      </c>
      <c r="K25" s="76">
        <f ca="1">EFEITO!$L$25*EFEITO!$Z$25</f>
        <v>730732.31355646614</v>
      </c>
      <c r="L25" s="76">
        <f>EFEITO!$N$25*EFEITO!$AA$25</f>
        <v>1179081.3697885869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54</v>
      </c>
      <c r="B26" s="53" t="s">
        <v>39</v>
      </c>
      <c r="C26" s="53" t="s">
        <v>40</v>
      </c>
      <c r="D26" s="53" t="s">
        <v>38</v>
      </c>
      <c r="E26" s="53" t="s">
        <v>25</v>
      </c>
      <c r="F26" s="53" t="s">
        <v>25</v>
      </c>
      <c r="G26" s="53" t="s">
        <v>25</v>
      </c>
      <c r="H26" s="53" t="s">
        <v>35</v>
      </c>
      <c r="I26" s="75">
        <v>44866</v>
      </c>
      <c r="J26" s="76">
        <f ca="1">EFEITO!$J$26*EFEITO!$Y$26</f>
        <v>163860.05133998019</v>
      </c>
      <c r="K26" s="76">
        <f ca="1">EFEITO!$L$26*EFEITO!$Z$26</f>
        <v>730732.31355646614</v>
      </c>
      <c r="L26" s="76">
        <f>EFEITO!$N$26*EFEITO!$AA$26</f>
        <v>1179081.3697885869</v>
      </c>
      <c r="M26" s="76">
        <f ca="1"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21</v>
      </c>
      <c r="B27" s="53" t="s">
        <v>39</v>
      </c>
      <c r="C27" s="53" t="s">
        <v>40</v>
      </c>
      <c r="D27" s="53" t="s">
        <v>38</v>
      </c>
      <c r="E27" s="53" t="s">
        <v>25</v>
      </c>
      <c r="F27" s="53" t="s">
        <v>25</v>
      </c>
      <c r="G27" s="53" t="s">
        <v>25</v>
      </c>
      <c r="H27" s="53" t="s">
        <v>34</v>
      </c>
      <c r="I27" s="75">
        <v>44531</v>
      </c>
      <c r="J27" s="76">
        <f ca="1">EFEITO!$J$27*EFEITO!$Y$27</f>
        <v>486803.73952288827</v>
      </c>
      <c r="K27" s="76">
        <f ca="1">EFEITO!$L$27*EFEITO!$Z$27</f>
        <v>74826.756303865404</v>
      </c>
      <c r="L27" s="76">
        <f>EFEITO!$N$27*EFEITO!$AA$27</f>
        <v>180389.87337965536</v>
      </c>
      <c r="M27" s="76">
        <f ca="1"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39</v>
      </c>
      <c r="C28" s="53" t="s">
        <v>40</v>
      </c>
      <c r="D28" s="53" t="s">
        <v>38</v>
      </c>
      <c r="E28" s="53" t="s">
        <v>25</v>
      </c>
      <c r="F28" s="53" t="s">
        <v>25</v>
      </c>
      <c r="G28" s="53" t="s">
        <v>25</v>
      </c>
      <c r="H28" s="53" t="s">
        <v>34</v>
      </c>
      <c r="I28" s="75">
        <v>44562</v>
      </c>
      <c r="J28" s="76">
        <f ca="1">EFEITO!$J$28*EFEITO!$Y$28</f>
        <v>486803.73952288827</v>
      </c>
      <c r="K28" s="76">
        <f ca="1">EFEITO!$L$28*EFEITO!$Z$28</f>
        <v>79361.925831918066</v>
      </c>
      <c r="L28" s="76">
        <f>EFEITO!$N$28*EFEITO!$AA$28</f>
        <v>191323.11033033195</v>
      </c>
      <c r="M28" s="76">
        <f ca="1"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21</v>
      </c>
      <c r="B29" s="53" t="s">
        <v>39</v>
      </c>
      <c r="C29" s="53" t="s">
        <v>40</v>
      </c>
      <c r="D29" s="53" t="s">
        <v>38</v>
      </c>
      <c r="E29" s="53" t="s">
        <v>25</v>
      </c>
      <c r="F29" s="53" t="s">
        <v>25</v>
      </c>
      <c r="G29" s="53" t="s">
        <v>25</v>
      </c>
      <c r="H29" s="53" t="s">
        <v>34</v>
      </c>
      <c r="I29" s="75">
        <v>44593</v>
      </c>
      <c r="J29" s="76">
        <f ca="1">EFEITO!$J$29*EFEITO!$Y$29</f>
        <v>499460.63675048336</v>
      </c>
      <c r="K29" s="76">
        <f ca="1">EFEITO!$L$29*EFEITO!$Z$29</f>
        <v>75419.75834757353</v>
      </c>
      <c r="L29" s="76">
        <f>EFEITO!$N$29*EFEITO!$AA$29</f>
        <v>181819.46312618913</v>
      </c>
      <c r="M29" s="76">
        <f ca="1"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39</v>
      </c>
      <c r="C30" s="53" t="s">
        <v>40</v>
      </c>
      <c r="D30" s="53" t="s">
        <v>38</v>
      </c>
      <c r="E30" s="53" t="s">
        <v>25</v>
      </c>
      <c r="F30" s="53" t="s">
        <v>25</v>
      </c>
      <c r="G30" s="53" t="s">
        <v>25</v>
      </c>
      <c r="H30" s="53" t="s">
        <v>34</v>
      </c>
      <c r="I30" s="75">
        <v>44621</v>
      </c>
      <c r="J30" s="76">
        <f ca="1">EFEITO!$J$30*EFEITO!$Y$30</f>
        <v>486803.73952288827</v>
      </c>
      <c r="K30" s="76">
        <f ca="1">EFEITO!$L$30*EFEITO!$Z$30</f>
        <v>42656.863099926071</v>
      </c>
      <c r="L30" s="76">
        <f>EFEITO!$N$30*EFEITO!$AA$30</f>
        <v>102835.75706690703</v>
      </c>
      <c r="M30" s="76">
        <f ca="1"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21</v>
      </c>
      <c r="B31" s="53" t="s">
        <v>39</v>
      </c>
      <c r="C31" s="53" t="s">
        <v>40</v>
      </c>
      <c r="D31" s="53" t="s">
        <v>38</v>
      </c>
      <c r="E31" s="53" t="s">
        <v>25</v>
      </c>
      <c r="F31" s="53" t="s">
        <v>25</v>
      </c>
      <c r="G31" s="53" t="s">
        <v>25</v>
      </c>
      <c r="H31" s="53" t="s">
        <v>34</v>
      </c>
      <c r="I31" s="75">
        <v>44652</v>
      </c>
      <c r="J31" s="76">
        <f ca="1">EFEITO!$J$31*EFEITO!$Y$31</f>
        <v>486803.73952288827</v>
      </c>
      <c r="K31" s="76">
        <f ca="1">EFEITO!$L$31*EFEITO!$Z$31</f>
        <v>61909.520258495257</v>
      </c>
      <c r="L31" s="76">
        <f>EFEITO!$N$31*EFEITO!$AA$31</f>
        <v>149249.42723794456</v>
      </c>
      <c r="M31" s="76">
        <f ca="1"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27</v>
      </c>
      <c r="B32" s="53" t="s">
        <v>39</v>
      </c>
      <c r="C32" s="53" t="s">
        <v>40</v>
      </c>
      <c r="D32" s="53" t="s">
        <v>38</v>
      </c>
      <c r="E32" s="53" t="s">
        <v>25</v>
      </c>
      <c r="F32" s="53" t="s">
        <v>25</v>
      </c>
      <c r="G32" s="53" t="s">
        <v>25</v>
      </c>
      <c r="H32" s="53" t="s">
        <v>34</v>
      </c>
      <c r="I32" s="75">
        <v>44652</v>
      </c>
      <c r="J32" s="76">
        <f ca="1">EFEITO!$J$32*EFEITO!$Y$32</f>
        <v>0</v>
      </c>
      <c r="K32" s="76">
        <f ca="1">EFEITO!$L$32*EFEITO!$Z$32</f>
        <v>40205.0842581053</v>
      </c>
      <c r="L32" s="76">
        <f>EFEITO!$N$32*EFEITO!$AA$32</f>
        <v>96925.089590758274</v>
      </c>
      <c r="M32" s="76">
        <f ca="1"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21</v>
      </c>
      <c r="B33" s="53" t="s">
        <v>39</v>
      </c>
      <c r="C33" s="53" t="s">
        <v>40</v>
      </c>
      <c r="D33" s="53" t="s">
        <v>38</v>
      </c>
      <c r="E33" s="53" t="s">
        <v>25</v>
      </c>
      <c r="F33" s="53" t="s">
        <v>25</v>
      </c>
      <c r="G33" s="53" t="s">
        <v>25</v>
      </c>
      <c r="H33" s="53" t="s">
        <v>34</v>
      </c>
      <c r="I33" s="75">
        <v>44682</v>
      </c>
      <c r="J33" s="76">
        <f ca="1">EFEITO!$J$33*EFEITO!$Y$33</f>
        <v>491671.77691811719</v>
      </c>
      <c r="K33" s="76">
        <f ca="1">EFEITO!$L$33*EFEITO!$Z$33</f>
        <v>82201.868472065136</v>
      </c>
      <c r="L33" s="76">
        <f>EFEITO!$N$33*EFEITO!$AA$33</f>
        <v>198169.55027463764</v>
      </c>
      <c r="M33" s="76">
        <f ca="1"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39</v>
      </c>
      <c r="C34" s="53" t="s">
        <v>40</v>
      </c>
      <c r="D34" s="53" t="s">
        <v>38</v>
      </c>
      <c r="E34" s="53" t="s">
        <v>25</v>
      </c>
      <c r="F34" s="53" t="s">
        <v>25</v>
      </c>
      <c r="G34" s="53" t="s">
        <v>25</v>
      </c>
      <c r="H34" s="53" t="s">
        <v>34</v>
      </c>
      <c r="I34" s="75">
        <v>44713</v>
      </c>
      <c r="J34" s="76">
        <f ca="1">EFEITO!$J$34*EFEITO!$Y$34</f>
        <v>486803.73952288827</v>
      </c>
      <c r="K34" s="76">
        <f ca="1">EFEITO!$L$34*EFEITO!$Z$34</f>
        <v>77770.387449176385</v>
      </c>
      <c r="L34" s="76">
        <f>EFEITO!$N$34*EFEITO!$AA$34</f>
        <v>187486.28214850143</v>
      </c>
      <c r="M34" s="76">
        <f ca="1"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21</v>
      </c>
      <c r="B35" s="53" t="s">
        <v>39</v>
      </c>
      <c r="C35" s="53" t="s">
        <v>40</v>
      </c>
      <c r="D35" s="53" t="s">
        <v>38</v>
      </c>
      <c r="E35" s="53" t="s">
        <v>25</v>
      </c>
      <c r="F35" s="53" t="s">
        <v>25</v>
      </c>
      <c r="G35" s="53" t="s">
        <v>25</v>
      </c>
      <c r="H35" s="53" t="s">
        <v>34</v>
      </c>
      <c r="I35" s="75">
        <v>44743</v>
      </c>
      <c r="J35" s="76">
        <f ca="1">EFEITO!$J$35*EFEITO!$Y$35</f>
        <v>486803.73952288827</v>
      </c>
      <c r="K35" s="76">
        <f ca="1">EFEITO!$L$35*EFEITO!$Z$35</f>
        <v>69155.823510486196</v>
      </c>
      <c r="L35" s="76">
        <f>EFEITO!$N$35*EFEITO!$AA$35</f>
        <v>166718.5758508947</v>
      </c>
      <c r="M35" s="76">
        <f ca="1"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39</v>
      </c>
      <c r="C36" s="53" t="s">
        <v>40</v>
      </c>
      <c r="D36" s="53" t="s">
        <v>38</v>
      </c>
      <c r="E36" s="53" t="s">
        <v>25</v>
      </c>
      <c r="F36" s="53" t="s">
        <v>25</v>
      </c>
      <c r="G36" s="53" t="s">
        <v>25</v>
      </c>
      <c r="H36" s="53" t="s">
        <v>34</v>
      </c>
      <c r="I36" s="75">
        <v>44774</v>
      </c>
      <c r="J36" s="76">
        <f ca="1">EFEITO!$J$36*EFEITO!$Y$36</f>
        <v>486803.73952288827</v>
      </c>
      <c r="K36" s="76">
        <f ca="1">EFEITO!$L$36*EFEITO!$Z$36</f>
        <v>80632.778116214613</v>
      </c>
      <c r="L36" s="76">
        <f>EFEITO!$N$36*EFEITO!$AA$36</f>
        <v>194386.83905482103</v>
      </c>
      <c r="M36" s="76">
        <f ca="1"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21</v>
      </c>
      <c r="B37" s="53" t="s">
        <v>39</v>
      </c>
      <c r="C37" s="53" t="s">
        <v>40</v>
      </c>
      <c r="D37" s="53" t="s">
        <v>38</v>
      </c>
      <c r="E37" s="53" t="s">
        <v>25</v>
      </c>
      <c r="F37" s="53" t="s">
        <v>25</v>
      </c>
      <c r="G37" s="53" t="s">
        <v>25</v>
      </c>
      <c r="H37" s="53" t="s">
        <v>34</v>
      </c>
      <c r="I37" s="75">
        <v>44805</v>
      </c>
      <c r="J37" s="76">
        <f ca="1">EFEITO!$J$37*EFEITO!$Y$37</f>
        <v>486803.73952288827</v>
      </c>
      <c r="K37" s="76">
        <f ca="1">EFEITO!$L$37*EFEITO!$Z$37</f>
        <v>26872.158857625662</v>
      </c>
      <c r="L37" s="76">
        <f>EFEITO!$N$37*EFEITO!$AA$37</f>
        <v>64782.513277468737</v>
      </c>
      <c r="M37" s="76">
        <f ca="1"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39</v>
      </c>
      <c r="C38" s="53" t="s">
        <v>40</v>
      </c>
      <c r="D38" s="53" t="s">
        <v>38</v>
      </c>
      <c r="E38" s="53" t="s">
        <v>25</v>
      </c>
      <c r="F38" s="53" t="s">
        <v>25</v>
      </c>
      <c r="G38" s="53" t="s">
        <v>25</v>
      </c>
      <c r="H38" s="53" t="s">
        <v>34</v>
      </c>
      <c r="I38" s="75">
        <v>44835</v>
      </c>
      <c r="J38" s="76">
        <f ca="1">EFEITO!$J$38*EFEITO!$Y$38</f>
        <v>486803.73952288827</v>
      </c>
      <c r="K38" s="76">
        <f ca="1">EFEITO!$L$38*EFEITO!$Z$38</f>
        <v>73185.24433744936</v>
      </c>
      <c r="L38" s="76">
        <f>EFEITO!$N$38*EFEITO!$AA$38</f>
        <v>176432.57053238919</v>
      </c>
      <c r="M38" s="76">
        <f ca="1"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54</v>
      </c>
      <c r="B39" s="53" t="s">
        <v>39</v>
      </c>
      <c r="C39" s="53" t="s">
        <v>40</v>
      </c>
      <c r="D39" s="53" t="s">
        <v>38</v>
      </c>
      <c r="E39" s="53" t="s">
        <v>25</v>
      </c>
      <c r="F39" s="53" t="s">
        <v>25</v>
      </c>
      <c r="G39" s="53" t="s">
        <v>25</v>
      </c>
      <c r="H39" s="53" t="s">
        <v>34</v>
      </c>
      <c r="I39" s="75">
        <v>44866</v>
      </c>
      <c r="J39" s="76">
        <f ca="1">EFEITO!$J$39*EFEITO!$Y$39</f>
        <v>486803.73952288827</v>
      </c>
      <c r="K39" s="76">
        <f ca="1">EFEITO!$L$39*EFEITO!$Z$39</f>
        <v>73185.24433744936</v>
      </c>
      <c r="L39" s="76">
        <f>EFEITO!$N$39*EFEITO!$AA$39</f>
        <v>176432.57053238919</v>
      </c>
      <c r="M39" s="76">
        <f ca="1"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42</v>
      </c>
      <c r="C40" s="53" t="s">
        <v>43</v>
      </c>
      <c r="D40" s="53" t="s">
        <v>38</v>
      </c>
      <c r="E40" s="53" t="s">
        <v>25</v>
      </c>
      <c r="F40" s="53" t="s">
        <v>25</v>
      </c>
      <c r="G40" s="53" t="s">
        <v>25</v>
      </c>
      <c r="H40" s="53" t="s">
        <v>35</v>
      </c>
      <c r="I40" s="75">
        <v>44531</v>
      </c>
      <c r="J40" s="76">
        <f>EFEITO!$J$40*EFEITO!$Y$40</f>
        <v>0</v>
      </c>
      <c r="K40" s="76">
        <f ca="1">EFEITO!$L$40*EFEITO!$Z$40</f>
        <v>4192.1051564216559</v>
      </c>
      <c r="L40" s="76">
        <f>EFEITO!$N$40*EFEITO!$AA$40</f>
        <v>4980.4242239825471</v>
      </c>
      <c r="M40" s="76">
        <f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21</v>
      </c>
      <c r="B41" s="53" t="s">
        <v>42</v>
      </c>
      <c r="C41" s="53" t="s">
        <v>43</v>
      </c>
      <c r="D41" s="53" t="s">
        <v>38</v>
      </c>
      <c r="E41" s="53" t="s">
        <v>25</v>
      </c>
      <c r="F41" s="53" t="s">
        <v>25</v>
      </c>
      <c r="G41" s="53" t="s">
        <v>25</v>
      </c>
      <c r="H41" s="53" t="s">
        <v>35</v>
      </c>
      <c r="I41" s="75">
        <v>44562</v>
      </c>
      <c r="J41" s="76">
        <f>EFEITO!$J$41*EFEITO!$Y$41</f>
        <v>0</v>
      </c>
      <c r="K41" s="76">
        <f ca="1">EFEITO!$L$41*EFEITO!$Z$41</f>
        <v>2858.2535157420384</v>
      </c>
      <c r="L41" s="76">
        <f>EFEITO!$N$41*EFEITO!$AA$41</f>
        <v>3395.7437890790088</v>
      </c>
      <c r="M41" s="76">
        <f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42</v>
      </c>
      <c r="C42" s="53" t="s">
        <v>43</v>
      </c>
      <c r="D42" s="53" t="s">
        <v>38</v>
      </c>
      <c r="E42" s="53" t="s">
        <v>25</v>
      </c>
      <c r="F42" s="53" t="s">
        <v>25</v>
      </c>
      <c r="G42" s="53" t="s">
        <v>25</v>
      </c>
      <c r="H42" s="53" t="s">
        <v>35</v>
      </c>
      <c r="I42" s="75">
        <v>44593</v>
      </c>
      <c r="J42" s="76">
        <f>EFEITO!$J$42*EFEITO!$Y$42</f>
        <v>0</v>
      </c>
      <c r="K42" s="76">
        <f ca="1">EFEITO!$L$42*EFEITO!$Z$42</f>
        <v>2381.696453371334</v>
      </c>
      <c r="L42" s="76">
        <f>EFEITO!$N$42*EFEITO!$AA$42</f>
        <v>2829.5708881189153</v>
      </c>
      <c r="M42" s="76">
        <f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21</v>
      </c>
      <c r="B43" s="53" t="s">
        <v>42</v>
      </c>
      <c r="C43" s="53" t="s">
        <v>43</v>
      </c>
      <c r="D43" s="53" t="s">
        <v>38</v>
      </c>
      <c r="E43" s="53" t="s">
        <v>25</v>
      </c>
      <c r="F43" s="53" t="s">
        <v>25</v>
      </c>
      <c r="G43" s="53" t="s">
        <v>25</v>
      </c>
      <c r="H43" s="53" t="s">
        <v>35</v>
      </c>
      <c r="I43" s="75">
        <v>44621</v>
      </c>
      <c r="J43" s="76">
        <f>EFEITO!$J$43*EFEITO!$Y$43</f>
        <v>0</v>
      </c>
      <c r="K43" s="76">
        <f ca="1">EFEITO!$L$43*EFEITO!$Z$43</f>
        <v>2762.9783985506369</v>
      </c>
      <c r="L43" s="76">
        <f>EFEITO!$N$43*EFEITO!$AA$43</f>
        <v>3282.5523294430418</v>
      </c>
      <c r="M43" s="76">
        <f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42</v>
      </c>
      <c r="C44" s="53" t="s">
        <v>43</v>
      </c>
      <c r="D44" s="53" t="s">
        <v>38</v>
      </c>
      <c r="E44" s="53" t="s">
        <v>25</v>
      </c>
      <c r="F44" s="53" t="s">
        <v>25</v>
      </c>
      <c r="G44" s="53" t="s">
        <v>25</v>
      </c>
      <c r="H44" s="53" t="s">
        <v>35</v>
      </c>
      <c r="I44" s="75">
        <v>44652</v>
      </c>
      <c r="J44" s="76">
        <f>EFEITO!$J$44*EFEITO!$Y$44</f>
        <v>0</v>
      </c>
      <c r="K44" s="76">
        <f ca="1">EFEITO!$L$44*EFEITO!$Z$44</f>
        <v>2191.1462189885315</v>
      </c>
      <c r="L44" s="76">
        <f>EFEITO!$N$44*EFEITO!$AA$44</f>
        <v>2603.1879688469812</v>
      </c>
      <c r="M44" s="76">
        <f>$J$44-EFEITO!$K$44*EFEITO!$Y$44</f>
        <v>0</v>
      </c>
      <c r="N44" s="76">
        <f ca="1">$K$44-EFEITO!$M$44*EFEITO!$Z$44</f>
        <v>0</v>
      </c>
      <c r="O44" s="76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21</v>
      </c>
      <c r="B45" s="53" t="s">
        <v>42</v>
      </c>
      <c r="C45" s="53" t="s">
        <v>43</v>
      </c>
      <c r="D45" s="53" t="s">
        <v>38</v>
      </c>
      <c r="E45" s="53" t="s">
        <v>25</v>
      </c>
      <c r="F45" s="53" t="s">
        <v>25</v>
      </c>
      <c r="G45" s="53" t="s">
        <v>25</v>
      </c>
      <c r="H45" s="53" t="s">
        <v>35</v>
      </c>
      <c r="I45" s="75">
        <v>44682</v>
      </c>
      <c r="J45" s="76">
        <f>EFEITO!$J$45*EFEITO!$Y$45</f>
        <v>0</v>
      </c>
      <c r="K45" s="76">
        <f ca="1">EFEITO!$L$45*EFEITO!$Z$45</f>
        <v>3334.6291016990444</v>
      </c>
      <c r="L45" s="76">
        <f>EFEITO!$N$45*EFEITO!$AA$45</f>
        <v>3961.7010872588439</v>
      </c>
      <c r="M45" s="76">
        <f>$J$45-EFEITO!$K$45*EFEITO!$Y$45</f>
        <v>0</v>
      </c>
      <c r="N45" s="76">
        <f ca="1">$K$45-EFEITO!$M$45*EFEITO!$Z$45</f>
        <v>0</v>
      </c>
      <c r="O45" s="76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42</v>
      </c>
      <c r="C46" s="53" t="s">
        <v>43</v>
      </c>
      <c r="D46" s="53" t="s">
        <v>38</v>
      </c>
      <c r="E46" s="53" t="s">
        <v>25</v>
      </c>
      <c r="F46" s="53" t="s">
        <v>25</v>
      </c>
      <c r="G46" s="53" t="s">
        <v>25</v>
      </c>
      <c r="H46" s="53" t="s">
        <v>35</v>
      </c>
      <c r="I46" s="75">
        <v>44713</v>
      </c>
      <c r="J46" s="76">
        <f>EFEITO!$J$46*EFEITO!$Y$46</f>
        <v>0</v>
      </c>
      <c r="K46" s="76">
        <f ca="1">EFEITO!$L$46*EFEITO!$Z$46</f>
        <v>2866.78290718584</v>
      </c>
      <c r="L46" s="76">
        <f>EFEITO!$N$46*EFEITO!$AA$46</f>
        <v>3405.8771197511815</v>
      </c>
      <c r="M46" s="76">
        <f>$J$46-EFEITO!$K$46*EFEITO!$Y$46</f>
        <v>0</v>
      </c>
      <c r="N46" s="76">
        <f ca="1">$K$46-EFEITO!$M$46*EFEITO!$Z$46</f>
        <v>0</v>
      </c>
      <c r="O46" s="76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21</v>
      </c>
      <c r="B47" s="53" t="s">
        <v>42</v>
      </c>
      <c r="C47" s="53" t="s">
        <v>43</v>
      </c>
      <c r="D47" s="53" t="s">
        <v>38</v>
      </c>
      <c r="E47" s="53" t="s">
        <v>25</v>
      </c>
      <c r="F47" s="53" t="s">
        <v>25</v>
      </c>
      <c r="G47" s="53" t="s">
        <v>25</v>
      </c>
      <c r="H47" s="53" t="s">
        <v>35</v>
      </c>
      <c r="I47" s="75">
        <v>44743</v>
      </c>
      <c r="J47" s="76">
        <f>EFEITO!$J$47*EFEITO!$Y$47</f>
        <v>0</v>
      </c>
      <c r="K47" s="76">
        <f ca="1">EFEITO!$L$47*EFEITO!$Z$47</f>
        <v>3325.9182338415453</v>
      </c>
      <c r="L47" s="76">
        <f>EFEITO!$N$47*EFEITO!$AA$47</f>
        <v>3951.3521538064128</v>
      </c>
      <c r="M47" s="76">
        <f>$J$47-EFEITO!$K$47*EFEITO!$Y$47</f>
        <v>0</v>
      </c>
      <c r="N47" s="76">
        <f ca="1">$K$47-EFEITO!$M$47*EFEITO!$Z$47</f>
        <v>0</v>
      </c>
      <c r="O47" s="76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21</v>
      </c>
      <c r="B48" s="53" t="s">
        <v>42</v>
      </c>
      <c r="C48" s="53" t="s">
        <v>43</v>
      </c>
      <c r="D48" s="53" t="s">
        <v>38</v>
      </c>
      <c r="E48" s="53" t="s">
        <v>25</v>
      </c>
      <c r="F48" s="53" t="s">
        <v>25</v>
      </c>
      <c r="G48" s="53" t="s">
        <v>25</v>
      </c>
      <c r="H48" s="53" t="s">
        <v>35</v>
      </c>
      <c r="I48" s="75">
        <v>44774</v>
      </c>
      <c r="J48" s="76">
        <f>EFEITO!$J$48*EFEITO!$Y$48</f>
        <v>0</v>
      </c>
      <c r="K48" s="76">
        <f ca="1">EFEITO!$L$48*EFEITO!$Z$48</f>
        <v>3144.0788673162419</v>
      </c>
      <c r="L48" s="76">
        <f>EFEITO!$N$48*EFEITO!$AA$48</f>
        <v>3735.3181679869099</v>
      </c>
      <c r="M48" s="76">
        <f>$J$48-EFEITO!$K$48*EFEITO!$Y$48</f>
        <v>0</v>
      </c>
      <c r="N48" s="76">
        <f ca="1">$K$48-EFEITO!$M$48*EFEITO!$Z$48</f>
        <v>0</v>
      </c>
      <c r="O48" s="76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21</v>
      </c>
      <c r="B49" s="53" t="s">
        <v>42</v>
      </c>
      <c r="C49" s="53" t="s">
        <v>43</v>
      </c>
      <c r="D49" s="53" t="s">
        <v>38</v>
      </c>
      <c r="E49" s="53" t="s">
        <v>25</v>
      </c>
      <c r="F49" s="53" t="s">
        <v>25</v>
      </c>
      <c r="G49" s="53" t="s">
        <v>25</v>
      </c>
      <c r="H49" s="53" t="s">
        <v>35</v>
      </c>
      <c r="I49" s="75">
        <v>44805</v>
      </c>
      <c r="J49" s="76">
        <f>EFEITO!$J$49*EFEITO!$Y$49</f>
        <v>0</v>
      </c>
      <c r="K49" s="76">
        <f ca="1">EFEITO!$L$49*EFEITO!$Z$49</f>
        <v>2667.521804945538</v>
      </c>
      <c r="L49" s="76">
        <f>EFEITO!$N$49*EFEITO!$AA$49</f>
        <v>3169.1452670268159</v>
      </c>
      <c r="M49" s="76">
        <f>$J$49-EFEITO!$K$49*EFEITO!$Y$49</f>
        <v>0</v>
      </c>
      <c r="N49" s="76">
        <f ca="1">$K$49-EFEITO!$M$49*EFEITO!$Z$49</f>
        <v>0</v>
      </c>
      <c r="O49" s="76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21</v>
      </c>
      <c r="B50" s="53" t="s">
        <v>42</v>
      </c>
      <c r="C50" s="53" t="s">
        <v>43</v>
      </c>
      <c r="D50" s="53" t="s">
        <v>38</v>
      </c>
      <c r="E50" s="53" t="s">
        <v>25</v>
      </c>
      <c r="F50" s="53" t="s">
        <v>25</v>
      </c>
      <c r="G50" s="53" t="s">
        <v>25</v>
      </c>
      <c r="H50" s="53" t="s">
        <v>35</v>
      </c>
      <c r="I50" s="75">
        <v>44835</v>
      </c>
      <c r="J50" s="76">
        <f>EFEITO!$J$50*EFEITO!$Y$50</f>
        <v>0</v>
      </c>
      <c r="K50" s="76">
        <f ca="1">EFEITO!$L$50*EFEITO!$Z$50</f>
        <v>2366.8153874481054</v>
      </c>
      <c r="L50" s="76">
        <f>EFEITO!$N$50*EFEITO!$AA$50</f>
        <v>2811.8914601376782</v>
      </c>
      <c r="M50" s="76">
        <f>$J$50-EFEITO!$K$50*EFEITO!$Y$50</f>
        <v>0</v>
      </c>
      <c r="N50" s="76">
        <f ca="1">$K$50-EFEITO!$M$50*EFEITO!$Z$50</f>
        <v>0</v>
      </c>
      <c r="O50" s="76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54</v>
      </c>
      <c r="B51" s="53" t="s">
        <v>42</v>
      </c>
      <c r="C51" s="53" t="s">
        <v>43</v>
      </c>
      <c r="D51" s="53" t="s">
        <v>38</v>
      </c>
      <c r="E51" s="53" t="s">
        <v>25</v>
      </c>
      <c r="F51" s="53" t="s">
        <v>25</v>
      </c>
      <c r="G51" s="53" t="s">
        <v>25</v>
      </c>
      <c r="H51" s="53" t="s">
        <v>35</v>
      </c>
      <c r="I51" s="75">
        <v>44866</v>
      </c>
      <c r="J51" s="76">
        <f>EFEITO!$J$51*EFEITO!$Y$51</f>
        <v>0</v>
      </c>
      <c r="K51" s="76">
        <f ca="1">EFEITO!$L$51*EFEITO!$Z$51</f>
        <v>2366.8153874481054</v>
      </c>
      <c r="L51" s="76">
        <f>EFEITO!$N$51*EFEITO!$AA$51</f>
        <v>2811.8914601376782</v>
      </c>
      <c r="M51" s="76">
        <f>$J$51-EFEITO!$K$51*EFEITO!$Y$51</f>
        <v>0</v>
      </c>
      <c r="N51" s="76">
        <f ca="1">$K$51-EFEITO!$M$51*EFEITO!$Z$51</f>
        <v>0</v>
      </c>
      <c r="O51" s="76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42</v>
      </c>
      <c r="C52" s="53" t="s">
        <v>43</v>
      </c>
      <c r="D52" s="53" t="s">
        <v>38</v>
      </c>
      <c r="E52" s="53" t="s">
        <v>25</v>
      </c>
      <c r="F52" s="53" t="s">
        <v>25</v>
      </c>
      <c r="G52" s="53" t="s">
        <v>25</v>
      </c>
      <c r="H52" s="53" t="s">
        <v>25</v>
      </c>
      <c r="I52" s="75">
        <v>44531</v>
      </c>
      <c r="J52" s="76">
        <f ca="1">EFEITO!$J$52*EFEITO!$Y$52</f>
        <v>3284.3555762521119</v>
      </c>
      <c r="K52" s="76">
        <f>EFEITO!$L$52*EFEITO!$Z$52</f>
        <v>0</v>
      </c>
      <c r="L52" s="76">
        <f>EFEITO!$N$52*EFEITO!$AA$52</f>
        <v>0</v>
      </c>
      <c r="M52" s="76">
        <f ca="1">$J$52-EFEITO!$K$52*EFEITO!$Y$52</f>
        <v>0</v>
      </c>
      <c r="N52" s="76">
        <f>$K$52-EFEITO!$M$52*EFEITO!$Z$52</f>
        <v>0</v>
      </c>
      <c r="O52" s="76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42</v>
      </c>
      <c r="C53" s="53" t="s">
        <v>43</v>
      </c>
      <c r="D53" s="53" t="s">
        <v>38</v>
      </c>
      <c r="E53" s="53" t="s">
        <v>25</v>
      </c>
      <c r="F53" s="53" t="s">
        <v>25</v>
      </c>
      <c r="G53" s="53" t="s">
        <v>25</v>
      </c>
      <c r="H53" s="53" t="s">
        <v>25</v>
      </c>
      <c r="I53" s="75">
        <v>44562</v>
      </c>
      <c r="J53" s="76">
        <f ca="1">EFEITO!$J$53*EFEITO!$Y$53</f>
        <v>3284.3555762521119</v>
      </c>
      <c r="K53" s="76">
        <f>EFEITO!$L$53*EFEITO!$Z$53</f>
        <v>0</v>
      </c>
      <c r="L53" s="76">
        <f>EFEITO!$N$53*EFEITO!$AA$53</f>
        <v>0</v>
      </c>
      <c r="M53" s="76">
        <f ca="1">$J$53-EFEITO!$K$53*EFEITO!$Y$53</f>
        <v>0</v>
      </c>
      <c r="N53" s="76">
        <f>$K$53-EFEITO!$M$53*EFEITO!$Z$53</f>
        <v>0</v>
      </c>
      <c r="O53" s="76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42</v>
      </c>
      <c r="C54" s="53" t="s">
        <v>43</v>
      </c>
      <c r="D54" s="53" t="s">
        <v>38</v>
      </c>
      <c r="E54" s="53" t="s">
        <v>25</v>
      </c>
      <c r="F54" s="53" t="s">
        <v>25</v>
      </c>
      <c r="G54" s="53" t="s">
        <v>25</v>
      </c>
      <c r="H54" s="53" t="s">
        <v>25</v>
      </c>
      <c r="I54" s="75">
        <v>44593</v>
      </c>
      <c r="J54" s="76">
        <f ca="1">EFEITO!$J$54*EFEITO!$Y$54</f>
        <v>3284.3555762521119</v>
      </c>
      <c r="K54" s="76">
        <f>EFEITO!$L$54*EFEITO!$Z$54</f>
        <v>0</v>
      </c>
      <c r="L54" s="76">
        <f>EFEITO!$N$54*EFEITO!$AA$54</f>
        <v>0</v>
      </c>
      <c r="M54" s="76">
        <f ca="1">$J$54-EFEITO!$K$54*EFEITO!$Y$54</f>
        <v>0</v>
      </c>
      <c r="N54" s="76">
        <f>$K$54-EFEITO!$M$54*EFEITO!$Z$54</f>
        <v>0</v>
      </c>
      <c r="O54" s="76">
        <f>$L$54-EFEITO!$O$54*EFEITO!$AA$54</f>
        <v>0</v>
      </c>
      <c r="P54" s="57"/>
      <c r="Q54" s="57"/>
      <c r="R54" s="57"/>
      <c r="S54" s="57"/>
      <c r="T54" s="57"/>
      <c r="U54" s="57"/>
      <c r="V54" s="57"/>
      <c r="W54" s="5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42</v>
      </c>
      <c r="C55" s="53" t="s">
        <v>43</v>
      </c>
      <c r="D55" s="53" t="s">
        <v>38</v>
      </c>
      <c r="E55" s="53" t="s">
        <v>25</v>
      </c>
      <c r="F55" s="53" t="s">
        <v>25</v>
      </c>
      <c r="G55" s="53" t="s">
        <v>25</v>
      </c>
      <c r="H55" s="53" t="s">
        <v>25</v>
      </c>
      <c r="I55" s="75">
        <v>44621</v>
      </c>
      <c r="J55" s="76">
        <f ca="1">EFEITO!$J$55*EFEITO!$Y$55</f>
        <v>3284.3555762521119</v>
      </c>
      <c r="K55" s="76">
        <f>EFEITO!$L$55*EFEITO!$Z$55</f>
        <v>0</v>
      </c>
      <c r="L55" s="76">
        <f>EFEITO!$N$55*EFEITO!$AA$55</f>
        <v>0</v>
      </c>
      <c r="M55" s="76">
        <f ca="1">$J$55-EFEITO!$K$55*EFEITO!$Y$55</f>
        <v>0</v>
      </c>
      <c r="N55" s="76">
        <f>$K$55-EFEITO!$M$55*EFEITO!$Z$55</f>
        <v>0</v>
      </c>
      <c r="O55" s="76">
        <f>$L$55-EFEITO!$O$55*EFEITO!$AA$55</f>
        <v>0</v>
      </c>
      <c r="P55" s="57"/>
      <c r="Q55" s="57"/>
      <c r="R55" s="57"/>
      <c r="S55" s="57"/>
      <c r="T55" s="57"/>
      <c r="U55" s="57"/>
      <c r="V55" s="57"/>
      <c r="W55" s="5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42</v>
      </c>
      <c r="C56" s="53" t="s">
        <v>43</v>
      </c>
      <c r="D56" s="53" t="s">
        <v>38</v>
      </c>
      <c r="E56" s="53" t="s">
        <v>25</v>
      </c>
      <c r="F56" s="53" t="s">
        <v>25</v>
      </c>
      <c r="G56" s="53" t="s">
        <v>25</v>
      </c>
      <c r="H56" s="53" t="s">
        <v>25</v>
      </c>
      <c r="I56" s="75">
        <v>44652</v>
      </c>
      <c r="J56" s="76">
        <f ca="1">EFEITO!$J$56*EFEITO!$Y$56</f>
        <v>3284.3555762521119</v>
      </c>
      <c r="K56" s="76">
        <f>EFEITO!$L$56*EFEITO!$Z$56</f>
        <v>0</v>
      </c>
      <c r="L56" s="76">
        <f>EFEITO!$N$56*EFEITO!$AA$56</f>
        <v>0</v>
      </c>
      <c r="M56" s="76">
        <f ca="1">$J$56-EFEITO!$K$56*EFEITO!$Y$56</f>
        <v>0</v>
      </c>
      <c r="N56" s="76">
        <f>$K$56-EFEITO!$M$56*EFEITO!$Z$56</f>
        <v>0</v>
      </c>
      <c r="O56" s="76">
        <f>$L$56-EFEITO!$O$56*EFEITO!$AA$56</f>
        <v>0</v>
      </c>
      <c r="P56" s="57"/>
      <c r="Q56" s="57"/>
      <c r="R56" s="57"/>
      <c r="S56" s="57"/>
      <c r="T56" s="57"/>
      <c r="U56" s="57"/>
      <c r="V56" s="57"/>
      <c r="W56" s="5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42</v>
      </c>
      <c r="C57" s="53" t="s">
        <v>43</v>
      </c>
      <c r="D57" s="53" t="s">
        <v>38</v>
      </c>
      <c r="E57" s="53" t="s">
        <v>25</v>
      </c>
      <c r="F57" s="53" t="s">
        <v>25</v>
      </c>
      <c r="G57" s="53" t="s">
        <v>25</v>
      </c>
      <c r="H57" s="53" t="s">
        <v>25</v>
      </c>
      <c r="I57" s="75">
        <v>44682</v>
      </c>
      <c r="J57" s="76">
        <f ca="1">EFEITO!$J$57*EFEITO!$Y$57</f>
        <v>3284.3555762521119</v>
      </c>
      <c r="K57" s="76">
        <f>EFEITO!$L$57*EFEITO!$Z$57</f>
        <v>0</v>
      </c>
      <c r="L57" s="76">
        <f>EFEITO!$N$57*EFEITO!$AA$57</f>
        <v>0</v>
      </c>
      <c r="M57" s="76">
        <f ca="1">$J$57-EFEITO!$K$57*EFEITO!$Y$57</f>
        <v>0</v>
      </c>
      <c r="N57" s="76">
        <f>$K$57-EFEITO!$M$57*EFEITO!$Z$57</f>
        <v>0</v>
      </c>
      <c r="O57" s="76">
        <f>$L$57-EFEITO!$O$57*EFEITO!$AA$57</f>
        <v>0</v>
      </c>
      <c r="P57" s="57"/>
      <c r="Q57" s="57"/>
      <c r="R57" s="57"/>
      <c r="S57" s="57"/>
      <c r="T57" s="57"/>
      <c r="U57" s="57"/>
      <c r="V57" s="57"/>
      <c r="W57" s="5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42</v>
      </c>
      <c r="C58" s="53" t="s">
        <v>43</v>
      </c>
      <c r="D58" s="53" t="s">
        <v>38</v>
      </c>
      <c r="E58" s="53" t="s">
        <v>25</v>
      </c>
      <c r="F58" s="53" t="s">
        <v>25</v>
      </c>
      <c r="G58" s="53" t="s">
        <v>25</v>
      </c>
      <c r="H58" s="53" t="s">
        <v>25</v>
      </c>
      <c r="I58" s="75">
        <v>44713</v>
      </c>
      <c r="J58" s="76">
        <f ca="1">EFEITO!$J$58*EFEITO!$Y$58</f>
        <v>3284.3555762521119</v>
      </c>
      <c r="K58" s="76">
        <f>EFEITO!$L$58*EFEITO!$Z$58</f>
        <v>0</v>
      </c>
      <c r="L58" s="76">
        <f>EFEITO!$N$58*EFEITO!$AA$58</f>
        <v>0</v>
      </c>
      <c r="M58" s="76">
        <f ca="1">$J$58-EFEITO!$K$58*EFEITO!$Y$58</f>
        <v>0</v>
      </c>
      <c r="N58" s="76">
        <f>$K$58-EFEITO!$M$58*EFEITO!$Z$58</f>
        <v>0</v>
      </c>
      <c r="O58" s="76">
        <f>$L$58-EFEITO!$O$58*EFEITO!$AA$58</f>
        <v>0</v>
      </c>
      <c r="P58" s="57"/>
      <c r="Q58" s="57"/>
      <c r="R58" s="57"/>
      <c r="S58" s="57"/>
      <c r="T58" s="57"/>
      <c r="U58" s="57"/>
      <c r="V58" s="57"/>
      <c r="W58" s="5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42</v>
      </c>
      <c r="C59" s="53" t="s">
        <v>43</v>
      </c>
      <c r="D59" s="53" t="s">
        <v>38</v>
      </c>
      <c r="E59" s="53" t="s">
        <v>25</v>
      </c>
      <c r="F59" s="53" t="s">
        <v>25</v>
      </c>
      <c r="G59" s="53" t="s">
        <v>25</v>
      </c>
      <c r="H59" s="53" t="s">
        <v>25</v>
      </c>
      <c r="I59" s="75">
        <v>44743</v>
      </c>
      <c r="J59" s="76">
        <f ca="1">EFEITO!$J$59*EFEITO!$Y$59</f>
        <v>3284.3555762521119</v>
      </c>
      <c r="K59" s="76">
        <f>EFEITO!$L$59*EFEITO!$Z$59</f>
        <v>0</v>
      </c>
      <c r="L59" s="76">
        <f>EFEITO!$N$59*EFEITO!$AA$59</f>
        <v>0</v>
      </c>
      <c r="M59" s="76">
        <f ca="1">$J$59-EFEITO!$K$59*EFEITO!$Y$59</f>
        <v>0</v>
      </c>
      <c r="N59" s="76">
        <f>$K$59-EFEITO!$M$59*EFEITO!$Z$59</f>
        <v>0</v>
      </c>
      <c r="O59" s="76">
        <f>$L$59-EFEITO!$O$59*EFEITO!$AA$59</f>
        <v>0</v>
      </c>
      <c r="P59" s="57"/>
      <c r="Q59" s="57"/>
      <c r="R59" s="57"/>
      <c r="S59" s="57"/>
      <c r="T59" s="57"/>
      <c r="U59" s="57"/>
      <c r="V59" s="57"/>
      <c r="W59" s="5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42</v>
      </c>
      <c r="C60" s="53" t="s">
        <v>43</v>
      </c>
      <c r="D60" s="53" t="s">
        <v>38</v>
      </c>
      <c r="E60" s="53" t="s">
        <v>25</v>
      </c>
      <c r="F60" s="53" t="s">
        <v>25</v>
      </c>
      <c r="G60" s="53" t="s">
        <v>25</v>
      </c>
      <c r="H60" s="53" t="s">
        <v>25</v>
      </c>
      <c r="I60" s="75">
        <v>44774</v>
      </c>
      <c r="J60" s="76">
        <f ca="1">EFEITO!$J$60*EFEITO!$Y$60</f>
        <v>3284.3555762521119</v>
      </c>
      <c r="K60" s="76">
        <f>EFEITO!$L$60*EFEITO!$Z$60</f>
        <v>0</v>
      </c>
      <c r="L60" s="76">
        <f>EFEITO!$N$60*EFEITO!$AA$60</f>
        <v>0</v>
      </c>
      <c r="M60" s="76">
        <f ca="1">$J$60-EFEITO!$K$60*EFEITO!$Y$60</f>
        <v>0</v>
      </c>
      <c r="N60" s="76">
        <f>$K$60-EFEITO!$M$60*EFEITO!$Z$60</f>
        <v>0</v>
      </c>
      <c r="O60" s="76">
        <f>$L$60-EFEITO!$O$60*EFEITO!$AA$60</f>
        <v>0</v>
      </c>
      <c r="P60" s="57"/>
      <c r="Q60" s="57"/>
      <c r="R60" s="57"/>
      <c r="S60" s="57"/>
      <c r="T60" s="57"/>
      <c r="U60" s="57"/>
      <c r="V60" s="57"/>
      <c r="W60" s="5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21</v>
      </c>
      <c r="B61" s="53" t="s">
        <v>42</v>
      </c>
      <c r="C61" s="53" t="s">
        <v>43</v>
      </c>
      <c r="D61" s="53" t="s">
        <v>38</v>
      </c>
      <c r="E61" s="53" t="s">
        <v>25</v>
      </c>
      <c r="F61" s="53" t="s">
        <v>25</v>
      </c>
      <c r="G61" s="53" t="s">
        <v>25</v>
      </c>
      <c r="H61" s="53" t="s">
        <v>25</v>
      </c>
      <c r="I61" s="75">
        <v>44805</v>
      </c>
      <c r="J61" s="76">
        <f ca="1">EFEITO!$J$61*EFEITO!$Y$61</f>
        <v>3284.3555762521119</v>
      </c>
      <c r="K61" s="76">
        <f>EFEITO!$L$61*EFEITO!$Z$61</f>
        <v>0</v>
      </c>
      <c r="L61" s="76">
        <f>EFEITO!$N$61*EFEITO!$AA$61</f>
        <v>0</v>
      </c>
      <c r="M61" s="76">
        <f ca="1">$J$61-EFEITO!$K$61*EFEITO!$Y$61</f>
        <v>0</v>
      </c>
      <c r="N61" s="76">
        <f>$K$61-EFEITO!$M$61*EFEITO!$Z$61</f>
        <v>0</v>
      </c>
      <c r="O61" s="76">
        <f>$L$61-EFEITO!$O$61*EFEITO!$AA$61</f>
        <v>0</v>
      </c>
      <c r="P61" s="57"/>
      <c r="Q61" s="57"/>
      <c r="R61" s="57"/>
      <c r="S61" s="57"/>
      <c r="T61" s="57"/>
      <c r="U61" s="57"/>
      <c r="V61" s="57"/>
      <c r="W61" s="5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42</v>
      </c>
      <c r="C62" s="53" t="s">
        <v>43</v>
      </c>
      <c r="D62" s="53" t="s">
        <v>38</v>
      </c>
      <c r="E62" s="53" t="s">
        <v>25</v>
      </c>
      <c r="F62" s="53" t="s">
        <v>25</v>
      </c>
      <c r="G62" s="53" t="s">
        <v>25</v>
      </c>
      <c r="H62" s="53" t="s">
        <v>25</v>
      </c>
      <c r="I62" s="75">
        <v>44835</v>
      </c>
      <c r="J62" s="76">
        <f ca="1">EFEITO!$J$62*EFEITO!$Y$62</f>
        <v>3284.3555762521119</v>
      </c>
      <c r="K62" s="76">
        <f>EFEITO!$L$62*EFEITO!$Z$62</f>
        <v>0</v>
      </c>
      <c r="L62" s="76">
        <f>EFEITO!$N$62*EFEITO!$AA$62</f>
        <v>0</v>
      </c>
      <c r="M62" s="76">
        <f ca="1">$J$62-EFEITO!$K$62*EFEITO!$Y$62</f>
        <v>0</v>
      </c>
      <c r="N62" s="76">
        <f>$K$62-EFEITO!$M$62*EFEITO!$Z$62</f>
        <v>0</v>
      </c>
      <c r="O62" s="76">
        <f>$L$62-EFEITO!$O$62*EFEITO!$AA$62</f>
        <v>0</v>
      </c>
      <c r="P62" s="57"/>
      <c r="Q62" s="57"/>
      <c r="R62" s="57"/>
      <c r="S62" s="57"/>
      <c r="T62" s="57"/>
      <c r="U62" s="57"/>
      <c r="V62" s="57"/>
      <c r="W62" s="5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54</v>
      </c>
      <c r="B63" s="53" t="s">
        <v>42</v>
      </c>
      <c r="C63" s="53" t="s">
        <v>43</v>
      </c>
      <c r="D63" s="53" t="s">
        <v>38</v>
      </c>
      <c r="E63" s="53" t="s">
        <v>25</v>
      </c>
      <c r="F63" s="53" t="s">
        <v>25</v>
      </c>
      <c r="G63" s="53" t="s">
        <v>25</v>
      </c>
      <c r="H63" s="53" t="s">
        <v>25</v>
      </c>
      <c r="I63" s="75">
        <v>44866</v>
      </c>
      <c r="J63" s="76">
        <f ca="1">EFEITO!$J$63*EFEITO!$Y$63</f>
        <v>3284.3555762521119</v>
      </c>
      <c r="K63" s="76">
        <f>EFEITO!$L$63*EFEITO!$Z$63</f>
        <v>0</v>
      </c>
      <c r="L63" s="76">
        <f>EFEITO!$N$63*EFEITO!$AA$63</f>
        <v>0</v>
      </c>
      <c r="M63" s="76">
        <f ca="1">$J$63-EFEITO!$K$63*EFEITO!$Y$63</f>
        <v>0</v>
      </c>
      <c r="N63" s="76">
        <f>$K$63-EFEITO!$M$63*EFEITO!$Z$63</f>
        <v>0</v>
      </c>
      <c r="O63" s="76">
        <f>$L$63-EFEITO!$O$63*EFEITO!$AA$63</f>
        <v>0</v>
      </c>
      <c r="P63" s="57"/>
      <c r="Q63" s="57"/>
      <c r="R63" s="57"/>
      <c r="S63" s="57"/>
      <c r="T63" s="57"/>
      <c r="U63" s="57"/>
      <c r="V63" s="57"/>
      <c r="W63" s="5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42</v>
      </c>
      <c r="C64" s="53" t="s">
        <v>43</v>
      </c>
      <c r="D64" s="53" t="s">
        <v>38</v>
      </c>
      <c r="E64" s="53" t="s">
        <v>25</v>
      </c>
      <c r="F64" s="53" t="s">
        <v>25</v>
      </c>
      <c r="G64" s="53" t="s">
        <v>25</v>
      </c>
      <c r="H64" s="53" t="s">
        <v>34</v>
      </c>
      <c r="I64" s="75">
        <v>44531</v>
      </c>
      <c r="J64" s="76">
        <f>EFEITO!$J$64*EFEITO!$Y$64</f>
        <v>0</v>
      </c>
      <c r="K64" s="76">
        <f ca="1">EFEITO!$L$64*EFEITO!$Z$64</f>
        <v>4718.353717349848</v>
      </c>
      <c r="L64" s="76">
        <f>EFEITO!$N$64*EFEITO!$AA$64</f>
        <v>1014.6930377605613</v>
      </c>
      <c r="M64" s="76">
        <f>$J$64-EFEITO!$K$64*EFEITO!$Y$64</f>
        <v>0</v>
      </c>
      <c r="N64" s="76">
        <f ca="1">$K$64-EFEITO!$M$64*EFEITO!$Z$64</f>
        <v>0</v>
      </c>
      <c r="O64" s="76">
        <f>$L$64-EFEITO!$O$64*EFEITO!$AA$64</f>
        <v>0</v>
      </c>
      <c r="P64" s="57"/>
      <c r="Q64" s="57"/>
      <c r="R64" s="57"/>
      <c r="S64" s="57"/>
      <c r="T64" s="57"/>
      <c r="U64" s="57"/>
      <c r="V64" s="57"/>
      <c r="W64" s="5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42</v>
      </c>
      <c r="C65" s="53" t="s">
        <v>43</v>
      </c>
      <c r="D65" s="53" t="s">
        <v>38</v>
      </c>
      <c r="E65" s="53" t="s">
        <v>25</v>
      </c>
      <c r="F65" s="53" t="s">
        <v>25</v>
      </c>
      <c r="G65" s="53" t="s">
        <v>25</v>
      </c>
      <c r="H65" s="53" t="s">
        <v>34</v>
      </c>
      <c r="I65" s="75">
        <v>44562</v>
      </c>
      <c r="J65" s="76">
        <f>EFEITO!$J$65*EFEITO!$Y$65</f>
        <v>0</v>
      </c>
      <c r="K65" s="76">
        <f ca="1">EFEITO!$L$65*EFEITO!$Z$65</f>
        <v>3931.9614311248733</v>
      </c>
      <c r="L65" s="76">
        <f>EFEITO!$N$65*EFEITO!$AA$65</f>
        <v>845.57753146713446</v>
      </c>
      <c r="M65" s="76">
        <f>$J$65-EFEITO!$K$65*EFEITO!$Y$65</f>
        <v>0</v>
      </c>
      <c r="N65" s="76">
        <f ca="1">$K$65-EFEITO!$M$65*EFEITO!$Z$65</f>
        <v>0</v>
      </c>
      <c r="O65" s="76">
        <f>$L$65-EFEITO!$O$65*EFEITO!$AA$65</f>
        <v>0</v>
      </c>
      <c r="P65" s="57"/>
      <c r="Q65" s="57"/>
      <c r="R65" s="57"/>
      <c r="S65" s="57"/>
      <c r="T65" s="57"/>
      <c r="U65" s="57"/>
      <c r="V65" s="57"/>
      <c r="W65" s="5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42</v>
      </c>
      <c r="C66" s="53" t="s">
        <v>43</v>
      </c>
      <c r="D66" s="53" t="s">
        <v>38</v>
      </c>
      <c r="E66" s="53" t="s">
        <v>25</v>
      </c>
      <c r="F66" s="53" t="s">
        <v>25</v>
      </c>
      <c r="G66" s="53" t="s">
        <v>25</v>
      </c>
      <c r="H66" s="53" t="s">
        <v>34</v>
      </c>
      <c r="I66" s="75">
        <v>44593</v>
      </c>
      <c r="J66" s="76">
        <f>EFEITO!$J$66*EFEITO!$Y$66</f>
        <v>0</v>
      </c>
      <c r="K66" s="76">
        <f ca="1">EFEITO!$L$66*EFEITO!$Z$66</f>
        <v>3930.463541055874</v>
      </c>
      <c r="L66" s="76">
        <f>EFEITO!$N$66*EFEITO!$AA$66</f>
        <v>845.25540669324232</v>
      </c>
      <c r="M66" s="76">
        <f>$J$66-EFEITO!$K$66*EFEITO!$Y$66</f>
        <v>0</v>
      </c>
      <c r="N66" s="76">
        <f ca="1">$K$66-EFEITO!$M$66*EFEITO!$Z$66</f>
        <v>0</v>
      </c>
      <c r="O66" s="76">
        <f>$L$66-EFEITO!$O$66*EFEITO!$AA$66</f>
        <v>0</v>
      </c>
      <c r="P66" s="57"/>
      <c r="Q66" s="57"/>
      <c r="R66" s="57"/>
      <c r="S66" s="57"/>
      <c r="T66" s="57"/>
      <c r="U66" s="57"/>
      <c r="V66" s="57"/>
      <c r="W66" s="5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42</v>
      </c>
      <c r="C67" s="53" t="s">
        <v>43</v>
      </c>
      <c r="D67" s="53" t="s">
        <v>38</v>
      </c>
      <c r="E67" s="53" t="s">
        <v>25</v>
      </c>
      <c r="F67" s="53" t="s">
        <v>25</v>
      </c>
      <c r="G67" s="53" t="s">
        <v>25</v>
      </c>
      <c r="H67" s="53" t="s">
        <v>34</v>
      </c>
      <c r="I67" s="75">
        <v>44621</v>
      </c>
      <c r="J67" s="76">
        <f>EFEITO!$J$67*EFEITO!$Y$67</f>
        <v>0</v>
      </c>
      <c r="K67" s="76">
        <f ca="1">EFEITO!$L$67*EFEITO!$Z$67</f>
        <v>3931.9614311248733</v>
      </c>
      <c r="L67" s="76">
        <f>EFEITO!$N$67*EFEITO!$AA$67</f>
        <v>845.57753146713446</v>
      </c>
      <c r="M67" s="76">
        <f>$J$67-EFEITO!$K$67*EFEITO!$Y$67</f>
        <v>0</v>
      </c>
      <c r="N67" s="76">
        <f ca="1">$K$67-EFEITO!$M$67*EFEITO!$Z$67</f>
        <v>0</v>
      </c>
      <c r="O67" s="76">
        <f>$L$67-EFEITO!$O$67*EFEITO!$AA$67</f>
        <v>0</v>
      </c>
      <c r="P67" s="57"/>
      <c r="Q67" s="57"/>
      <c r="R67" s="57"/>
      <c r="S67" s="57"/>
      <c r="T67" s="57"/>
      <c r="U67" s="57"/>
      <c r="V67" s="57"/>
      <c r="W67" s="5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42</v>
      </c>
      <c r="C68" s="53" t="s">
        <v>43</v>
      </c>
      <c r="D68" s="53" t="s">
        <v>38</v>
      </c>
      <c r="E68" s="53" t="s">
        <v>25</v>
      </c>
      <c r="F68" s="53" t="s">
        <v>25</v>
      </c>
      <c r="G68" s="53" t="s">
        <v>25</v>
      </c>
      <c r="H68" s="53" t="s">
        <v>34</v>
      </c>
      <c r="I68" s="75">
        <v>44652</v>
      </c>
      <c r="J68" s="76">
        <f>EFEITO!$J$68*EFEITO!$Y$68</f>
        <v>0</v>
      </c>
      <c r="K68" s="76">
        <f ca="1">EFEITO!$L$68*EFEITO!$Z$68</f>
        <v>3144.0712548308993</v>
      </c>
      <c r="L68" s="76">
        <f>EFEITO!$N$68*EFEITO!$AA$68</f>
        <v>676.13990039981536</v>
      </c>
      <c r="M68" s="76">
        <f>$J$68-EFEITO!$K$68*EFEITO!$Y$68</f>
        <v>0</v>
      </c>
      <c r="N68" s="76">
        <f ca="1">$K$68-EFEITO!$M$68*EFEITO!$Z$68</f>
        <v>0</v>
      </c>
      <c r="O68" s="76">
        <f>$L$68-EFEITO!$O$68*EFEITO!$AA$68</f>
        <v>0</v>
      </c>
      <c r="P68" s="57"/>
      <c r="Q68" s="57"/>
      <c r="R68" s="57"/>
      <c r="S68" s="57"/>
      <c r="T68" s="57"/>
      <c r="U68" s="57"/>
      <c r="V68" s="57"/>
      <c r="W68" s="5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42</v>
      </c>
      <c r="C69" s="53" t="s">
        <v>43</v>
      </c>
      <c r="D69" s="53" t="s">
        <v>38</v>
      </c>
      <c r="E69" s="53" t="s">
        <v>25</v>
      </c>
      <c r="F69" s="53" t="s">
        <v>25</v>
      </c>
      <c r="G69" s="53" t="s">
        <v>25</v>
      </c>
      <c r="H69" s="53" t="s">
        <v>34</v>
      </c>
      <c r="I69" s="75">
        <v>44682</v>
      </c>
      <c r="J69" s="76">
        <f>EFEITO!$J$69*EFEITO!$Y$69</f>
        <v>0</v>
      </c>
      <c r="K69" s="76">
        <f ca="1">EFEITO!$L$69*EFEITO!$Z$69</f>
        <v>3931.9614311248733</v>
      </c>
      <c r="L69" s="76">
        <f>EFEITO!$N$69*EFEITO!$AA$69</f>
        <v>845.57753146713446</v>
      </c>
      <c r="M69" s="76">
        <f>$J$69-EFEITO!$K$69*EFEITO!$Y$69</f>
        <v>0</v>
      </c>
      <c r="N69" s="76">
        <f ca="1">$K$69-EFEITO!$M$69*EFEITO!$Z$69</f>
        <v>0</v>
      </c>
      <c r="O69" s="76">
        <f>$L$69-EFEITO!$O$69*EFEITO!$AA$69</f>
        <v>0</v>
      </c>
      <c r="P69" s="57"/>
      <c r="Q69" s="57"/>
      <c r="R69" s="57"/>
      <c r="S69" s="57"/>
      <c r="T69" s="57"/>
      <c r="U69" s="57"/>
      <c r="V69" s="57"/>
      <c r="W69" s="5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42</v>
      </c>
      <c r="C70" s="53" t="s">
        <v>43</v>
      </c>
      <c r="D70" s="53" t="s">
        <v>38</v>
      </c>
      <c r="E70" s="53" t="s">
        <v>25</v>
      </c>
      <c r="F70" s="53" t="s">
        <v>25</v>
      </c>
      <c r="G70" s="53" t="s">
        <v>25</v>
      </c>
      <c r="H70" s="53" t="s">
        <v>34</v>
      </c>
      <c r="I70" s="75">
        <v>44713</v>
      </c>
      <c r="J70" s="76">
        <f>EFEITO!$J$70*EFEITO!$Y$70</f>
        <v>0</v>
      </c>
      <c r="K70" s="76">
        <f ca="1">EFEITO!$L$70*EFEITO!$Z$70</f>
        <v>4718.353717349848</v>
      </c>
      <c r="L70" s="76">
        <f>EFEITO!$N$70*EFEITO!$AA$70</f>
        <v>1014.6930377605613</v>
      </c>
      <c r="M70" s="76">
        <f>$J$70-EFEITO!$K$70*EFEITO!$Y$70</f>
        <v>0</v>
      </c>
      <c r="N70" s="76">
        <f ca="1">$K$70-EFEITO!$M$70*EFEITO!$Z$70</f>
        <v>0</v>
      </c>
      <c r="O70" s="76">
        <f>$L$70-EFEITO!$O$70*EFEITO!$AA$70</f>
        <v>0</v>
      </c>
      <c r="P70" s="57"/>
      <c r="Q70" s="57"/>
      <c r="R70" s="57"/>
      <c r="S70" s="57"/>
      <c r="T70" s="57"/>
      <c r="U70" s="57"/>
      <c r="V70" s="57"/>
      <c r="W70" s="5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42</v>
      </c>
      <c r="C71" s="53" t="s">
        <v>43</v>
      </c>
      <c r="D71" s="53" t="s">
        <v>38</v>
      </c>
      <c r="E71" s="53" t="s">
        <v>25</v>
      </c>
      <c r="F71" s="53" t="s">
        <v>25</v>
      </c>
      <c r="G71" s="53" t="s">
        <v>25</v>
      </c>
      <c r="H71" s="53" t="s">
        <v>34</v>
      </c>
      <c r="I71" s="75">
        <v>44743</v>
      </c>
      <c r="J71" s="76">
        <f>EFEITO!$J$71*EFEITO!$Y$71</f>
        <v>0</v>
      </c>
      <c r="K71" s="76">
        <f ca="1">EFEITO!$L$71*EFEITO!$Z$71</f>
        <v>3931.9614311248733</v>
      </c>
      <c r="L71" s="76">
        <f>EFEITO!$N$71*EFEITO!$AA$71</f>
        <v>845.57753146713446</v>
      </c>
      <c r="M71" s="76">
        <f>$J$71-EFEITO!$K$71*EFEITO!$Y$71</f>
        <v>0</v>
      </c>
      <c r="N71" s="76">
        <f ca="1">$K$71-EFEITO!$M$71*EFEITO!$Z$71</f>
        <v>0</v>
      </c>
      <c r="O71" s="76">
        <f>$L$71-EFEITO!$O$71*EFEITO!$AA$71</f>
        <v>0</v>
      </c>
      <c r="P71" s="57"/>
      <c r="Q71" s="57"/>
      <c r="R71" s="57"/>
      <c r="S71" s="57"/>
      <c r="T71" s="57"/>
      <c r="U71" s="57"/>
      <c r="V71" s="57"/>
      <c r="W71" s="5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42</v>
      </c>
      <c r="C72" s="53" t="s">
        <v>43</v>
      </c>
      <c r="D72" s="53" t="s">
        <v>38</v>
      </c>
      <c r="E72" s="53" t="s">
        <v>25</v>
      </c>
      <c r="F72" s="53" t="s">
        <v>25</v>
      </c>
      <c r="G72" s="53" t="s">
        <v>25</v>
      </c>
      <c r="H72" s="53" t="s">
        <v>34</v>
      </c>
      <c r="I72" s="75">
        <v>44774</v>
      </c>
      <c r="J72" s="76">
        <f>EFEITO!$J$72*EFEITO!$Y$72</f>
        <v>0</v>
      </c>
      <c r="K72" s="76">
        <f ca="1">EFEITO!$L$72*EFEITO!$Z$72</f>
        <v>3931.9614311248733</v>
      </c>
      <c r="L72" s="76">
        <f>EFEITO!$N$72*EFEITO!$AA$72</f>
        <v>845.57753146713446</v>
      </c>
      <c r="M72" s="76">
        <f>$J$72-EFEITO!$K$72*EFEITO!$Y$72</f>
        <v>0</v>
      </c>
      <c r="N72" s="76">
        <f ca="1">$K$72-EFEITO!$M$72*EFEITO!$Z$72</f>
        <v>0</v>
      </c>
      <c r="O72" s="76">
        <f>$L$72-EFEITO!$O$72*EFEITO!$AA$72</f>
        <v>0</v>
      </c>
      <c r="P72" s="57"/>
      <c r="Q72" s="57"/>
      <c r="R72" s="57"/>
      <c r="S72" s="57"/>
      <c r="T72" s="57"/>
      <c r="U72" s="57"/>
      <c r="V72" s="57"/>
      <c r="W72" s="5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21</v>
      </c>
      <c r="B73" s="53" t="s">
        <v>42</v>
      </c>
      <c r="C73" s="53" t="s">
        <v>43</v>
      </c>
      <c r="D73" s="53" t="s">
        <v>38</v>
      </c>
      <c r="E73" s="53" t="s">
        <v>25</v>
      </c>
      <c r="F73" s="53" t="s">
        <v>25</v>
      </c>
      <c r="G73" s="53" t="s">
        <v>25</v>
      </c>
      <c r="H73" s="53" t="s">
        <v>34</v>
      </c>
      <c r="I73" s="75">
        <v>44805</v>
      </c>
      <c r="J73" s="76">
        <f>EFEITO!$J$73*EFEITO!$Y$73</f>
        <v>0</v>
      </c>
      <c r="K73" s="76">
        <f ca="1">EFEITO!$L$73*EFEITO!$Z$73</f>
        <v>3144.0712548308993</v>
      </c>
      <c r="L73" s="76">
        <f>EFEITO!$N$73*EFEITO!$AA$73</f>
        <v>676.13990039981536</v>
      </c>
      <c r="M73" s="76">
        <f>$J$73-EFEITO!$K$73*EFEITO!$Y$73</f>
        <v>0</v>
      </c>
      <c r="N73" s="76">
        <f ca="1">$K$73-EFEITO!$M$73*EFEITO!$Z$73</f>
        <v>0</v>
      </c>
      <c r="O73" s="76">
        <f>$L$73-EFEITO!$O$73*EFEITO!$AA$73</f>
        <v>0</v>
      </c>
      <c r="P73" s="57"/>
      <c r="Q73" s="57"/>
      <c r="R73" s="57"/>
      <c r="S73" s="57"/>
      <c r="T73" s="57"/>
      <c r="U73" s="57"/>
      <c r="V73" s="57"/>
      <c r="W73" s="5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42</v>
      </c>
      <c r="C74" s="53" t="s">
        <v>43</v>
      </c>
      <c r="D74" s="53" t="s">
        <v>38</v>
      </c>
      <c r="E74" s="53" t="s">
        <v>25</v>
      </c>
      <c r="F74" s="53" t="s">
        <v>25</v>
      </c>
      <c r="G74" s="53" t="s">
        <v>25</v>
      </c>
      <c r="H74" s="53" t="s">
        <v>34</v>
      </c>
      <c r="I74" s="75">
        <v>44835</v>
      </c>
      <c r="J74" s="76">
        <f>EFEITO!$J$74*EFEITO!$Y$74</f>
        <v>0</v>
      </c>
      <c r="K74" s="76">
        <f ca="1">EFEITO!$L$74*EFEITO!$Z$74</f>
        <v>3458.6281693208889</v>
      </c>
      <c r="L74" s="76">
        <f>EFEITO!$N$74*EFEITO!$AA$74</f>
        <v>743.7861029171861</v>
      </c>
      <c r="M74" s="76">
        <f>$J$74-EFEITO!$K$74*EFEITO!$Y$74</f>
        <v>0</v>
      </c>
      <c r="N74" s="76">
        <f ca="1">$K$74-EFEITO!$M$74*EFEITO!$Z$74</f>
        <v>0</v>
      </c>
      <c r="O74" s="76">
        <f>$L$74-EFEITO!$O$74*EFEITO!$AA$74</f>
        <v>0</v>
      </c>
      <c r="P74" s="57"/>
      <c r="Q74" s="57"/>
      <c r="R74" s="57"/>
      <c r="S74" s="57"/>
      <c r="T74" s="57"/>
      <c r="U74" s="57"/>
      <c r="V74" s="57"/>
      <c r="W74" s="5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54</v>
      </c>
      <c r="B75" s="53" t="s">
        <v>42</v>
      </c>
      <c r="C75" s="53" t="s">
        <v>43</v>
      </c>
      <c r="D75" s="53" t="s">
        <v>38</v>
      </c>
      <c r="E75" s="53" t="s">
        <v>25</v>
      </c>
      <c r="F75" s="53" t="s">
        <v>25</v>
      </c>
      <c r="G75" s="53" t="s">
        <v>25</v>
      </c>
      <c r="H75" s="53" t="s">
        <v>34</v>
      </c>
      <c r="I75" s="75">
        <v>44866</v>
      </c>
      <c r="J75" s="76">
        <f>EFEITO!$J$75*EFEITO!$Y$75</f>
        <v>0</v>
      </c>
      <c r="K75" s="76">
        <f ca="1">EFEITO!$L$75*EFEITO!$Z$75</f>
        <v>3458.6281693208889</v>
      </c>
      <c r="L75" s="76">
        <f>EFEITO!$N$75*EFEITO!$AA$75</f>
        <v>743.7861029171861</v>
      </c>
      <c r="M75" s="76">
        <f>$J$75-EFEITO!$K$75*EFEITO!$Y$75</f>
        <v>0</v>
      </c>
      <c r="N75" s="76">
        <f ca="1">$K$75-EFEITO!$M$75*EFEITO!$Z$75</f>
        <v>0</v>
      </c>
      <c r="O75" s="76">
        <f>$L$75-EFEITO!$O$75*EFEITO!$AA$75</f>
        <v>0</v>
      </c>
      <c r="P75" s="57"/>
      <c r="Q75" s="57"/>
      <c r="R75" s="57"/>
      <c r="S75" s="57"/>
      <c r="T75" s="57"/>
      <c r="U75" s="57"/>
      <c r="V75" s="57"/>
      <c r="W75" s="5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21</v>
      </c>
      <c r="B76" s="53" t="s">
        <v>41</v>
      </c>
      <c r="C76" s="53" t="s">
        <v>40</v>
      </c>
      <c r="D76" s="53" t="s">
        <v>44</v>
      </c>
      <c r="E76" s="53" t="s">
        <v>25</v>
      </c>
      <c r="F76" s="53" t="s">
        <v>25</v>
      </c>
      <c r="G76" s="53" t="s">
        <v>25</v>
      </c>
      <c r="H76" s="53" t="s">
        <v>35</v>
      </c>
      <c r="I76" s="75">
        <v>44531</v>
      </c>
      <c r="J76" s="76">
        <f ca="1">EFEITO!$J$76*EFEITO!$Y$76</f>
        <v>145316.84220604505</v>
      </c>
      <c r="K76" s="76">
        <f ca="1">EFEITO!$L$76*EFEITO!$Z$76</f>
        <v>341365.11912796617</v>
      </c>
      <c r="L76" s="76">
        <f>EFEITO!$N$76*EFEITO!$AA$76</f>
        <v>405558.31618948164</v>
      </c>
      <c r="M76" s="76">
        <f ca="1">$J$76-EFEITO!$K$76*EFEITO!$Y$76</f>
        <v>0</v>
      </c>
      <c r="N76" s="76">
        <f ca="1">$K$76-EFEITO!$M$76*EFEITO!$Z$76</f>
        <v>0</v>
      </c>
      <c r="O76" s="76">
        <f>$L$76-EFEITO!$O$76*EFEITO!$AA$76</f>
        <v>0</v>
      </c>
      <c r="P76" s="57"/>
      <c r="Q76" s="57"/>
      <c r="R76" s="57"/>
      <c r="S76" s="57"/>
      <c r="T76" s="57"/>
      <c r="U76" s="57"/>
      <c r="V76" s="57"/>
      <c r="W76" s="5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41</v>
      </c>
      <c r="C77" s="53" t="s">
        <v>40</v>
      </c>
      <c r="D77" s="53" t="s">
        <v>44</v>
      </c>
      <c r="E77" s="53" t="s">
        <v>25</v>
      </c>
      <c r="F77" s="53" t="s">
        <v>25</v>
      </c>
      <c r="G77" s="53" t="s">
        <v>25</v>
      </c>
      <c r="H77" s="53" t="s">
        <v>35</v>
      </c>
      <c r="I77" s="75">
        <v>44562</v>
      </c>
      <c r="J77" s="76">
        <f ca="1">EFEITO!$J$77*EFEITO!$Y$77</f>
        <v>144765.91804486729</v>
      </c>
      <c r="K77" s="76">
        <f ca="1">EFEITO!$L$77*EFEITO!$Z$77</f>
        <v>311588.65064482723</v>
      </c>
      <c r="L77" s="76">
        <f>EFEITO!$N$77*EFEITO!$AA$77</f>
        <v>370182.42760736763</v>
      </c>
      <c r="M77" s="76">
        <f ca="1">$J$77-EFEITO!$K$77*EFEITO!$Y$77</f>
        <v>0</v>
      </c>
      <c r="N77" s="76">
        <f ca="1">$K$77-EFEITO!$M$77*EFEITO!$Z$77</f>
        <v>0</v>
      </c>
      <c r="O77" s="76">
        <f>$L$77-EFEITO!$O$77*EFEITO!$AA$77</f>
        <v>0</v>
      </c>
      <c r="P77" s="57"/>
      <c r="Q77" s="57"/>
      <c r="R77" s="57"/>
      <c r="S77" s="57"/>
      <c r="T77" s="57"/>
      <c r="U77" s="57"/>
      <c r="V77" s="57"/>
      <c r="W77" s="5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21</v>
      </c>
      <c r="B78" s="53" t="s">
        <v>41</v>
      </c>
      <c r="C78" s="53" t="s">
        <v>40</v>
      </c>
      <c r="D78" s="53" t="s">
        <v>44</v>
      </c>
      <c r="E78" s="53" t="s">
        <v>25</v>
      </c>
      <c r="F78" s="53" t="s">
        <v>25</v>
      </c>
      <c r="G78" s="53" t="s">
        <v>25</v>
      </c>
      <c r="H78" s="53" t="s">
        <v>35</v>
      </c>
      <c r="I78" s="75">
        <v>44593</v>
      </c>
      <c r="J78" s="76">
        <f ca="1">EFEITO!$J$78*EFEITO!$Y$78</f>
        <v>145232.08464278694</v>
      </c>
      <c r="K78" s="76">
        <f ca="1">EFEITO!$L$78*EFEITO!$Z$78</f>
        <v>294383.41629136971</v>
      </c>
      <c r="L78" s="76">
        <f>EFEITO!$N$78*EFEITO!$AA$78</f>
        <v>349741.77481935406</v>
      </c>
      <c r="M78" s="76">
        <f ca="1">$J$78-EFEITO!$K$78*EFEITO!$Y$78</f>
        <v>0</v>
      </c>
      <c r="N78" s="76">
        <f ca="1">$K$78-EFEITO!$M$78*EFEITO!$Z$78</f>
        <v>0</v>
      </c>
      <c r="O78" s="76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41</v>
      </c>
      <c r="C79" s="53" t="s">
        <v>40</v>
      </c>
      <c r="D79" s="53" t="s">
        <v>44</v>
      </c>
      <c r="E79" s="53" t="s">
        <v>25</v>
      </c>
      <c r="F79" s="53" t="s">
        <v>25</v>
      </c>
      <c r="G79" s="53" t="s">
        <v>25</v>
      </c>
      <c r="H79" s="53" t="s">
        <v>35</v>
      </c>
      <c r="I79" s="75">
        <v>44621</v>
      </c>
      <c r="J79" s="76">
        <f ca="1">EFEITO!$J$79*EFEITO!$Y$79</f>
        <v>145952.52393048097</v>
      </c>
      <c r="K79" s="76">
        <f ca="1">EFEITO!$L$79*EFEITO!$Z$79</f>
        <v>314422.94927396113</v>
      </c>
      <c r="L79" s="76">
        <f>EFEITO!$N$79*EFEITO!$AA$79</f>
        <v>373549.71182945248</v>
      </c>
      <c r="M79" s="76">
        <f ca="1">$J$79-EFEITO!$K$79*EFEITO!$Y$79</f>
        <v>0</v>
      </c>
      <c r="N79" s="76">
        <f ca="1">$K$79-EFEITO!$M$79*EFEITO!$Z$79</f>
        <v>0</v>
      </c>
      <c r="O79" s="76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21</v>
      </c>
      <c r="B80" s="53" t="s">
        <v>41</v>
      </c>
      <c r="C80" s="53" t="s">
        <v>40</v>
      </c>
      <c r="D80" s="53" t="s">
        <v>44</v>
      </c>
      <c r="E80" s="53" t="s">
        <v>25</v>
      </c>
      <c r="F80" s="53" t="s">
        <v>25</v>
      </c>
      <c r="G80" s="53" t="s">
        <v>25</v>
      </c>
      <c r="H80" s="53" t="s">
        <v>35</v>
      </c>
      <c r="I80" s="75">
        <v>44652</v>
      </c>
      <c r="J80" s="76">
        <f ca="1">EFEITO!$J$80*EFEITO!$Y$80</f>
        <v>145719.44063152114</v>
      </c>
      <c r="K80" s="76">
        <f ca="1">EFEITO!$L$80*EFEITO!$Z$80</f>
        <v>309552.84823596413</v>
      </c>
      <c r="L80" s="76">
        <f>EFEITO!$N$80*EFEITO!$AA$80</f>
        <v>367763.79561842239</v>
      </c>
      <c r="M80" s="76">
        <f ca="1">$J$80-EFEITO!$K$80*EFEITO!$Y$80</f>
        <v>0</v>
      </c>
      <c r="N80" s="76">
        <f ca="1">$K$80-EFEITO!$M$80*EFEITO!$Z$80</f>
        <v>0</v>
      </c>
      <c r="O80" s="76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41</v>
      </c>
      <c r="C81" s="53" t="s">
        <v>40</v>
      </c>
      <c r="D81" s="53" t="s">
        <v>44</v>
      </c>
      <c r="E81" s="53" t="s">
        <v>25</v>
      </c>
      <c r="F81" s="53" t="s">
        <v>25</v>
      </c>
      <c r="G81" s="53" t="s">
        <v>25</v>
      </c>
      <c r="H81" s="53" t="s">
        <v>35</v>
      </c>
      <c r="I81" s="75">
        <v>44682</v>
      </c>
      <c r="J81" s="76">
        <f ca="1">EFEITO!$J$81*EFEITO!$Y$81</f>
        <v>146312.74357432796</v>
      </c>
      <c r="K81" s="76">
        <f ca="1">EFEITO!$L$81*EFEITO!$Z$81</f>
        <v>321846.42345268774</v>
      </c>
      <c r="L81" s="76">
        <f>EFEITO!$N$81*EFEITO!$AA$81</f>
        <v>382369.15915872651</v>
      </c>
      <c r="M81" s="76">
        <f ca="1">$J$81-EFEITO!$K$81*EFEITO!$Y$81</f>
        <v>0</v>
      </c>
      <c r="N81" s="76">
        <f ca="1">$K$81-EFEITO!$M$81*EFEITO!$Z$81</f>
        <v>0</v>
      </c>
      <c r="O81" s="76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21</v>
      </c>
      <c r="B82" s="53" t="s">
        <v>41</v>
      </c>
      <c r="C82" s="53" t="s">
        <v>40</v>
      </c>
      <c r="D82" s="53" t="s">
        <v>44</v>
      </c>
      <c r="E82" s="53" t="s">
        <v>25</v>
      </c>
      <c r="F82" s="53" t="s">
        <v>25</v>
      </c>
      <c r="G82" s="53" t="s">
        <v>25</v>
      </c>
      <c r="H82" s="53" t="s">
        <v>35</v>
      </c>
      <c r="I82" s="75">
        <v>44713</v>
      </c>
      <c r="J82" s="76">
        <f ca="1">EFEITO!$J$82*EFEITO!$Y$82</f>
        <v>146206.79662025531</v>
      </c>
      <c r="K82" s="76">
        <f ca="1">EFEITO!$L$82*EFEITO!$Z$82</f>
        <v>328354.89355354948</v>
      </c>
      <c r="L82" s="76">
        <f>EFEITO!$N$82*EFEITO!$AA$82</f>
        <v>390101.53726993472</v>
      </c>
      <c r="M82" s="76">
        <f ca="1">$J$82-EFEITO!$K$82*EFEITO!$Y$82</f>
        <v>0</v>
      </c>
      <c r="N82" s="76">
        <f ca="1">$K$82-EFEITO!$M$82*EFEITO!$Z$82</f>
        <v>0</v>
      </c>
      <c r="O82" s="76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27</v>
      </c>
      <c r="B83" s="53" t="s">
        <v>41</v>
      </c>
      <c r="C83" s="53" t="s">
        <v>40</v>
      </c>
      <c r="D83" s="53" t="s">
        <v>44</v>
      </c>
      <c r="E83" s="53" t="s">
        <v>25</v>
      </c>
      <c r="F83" s="53" t="s">
        <v>25</v>
      </c>
      <c r="G83" s="53" t="s">
        <v>25</v>
      </c>
      <c r="H83" s="53" t="s">
        <v>35</v>
      </c>
      <c r="I83" s="75">
        <v>44713</v>
      </c>
      <c r="J83" s="76">
        <f ca="1">EFEITO!$J$83*EFEITO!$Y$83</f>
        <v>0</v>
      </c>
      <c r="K83" s="76">
        <f ca="1">EFEITO!$L$83*EFEITO!$Z$83</f>
        <v>-1371.0543054876887</v>
      </c>
      <c r="L83" s="76">
        <f>EFEITO!$N$83*EFEITO!$AA$83</f>
        <v>-1628.8790048566293</v>
      </c>
      <c r="M83" s="76">
        <f ca="1">$J$83-EFEITO!$K$83*EFEITO!$Y$83</f>
        <v>0</v>
      </c>
      <c r="N83" s="76">
        <f ca="1">$K$83-EFEITO!$M$83*EFEITO!$Z$83</f>
        <v>0</v>
      </c>
      <c r="O83" s="76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21</v>
      </c>
      <c r="B84" s="53" t="s">
        <v>41</v>
      </c>
      <c r="C84" s="53" t="s">
        <v>40</v>
      </c>
      <c r="D84" s="53" t="s">
        <v>44</v>
      </c>
      <c r="E84" s="53" t="s">
        <v>25</v>
      </c>
      <c r="F84" s="53" t="s">
        <v>25</v>
      </c>
      <c r="G84" s="53" t="s">
        <v>25</v>
      </c>
      <c r="H84" s="53" t="s">
        <v>35</v>
      </c>
      <c r="I84" s="75">
        <v>44743</v>
      </c>
      <c r="J84" s="76">
        <f ca="1">EFEITO!$J$84*EFEITO!$Y$84</f>
        <v>160170.60516703042</v>
      </c>
      <c r="K84" s="76">
        <f ca="1">EFEITO!$L$84*EFEITO!$Z$84</f>
        <v>350971.57308706484</v>
      </c>
      <c r="L84" s="76">
        <f>EFEITO!$N$84*EFEITO!$AA$84</f>
        <v>416971.24936249095</v>
      </c>
      <c r="M84" s="76">
        <f ca="1">$J$84-EFEITO!$K$84*EFEITO!$Y$84</f>
        <v>0</v>
      </c>
      <c r="N84" s="76">
        <f ca="1">$K$84-EFEITO!$M$84*EFEITO!$Z$84</f>
        <v>0</v>
      </c>
      <c r="O84" s="76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21</v>
      </c>
      <c r="B85" s="53" t="s">
        <v>41</v>
      </c>
      <c r="C85" s="53" t="s">
        <v>40</v>
      </c>
      <c r="D85" s="53" t="s">
        <v>44</v>
      </c>
      <c r="E85" s="53" t="s">
        <v>25</v>
      </c>
      <c r="F85" s="53" t="s">
        <v>25</v>
      </c>
      <c r="G85" s="53" t="s">
        <v>25</v>
      </c>
      <c r="H85" s="53" t="s">
        <v>35</v>
      </c>
      <c r="I85" s="75">
        <v>44774</v>
      </c>
      <c r="J85" s="76">
        <f ca="1">EFEITO!$J$85*EFEITO!$Y$85</f>
        <v>155572.50736027746</v>
      </c>
      <c r="K85" s="76">
        <f ca="1">EFEITO!$L$85*EFEITO!$Z$85</f>
        <v>365987.83893849817</v>
      </c>
      <c r="L85" s="76">
        <f>EFEITO!$N$85*EFEITO!$AA$85</f>
        <v>434811.30141502066</v>
      </c>
      <c r="M85" s="76">
        <f ca="1">$J$85-EFEITO!$K$85*EFEITO!$Y$85</f>
        <v>0</v>
      </c>
      <c r="N85" s="76">
        <f ca="1">$K$85-EFEITO!$M$85*EFEITO!$Z$85</f>
        <v>0</v>
      </c>
      <c r="O85" s="76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27</v>
      </c>
      <c r="B86" s="53" t="s">
        <v>41</v>
      </c>
      <c r="C86" s="53" t="s">
        <v>40</v>
      </c>
      <c r="D86" s="53" t="s">
        <v>44</v>
      </c>
      <c r="E86" s="53" t="s">
        <v>25</v>
      </c>
      <c r="F86" s="53" t="s">
        <v>25</v>
      </c>
      <c r="G86" s="53" t="s">
        <v>25</v>
      </c>
      <c r="H86" s="53" t="s">
        <v>35</v>
      </c>
      <c r="I86" s="75">
        <v>44774</v>
      </c>
      <c r="J86" s="76">
        <f ca="1">EFEITO!$J$86*EFEITO!$Y$86</f>
        <v>-5954.2188188828613</v>
      </c>
      <c r="K86" s="76">
        <f ca="1">EFEITO!$L$86*EFEITO!$Z$86</f>
        <v>-0.18147641369790721</v>
      </c>
      <c r="L86" s="76">
        <f>EFEITO!$N$86*EFEITO!$AA$86</f>
        <v>-0.21560278025898469</v>
      </c>
      <c r="M86" s="76">
        <f ca="1">$J$86-EFEITO!$K$86*EFEITO!$Y$86</f>
        <v>0</v>
      </c>
      <c r="N86" s="76">
        <f ca="1">$K$86-EFEITO!$M$86*EFEITO!$Z$86</f>
        <v>0</v>
      </c>
      <c r="O86" s="76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21</v>
      </c>
      <c r="B87" s="53" t="s">
        <v>41</v>
      </c>
      <c r="C87" s="53" t="s">
        <v>40</v>
      </c>
      <c r="D87" s="53" t="s">
        <v>44</v>
      </c>
      <c r="E87" s="53" t="s">
        <v>25</v>
      </c>
      <c r="F87" s="53" t="s">
        <v>25</v>
      </c>
      <c r="G87" s="53" t="s">
        <v>25</v>
      </c>
      <c r="H87" s="53" t="s">
        <v>35</v>
      </c>
      <c r="I87" s="75">
        <v>44805</v>
      </c>
      <c r="J87" s="76">
        <f ca="1">EFEITO!$J$87*EFEITO!$Y$87</f>
        <v>156123.43152145523</v>
      </c>
      <c r="K87" s="76">
        <f ca="1">EFEITO!$L$87*EFEITO!$Z$87</f>
        <v>371337.58213789877</v>
      </c>
      <c r="L87" s="76">
        <f>EFEITO!$N$87*EFEITO!$AA$87</f>
        <v>441167.05577427527</v>
      </c>
      <c r="M87" s="76">
        <f ca="1">$J$87-EFEITO!$K$87*EFEITO!$Y$87</f>
        <v>0</v>
      </c>
      <c r="N87" s="76">
        <f ca="1">$K$87-EFEITO!$M$87*EFEITO!$Z$87</f>
        <v>0</v>
      </c>
      <c r="O87" s="76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27</v>
      </c>
      <c r="B88" s="53" t="s">
        <v>41</v>
      </c>
      <c r="C88" s="53" t="s">
        <v>40</v>
      </c>
      <c r="D88" s="53" t="s">
        <v>44</v>
      </c>
      <c r="E88" s="53" t="s">
        <v>25</v>
      </c>
      <c r="F88" s="53" t="s">
        <v>25</v>
      </c>
      <c r="G88" s="53" t="s">
        <v>25</v>
      </c>
      <c r="H88" s="53" t="s">
        <v>35</v>
      </c>
      <c r="I88" s="75">
        <v>44805</v>
      </c>
      <c r="J88" s="76">
        <f ca="1">EFEITO!$J$88*EFEITO!$Y$88</f>
        <v>-148.32573570170828</v>
      </c>
      <c r="K88" s="76">
        <f ca="1">EFEITO!$L$88*EFEITO!$Z$88</f>
        <v>-3440.9742801260181</v>
      </c>
      <c r="L88" s="76">
        <f>EFEITO!$N$88*EFEITO!$AA$88</f>
        <v>-4088.0443164906083</v>
      </c>
      <c r="M88" s="76">
        <f ca="1">$J$88-EFEITO!$K$88*EFEITO!$Y$88</f>
        <v>0</v>
      </c>
      <c r="N88" s="76">
        <f ca="1">$K$88-EFEITO!$M$88*EFEITO!$Z$88</f>
        <v>0</v>
      </c>
      <c r="O88" s="76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21</v>
      </c>
      <c r="B89" s="53" t="s">
        <v>41</v>
      </c>
      <c r="C89" s="53" t="s">
        <v>40</v>
      </c>
      <c r="D89" s="53" t="s">
        <v>44</v>
      </c>
      <c r="E89" s="53" t="s">
        <v>25</v>
      </c>
      <c r="F89" s="53" t="s">
        <v>25</v>
      </c>
      <c r="G89" s="53" t="s">
        <v>25</v>
      </c>
      <c r="H89" s="53" t="s">
        <v>35</v>
      </c>
      <c r="I89" s="75">
        <v>44835</v>
      </c>
      <c r="J89" s="76">
        <f ca="1">EFEITO!$J$89*EFEITO!$Y$89</f>
        <v>154449.46964710738</v>
      </c>
      <c r="K89" s="76">
        <f ca="1">EFEITO!$L$89*EFEITO!$Z$89</f>
        <v>387868.08718522743</v>
      </c>
      <c r="L89" s="76">
        <f>EFEITO!$N$89*EFEITO!$AA$89</f>
        <v>460806.0974252859</v>
      </c>
      <c r="M89" s="76">
        <f ca="1">$J$89-EFEITO!$K$89*EFEITO!$Y$89</f>
        <v>0</v>
      </c>
      <c r="N89" s="76">
        <f ca="1">$K$89-EFEITO!$M$89*EFEITO!$Z$89</f>
        <v>0</v>
      </c>
      <c r="O89" s="76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54</v>
      </c>
      <c r="B90" s="53" t="s">
        <v>41</v>
      </c>
      <c r="C90" s="53" t="s">
        <v>40</v>
      </c>
      <c r="D90" s="53" t="s">
        <v>44</v>
      </c>
      <c r="E90" s="53" t="s">
        <v>25</v>
      </c>
      <c r="F90" s="53" t="s">
        <v>25</v>
      </c>
      <c r="G90" s="53" t="s">
        <v>25</v>
      </c>
      <c r="H90" s="53" t="s">
        <v>35</v>
      </c>
      <c r="I90" s="75">
        <v>44866</v>
      </c>
      <c r="J90" s="76">
        <f ca="1">EFEITO!$J$90*EFEITO!$Y$90</f>
        <v>154449.46964710738</v>
      </c>
      <c r="K90" s="76">
        <f ca="1">EFEITO!$L$90*EFEITO!$Z$90</f>
        <v>387868.08718522743</v>
      </c>
      <c r="L90" s="76">
        <f>EFEITO!$N$90*EFEITO!$AA$90</f>
        <v>460806.0974252859</v>
      </c>
      <c r="M90" s="76">
        <f ca="1">$J$90-EFEITO!$K$90*EFEITO!$Y$90</f>
        <v>0</v>
      </c>
      <c r="N90" s="76">
        <f ca="1">$K$90-EFEITO!$M$90*EFEITO!$Z$90</f>
        <v>0</v>
      </c>
      <c r="O90" s="76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21</v>
      </c>
      <c r="B91" s="53" t="s">
        <v>41</v>
      </c>
      <c r="C91" s="53" t="s">
        <v>40</v>
      </c>
      <c r="D91" s="53" t="s">
        <v>44</v>
      </c>
      <c r="E91" s="53" t="s">
        <v>25</v>
      </c>
      <c r="F91" s="53" t="s">
        <v>25</v>
      </c>
      <c r="G91" s="53" t="s">
        <v>25</v>
      </c>
      <c r="H91" s="53" t="s">
        <v>34</v>
      </c>
      <c r="I91" s="75">
        <v>44531</v>
      </c>
      <c r="J91" s="76">
        <f ca="1">EFEITO!$J$91*EFEITO!$Y$91</f>
        <v>304821.88063348288</v>
      </c>
      <c r="K91" s="76">
        <f ca="1">EFEITO!$L$91*EFEITO!$Z$91</f>
        <v>45409.209711904034</v>
      </c>
      <c r="L91" s="76">
        <f>EFEITO!$N$91*EFEITO!$AA$91</f>
        <v>80602.383048090618</v>
      </c>
      <c r="M91" s="76">
        <f ca="1">$J$91-EFEITO!$K$91*EFEITO!$Y$91</f>
        <v>0</v>
      </c>
      <c r="N91" s="76">
        <f ca="1">$K$91-EFEITO!$M$91*EFEITO!$Z$91</f>
        <v>0</v>
      </c>
      <c r="O91" s="76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21</v>
      </c>
      <c r="B92" s="53" t="s">
        <v>41</v>
      </c>
      <c r="C92" s="53" t="s">
        <v>40</v>
      </c>
      <c r="D92" s="53" t="s">
        <v>44</v>
      </c>
      <c r="E92" s="53" t="s">
        <v>25</v>
      </c>
      <c r="F92" s="53" t="s">
        <v>25</v>
      </c>
      <c r="G92" s="53" t="s">
        <v>25</v>
      </c>
      <c r="H92" s="53" t="s">
        <v>34</v>
      </c>
      <c r="I92" s="75">
        <v>44562</v>
      </c>
      <c r="J92" s="76">
        <f ca="1">EFEITO!$J$92*EFEITO!$Y$92</f>
        <v>303085.9311442016</v>
      </c>
      <c r="K92" s="76">
        <f ca="1">EFEITO!$L$92*EFEITO!$Z$92</f>
        <v>39084.938170945672</v>
      </c>
      <c r="L92" s="76">
        <f>EFEITO!$N$92*EFEITO!$AA$92</f>
        <v>69376.656802719881</v>
      </c>
      <c r="M92" s="76">
        <f ca="1">$J$92-EFEITO!$K$92*EFEITO!$Y$92</f>
        <v>0</v>
      </c>
      <c r="N92" s="76">
        <f ca="1">$K$92-EFEITO!$M$92*EFEITO!$Z$92</f>
        <v>0</v>
      </c>
      <c r="O92" s="76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21</v>
      </c>
      <c r="B93" s="53" t="s">
        <v>41</v>
      </c>
      <c r="C93" s="53" t="s">
        <v>40</v>
      </c>
      <c r="D93" s="53" t="s">
        <v>44</v>
      </c>
      <c r="E93" s="53" t="s">
        <v>25</v>
      </c>
      <c r="F93" s="53" t="s">
        <v>25</v>
      </c>
      <c r="G93" s="53" t="s">
        <v>25</v>
      </c>
      <c r="H93" s="53" t="s">
        <v>34</v>
      </c>
      <c r="I93" s="75">
        <v>44593</v>
      </c>
      <c r="J93" s="76">
        <f ca="1">EFEITO!$J$93*EFEITO!$Y$93</f>
        <v>304279.39641808247</v>
      </c>
      <c r="K93" s="76">
        <f ca="1">EFEITO!$L$93*EFEITO!$Z$93</f>
        <v>37518.978197146425</v>
      </c>
      <c r="L93" s="76">
        <f>EFEITO!$N$93*EFEITO!$AA$93</f>
        <v>66597.042128803732</v>
      </c>
      <c r="M93" s="76">
        <f ca="1">$J$93-EFEITO!$K$93*EFEITO!$Y$93</f>
        <v>0</v>
      </c>
      <c r="N93" s="76">
        <f ca="1">$K$93-EFEITO!$M$93*EFEITO!$Z$93</f>
        <v>0</v>
      </c>
      <c r="O93" s="76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21</v>
      </c>
      <c r="B94" s="53" t="s">
        <v>41</v>
      </c>
      <c r="C94" s="53" t="s">
        <v>40</v>
      </c>
      <c r="D94" s="53" t="s">
        <v>44</v>
      </c>
      <c r="E94" s="53" t="s">
        <v>25</v>
      </c>
      <c r="F94" s="53" t="s">
        <v>25</v>
      </c>
      <c r="G94" s="53" t="s">
        <v>25</v>
      </c>
      <c r="H94" s="53" t="s">
        <v>34</v>
      </c>
      <c r="I94" s="75">
        <v>44621</v>
      </c>
      <c r="J94" s="76">
        <f ca="1">EFEITO!$J$94*EFEITO!$Y$94</f>
        <v>303628.41535960202</v>
      </c>
      <c r="K94" s="76">
        <f ca="1">EFEITO!$L$94*EFEITO!$Z$94</f>
        <v>40086.506498144416</v>
      </c>
      <c r="L94" s="76">
        <f>EFEITO!$N$94*EFEITO!$AA$94</f>
        <v>71154.463429831158</v>
      </c>
      <c r="M94" s="76">
        <f ca="1">$J$94-EFEITO!$K$94*EFEITO!$Y$94</f>
        <v>0</v>
      </c>
      <c r="N94" s="76">
        <f ca="1">$K$94-EFEITO!$M$94*EFEITO!$Z$94</f>
        <v>0</v>
      </c>
      <c r="O94" s="76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21</v>
      </c>
      <c r="B95" s="53" t="s">
        <v>41</v>
      </c>
      <c r="C95" s="53" t="s">
        <v>40</v>
      </c>
      <c r="D95" s="53" t="s">
        <v>44</v>
      </c>
      <c r="E95" s="53" t="s">
        <v>25</v>
      </c>
      <c r="F95" s="53" t="s">
        <v>25</v>
      </c>
      <c r="G95" s="53" t="s">
        <v>25</v>
      </c>
      <c r="H95" s="53" t="s">
        <v>34</v>
      </c>
      <c r="I95" s="75">
        <v>44652</v>
      </c>
      <c r="J95" s="76">
        <f ca="1">EFEITO!$J$95*EFEITO!$Y$95</f>
        <v>303845.40904576215</v>
      </c>
      <c r="K95" s="76">
        <f ca="1">EFEITO!$L$95*EFEITO!$Z$95</f>
        <v>36217.429358105037</v>
      </c>
      <c r="L95" s="76">
        <f>EFEITO!$N$95*EFEITO!$AA$95</f>
        <v>64286.763250448566</v>
      </c>
      <c r="M95" s="76">
        <f ca="1">$J$95-EFEITO!$K$95*EFEITO!$Y$95</f>
        <v>0</v>
      </c>
      <c r="N95" s="76">
        <f ca="1">$K$95-EFEITO!$M$95*EFEITO!$Z$95</f>
        <v>0</v>
      </c>
      <c r="O95" s="76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21</v>
      </c>
      <c r="B96" s="53" t="s">
        <v>41</v>
      </c>
      <c r="C96" s="53" t="s">
        <v>40</v>
      </c>
      <c r="D96" s="53" t="s">
        <v>44</v>
      </c>
      <c r="E96" s="53" t="s">
        <v>25</v>
      </c>
      <c r="F96" s="53" t="s">
        <v>25</v>
      </c>
      <c r="G96" s="53" t="s">
        <v>25</v>
      </c>
      <c r="H96" s="53" t="s">
        <v>34</v>
      </c>
      <c r="I96" s="75">
        <v>44682</v>
      </c>
      <c r="J96" s="76">
        <f ca="1">EFEITO!$J$96*EFEITO!$Y$96</f>
        <v>304659.13536886277</v>
      </c>
      <c r="K96" s="76">
        <f ca="1">EFEITO!$L$96*EFEITO!$Z$96</f>
        <v>40177.426181407071</v>
      </c>
      <c r="L96" s="76">
        <f>EFEITO!$N$96*EFEITO!$AA$96</f>
        <v>71315.847941551168</v>
      </c>
      <c r="M96" s="76">
        <f ca="1">$J$96-EFEITO!$K$96*EFEITO!$Y$96</f>
        <v>0</v>
      </c>
      <c r="N96" s="76">
        <f ca="1">$K$96-EFEITO!$M$96*EFEITO!$Z$96</f>
        <v>0</v>
      </c>
      <c r="O96" s="76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21</v>
      </c>
      <c r="B97" s="53" t="s">
        <v>41</v>
      </c>
      <c r="C97" s="53" t="s">
        <v>40</v>
      </c>
      <c r="D97" s="53" t="s">
        <v>44</v>
      </c>
      <c r="E97" s="53" t="s">
        <v>25</v>
      </c>
      <c r="F97" s="53" t="s">
        <v>25</v>
      </c>
      <c r="G97" s="53" t="s">
        <v>25</v>
      </c>
      <c r="H97" s="53" t="s">
        <v>34</v>
      </c>
      <c r="I97" s="75">
        <v>44713</v>
      </c>
      <c r="J97" s="76">
        <f ca="1">EFEITO!$J$97*EFEITO!$Y$97</f>
        <v>304713.38379040279</v>
      </c>
      <c r="K97" s="76">
        <f ca="1">EFEITO!$L$97*EFEITO!$Z$97</f>
        <v>40816.586110451099</v>
      </c>
      <c r="L97" s="76">
        <f>EFEITO!$N$97*EFEITO!$AA$97</f>
        <v>72450.371395199647</v>
      </c>
      <c r="M97" s="76">
        <f ca="1">$J$97-EFEITO!$K$97*EFEITO!$Y$97</f>
        <v>0</v>
      </c>
      <c r="N97" s="76">
        <f ca="1">$K$97-EFEITO!$M$97*EFEITO!$Z$97</f>
        <v>0</v>
      </c>
      <c r="O97" s="76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21</v>
      </c>
      <c r="B98" s="53" t="s">
        <v>41</v>
      </c>
      <c r="C98" s="53" t="s">
        <v>40</v>
      </c>
      <c r="D98" s="53" t="s">
        <v>44</v>
      </c>
      <c r="E98" s="53" t="s">
        <v>25</v>
      </c>
      <c r="F98" s="53" t="s">
        <v>25</v>
      </c>
      <c r="G98" s="53" t="s">
        <v>25</v>
      </c>
      <c r="H98" s="53" t="s">
        <v>34</v>
      </c>
      <c r="I98" s="75">
        <v>44743</v>
      </c>
      <c r="J98" s="76">
        <f ca="1">EFEITO!$J$98*EFEITO!$Y$98</f>
        <v>328528.4408464802</v>
      </c>
      <c r="K98" s="76">
        <f ca="1">EFEITO!$L$98*EFEITO!$Z$98</f>
        <v>41929.036526419273</v>
      </c>
      <c r="L98" s="76">
        <f>EFEITO!$N$98*EFEITO!$AA$98</f>
        <v>74424.996259159103</v>
      </c>
      <c r="M98" s="76">
        <f ca="1">$J$98-EFEITO!$K$98*EFEITO!$Y$98</f>
        <v>0</v>
      </c>
      <c r="N98" s="76">
        <f ca="1">$K$98-EFEITO!$M$98*EFEITO!$Z$98</f>
        <v>0</v>
      </c>
      <c r="O98" s="76">
        <f>$L$98-EFEITO!$O$98*EFEITO!$AA$98</f>
        <v>0</v>
      </c>
      <c r="P98" s="57"/>
      <c r="Q98" s="57"/>
      <c r="R98" s="57"/>
      <c r="S98" s="57"/>
      <c r="T98" s="57"/>
      <c r="U98" s="57"/>
      <c r="V98" s="57"/>
      <c r="W98" s="5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21</v>
      </c>
      <c r="B99" s="53" t="s">
        <v>41</v>
      </c>
      <c r="C99" s="53" t="s">
        <v>40</v>
      </c>
      <c r="D99" s="53" t="s">
        <v>44</v>
      </c>
      <c r="E99" s="53" t="s">
        <v>25</v>
      </c>
      <c r="F99" s="53" t="s">
        <v>25</v>
      </c>
      <c r="G99" s="53" t="s">
        <v>25</v>
      </c>
      <c r="H99" s="53" t="s">
        <v>34</v>
      </c>
      <c r="I99" s="75">
        <v>44774</v>
      </c>
      <c r="J99" s="76">
        <f ca="1">EFEITO!$J$99*EFEITO!$Y$99</f>
        <v>325707.52292639815</v>
      </c>
      <c r="K99" s="76">
        <f ca="1">EFEITO!$L$99*EFEITO!$Z$99</f>
        <v>47795.806028445215</v>
      </c>
      <c r="L99" s="76">
        <f>EFEITO!$N$99*EFEITO!$AA$99</f>
        <v>84838.645949547485</v>
      </c>
      <c r="M99" s="76">
        <f ca="1">$J$99-EFEITO!$K$99*EFEITO!$Y$99</f>
        <v>0</v>
      </c>
      <c r="N99" s="76">
        <f ca="1">$K$99-EFEITO!$M$99*EFEITO!$Z$99</f>
        <v>0</v>
      </c>
      <c r="O99" s="76">
        <f>$L$99-EFEITO!$O$99*EFEITO!$AA$99</f>
        <v>0</v>
      </c>
      <c r="P99" s="57"/>
      <c r="Q99" s="57"/>
      <c r="R99" s="57"/>
      <c r="S99" s="57"/>
      <c r="T99" s="57"/>
      <c r="U99" s="57"/>
      <c r="V99" s="57"/>
      <c r="W99" s="5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27</v>
      </c>
      <c r="B100" s="53" t="s">
        <v>41</v>
      </c>
      <c r="C100" s="53" t="s">
        <v>40</v>
      </c>
      <c r="D100" s="53" t="s">
        <v>44</v>
      </c>
      <c r="E100" s="53" t="s">
        <v>25</v>
      </c>
      <c r="F100" s="53" t="s">
        <v>25</v>
      </c>
      <c r="G100" s="53" t="s">
        <v>25</v>
      </c>
      <c r="H100" s="53" t="s">
        <v>34</v>
      </c>
      <c r="I100" s="75">
        <v>44774</v>
      </c>
      <c r="J100" s="76">
        <f ca="1">EFEITO!$J$100*EFEITO!$Y$100</f>
        <v>-3471.8989785625386</v>
      </c>
      <c r="K100" s="76">
        <f ca="1">EFEITO!$L$100*EFEITO!$Z$100</f>
        <v>-0.18147641369790721</v>
      </c>
      <c r="L100" s="76">
        <f>EFEITO!$N$100*EFEITO!$AA$100</f>
        <v>-0.3221247738922417</v>
      </c>
      <c r="M100" s="76">
        <f ca="1">$J$100-EFEITO!$K$100*EFEITO!$Y$100</f>
        <v>0</v>
      </c>
      <c r="N100" s="76">
        <f ca="1">$K$100-EFEITO!$M$100*EFEITO!$Z$100</f>
        <v>0</v>
      </c>
      <c r="O100" s="76">
        <f>$L$100-EFEITO!$O$100*EFEITO!$AA$100</f>
        <v>0</v>
      </c>
      <c r="P100" s="57"/>
      <c r="Q100" s="57"/>
      <c r="R100" s="57"/>
      <c r="S100" s="57"/>
      <c r="T100" s="57"/>
      <c r="U100" s="57"/>
      <c r="V100" s="57"/>
      <c r="W100" s="5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21</v>
      </c>
      <c r="B101" s="53" t="s">
        <v>41</v>
      </c>
      <c r="C101" s="53" t="s">
        <v>40</v>
      </c>
      <c r="D101" s="53" t="s">
        <v>44</v>
      </c>
      <c r="E101" s="53" t="s">
        <v>25</v>
      </c>
      <c r="F101" s="53" t="s">
        <v>25</v>
      </c>
      <c r="G101" s="53" t="s">
        <v>25</v>
      </c>
      <c r="H101" s="53" t="s">
        <v>34</v>
      </c>
      <c r="I101" s="75">
        <v>44805</v>
      </c>
      <c r="J101" s="76">
        <f ca="1">EFEITO!$J$101*EFEITO!$Y$101</f>
        <v>325761.77134793816</v>
      </c>
      <c r="K101" s="76">
        <f ca="1">EFEITO!$L$101*EFEITO!$Z$101</f>
        <v>46838.154993361364</v>
      </c>
      <c r="L101" s="76">
        <f>EFEITO!$N$101*EFEITO!$AA$101</f>
        <v>83138.793517718135</v>
      </c>
      <c r="M101" s="76">
        <f ca="1">$J$101-EFEITO!$K$101*EFEITO!$Y$101</f>
        <v>0</v>
      </c>
      <c r="N101" s="76">
        <f ca="1">$K$101-EFEITO!$M$101*EFEITO!$Z$101</f>
        <v>0</v>
      </c>
      <c r="O101" s="76">
        <f>$L$101-EFEITO!$O$101*EFEITO!$AA$101</f>
        <v>0</v>
      </c>
      <c r="P101" s="57"/>
      <c r="Q101" s="57"/>
      <c r="R101" s="57"/>
      <c r="S101" s="57"/>
      <c r="T101" s="57"/>
      <c r="U101" s="57"/>
      <c r="V101" s="57"/>
      <c r="W101" s="5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27</v>
      </c>
      <c r="B102" s="53" t="s">
        <v>41</v>
      </c>
      <c r="C102" s="53" t="s">
        <v>40</v>
      </c>
      <c r="D102" s="53" t="s">
        <v>44</v>
      </c>
      <c r="E102" s="53" t="s">
        <v>25</v>
      </c>
      <c r="F102" s="53" t="s">
        <v>25</v>
      </c>
      <c r="G102" s="53" t="s">
        <v>25</v>
      </c>
      <c r="H102" s="53" t="s">
        <v>34</v>
      </c>
      <c r="I102" s="75">
        <v>44805</v>
      </c>
      <c r="J102" s="76">
        <f ca="1">EFEITO!$J$102*EFEITO!$Y$102</f>
        <v>-108.49684308007933</v>
      </c>
      <c r="K102" s="76">
        <f ca="1">EFEITO!$L$102*EFEITO!$Z$102</f>
        <v>-217.77169643748863</v>
      </c>
      <c r="L102" s="76">
        <f>EFEITO!$N$102*EFEITO!$AA$102</f>
        <v>-386.54972867069006</v>
      </c>
      <c r="M102" s="76">
        <f ca="1">$J$102-EFEITO!$K$102*EFEITO!$Y$102</f>
        <v>0</v>
      </c>
      <c r="N102" s="76">
        <f ca="1">$K$102-EFEITO!$M$102*EFEITO!$Z$102</f>
        <v>0</v>
      </c>
      <c r="O102" s="76">
        <f>$L$102-EFEITO!$O$102*EFEITO!$AA$102</f>
        <v>0</v>
      </c>
      <c r="P102" s="57"/>
      <c r="Q102" s="57"/>
      <c r="R102" s="57"/>
      <c r="S102" s="57"/>
      <c r="T102" s="57"/>
      <c r="U102" s="57"/>
      <c r="V102" s="57"/>
      <c r="W102" s="5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21</v>
      </c>
      <c r="B103" s="53" t="s">
        <v>41</v>
      </c>
      <c r="C103" s="53" t="s">
        <v>40</v>
      </c>
      <c r="D103" s="53" t="s">
        <v>44</v>
      </c>
      <c r="E103" s="53" t="s">
        <v>25</v>
      </c>
      <c r="F103" s="53" t="s">
        <v>25</v>
      </c>
      <c r="G103" s="53" t="s">
        <v>25</v>
      </c>
      <c r="H103" s="53" t="s">
        <v>34</v>
      </c>
      <c r="I103" s="75">
        <v>44835</v>
      </c>
      <c r="J103" s="76">
        <f ca="1">EFEITO!$J$103*EFEITO!$Y$103</f>
        <v>322127.12710475555</v>
      </c>
      <c r="K103" s="76">
        <f ca="1">EFEITO!$L$103*EFEITO!$Z$103</f>
        <v>45075.474587113582</v>
      </c>
      <c r="L103" s="76">
        <f>EFEITO!$N$103*EFEITO!$AA$103</f>
        <v>80009.995588902777</v>
      </c>
      <c r="M103" s="76">
        <f ca="1">$J$103-EFEITO!$K$103*EFEITO!$Y$103</f>
        <v>0</v>
      </c>
      <c r="N103" s="76">
        <f ca="1">$K$103-EFEITO!$M$103*EFEITO!$Z$103</f>
        <v>0</v>
      </c>
      <c r="O103" s="76">
        <f>$L$103-EFEITO!$O$103*EFEITO!$AA$103</f>
        <v>0</v>
      </c>
      <c r="P103" s="57"/>
      <c r="Q103" s="57"/>
      <c r="R103" s="57"/>
      <c r="S103" s="57"/>
      <c r="T103" s="57"/>
      <c r="U103" s="57"/>
      <c r="V103" s="57"/>
      <c r="W103" s="5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54</v>
      </c>
      <c r="B104" s="53" t="s">
        <v>41</v>
      </c>
      <c r="C104" s="53" t="s">
        <v>40</v>
      </c>
      <c r="D104" s="53" t="s">
        <v>44</v>
      </c>
      <c r="E104" s="53" t="s">
        <v>25</v>
      </c>
      <c r="F104" s="53" t="s">
        <v>25</v>
      </c>
      <c r="G104" s="53" t="s">
        <v>25</v>
      </c>
      <c r="H104" s="53" t="s">
        <v>34</v>
      </c>
      <c r="I104" s="75">
        <v>44866</v>
      </c>
      <c r="J104" s="76">
        <f ca="1">EFEITO!$J$104*EFEITO!$Y$104</f>
        <v>322127.12710475555</v>
      </c>
      <c r="K104" s="76">
        <f ca="1">EFEITO!$L$104*EFEITO!$Z$104</f>
        <v>45075.474587113582</v>
      </c>
      <c r="L104" s="76">
        <f>EFEITO!$N$104*EFEITO!$AA$104</f>
        <v>80009.995588902777</v>
      </c>
      <c r="M104" s="76">
        <f ca="1">$J$104-EFEITO!$K$104*EFEITO!$Y$104</f>
        <v>0</v>
      </c>
      <c r="N104" s="76">
        <f ca="1">$K$104-EFEITO!$M$104*EFEITO!$Z$104</f>
        <v>0</v>
      </c>
      <c r="O104" s="76">
        <f>$L$104-EFEITO!$O$104*EFEITO!$AA$104</f>
        <v>0</v>
      </c>
      <c r="P104" s="57"/>
      <c r="Q104" s="57"/>
      <c r="R104" s="57"/>
      <c r="S104" s="57"/>
      <c r="T104" s="57"/>
      <c r="U104" s="57"/>
      <c r="V104" s="57"/>
      <c r="W104" s="5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21</v>
      </c>
      <c r="B105" s="53" t="s">
        <v>41</v>
      </c>
      <c r="C105" s="53" t="s">
        <v>40</v>
      </c>
      <c r="D105" s="53" t="s">
        <v>38</v>
      </c>
      <c r="E105" s="53" t="s">
        <v>25</v>
      </c>
      <c r="F105" s="53" t="s">
        <v>25</v>
      </c>
      <c r="G105" s="53" t="s">
        <v>25</v>
      </c>
      <c r="H105" s="53" t="s">
        <v>35</v>
      </c>
      <c r="I105" s="75">
        <v>44531</v>
      </c>
      <c r="J105" s="76">
        <f ca="1">EFEITO!$J$105*EFEITO!$Y$105</f>
        <v>51066.431863016711</v>
      </c>
      <c r="K105" s="76">
        <f ca="1">EFEITO!$L$105*EFEITO!$Z$105</f>
        <v>124948.32559514607</v>
      </c>
      <c r="L105" s="76">
        <f>EFEITO!$N$105*EFEITO!$AA$105</f>
        <v>148444.67023611354</v>
      </c>
      <c r="M105" s="76">
        <f ca="1">$J$105-EFEITO!$K$105*EFEITO!$Y$105</f>
        <v>0</v>
      </c>
      <c r="N105" s="76">
        <f ca="1">$K$105-EFEITO!$M$105*EFEITO!$Z$105</f>
        <v>0</v>
      </c>
      <c r="O105" s="76">
        <f>$L$105-EFEITO!$O$105*EFEITO!$AA$105</f>
        <v>0</v>
      </c>
      <c r="P105" s="57"/>
      <c r="Q105" s="57"/>
      <c r="R105" s="57"/>
      <c r="S105" s="57"/>
      <c r="T105" s="57"/>
      <c r="U105" s="57"/>
      <c r="V105" s="57"/>
      <c r="W105" s="5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21</v>
      </c>
      <c r="B106" s="53" t="s">
        <v>41</v>
      </c>
      <c r="C106" s="53" t="s">
        <v>40</v>
      </c>
      <c r="D106" s="53" t="s">
        <v>38</v>
      </c>
      <c r="E106" s="53" t="s">
        <v>25</v>
      </c>
      <c r="F106" s="53" t="s">
        <v>25</v>
      </c>
      <c r="G106" s="53" t="s">
        <v>25</v>
      </c>
      <c r="H106" s="53" t="s">
        <v>35</v>
      </c>
      <c r="I106" s="75">
        <v>44562</v>
      </c>
      <c r="J106" s="76">
        <f ca="1">EFEITO!$J$106*EFEITO!$Y$106</f>
        <v>51066.431863016711</v>
      </c>
      <c r="K106" s="76">
        <f ca="1">EFEITO!$L$106*EFEITO!$Z$106</f>
        <v>123007.79830347437</v>
      </c>
      <c r="L106" s="76">
        <f>EFEITO!$N$106*EFEITO!$AA$106</f>
        <v>146139.22970680424</v>
      </c>
      <c r="M106" s="76">
        <f ca="1">$J$106-EFEITO!$K$106*EFEITO!$Y$106</f>
        <v>0</v>
      </c>
      <c r="N106" s="76">
        <f ca="1">$K$106-EFEITO!$M$106*EFEITO!$Z$106</f>
        <v>0</v>
      </c>
      <c r="O106" s="76">
        <f>$L$106-EFEITO!$O$106*EFEITO!$AA$106</f>
        <v>0</v>
      </c>
      <c r="P106" s="57"/>
      <c r="Q106" s="57"/>
      <c r="R106" s="57"/>
      <c r="S106" s="57"/>
      <c r="T106" s="57"/>
      <c r="U106" s="57"/>
      <c r="V106" s="57"/>
      <c r="W106" s="5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21</v>
      </c>
      <c r="B107" s="53" t="s">
        <v>41</v>
      </c>
      <c r="C107" s="53" t="s">
        <v>40</v>
      </c>
      <c r="D107" s="53" t="s">
        <v>38</v>
      </c>
      <c r="E107" s="53" t="s">
        <v>25</v>
      </c>
      <c r="F107" s="53" t="s">
        <v>25</v>
      </c>
      <c r="G107" s="53" t="s">
        <v>25</v>
      </c>
      <c r="H107" s="53" t="s">
        <v>35</v>
      </c>
      <c r="I107" s="75">
        <v>44593</v>
      </c>
      <c r="J107" s="76">
        <f ca="1">EFEITO!$J$107*EFEITO!$Y$107</f>
        <v>51108.810644645768</v>
      </c>
      <c r="K107" s="76">
        <f ca="1">EFEITO!$L$107*EFEITO!$Z$107</f>
        <v>109924.25625792374</v>
      </c>
      <c r="L107" s="76">
        <f>EFEITO!$N$107*EFEITO!$AA$107</f>
        <v>130595.34726403272</v>
      </c>
      <c r="M107" s="76">
        <f ca="1">$J$107-EFEITO!$K$107*EFEITO!$Y$107</f>
        <v>0</v>
      </c>
      <c r="N107" s="76">
        <f ca="1">$K$107-EFEITO!$M$107*EFEITO!$Z$107</f>
        <v>0</v>
      </c>
      <c r="O107" s="76">
        <f>$L$107-EFEITO!$O$107*EFEITO!$AA$107</f>
        <v>0</v>
      </c>
      <c r="P107" s="57"/>
      <c r="Q107" s="57"/>
      <c r="R107" s="57"/>
      <c r="S107" s="57"/>
      <c r="T107" s="57"/>
      <c r="U107" s="57"/>
      <c r="V107" s="57"/>
      <c r="W107" s="5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21</v>
      </c>
      <c r="B108" s="53" t="s">
        <v>41</v>
      </c>
      <c r="C108" s="53" t="s">
        <v>40</v>
      </c>
      <c r="D108" s="53" t="s">
        <v>38</v>
      </c>
      <c r="E108" s="53" t="s">
        <v>25</v>
      </c>
      <c r="F108" s="53" t="s">
        <v>25</v>
      </c>
      <c r="G108" s="53" t="s">
        <v>25</v>
      </c>
      <c r="H108" s="53" t="s">
        <v>35</v>
      </c>
      <c r="I108" s="75">
        <v>44621</v>
      </c>
      <c r="J108" s="76">
        <f ca="1">EFEITO!$J$108*EFEITO!$Y$108</f>
        <v>52337.795311888498</v>
      </c>
      <c r="K108" s="76">
        <f ca="1">EFEITO!$L$108*EFEITO!$Z$108</f>
        <v>134595.06731808573</v>
      </c>
      <c r="L108" s="76">
        <f>EFEITO!$N$108*EFEITO!$AA$108</f>
        <v>159905.46722634041</v>
      </c>
      <c r="M108" s="76">
        <f ca="1">$J$108-EFEITO!$K$108*EFEITO!$Y$108</f>
        <v>0</v>
      </c>
      <c r="N108" s="76">
        <f ca="1">$K$108-EFEITO!$M$108*EFEITO!$Z$108</f>
        <v>0</v>
      </c>
      <c r="O108" s="76">
        <f>$L$108-EFEITO!$O$108*EFEITO!$AA$108</f>
        <v>0</v>
      </c>
      <c r="P108" s="57"/>
      <c r="Q108" s="57"/>
      <c r="R108" s="57"/>
      <c r="S108" s="57"/>
      <c r="T108" s="57"/>
      <c r="U108" s="57"/>
      <c r="V108" s="57"/>
      <c r="W108" s="5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21</v>
      </c>
      <c r="B109" s="53" t="s">
        <v>41</v>
      </c>
      <c r="C109" s="53" t="s">
        <v>40</v>
      </c>
      <c r="D109" s="53" t="s">
        <v>38</v>
      </c>
      <c r="E109" s="53" t="s">
        <v>25</v>
      </c>
      <c r="F109" s="53" t="s">
        <v>25</v>
      </c>
      <c r="G109" s="53" t="s">
        <v>25</v>
      </c>
      <c r="H109" s="53" t="s">
        <v>35</v>
      </c>
      <c r="I109" s="75">
        <v>44652</v>
      </c>
      <c r="J109" s="76">
        <f ca="1">EFEITO!$J$109*EFEITO!$Y$109</f>
        <v>51235.946989532946</v>
      </c>
      <c r="K109" s="76">
        <f ca="1">EFEITO!$L$109*EFEITO!$Z$109</f>
        <v>93101.937137368834</v>
      </c>
      <c r="L109" s="76">
        <f>EFEITO!$N$109*EFEITO!$AA$109</f>
        <v>110609.61634236561</v>
      </c>
      <c r="M109" s="76">
        <f ca="1">$J$109-EFEITO!$K$109*EFEITO!$Y$109</f>
        <v>0</v>
      </c>
      <c r="N109" s="76">
        <f ca="1">$K$109-EFEITO!$M$109*EFEITO!$Z$109</f>
        <v>0</v>
      </c>
      <c r="O109" s="76">
        <f>$L$109-EFEITO!$O$109*EFEITO!$AA$109</f>
        <v>0</v>
      </c>
      <c r="P109" s="57"/>
      <c r="Q109" s="57"/>
      <c r="R109" s="57"/>
      <c r="S109" s="57"/>
      <c r="T109" s="57"/>
      <c r="U109" s="57"/>
      <c r="V109" s="57"/>
      <c r="W109" s="5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21</v>
      </c>
      <c r="B110" s="53" t="s">
        <v>41</v>
      </c>
      <c r="C110" s="53" t="s">
        <v>40</v>
      </c>
      <c r="D110" s="53" t="s">
        <v>38</v>
      </c>
      <c r="E110" s="53" t="s">
        <v>25</v>
      </c>
      <c r="F110" s="53" t="s">
        <v>25</v>
      </c>
      <c r="G110" s="53" t="s">
        <v>25</v>
      </c>
      <c r="H110" s="53" t="s">
        <v>35</v>
      </c>
      <c r="I110" s="75">
        <v>44682</v>
      </c>
      <c r="J110" s="76">
        <f ca="1">EFEITO!$J$110*EFEITO!$Y$110</f>
        <v>46955.690044997937</v>
      </c>
      <c r="K110" s="76">
        <f ca="1">EFEITO!$L$110*EFEITO!$Z$110</f>
        <v>110042.03445041367</v>
      </c>
      <c r="L110" s="76">
        <f>EFEITO!$N$110*EFEITO!$AA$110</f>
        <v>130735.2734684208</v>
      </c>
      <c r="M110" s="76">
        <f ca="1">$J$110-EFEITO!$K$110*EFEITO!$Y$110</f>
        <v>0</v>
      </c>
      <c r="N110" s="76">
        <f ca="1">$K$110-EFEITO!$M$110*EFEITO!$Z$110</f>
        <v>0</v>
      </c>
      <c r="O110" s="76">
        <f>$L$110-EFEITO!$O$110*EFEITO!$AA$110</f>
        <v>0</v>
      </c>
      <c r="P110" s="57"/>
      <c r="Q110" s="57"/>
      <c r="R110" s="57"/>
      <c r="S110" s="57"/>
      <c r="T110" s="57"/>
      <c r="U110" s="57"/>
      <c r="V110" s="57"/>
      <c r="W110" s="5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21</v>
      </c>
      <c r="B111" s="53" t="s">
        <v>41</v>
      </c>
      <c r="C111" s="53" t="s">
        <v>40</v>
      </c>
      <c r="D111" s="53" t="s">
        <v>38</v>
      </c>
      <c r="E111" s="53" t="s">
        <v>25</v>
      </c>
      <c r="F111" s="53" t="s">
        <v>25</v>
      </c>
      <c r="G111" s="53" t="s">
        <v>25</v>
      </c>
      <c r="H111" s="53" t="s">
        <v>35</v>
      </c>
      <c r="I111" s="75">
        <v>44713</v>
      </c>
      <c r="J111" s="76">
        <f ca="1">EFEITO!$J$111*EFEITO!$Y$111</f>
        <v>47379.477861288535</v>
      </c>
      <c r="K111" s="76">
        <f ca="1">EFEITO!$L$111*EFEITO!$Z$111</f>
        <v>112200.3334385229</v>
      </c>
      <c r="L111" s="76">
        <f>EFEITO!$N$111*EFEITO!$AA$111</f>
        <v>133299.43733404091</v>
      </c>
      <c r="M111" s="76">
        <f ca="1">$J$111-EFEITO!$K$111*EFEITO!$Y$111</f>
        <v>0</v>
      </c>
      <c r="N111" s="76">
        <f ca="1">$K$111-EFEITO!$M$111*EFEITO!$Z$111</f>
        <v>0</v>
      </c>
      <c r="O111" s="76">
        <f>$L$111-EFEITO!$O$111*EFEITO!$AA$111</f>
        <v>0</v>
      </c>
      <c r="P111" s="57"/>
      <c r="Q111" s="57"/>
      <c r="R111" s="57"/>
      <c r="S111" s="57"/>
      <c r="T111" s="57"/>
      <c r="U111" s="57"/>
      <c r="V111" s="57"/>
      <c r="W111" s="5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21</v>
      </c>
      <c r="B112" s="53" t="s">
        <v>41</v>
      </c>
      <c r="C112" s="53" t="s">
        <v>40</v>
      </c>
      <c r="D112" s="53" t="s">
        <v>38</v>
      </c>
      <c r="E112" s="53" t="s">
        <v>25</v>
      </c>
      <c r="F112" s="53" t="s">
        <v>25</v>
      </c>
      <c r="G112" s="53" t="s">
        <v>25</v>
      </c>
      <c r="H112" s="53" t="s">
        <v>35</v>
      </c>
      <c r="I112" s="75">
        <v>44743</v>
      </c>
      <c r="J112" s="76">
        <f ca="1">EFEITO!$J$112*EFEITO!$Y$112</f>
        <v>68844.330756407173</v>
      </c>
      <c r="K112" s="76">
        <f ca="1">EFEITO!$L$112*EFEITO!$Z$112</f>
        <v>106094.7409760705</v>
      </c>
      <c r="L112" s="76">
        <f>EFEITO!$N$112*EFEITO!$AA$112</f>
        <v>126045.69739500764</v>
      </c>
      <c r="M112" s="76">
        <f ca="1">$J$112-EFEITO!$K$112*EFEITO!$Y$112</f>
        <v>0</v>
      </c>
      <c r="N112" s="76">
        <f ca="1">$K$112-EFEITO!$M$112*EFEITO!$Z$112</f>
        <v>0</v>
      </c>
      <c r="O112" s="76">
        <f>$L$112-EFEITO!$O$112*EFEITO!$AA$112</f>
        <v>0</v>
      </c>
      <c r="P112" s="57"/>
      <c r="Q112" s="57"/>
      <c r="R112" s="57"/>
      <c r="S112" s="57"/>
      <c r="T112" s="57"/>
      <c r="U112" s="57"/>
      <c r="V112" s="57"/>
      <c r="W112" s="5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21</v>
      </c>
      <c r="B113" s="53" t="s">
        <v>41</v>
      </c>
      <c r="C113" s="53" t="s">
        <v>40</v>
      </c>
      <c r="D113" s="53" t="s">
        <v>38</v>
      </c>
      <c r="E113" s="53" t="s">
        <v>25</v>
      </c>
      <c r="F113" s="53" t="s">
        <v>25</v>
      </c>
      <c r="G113" s="53" t="s">
        <v>25</v>
      </c>
      <c r="H113" s="53" t="s">
        <v>35</v>
      </c>
      <c r="I113" s="75">
        <v>44774</v>
      </c>
      <c r="J113" s="76">
        <f ca="1">EFEITO!$J$113*EFEITO!$Y$113</f>
        <v>44942.69791761761</v>
      </c>
      <c r="K113" s="76">
        <f ca="1">EFEITO!$L$113*EFEITO!$Z$113</f>
        <v>103071.16244744966</v>
      </c>
      <c r="L113" s="76">
        <f>EFEITO!$N$113*EFEITO!$AA$113</f>
        <v>122453.53947311267</v>
      </c>
      <c r="M113" s="76">
        <f ca="1">$J$113-EFEITO!$K$113*EFEITO!$Y$113</f>
        <v>0</v>
      </c>
      <c r="N113" s="76">
        <f ca="1">$K$113-EFEITO!$M$113*EFEITO!$Z$113</f>
        <v>0</v>
      </c>
      <c r="O113" s="76">
        <f>$L$113-EFEITO!$O$113*EFEITO!$AA$113</f>
        <v>0</v>
      </c>
      <c r="P113" s="57"/>
      <c r="Q113" s="57"/>
      <c r="R113" s="57"/>
      <c r="S113" s="57"/>
      <c r="T113" s="57"/>
      <c r="U113" s="57"/>
      <c r="V113" s="57"/>
      <c r="W113" s="5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27</v>
      </c>
      <c r="B114" s="53" t="s">
        <v>41</v>
      </c>
      <c r="C114" s="53" t="s">
        <v>40</v>
      </c>
      <c r="D114" s="53" t="s">
        <v>38</v>
      </c>
      <c r="E114" s="53" t="s">
        <v>25</v>
      </c>
      <c r="F114" s="53" t="s">
        <v>25</v>
      </c>
      <c r="G114" s="53" t="s">
        <v>25</v>
      </c>
      <c r="H114" s="53" t="s">
        <v>35</v>
      </c>
      <c r="I114" s="75">
        <v>44774</v>
      </c>
      <c r="J114" s="76">
        <f ca="1">EFEITO!$J$114*EFEITO!$Y$114</f>
        <v>-24770.397862185284</v>
      </c>
      <c r="K114" s="76">
        <f ca="1">EFEITO!$L$114*EFEITO!$Z$114</f>
        <v>0.18147641369790721</v>
      </c>
      <c r="L114" s="76">
        <f>EFEITO!$N$114*EFEITO!$AA$114</f>
        <v>0.21560278025898469</v>
      </c>
      <c r="M114" s="76">
        <f ca="1">$J$114-EFEITO!$K$114*EFEITO!$Y$114</f>
        <v>0</v>
      </c>
      <c r="N114" s="76">
        <f ca="1">$K$114-EFEITO!$M$114*EFEITO!$Z$114</f>
        <v>0</v>
      </c>
      <c r="O114" s="76">
        <f>$L$114-EFEITO!$O$114*EFEITO!$AA$114</f>
        <v>0</v>
      </c>
      <c r="P114" s="57"/>
      <c r="Q114" s="57"/>
      <c r="R114" s="57"/>
      <c r="S114" s="57"/>
      <c r="T114" s="57"/>
      <c r="U114" s="57"/>
      <c r="V114" s="57"/>
      <c r="W114" s="5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21</v>
      </c>
      <c r="B115" s="53" t="s">
        <v>41</v>
      </c>
      <c r="C115" s="53" t="s">
        <v>40</v>
      </c>
      <c r="D115" s="53" t="s">
        <v>38</v>
      </c>
      <c r="E115" s="53" t="s">
        <v>25</v>
      </c>
      <c r="F115" s="53" t="s">
        <v>25</v>
      </c>
      <c r="G115" s="53" t="s">
        <v>25</v>
      </c>
      <c r="H115" s="53" t="s">
        <v>35</v>
      </c>
      <c r="I115" s="75">
        <v>44805</v>
      </c>
      <c r="J115" s="76">
        <f ca="1">EFEITO!$J$115*EFEITO!$Y$115</f>
        <v>45006.266090061203</v>
      </c>
      <c r="K115" s="76">
        <f ca="1">EFEITO!$L$115*EFEITO!$Z$115</f>
        <v>119457.75669871589</v>
      </c>
      <c r="L115" s="76">
        <f>EFEITO!$N$115*EFEITO!$AA$115</f>
        <v>141921.60811937798</v>
      </c>
      <c r="M115" s="76">
        <f ca="1">$J$115-EFEITO!$K$115*EFEITO!$Y$115</f>
        <v>0</v>
      </c>
      <c r="N115" s="76">
        <f ca="1">$K$115-EFEITO!$M$115*EFEITO!$Z$115</f>
        <v>0</v>
      </c>
      <c r="O115" s="76">
        <f>$L$115-EFEITO!$O$115*EFEITO!$AA$115</f>
        <v>0</v>
      </c>
      <c r="P115" s="57"/>
      <c r="Q115" s="57"/>
      <c r="R115" s="57"/>
      <c r="S115" s="57"/>
      <c r="T115" s="57"/>
      <c r="U115" s="57"/>
      <c r="V115" s="57"/>
      <c r="W115" s="5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21</v>
      </c>
      <c r="B116" s="53" t="s">
        <v>41</v>
      </c>
      <c r="C116" s="53" t="s">
        <v>40</v>
      </c>
      <c r="D116" s="53" t="s">
        <v>38</v>
      </c>
      <c r="E116" s="53" t="s">
        <v>25</v>
      </c>
      <c r="F116" s="53" t="s">
        <v>25</v>
      </c>
      <c r="G116" s="53" t="s">
        <v>25</v>
      </c>
      <c r="H116" s="53" t="s">
        <v>35</v>
      </c>
      <c r="I116" s="75">
        <v>44835</v>
      </c>
      <c r="J116" s="76">
        <f ca="1">EFEITO!$J$116*EFEITO!$Y$116</f>
        <v>47739.69750513554</v>
      </c>
      <c r="K116" s="76">
        <f ca="1">EFEITO!$L$116*EFEITO!$Z$116</f>
        <v>114762.96187635104</v>
      </c>
      <c r="L116" s="76">
        <f>EFEITO!$N$116*EFEITO!$AA$116</f>
        <v>136343.96419407803</v>
      </c>
      <c r="M116" s="76">
        <f ca="1">$J$116-EFEITO!$K$116*EFEITO!$Y$116</f>
        <v>0</v>
      </c>
      <c r="N116" s="76">
        <f ca="1">$K$116-EFEITO!$M$116*EFEITO!$Z$116</f>
        <v>0</v>
      </c>
      <c r="O116" s="76">
        <f>$L$116-EFEITO!$O$116*EFEITO!$AA$116</f>
        <v>0</v>
      </c>
      <c r="P116" s="57"/>
      <c r="Q116" s="57"/>
      <c r="R116" s="57"/>
      <c r="S116" s="57"/>
      <c r="T116" s="57"/>
      <c r="U116" s="57"/>
      <c r="V116" s="57"/>
      <c r="W116" s="5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27</v>
      </c>
      <c r="B117" s="53" t="s">
        <v>41</v>
      </c>
      <c r="C117" s="53" t="s">
        <v>40</v>
      </c>
      <c r="D117" s="53" t="s">
        <v>38</v>
      </c>
      <c r="E117" s="53" t="s">
        <v>25</v>
      </c>
      <c r="F117" s="53" t="s">
        <v>25</v>
      </c>
      <c r="G117" s="53" t="s">
        <v>25</v>
      </c>
      <c r="H117" s="53" t="s">
        <v>35</v>
      </c>
      <c r="I117" s="75">
        <v>44835</v>
      </c>
      <c r="J117" s="76">
        <f ca="1">EFEITO!$J$117*EFEITO!$Y$117</f>
        <v>0</v>
      </c>
      <c r="K117" s="76">
        <f ca="1">EFEITO!$L$117*EFEITO!$Z$117</f>
        <v>881.06798850333951</v>
      </c>
      <c r="L117" s="76">
        <f>EFEITO!$N$117*EFEITO!$AA$117</f>
        <v>1046.7514981573709</v>
      </c>
      <c r="M117" s="76">
        <f ca="1">$J$117-EFEITO!$K$117*EFEITO!$Y$117</f>
        <v>0</v>
      </c>
      <c r="N117" s="76">
        <f ca="1">$K$117-EFEITO!$M$117*EFEITO!$Z$117</f>
        <v>0</v>
      </c>
      <c r="O117" s="76">
        <f>$L$117-EFEITO!$O$117*EFEITO!$AA$117</f>
        <v>0</v>
      </c>
      <c r="P117" s="57"/>
      <c r="Q117" s="57"/>
      <c r="R117" s="57"/>
      <c r="S117" s="57"/>
      <c r="T117" s="57"/>
      <c r="U117" s="57"/>
      <c r="V117" s="57"/>
      <c r="W117" s="5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54</v>
      </c>
      <c r="B118" s="53" t="s">
        <v>41</v>
      </c>
      <c r="C118" s="53" t="s">
        <v>40</v>
      </c>
      <c r="D118" s="53" t="s">
        <v>38</v>
      </c>
      <c r="E118" s="53" t="s">
        <v>25</v>
      </c>
      <c r="F118" s="53" t="s">
        <v>25</v>
      </c>
      <c r="G118" s="53" t="s">
        <v>25</v>
      </c>
      <c r="H118" s="53" t="s">
        <v>35</v>
      </c>
      <c r="I118" s="75">
        <v>44866</v>
      </c>
      <c r="J118" s="76">
        <f ca="1">EFEITO!$J$118*EFEITO!$Y$118</f>
        <v>47739.69750513554</v>
      </c>
      <c r="K118" s="76">
        <f ca="1">EFEITO!$L$118*EFEITO!$Z$118</f>
        <v>114762.96187635104</v>
      </c>
      <c r="L118" s="76">
        <f>EFEITO!$N$118*EFEITO!$AA$118</f>
        <v>136343.96419407803</v>
      </c>
      <c r="M118" s="76">
        <f ca="1">$J$118-EFEITO!$K$118*EFEITO!$Y$118</f>
        <v>0</v>
      </c>
      <c r="N118" s="76">
        <f ca="1">$K$118-EFEITO!$M$118*EFEITO!$Z$118</f>
        <v>0</v>
      </c>
      <c r="O118" s="76">
        <f>$L$118-EFEITO!$O$118*EFEITO!$AA$118</f>
        <v>0</v>
      </c>
      <c r="P118" s="57"/>
      <c r="Q118" s="57"/>
      <c r="R118" s="57"/>
      <c r="S118" s="57"/>
      <c r="T118" s="57"/>
      <c r="U118" s="57"/>
      <c r="V118" s="57"/>
      <c r="W118" s="5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54</v>
      </c>
      <c r="B119" s="53" t="s">
        <v>41</v>
      </c>
      <c r="C119" s="53" t="s">
        <v>40</v>
      </c>
      <c r="D119" s="53" t="s">
        <v>38</v>
      </c>
      <c r="E119" s="53" t="s">
        <v>25</v>
      </c>
      <c r="F119" s="53" t="s">
        <v>25</v>
      </c>
      <c r="G119" s="53" t="s">
        <v>25</v>
      </c>
      <c r="H119" s="53" t="s">
        <v>35</v>
      </c>
      <c r="I119" s="75">
        <v>44866</v>
      </c>
      <c r="J119" s="76">
        <f ca="1">EFEITO!$J$119*EFEITO!$Y$119</f>
        <v>0</v>
      </c>
      <c r="K119" s="76">
        <f ca="1">EFEITO!$L$119*EFEITO!$Z$119</f>
        <v>881.06798850333951</v>
      </c>
      <c r="L119" s="76">
        <f>EFEITO!$N$119*EFEITO!$AA$119</f>
        <v>1046.7514981573709</v>
      </c>
      <c r="M119" s="76">
        <f ca="1">$J$119-EFEITO!$K$119*EFEITO!$Y$119</f>
        <v>0</v>
      </c>
      <c r="N119" s="76">
        <f ca="1">$K$119-EFEITO!$M$119*EFEITO!$Z$119</f>
        <v>0</v>
      </c>
      <c r="O119" s="76">
        <f>$L$119-EFEITO!$O$119*EFEITO!$AA$119</f>
        <v>0</v>
      </c>
      <c r="P119" s="57"/>
      <c r="Q119" s="57"/>
      <c r="R119" s="57"/>
      <c r="S119" s="57"/>
      <c r="T119" s="57"/>
      <c r="U119" s="57"/>
      <c r="V119" s="57"/>
      <c r="W119" s="5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21</v>
      </c>
      <c r="B120" s="53" t="s">
        <v>41</v>
      </c>
      <c r="C120" s="53" t="s">
        <v>40</v>
      </c>
      <c r="D120" s="53" t="s">
        <v>38</v>
      </c>
      <c r="E120" s="53" t="s">
        <v>25</v>
      </c>
      <c r="F120" s="53" t="s">
        <v>25</v>
      </c>
      <c r="G120" s="53" t="s">
        <v>25</v>
      </c>
      <c r="H120" s="53" t="s">
        <v>34</v>
      </c>
      <c r="I120" s="75">
        <v>44531</v>
      </c>
      <c r="J120" s="76">
        <f ca="1">EFEITO!$J$120*EFEITO!$Y$120</f>
        <v>39167.360351908639</v>
      </c>
      <c r="K120" s="76">
        <f ca="1">EFEITO!$L$120*EFEITO!$Z$120</f>
        <v>5599.4547446489269</v>
      </c>
      <c r="L120" s="76">
        <f>EFEITO!$N$120*EFEITO!$AA$120</f>
        <v>9939.1598984451175</v>
      </c>
      <c r="M120" s="76">
        <f ca="1">$J$120-EFEITO!$K$120*EFEITO!$Y$120</f>
        <v>0</v>
      </c>
      <c r="N120" s="76">
        <f ca="1">$K$120-EFEITO!$M$120*EFEITO!$Z$120</f>
        <v>0</v>
      </c>
      <c r="O120" s="76">
        <f>$L$120-EFEITO!$O$120*EFEITO!$AA$120</f>
        <v>0</v>
      </c>
      <c r="P120" s="57"/>
      <c r="Q120" s="57"/>
      <c r="R120" s="57"/>
      <c r="S120" s="57"/>
      <c r="T120" s="57"/>
      <c r="U120" s="57"/>
      <c r="V120" s="57"/>
      <c r="W120" s="5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21</v>
      </c>
      <c r="B121" s="53" t="s">
        <v>41</v>
      </c>
      <c r="C121" s="53" t="s">
        <v>40</v>
      </c>
      <c r="D121" s="53" t="s">
        <v>38</v>
      </c>
      <c r="E121" s="53" t="s">
        <v>25</v>
      </c>
      <c r="F121" s="53" t="s">
        <v>25</v>
      </c>
      <c r="G121" s="53" t="s">
        <v>25</v>
      </c>
      <c r="H121" s="53" t="s">
        <v>34</v>
      </c>
      <c r="I121" s="75">
        <v>44562</v>
      </c>
      <c r="J121" s="76">
        <f ca="1">EFEITO!$J$121*EFEITO!$Y$121</f>
        <v>39438.602459608839</v>
      </c>
      <c r="K121" s="76">
        <f ca="1">EFEITO!$L$121*EFEITO!$Z$121</f>
        <v>5295.1187988775364</v>
      </c>
      <c r="L121" s="76">
        <f>EFEITO!$N$121*EFEITO!$AA$121</f>
        <v>9398.9566526278286</v>
      </c>
      <c r="M121" s="76">
        <f ca="1">$J$121-EFEITO!$K$121*EFEITO!$Y$121</f>
        <v>0</v>
      </c>
      <c r="N121" s="76">
        <f ca="1">$K$121-EFEITO!$M$121*EFEITO!$Z$121</f>
        <v>0</v>
      </c>
      <c r="O121" s="76">
        <f>$L$121-EFEITO!$O$121*EFEITO!$AA$121</f>
        <v>0</v>
      </c>
      <c r="P121" s="57"/>
      <c r="Q121" s="57"/>
      <c r="R121" s="57"/>
      <c r="S121" s="57"/>
      <c r="T121" s="57"/>
      <c r="U121" s="57"/>
      <c r="V121" s="57"/>
      <c r="W121" s="5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21</v>
      </c>
      <c r="B122" s="53" t="s">
        <v>41</v>
      </c>
      <c r="C122" s="53" t="s">
        <v>40</v>
      </c>
      <c r="D122" s="53" t="s">
        <v>38</v>
      </c>
      <c r="E122" s="53" t="s">
        <v>25</v>
      </c>
      <c r="F122" s="53" t="s">
        <v>25</v>
      </c>
      <c r="G122" s="53" t="s">
        <v>25</v>
      </c>
      <c r="H122" s="53" t="s">
        <v>34</v>
      </c>
      <c r="I122" s="75">
        <v>44593</v>
      </c>
      <c r="J122" s="76">
        <f ca="1">EFEITO!$J$122*EFEITO!$Y$122</f>
        <v>39547.099302688919</v>
      </c>
      <c r="K122" s="76">
        <f ca="1">EFEITO!$L$122*EFEITO!$Z$122</f>
        <v>4790.0699395562606</v>
      </c>
      <c r="L122" s="76">
        <f>EFEITO!$N$122*EFEITO!$AA$122</f>
        <v>8502.4834068857199</v>
      </c>
      <c r="M122" s="76">
        <f ca="1">$J$122-EFEITO!$K$122*EFEITO!$Y$122</f>
        <v>0</v>
      </c>
      <c r="N122" s="76">
        <f ca="1">$K$122-EFEITO!$M$122*EFEITO!$Z$122</f>
        <v>0</v>
      </c>
      <c r="O122" s="76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21</v>
      </c>
      <c r="B123" s="53" t="s">
        <v>41</v>
      </c>
      <c r="C123" s="53" t="s">
        <v>40</v>
      </c>
      <c r="D123" s="53" t="s">
        <v>38</v>
      </c>
      <c r="E123" s="53" t="s">
        <v>25</v>
      </c>
      <c r="F123" s="53" t="s">
        <v>25</v>
      </c>
      <c r="G123" s="53" t="s">
        <v>25</v>
      </c>
      <c r="H123" s="53" t="s">
        <v>34</v>
      </c>
      <c r="I123" s="75">
        <v>44621</v>
      </c>
      <c r="J123" s="76">
        <f ca="1">EFEITO!$J$123*EFEITO!$Y$123</f>
        <v>46924.884632134308</v>
      </c>
      <c r="K123" s="76">
        <f ca="1">EFEITO!$L$123*EFEITO!$Z$123</f>
        <v>5787.1013564125624</v>
      </c>
      <c r="L123" s="76">
        <f>EFEITO!$N$123*EFEITO!$AA$123</f>
        <v>10272.236914649695</v>
      </c>
      <c r="M123" s="76">
        <f ca="1">$J$123-EFEITO!$K$123*EFEITO!$Y$123</f>
        <v>0</v>
      </c>
      <c r="N123" s="76">
        <f ca="1">$K$123-EFEITO!$M$123*EFEITO!$Z$123</f>
        <v>0</v>
      </c>
      <c r="O123" s="76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21</v>
      </c>
      <c r="B124" s="53" t="s">
        <v>41</v>
      </c>
      <c r="C124" s="53" t="s">
        <v>40</v>
      </c>
      <c r="D124" s="53" t="s">
        <v>38</v>
      </c>
      <c r="E124" s="53" t="s">
        <v>25</v>
      </c>
      <c r="F124" s="53" t="s">
        <v>25</v>
      </c>
      <c r="G124" s="53" t="s">
        <v>25</v>
      </c>
      <c r="H124" s="53" t="s">
        <v>34</v>
      </c>
      <c r="I124" s="75">
        <v>44652</v>
      </c>
      <c r="J124" s="76">
        <f ca="1">EFEITO!$J$124*EFEITO!$Y$124</f>
        <v>46273.903573653835</v>
      </c>
      <c r="K124" s="76">
        <f ca="1">EFEITO!$L$124*EFEITO!$Z$124</f>
        <v>3741.4992212097527</v>
      </c>
      <c r="L124" s="76">
        <f>EFEITO!$N$124*EFEITO!$AA$124</f>
        <v>6641.2464633363479</v>
      </c>
      <c r="M124" s="76">
        <f ca="1">$J$124-EFEITO!$K$124*EFEITO!$Y$124</f>
        <v>0</v>
      </c>
      <c r="N124" s="76">
        <f ca="1">$K$124-EFEITO!$M$124*EFEITO!$Z$124</f>
        <v>0</v>
      </c>
      <c r="O124" s="76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21</v>
      </c>
      <c r="B125" s="53" t="s">
        <v>41</v>
      </c>
      <c r="C125" s="53" t="s">
        <v>40</v>
      </c>
      <c r="D125" s="53" t="s">
        <v>38</v>
      </c>
      <c r="E125" s="53" t="s">
        <v>25</v>
      </c>
      <c r="F125" s="53" t="s">
        <v>25</v>
      </c>
      <c r="G125" s="53" t="s">
        <v>25</v>
      </c>
      <c r="H125" s="53" t="s">
        <v>34</v>
      </c>
      <c r="I125" s="75">
        <v>44682</v>
      </c>
      <c r="J125" s="76">
        <f ca="1">EFEITO!$J$125*EFEITO!$Y$125</f>
        <v>37648.404548787526</v>
      </c>
      <c r="K125" s="76">
        <f ca="1">EFEITO!$L$125*EFEITO!$Z$125</f>
        <v>4685.3580488525677</v>
      </c>
      <c r="L125" s="76">
        <f>EFEITO!$N$125*EFEITO!$AA$125</f>
        <v>8316.6174123498968</v>
      </c>
      <c r="M125" s="76">
        <f ca="1">$J$125-EFEITO!$K$125*EFEITO!$Y$125</f>
        <v>0</v>
      </c>
      <c r="N125" s="76">
        <f ca="1">$K$125-EFEITO!$M$125*EFEITO!$Z$125</f>
        <v>0</v>
      </c>
      <c r="O125" s="76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21</v>
      </c>
      <c r="B126" s="53" t="s">
        <v>41</v>
      </c>
      <c r="C126" s="53" t="s">
        <v>40</v>
      </c>
      <c r="D126" s="53" t="s">
        <v>38</v>
      </c>
      <c r="E126" s="53" t="s">
        <v>25</v>
      </c>
      <c r="F126" s="53" t="s">
        <v>25</v>
      </c>
      <c r="G126" s="53" t="s">
        <v>25</v>
      </c>
      <c r="H126" s="53" t="s">
        <v>34</v>
      </c>
      <c r="I126" s="75">
        <v>44713</v>
      </c>
      <c r="J126" s="76">
        <f ca="1">EFEITO!$J$126*EFEITO!$Y$126</f>
        <v>41608.539321210425</v>
      </c>
      <c r="K126" s="76">
        <f ca="1">EFEITO!$L$126*EFEITO!$Z$126</f>
        <v>4577.0166298749173</v>
      </c>
      <c r="L126" s="76">
        <f>EFEITO!$N$126*EFEITO!$AA$126</f>
        <v>8124.3089223362285</v>
      </c>
      <c r="M126" s="76">
        <f ca="1">$J$126-EFEITO!$K$126*EFEITO!$Y$126</f>
        <v>0</v>
      </c>
      <c r="N126" s="76">
        <f ca="1">$K$126-EFEITO!$M$126*EFEITO!$Z$126</f>
        <v>0</v>
      </c>
      <c r="O126" s="76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21</v>
      </c>
      <c r="B127" s="53" t="s">
        <v>41</v>
      </c>
      <c r="C127" s="53" t="s">
        <v>40</v>
      </c>
      <c r="D127" s="53" t="s">
        <v>38</v>
      </c>
      <c r="E127" s="53" t="s">
        <v>25</v>
      </c>
      <c r="F127" s="53" t="s">
        <v>25</v>
      </c>
      <c r="G127" s="53" t="s">
        <v>25</v>
      </c>
      <c r="H127" s="53" t="s">
        <v>34</v>
      </c>
      <c r="I127" s="75">
        <v>44743</v>
      </c>
      <c r="J127" s="76">
        <f ca="1">EFEITO!$J$127*EFEITO!$Y$127</f>
        <v>92927.546098087943</v>
      </c>
      <c r="K127" s="76">
        <f ca="1">EFEITO!$L$127*EFEITO!$Z$127</f>
        <v>4528.3809510038782</v>
      </c>
      <c r="L127" s="76">
        <f>EFEITO!$N$127*EFEITO!$AA$127</f>
        <v>8037.9794829331067</v>
      </c>
      <c r="M127" s="76">
        <f ca="1">$J$127-EFEITO!$K$127*EFEITO!$Y$127</f>
        <v>0</v>
      </c>
      <c r="N127" s="76">
        <f ca="1">$K$127-EFEITO!$M$127*EFEITO!$Z$127</f>
        <v>0</v>
      </c>
      <c r="O127" s="76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21</v>
      </c>
      <c r="B128" s="53" t="s">
        <v>41</v>
      </c>
      <c r="C128" s="53" t="s">
        <v>40</v>
      </c>
      <c r="D128" s="53" t="s">
        <v>38</v>
      </c>
      <c r="E128" s="53" t="s">
        <v>25</v>
      </c>
      <c r="F128" s="53" t="s">
        <v>25</v>
      </c>
      <c r="G128" s="53" t="s">
        <v>25</v>
      </c>
      <c r="H128" s="53" t="s">
        <v>34</v>
      </c>
      <c r="I128" s="75">
        <v>44774</v>
      </c>
      <c r="J128" s="76">
        <f ca="1">EFEITO!$J$128*EFEITO!$Y$128</f>
        <v>48172.598327555221</v>
      </c>
      <c r="K128" s="76">
        <f ca="1">EFEITO!$L$128*EFEITO!$Z$128</f>
        <v>5197.4844883080623</v>
      </c>
      <c r="L128" s="76">
        <f>EFEITO!$N$128*EFEITO!$AA$128</f>
        <v>9225.6535242738028</v>
      </c>
      <c r="M128" s="76">
        <f ca="1">$J$128-EFEITO!$K$128*EFEITO!$Y$128</f>
        <v>0</v>
      </c>
      <c r="N128" s="76">
        <f ca="1">$K$128-EFEITO!$M$128*EFEITO!$Z$128</f>
        <v>0</v>
      </c>
      <c r="O128" s="76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27</v>
      </c>
      <c r="B129" s="53" t="s">
        <v>41</v>
      </c>
      <c r="C129" s="53" t="s">
        <v>40</v>
      </c>
      <c r="D129" s="53" t="s">
        <v>38</v>
      </c>
      <c r="E129" s="53" t="s">
        <v>25</v>
      </c>
      <c r="F129" s="53" t="s">
        <v>25</v>
      </c>
      <c r="G129" s="53" t="s">
        <v>25</v>
      </c>
      <c r="H129" s="53" t="s">
        <v>34</v>
      </c>
      <c r="I129" s="75">
        <v>44774</v>
      </c>
      <c r="J129" s="76">
        <f ca="1">EFEITO!$J$129*EFEITO!$Y$129</f>
        <v>-48281.095170635301</v>
      </c>
      <c r="K129" s="76">
        <f ca="1">EFEITO!$L$129*EFEITO!$Z$129</f>
        <v>0.18147641369790721</v>
      </c>
      <c r="L129" s="76">
        <f>EFEITO!$N$129*EFEITO!$AA$129</f>
        <v>0.3221247738922417</v>
      </c>
      <c r="M129" s="76">
        <f ca="1">$J$129-EFEITO!$K$129*EFEITO!$Y$129</f>
        <v>0</v>
      </c>
      <c r="N129" s="76">
        <f ca="1">$K$129-EFEITO!$M$129*EFEITO!$Z$129</f>
        <v>0</v>
      </c>
      <c r="O129" s="76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21</v>
      </c>
      <c r="B130" s="53" t="s">
        <v>41</v>
      </c>
      <c r="C130" s="53" t="s">
        <v>40</v>
      </c>
      <c r="D130" s="53" t="s">
        <v>38</v>
      </c>
      <c r="E130" s="53" t="s">
        <v>25</v>
      </c>
      <c r="F130" s="53" t="s">
        <v>25</v>
      </c>
      <c r="G130" s="53" t="s">
        <v>25</v>
      </c>
      <c r="H130" s="53" t="s">
        <v>34</v>
      </c>
      <c r="I130" s="75">
        <v>44805</v>
      </c>
      <c r="J130" s="76">
        <f ca="1">EFEITO!$J$130*EFEITO!$Y$130</f>
        <v>35478.467687185941</v>
      </c>
      <c r="K130" s="76">
        <f ca="1">EFEITO!$L$130*EFEITO!$Z$130</f>
        <v>4499.163248398515</v>
      </c>
      <c r="L130" s="76">
        <f>EFEITO!$N$130*EFEITO!$AA$130</f>
        <v>7986.1173943364565</v>
      </c>
      <c r="M130" s="76">
        <f ca="1">$J$130-EFEITO!$K$130*EFEITO!$Y$130</f>
        <v>0</v>
      </c>
      <c r="N130" s="76">
        <f ca="1">$K$130-EFEITO!$M$130*EFEITO!$Z$130</f>
        <v>0</v>
      </c>
      <c r="O130" s="76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21</v>
      </c>
      <c r="B131" s="53" t="s">
        <v>41</v>
      </c>
      <c r="C131" s="53" t="s">
        <v>40</v>
      </c>
      <c r="D131" s="53" t="s">
        <v>38</v>
      </c>
      <c r="E131" s="53" t="s">
        <v>25</v>
      </c>
      <c r="F131" s="53" t="s">
        <v>25</v>
      </c>
      <c r="G131" s="53" t="s">
        <v>25</v>
      </c>
      <c r="H131" s="53" t="s">
        <v>34</v>
      </c>
      <c r="I131" s="75">
        <v>44835</v>
      </c>
      <c r="J131" s="76">
        <f ca="1">EFEITO!$J$131*EFEITO!$Y$131</f>
        <v>44103.96671205225</v>
      </c>
      <c r="K131" s="76">
        <f ca="1">EFEITO!$L$131*EFEITO!$Z$131</f>
        <v>4063.4383791098394</v>
      </c>
      <c r="L131" s="76">
        <f>EFEITO!$N$131*EFEITO!$AA$131</f>
        <v>7212.6958122211836</v>
      </c>
      <c r="M131" s="76">
        <f ca="1">$J$131-EFEITO!$K$131*EFEITO!$Y$131</f>
        <v>0</v>
      </c>
      <c r="N131" s="76">
        <f ca="1">$K$131-EFEITO!$M$131*EFEITO!$Z$131</f>
        <v>0</v>
      </c>
      <c r="O131" s="76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27</v>
      </c>
      <c r="B132" s="53" t="s">
        <v>41</v>
      </c>
      <c r="C132" s="53" t="s">
        <v>40</v>
      </c>
      <c r="D132" s="53" t="s">
        <v>38</v>
      </c>
      <c r="E132" s="53" t="s">
        <v>25</v>
      </c>
      <c r="F132" s="53" t="s">
        <v>25</v>
      </c>
      <c r="G132" s="53" t="s">
        <v>25</v>
      </c>
      <c r="H132" s="53" t="s">
        <v>34</v>
      </c>
      <c r="I132" s="75">
        <v>44835</v>
      </c>
      <c r="J132" s="76">
        <f ca="1">EFEITO!$J$132*EFEITO!$Y$132</f>
        <v>-23326.821262217058</v>
      </c>
      <c r="K132" s="76">
        <f ca="1">EFEITO!$L$132*EFEITO!$Z$132</f>
        <v>-897.58234214984896</v>
      </c>
      <c r="L132" s="76">
        <f>EFEITO!$N$132*EFEITO!$AA$132</f>
        <v>-1593.2291316710273</v>
      </c>
      <c r="M132" s="76">
        <f ca="1">$J$132-EFEITO!$K$132*EFEITO!$Y$132</f>
        <v>0</v>
      </c>
      <c r="N132" s="76">
        <f ca="1">$K$132-EFEITO!$M$132*EFEITO!$Z$132</f>
        <v>0</v>
      </c>
      <c r="O132" s="76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54</v>
      </c>
      <c r="B133" s="53" t="s">
        <v>41</v>
      </c>
      <c r="C133" s="53" t="s">
        <v>40</v>
      </c>
      <c r="D133" s="53" t="s">
        <v>38</v>
      </c>
      <c r="E133" s="53" t="s">
        <v>25</v>
      </c>
      <c r="F133" s="53" t="s">
        <v>25</v>
      </c>
      <c r="G133" s="53" t="s">
        <v>25</v>
      </c>
      <c r="H133" s="53" t="s">
        <v>34</v>
      </c>
      <c r="I133" s="75">
        <v>44866</v>
      </c>
      <c r="J133" s="76">
        <f ca="1">EFEITO!$J$133*EFEITO!$Y$133</f>
        <v>44103.96671205225</v>
      </c>
      <c r="K133" s="76">
        <f ca="1">EFEITO!$L$133*EFEITO!$Z$133</f>
        <v>4063.4383791098394</v>
      </c>
      <c r="L133" s="76">
        <f>EFEITO!$N$133*EFEITO!$AA$133</f>
        <v>7212.6958122211836</v>
      </c>
      <c r="M133" s="76">
        <f ca="1">$J$133-EFEITO!$K$133*EFEITO!$Y$133</f>
        <v>0</v>
      </c>
      <c r="N133" s="76">
        <f ca="1">$K$133-EFEITO!$M$133*EFEITO!$Z$133</f>
        <v>0</v>
      </c>
      <c r="O133" s="76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54</v>
      </c>
      <c r="B134" s="53" t="s">
        <v>41</v>
      </c>
      <c r="C134" s="53" t="s">
        <v>40</v>
      </c>
      <c r="D134" s="53" t="s">
        <v>38</v>
      </c>
      <c r="E134" s="53" t="s">
        <v>25</v>
      </c>
      <c r="F134" s="53" t="s">
        <v>25</v>
      </c>
      <c r="G134" s="53" t="s">
        <v>25</v>
      </c>
      <c r="H134" s="53" t="s">
        <v>34</v>
      </c>
      <c r="I134" s="75">
        <v>44866</v>
      </c>
      <c r="J134" s="76">
        <f ca="1">EFEITO!$J$134*EFEITO!$Y$134</f>
        <v>-23326.821262217058</v>
      </c>
      <c r="K134" s="76">
        <f ca="1">EFEITO!$L$134*EFEITO!$Z$134</f>
        <v>-897.58234214984896</v>
      </c>
      <c r="L134" s="76">
        <f>EFEITO!$N$134*EFEITO!$AA$134</f>
        <v>-1593.2291316710273</v>
      </c>
      <c r="M134" s="76">
        <f ca="1">$J$134-EFEITO!$K$134*EFEITO!$Y$134</f>
        <v>0</v>
      </c>
      <c r="N134" s="76">
        <f ca="1">$K$134-EFEITO!$M$134*EFEITO!$Z$134</f>
        <v>0</v>
      </c>
      <c r="O134" s="76">
        <f>$L$134-EFEITO!$O$134*EFEITO!$AA$134</f>
        <v>0</v>
      </c>
      <c r="P134" s="57"/>
      <c r="Q134" s="57"/>
      <c r="R134" s="57"/>
      <c r="S134" s="57"/>
      <c r="T134" s="57"/>
      <c r="U134" s="57"/>
      <c r="V134" s="57"/>
      <c r="W134" s="5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21</v>
      </c>
      <c r="B135" s="53" t="s">
        <v>41</v>
      </c>
      <c r="C135" s="53" t="s">
        <v>40</v>
      </c>
      <c r="D135" s="53" t="s">
        <v>47</v>
      </c>
      <c r="E135" s="53" t="s">
        <v>25</v>
      </c>
      <c r="F135" s="53" t="s">
        <v>25</v>
      </c>
      <c r="G135" s="53" t="s">
        <v>25</v>
      </c>
      <c r="H135" s="53" t="s">
        <v>35</v>
      </c>
      <c r="I135" s="75">
        <v>44531</v>
      </c>
      <c r="J135" s="76">
        <f ca="1">EFEITO!$J$135*EFEITO!$Y$135</f>
        <v>66577.065939252498</v>
      </c>
      <c r="K135" s="76">
        <f ca="1">EFEITO!$L$135*EFEITO!$Z$135</f>
        <v>128314.71306924225</v>
      </c>
      <c r="L135" s="76">
        <f>EFEITO!$N$135*EFEITO!$AA$135</f>
        <v>152444.10180991772</v>
      </c>
      <c r="M135" s="76">
        <f ca="1">$J$135-EFEITO!$K$135*EFEITO!$Y$135</f>
        <v>0</v>
      </c>
      <c r="N135" s="76">
        <f ca="1">$K$135-EFEITO!$M$135*EFEITO!$Z$135</f>
        <v>0</v>
      </c>
      <c r="O135" s="76">
        <f>$L$135-EFEITO!$O$135*EFEITO!$AA$135</f>
        <v>0</v>
      </c>
      <c r="P135" s="57"/>
      <c r="Q135" s="57"/>
      <c r="R135" s="57"/>
      <c r="S135" s="57"/>
      <c r="T135" s="57"/>
      <c r="U135" s="57"/>
      <c r="V135" s="57"/>
      <c r="W135" s="5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28</v>
      </c>
      <c r="B136" s="53" t="s">
        <v>41</v>
      </c>
      <c r="C136" s="53" t="s">
        <v>40</v>
      </c>
      <c r="D136" s="53" t="s">
        <v>47</v>
      </c>
      <c r="E136" s="53" t="s">
        <v>25</v>
      </c>
      <c r="F136" s="53" t="s">
        <v>25</v>
      </c>
      <c r="G136" s="53" t="s">
        <v>25</v>
      </c>
      <c r="H136" s="53" t="s">
        <v>35</v>
      </c>
      <c r="I136" s="75">
        <v>44531</v>
      </c>
      <c r="J136" s="76">
        <f ca="1">EFEITO!$J$136*EFEITO!$Y$136</f>
        <v>7543.4231299725925</v>
      </c>
      <c r="K136" s="76">
        <f ca="1">EFEITO!$L$136*EFEITO!$Z$136</f>
        <v>1133.1387271297324</v>
      </c>
      <c r="L136" s="76">
        <f>EFEITO!$N$136*EFEITO!$AA$136</f>
        <v>1346.2237599371003</v>
      </c>
      <c r="M136" s="76">
        <f ca="1">$J$136-EFEITO!$K$136*EFEITO!$Y$136</f>
        <v>0</v>
      </c>
      <c r="N136" s="76">
        <f ca="1">$K$136-EFEITO!$M$136*EFEITO!$Z$136</f>
        <v>0</v>
      </c>
      <c r="O136" s="76">
        <f>$L$136-EFEITO!$O$136*EFEITO!$AA$136</f>
        <v>0</v>
      </c>
      <c r="P136" s="57"/>
      <c r="Q136" s="57"/>
      <c r="R136" s="57"/>
      <c r="S136" s="57"/>
      <c r="T136" s="57"/>
      <c r="U136" s="57"/>
      <c r="V136" s="57"/>
      <c r="W136" s="5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21</v>
      </c>
      <c r="B137" s="53" t="s">
        <v>41</v>
      </c>
      <c r="C137" s="53" t="s">
        <v>40</v>
      </c>
      <c r="D137" s="53" t="s">
        <v>47</v>
      </c>
      <c r="E137" s="53" t="s">
        <v>25</v>
      </c>
      <c r="F137" s="53" t="s">
        <v>25</v>
      </c>
      <c r="G137" s="53" t="s">
        <v>25</v>
      </c>
      <c r="H137" s="53" t="s">
        <v>35</v>
      </c>
      <c r="I137" s="75">
        <v>44562</v>
      </c>
      <c r="J137" s="76">
        <f ca="1">EFEITO!$J$137*EFEITO!$Y$137</f>
        <v>64246.232949654215</v>
      </c>
      <c r="K137" s="76">
        <f ca="1">EFEITO!$L$137*EFEITO!$Z$137</f>
        <v>116340.71781704064</v>
      </c>
      <c r="L137" s="76">
        <f>EFEITO!$N$137*EFEITO!$AA$137</f>
        <v>138218.41476564965</v>
      </c>
      <c r="M137" s="76">
        <f ca="1">$J$137-EFEITO!$K$137*EFEITO!$Y$137</f>
        <v>0</v>
      </c>
      <c r="N137" s="76">
        <f ca="1">$K$137-EFEITO!$M$137*EFEITO!$Z$137</f>
        <v>0</v>
      </c>
      <c r="O137" s="76">
        <f>$L$137-EFEITO!$O$137*EFEITO!$AA$137</f>
        <v>0</v>
      </c>
      <c r="P137" s="57"/>
      <c r="Q137" s="57"/>
      <c r="R137" s="57"/>
      <c r="S137" s="57"/>
      <c r="T137" s="57"/>
      <c r="U137" s="57"/>
      <c r="V137" s="57"/>
      <c r="W137" s="5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28</v>
      </c>
      <c r="B138" s="53" t="s">
        <v>41</v>
      </c>
      <c r="C138" s="53" t="s">
        <v>40</v>
      </c>
      <c r="D138" s="53" t="s">
        <v>47</v>
      </c>
      <c r="E138" s="53" t="s">
        <v>25</v>
      </c>
      <c r="F138" s="53" t="s">
        <v>25</v>
      </c>
      <c r="G138" s="53" t="s">
        <v>25</v>
      </c>
      <c r="H138" s="53" t="s">
        <v>35</v>
      </c>
      <c r="I138" s="75">
        <v>44562</v>
      </c>
      <c r="J138" s="76">
        <f ca="1">EFEITO!$J$138*EFEITO!$Y$138</f>
        <v>7543.4231299725925</v>
      </c>
      <c r="K138" s="76">
        <f ca="1">EFEITO!$L$138*EFEITO!$Z$138</f>
        <v>1261.6240280278507</v>
      </c>
      <c r="L138" s="76">
        <f>EFEITO!$N$138*EFEITO!$AA$138</f>
        <v>1498.8705283604615</v>
      </c>
      <c r="M138" s="76">
        <f ca="1">$J$138-EFEITO!$K$138*EFEITO!$Y$138</f>
        <v>0</v>
      </c>
      <c r="N138" s="76">
        <f ca="1">$K$138-EFEITO!$M$138*EFEITO!$Z$138</f>
        <v>0</v>
      </c>
      <c r="O138" s="76">
        <f>$L$138-EFEITO!$O$138*EFEITO!$AA$138</f>
        <v>0</v>
      </c>
      <c r="P138" s="57"/>
      <c r="Q138" s="57"/>
      <c r="R138" s="57"/>
      <c r="S138" s="57"/>
      <c r="T138" s="57"/>
      <c r="U138" s="57"/>
      <c r="V138" s="57"/>
      <c r="W138" s="5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21</v>
      </c>
      <c r="B139" s="53" t="s">
        <v>41</v>
      </c>
      <c r="C139" s="53" t="s">
        <v>40</v>
      </c>
      <c r="D139" s="53" t="s">
        <v>47</v>
      </c>
      <c r="E139" s="53" t="s">
        <v>25</v>
      </c>
      <c r="F139" s="53" t="s">
        <v>25</v>
      </c>
      <c r="G139" s="53" t="s">
        <v>25</v>
      </c>
      <c r="H139" s="53" t="s">
        <v>35</v>
      </c>
      <c r="I139" s="75">
        <v>44593</v>
      </c>
      <c r="J139" s="76">
        <f ca="1">EFEITO!$J$139*EFEITO!$Y$139</f>
        <v>64670.020765944813</v>
      </c>
      <c r="K139" s="76">
        <f ca="1">EFEITO!$L$139*EFEITO!$Z$139</f>
        <v>107453.27340901304</v>
      </c>
      <c r="L139" s="76">
        <f>EFEITO!$N$139*EFEITO!$AA$139</f>
        <v>127659.69980802639</v>
      </c>
      <c r="M139" s="76">
        <f ca="1">$J$139-EFEITO!$K$139*EFEITO!$Y$139</f>
        <v>0</v>
      </c>
      <c r="N139" s="76">
        <f ca="1">$K$139-EFEITO!$M$139*EFEITO!$Z$139</f>
        <v>0</v>
      </c>
      <c r="O139" s="76">
        <f>$L$139-EFEITO!$O$139*EFEITO!$AA$139</f>
        <v>0</v>
      </c>
      <c r="P139" s="57"/>
      <c r="Q139" s="57"/>
      <c r="R139" s="57"/>
      <c r="S139" s="57"/>
      <c r="T139" s="57"/>
      <c r="U139" s="57"/>
      <c r="V139" s="57"/>
      <c r="W139" s="5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28</v>
      </c>
      <c r="B140" s="53" t="s">
        <v>41</v>
      </c>
      <c r="C140" s="53" t="s">
        <v>40</v>
      </c>
      <c r="D140" s="53" t="s">
        <v>47</v>
      </c>
      <c r="E140" s="53" t="s">
        <v>25</v>
      </c>
      <c r="F140" s="53" t="s">
        <v>25</v>
      </c>
      <c r="G140" s="53" t="s">
        <v>25</v>
      </c>
      <c r="H140" s="53" t="s">
        <v>35</v>
      </c>
      <c r="I140" s="75">
        <v>44593</v>
      </c>
      <c r="J140" s="76">
        <f ca="1">EFEITO!$J$140*EFEITO!$Y$140</f>
        <v>7543.4231299725925</v>
      </c>
      <c r="K140" s="76">
        <f ca="1">EFEITO!$L$140*EFEITO!$Z$140</f>
        <v>1599.533110333354</v>
      </c>
      <c r="L140" s="76">
        <f>EFEITO!$N$140*EFEITO!$AA$140</f>
        <v>1900.3229052026911</v>
      </c>
      <c r="M140" s="76">
        <f ca="1">$J$140-EFEITO!$K$140*EFEITO!$Y$140</f>
        <v>0</v>
      </c>
      <c r="N140" s="76">
        <f ca="1">$K$140-EFEITO!$M$140*EFEITO!$Z$140</f>
        <v>0</v>
      </c>
      <c r="O140" s="76">
        <f>$L$140-EFEITO!$O$140*EFEITO!$AA$140</f>
        <v>0</v>
      </c>
      <c r="P140" s="57"/>
      <c r="Q140" s="57"/>
      <c r="R140" s="57"/>
      <c r="S140" s="57"/>
      <c r="T140" s="57"/>
      <c r="U140" s="57"/>
      <c r="V140" s="57"/>
      <c r="W140" s="5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21</v>
      </c>
      <c r="B141" s="53" t="s">
        <v>41</v>
      </c>
      <c r="C141" s="53" t="s">
        <v>40</v>
      </c>
      <c r="D141" s="53" t="s">
        <v>47</v>
      </c>
      <c r="E141" s="53" t="s">
        <v>25</v>
      </c>
      <c r="F141" s="53" t="s">
        <v>25</v>
      </c>
      <c r="G141" s="53" t="s">
        <v>25</v>
      </c>
      <c r="H141" s="53" t="s">
        <v>35</v>
      </c>
      <c r="I141" s="75">
        <v>44621</v>
      </c>
      <c r="J141" s="76">
        <f ca="1">EFEITO!$J$141*EFEITO!$Y$141</f>
        <v>64627.641984315756</v>
      </c>
      <c r="K141" s="76">
        <f ca="1">EFEITO!$L$141*EFEITO!$Z$141</f>
        <v>118704.26662904218</v>
      </c>
      <c r="L141" s="76">
        <f>EFEITO!$N$141*EFEITO!$AA$141</f>
        <v>141026.42537574266</v>
      </c>
      <c r="M141" s="76">
        <f ca="1">$J$141-EFEITO!$K$141*EFEITO!$Y$141</f>
        <v>0</v>
      </c>
      <c r="N141" s="76">
        <f ca="1">$K$141-EFEITO!$M$141*EFEITO!$Z$141</f>
        <v>0</v>
      </c>
      <c r="O141" s="76">
        <f>$L$141-EFEITO!$O$141*EFEITO!$AA$141</f>
        <v>0</v>
      </c>
      <c r="P141" s="57"/>
      <c r="Q141" s="57"/>
      <c r="R141" s="57"/>
      <c r="S141" s="57"/>
      <c r="T141" s="57"/>
      <c r="U141" s="57"/>
      <c r="V141" s="57"/>
      <c r="W141" s="5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28</v>
      </c>
      <c r="B142" s="53" t="s">
        <v>41</v>
      </c>
      <c r="C142" s="53" t="s">
        <v>40</v>
      </c>
      <c r="D142" s="53" t="s">
        <v>47</v>
      </c>
      <c r="E142" s="53" t="s">
        <v>25</v>
      </c>
      <c r="F142" s="53" t="s">
        <v>25</v>
      </c>
      <c r="G142" s="53" t="s">
        <v>25</v>
      </c>
      <c r="H142" s="53" t="s">
        <v>35</v>
      </c>
      <c r="I142" s="75">
        <v>44621</v>
      </c>
      <c r="J142" s="76">
        <f ca="1">EFEITO!$J$142*EFEITO!$Y$142</f>
        <v>7543.4231299725925</v>
      </c>
      <c r="K142" s="76">
        <f ca="1">EFEITO!$L$142*EFEITO!$Z$142</f>
        <v>2282.9732843196725</v>
      </c>
      <c r="L142" s="76">
        <f>EFEITO!$N$142*EFEITO!$AA$142</f>
        <v>2712.2829756580277</v>
      </c>
      <c r="M142" s="76">
        <f ca="1">$J$142-EFEITO!$K$142*EFEITO!$Y$142</f>
        <v>0</v>
      </c>
      <c r="N142" s="76">
        <f ca="1">$K$142-EFEITO!$M$142*EFEITO!$Z$142</f>
        <v>0</v>
      </c>
      <c r="O142" s="76">
        <f>$L$142-EFEITO!$O$142*EFEITO!$AA$142</f>
        <v>0</v>
      </c>
      <c r="P142" s="57"/>
      <c r="Q142" s="57"/>
      <c r="R142" s="57"/>
      <c r="S142" s="57"/>
      <c r="T142" s="57"/>
      <c r="U142" s="57"/>
      <c r="V142" s="57"/>
      <c r="W142" s="5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21</v>
      </c>
      <c r="B143" s="53" t="s">
        <v>41</v>
      </c>
      <c r="C143" s="53" t="s">
        <v>40</v>
      </c>
      <c r="D143" s="53" t="s">
        <v>47</v>
      </c>
      <c r="E143" s="53" t="s">
        <v>25</v>
      </c>
      <c r="F143" s="53" t="s">
        <v>25</v>
      </c>
      <c r="G143" s="53" t="s">
        <v>25</v>
      </c>
      <c r="H143" s="53" t="s">
        <v>35</v>
      </c>
      <c r="I143" s="75">
        <v>44652</v>
      </c>
      <c r="J143" s="76">
        <f ca="1">EFEITO!$J$143*EFEITO!$Y$143</f>
        <v>65199.755536308054</v>
      </c>
      <c r="K143" s="76">
        <f ca="1">EFEITO!$L$143*EFEITO!$Z$143</f>
        <v>123785.42473616988</v>
      </c>
      <c r="L143" s="76">
        <f>EFEITO!$N$143*EFEITO!$AA$143</f>
        <v>147063.08762021398</v>
      </c>
      <c r="M143" s="76">
        <f ca="1">$J$143-EFEITO!$K$143*EFEITO!$Y$143</f>
        <v>0</v>
      </c>
      <c r="N143" s="76">
        <f ca="1">$K$143-EFEITO!$M$143*EFEITO!$Z$143</f>
        <v>0</v>
      </c>
      <c r="O143" s="76">
        <f>$L$143-EFEITO!$O$143*EFEITO!$AA$143</f>
        <v>0</v>
      </c>
      <c r="P143" s="57"/>
      <c r="Q143" s="57"/>
      <c r="R143" s="57"/>
      <c r="S143" s="57"/>
      <c r="T143" s="57"/>
      <c r="U143" s="57"/>
      <c r="V143" s="57"/>
      <c r="W143" s="5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28</v>
      </c>
      <c r="B144" s="53" t="s">
        <v>41</v>
      </c>
      <c r="C144" s="53" t="s">
        <v>40</v>
      </c>
      <c r="D144" s="53" t="s">
        <v>47</v>
      </c>
      <c r="E144" s="53" t="s">
        <v>25</v>
      </c>
      <c r="F144" s="53" t="s">
        <v>25</v>
      </c>
      <c r="G144" s="53" t="s">
        <v>25</v>
      </c>
      <c r="H144" s="53" t="s">
        <v>35</v>
      </c>
      <c r="I144" s="75">
        <v>44652</v>
      </c>
      <c r="J144" s="76">
        <f ca="1">EFEITO!$J$144*EFEITO!$Y$144</f>
        <v>7543.4231299725925</v>
      </c>
      <c r="K144" s="76">
        <f ca="1">EFEITO!$L$144*EFEITO!$Z$144</f>
        <v>2067.5607812602566</v>
      </c>
      <c r="L144" s="76">
        <f>EFEITO!$N$144*EFEITO!$AA$144</f>
        <v>2456.3624754906127</v>
      </c>
      <c r="M144" s="76">
        <f ca="1">$J$144-EFEITO!$K$144*EFEITO!$Y$144</f>
        <v>0</v>
      </c>
      <c r="N144" s="76">
        <f ca="1">$K$144-EFEITO!$M$144*EFEITO!$Z$144</f>
        <v>0</v>
      </c>
      <c r="O144" s="76">
        <f>$L$144-EFEITO!$O$144*EFEITO!$AA$144</f>
        <v>0</v>
      </c>
      <c r="P144" s="57"/>
      <c r="Q144" s="57"/>
      <c r="R144" s="57"/>
      <c r="S144" s="57"/>
      <c r="T144" s="57"/>
      <c r="U144" s="57"/>
      <c r="V144" s="57"/>
      <c r="W144" s="5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21</v>
      </c>
      <c r="B145" s="53" t="s">
        <v>41</v>
      </c>
      <c r="C145" s="53" t="s">
        <v>40</v>
      </c>
      <c r="D145" s="53" t="s">
        <v>47</v>
      </c>
      <c r="E145" s="53" t="s">
        <v>25</v>
      </c>
      <c r="F145" s="53" t="s">
        <v>25</v>
      </c>
      <c r="G145" s="53" t="s">
        <v>25</v>
      </c>
      <c r="H145" s="53" t="s">
        <v>35</v>
      </c>
      <c r="I145" s="75">
        <v>44682</v>
      </c>
      <c r="J145" s="76">
        <f ca="1">EFEITO!$J$145*EFEITO!$Y$145</f>
        <v>65369.270662824296</v>
      </c>
      <c r="K145" s="76">
        <f ca="1">EFEITO!$L$145*EFEITO!$Z$145</f>
        <v>134649.32876578142</v>
      </c>
      <c r="L145" s="76">
        <f>EFEITO!$N$145*EFEITO!$AA$145</f>
        <v>159969.93245763783</v>
      </c>
      <c r="M145" s="76">
        <f ca="1">$J$145-EFEITO!$K$145*EFEITO!$Y$145</f>
        <v>0</v>
      </c>
      <c r="N145" s="76">
        <f ca="1">$K$145-EFEITO!$M$145*EFEITO!$Z$145</f>
        <v>0</v>
      </c>
      <c r="O145" s="76">
        <f>$L$145-EFEITO!$O$145*EFEITO!$AA$145</f>
        <v>0</v>
      </c>
      <c r="P145" s="57"/>
      <c r="Q145" s="57"/>
      <c r="R145" s="57"/>
      <c r="S145" s="57"/>
      <c r="T145" s="57"/>
      <c r="U145" s="57"/>
      <c r="V145" s="57"/>
      <c r="W145" s="5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28</v>
      </c>
      <c r="B146" s="53" t="s">
        <v>41</v>
      </c>
      <c r="C146" s="53" t="s">
        <v>40</v>
      </c>
      <c r="D146" s="53" t="s">
        <v>47</v>
      </c>
      <c r="E146" s="53" t="s">
        <v>25</v>
      </c>
      <c r="F146" s="53" t="s">
        <v>25</v>
      </c>
      <c r="G146" s="53" t="s">
        <v>25</v>
      </c>
      <c r="H146" s="53" t="s">
        <v>35</v>
      </c>
      <c r="I146" s="75">
        <v>44682</v>
      </c>
      <c r="J146" s="76">
        <f ca="1">EFEITO!$J$146*EFEITO!$Y$146</f>
        <v>7543.4231299725925</v>
      </c>
      <c r="K146" s="76">
        <f ca="1">EFEITO!$L$146*EFEITO!$Z$146</f>
        <v>2793.4664360518855</v>
      </c>
      <c r="L146" s="76">
        <f>EFEITO!$N$146*EFEITO!$AA$146</f>
        <v>3318.7735965265515</v>
      </c>
      <c r="M146" s="76">
        <f ca="1">$J$146-EFEITO!$K$146*EFEITO!$Y$146</f>
        <v>0</v>
      </c>
      <c r="N146" s="76">
        <f ca="1">$K$146-EFEITO!$M$146*EFEITO!$Z$146</f>
        <v>0</v>
      </c>
      <c r="O146" s="76">
        <f>$L$146-EFEITO!$O$146*EFEITO!$AA$146</f>
        <v>0</v>
      </c>
      <c r="P146" s="57"/>
      <c r="Q146" s="57"/>
      <c r="R146" s="57"/>
      <c r="S146" s="57"/>
      <c r="T146" s="57"/>
      <c r="U146" s="57"/>
      <c r="V146" s="57"/>
      <c r="W146" s="5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21</v>
      </c>
      <c r="B147" s="53" t="s">
        <v>41</v>
      </c>
      <c r="C147" s="53" t="s">
        <v>40</v>
      </c>
      <c r="D147" s="53" t="s">
        <v>47</v>
      </c>
      <c r="E147" s="53" t="s">
        <v>25</v>
      </c>
      <c r="F147" s="53" t="s">
        <v>25</v>
      </c>
      <c r="G147" s="53" t="s">
        <v>25</v>
      </c>
      <c r="H147" s="53" t="s">
        <v>35</v>
      </c>
      <c r="I147" s="75">
        <v>44713</v>
      </c>
      <c r="J147" s="76">
        <f ca="1">EFEITO!$J$147*EFEITO!$Y$147</f>
        <v>66619.444720881555</v>
      </c>
      <c r="K147" s="76">
        <f ca="1">EFEITO!$L$147*EFEITO!$Z$147</f>
        <v>140644.03913946438</v>
      </c>
      <c r="L147" s="76">
        <f>EFEITO!$N$147*EFEITO!$AA$147</f>
        <v>167091.93909793289</v>
      </c>
      <c r="M147" s="76">
        <f ca="1">$J$147-EFEITO!$K$147*EFEITO!$Y$147</f>
        <v>0</v>
      </c>
      <c r="N147" s="76">
        <f ca="1">$K$147-EFEITO!$M$147*EFEITO!$Z$147</f>
        <v>0</v>
      </c>
      <c r="O147" s="76">
        <f>$L$147-EFEITO!$O$147*EFEITO!$AA$147</f>
        <v>0</v>
      </c>
      <c r="P147" s="57"/>
      <c r="Q147" s="57"/>
      <c r="R147" s="57"/>
      <c r="S147" s="57"/>
      <c r="T147" s="57"/>
      <c r="U147" s="57"/>
      <c r="V147" s="57"/>
      <c r="W147" s="5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28</v>
      </c>
      <c r="B148" s="53" t="s">
        <v>41</v>
      </c>
      <c r="C148" s="53" t="s">
        <v>40</v>
      </c>
      <c r="D148" s="53" t="s">
        <v>47</v>
      </c>
      <c r="E148" s="53" t="s">
        <v>25</v>
      </c>
      <c r="F148" s="53" t="s">
        <v>25</v>
      </c>
      <c r="G148" s="53" t="s">
        <v>25</v>
      </c>
      <c r="H148" s="53" t="s">
        <v>35</v>
      </c>
      <c r="I148" s="75">
        <v>44713</v>
      </c>
      <c r="J148" s="76">
        <f ca="1">EFEITO!$J$148*EFEITO!$Y$148</f>
        <v>6335.6278535443971</v>
      </c>
      <c r="K148" s="76">
        <f ca="1">EFEITO!$L$148*EFEITO!$Z$148</f>
        <v>1432.3933333175814</v>
      </c>
      <c r="L148" s="76">
        <f>EFEITO!$N$148*EFEITO!$AA$148</f>
        <v>1701.7527445841661</v>
      </c>
      <c r="M148" s="76">
        <f ca="1">$J$148-EFEITO!$K$148*EFEITO!$Y$148</f>
        <v>0</v>
      </c>
      <c r="N148" s="76">
        <f ca="1">$K$148-EFEITO!$M$148*EFEITO!$Z$148</f>
        <v>0</v>
      </c>
      <c r="O148" s="76">
        <f>$L$148-EFEITO!$O$148*EFEITO!$AA$148</f>
        <v>0</v>
      </c>
      <c r="P148" s="57"/>
      <c r="Q148" s="57"/>
      <c r="R148" s="57"/>
      <c r="S148" s="57"/>
      <c r="T148" s="57"/>
      <c r="U148" s="57"/>
      <c r="V148" s="57"/>
      <c r="W148" s="5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21</v>
      </c>
      <c r="B149" s="53" t="s">
        <v>41</v>
      </c>
      <c r="C149" s="53" t="s">
        <v>40</v>
      </c>
      <c r="D149" s="53" t="s">
        <v>47</v>
      </c>
      <c r="E149" s="53" t="s">
        <v>25</v>
      </c>
      <c r="F149" s="53" t="s">
        <v>25</v>
      </c>
      <c r="G149" s="53" t="s">
        <v>25</v>
      </c>
      <c r="H149" s="53" t="s">
        <v>35</v>
      </c>
      <c r="I149" s="75">
        <v>44743</v>
      </c>
      <c r="J149" s="76">
        <f ca="1">EFEITO!$J$149*EFEITO!$Y$149</f>
        <v>63165.574018113199</v>
      </c>
      <c r="K149" s="76">
        <f ca="1">EFEITO!$L$149*EFEITO!$Z$149</f>
        <v>127064.52205527738</v>
      </c>
      <c r="L149" s="76">
        <f>EFEITO!$N$149*EFEITO!$AA$149</f>
        <v>150958.81425671358</v>
      </c>
      <c r="M149" s="76">
        <f ca="1">$J$149-EFEITO!$K$149*EFEITO!$Y$149</f>
        <v>0</v>
      </c>
      <c r="N149" s="76">
        <f ca="1">$K$149-EFEITO!$M$149*EFEITO!$Z$149</f>
        <v>0</v>
      </c>
      <c r="O149" s="76">
        <f>$L$149-EFEITO!$O$149*EFEITO!$AA$149</f>
        <v>0</v>
      </c>
      <c r="P149" s="57"/>
      <c r="Q149" s="57"/>
      <c r="R149" s="57"/>
      <c r="S149" s="57"/>
      <c r="T149" s="57"/>
      <c r="U149" s="57"/>
      <c r="V149" s="57"/>
      <c r="W149" s="5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28</v>
      </c>
      <c r="B150" s="53" t="s">
        <v>41</v>
      </c>
      <c r="C150" s="53" t="s">
        <v>40</v>
      </c>
      <c r="D150" s="53" t="s">
        <v>47</v>
      </c>
      <c r="E150" s="53" t="s">
        <v>25</v>
      </c>
      <c r="F150" s="53" t="s">
        <v>25</v>
      </c>
      <c r="G150" s="53" t="s">
        <v>25</v>
      </c>
      <c r="H150" s="53" t="s">
        <v>35</v>
      </c>
      <c r="I150" s="75">
        <v>44743</v>
      </c>
      <c r="J150" s="76">
        <f ca="1">EFEITO!$J$150*EFEITO!$Y$150</f>
        <v>8560.5138890700218</v>
      </c>
      <c r="K150" s="76">
        <f ca="1">EFEITO!$L$150*EFEITO!$Z$150</f>
        <v>1141.849594987232</v>
      </c>
      <c r="L150" s="76">
        <f>EFEITO!$N$150*EFEITO!$AA$150</f>
        <v>1356.5726933895317</v>
      </c>
      <c r="M150" s="76">
        <f ca="1">$J$150-EFEITO!$K$150*EFEITO!$Y$150</f>
        <v>0</v>
      </c>
      <c r="N150" s="76">
        <f ca="1">$K$150-EFEITO!$M$150*EFEITO!$Z$150</f>
        <v>0</v>
      </c>
      <c r="O150" s="76">
        <f>$L$150-EFEITO!$O$150*EFEITO!$AA$150</f>
        <v>0</v>
      </c>
      <c r="P150" s="57"/>
      <c r="Q150" s="57"/>
      <c r="R150" s="57"/>
      <c r="S150" s="57"/>
      <c r="T150" s="57"/>
      <c r="U150" s="57"/>
      <c r="V150" s="57"/>
      <c r="W150" s="5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28</v>
      </c>
      <c r="B151" s="53" t="s">
        <v>41</v>
      </c>
      <c r="C151" s="53" t="s">
        <v>40</v>
      </c>
      <c r="D151" s="53" t="s">
        <v>47</v>
      </c>
      <c r="E151" s="53" t="s">
        <v>25</v>
      </c>
      <c r="F151" s="53" t="s">
        <v>25</v>
      </c>
      <c r="G151" s="53" t="s">
        <v>25</v>
      </c>
      <c r="H151" s="53" t="s">
        <v>35</v>
      </c>
      <c r="I151" s="75">
        <v>44743</v>
      </c>
      <c r="J151" s="76">
        <f ca="1">EFEITO!$J$151*EFEITO!$Y$151</f>
        <v>0</v>
      </c>
      <c r="K151" s="76">
        <f ca="1">EFEITO!$L$151*EFEITO!$Z$151</f>
        <v>479.64216140356865</v>
      </c>
      <c r="L151" s="76">
        <f>EFEITO!$N$151*EFEITO!$AA$151</f>
        <v>569.83814822449654</v>
      </c>
      <c r="M151" s="76">
        <f ca="1">$J$151-EFEITO!$K$151*EFEITO!$Y$151</f>
        <v>0</v>
      </c>
      <c r="N151" s="76">
        <f ca="1">$K$151-EFEITO!$M$151*EFEITO!$Z$151</f>
        <v>0</v>
      </c>
      <c r="O151" s="76">
        <f>$L$151-EFEITO!$O$151*EFEITO!$AA$151</f>
        <v>0</v>
      </c>
      <c r="P151" s="57"/>
      <c r="Q151" s="57"/>
      <c r="R151" s="57"/>
      <c r="S151" s="57"/>
      <c r="T151" s="57"/>
      <c r="U151" s="57"/>
      <c r="V151" s="57"/>
      <c r="W151" s="5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41</v>
      </c>
      <c r="C152" s="53" t="s">
        <v>40</v>
      </c>
      <c r="D152" s="53" t="s">
        <v>47</v>
      </c>
      <c r="E152" s="53" t="s">
        <v>25</v>
      </c>
      <c r="F152" s="53" t="s">
        <v>25</v>
      </c>
      <c r="G152" s="53" t="s">
        <v>25</v>
      </c>
      <c r="H152" s="53" t="s">
        <v>35</v>
      </c>
      <c r="I152" s="75">
        <v>44774</v>
      </c>
      <c r="J152" s="76">
        <f ca="1">EFEITO!$J$152*EFEITO!$Y$152</f>
        <v>63419.846707887555</v>
      </c>
      <c r="K152" s="76">
        <f ca="1">EFEITO!$L$152*EFEITO!$Z$152</f>
        <v>152747.06412180522</v>
      </c>
      <c r="L152" s="76">
        <f>EFEITO!$N$152*EFEITO!$AA$152</f>
        <v>181470.9197189651</v>
      </c>
      <c r="M152" s="76">
        <f ca="1">$J$152-EFEITO!$K$152*EFEITO!$Y$152</f>
        <v>0</v>
      </c>
      <c r="N152" s="76">
        <f ca="1">$K$152-EFEITO!$M$152*EFEITO!$Z$152</f>
        <v>0</v>
      </c>
      <c r="O152" s="76">
        <f>$L$152-EFEITO!$O$152*EFEITO!$AA$152</f>
        <v>0</v>
      </c>
      <c r="P152" s="57"/>
      <c r="Q152" s="57"/>
      <c r="R152" s="57"/>
      <c r="S152" s="57"/>
      <c r="T152" s="57"/>
      <c r="U152" s="57"/>
      <c r="V152" s="57"/>
      <c r="W152" s="5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28</v>
      </c>
      <c r="B153" s="53" t="s">
        <v>41</v>
      </c>
      <c r="C153" s="53" t="s">
        <v>40</v>
      </c>
      <c r="D153" s="53" t="s">
        <v>47</v>
      </c>
      <c r="E153" s="53" t="s">
        <v>25</v>
      </c>
      <c r="F153" s="53" t="s">
        <v>25</v>
      </c>
      <c r="G153" s="53" t="s">
        <v>25</v>
      </c>
      <c r="H153" s="53" t="s">
        <v>35</v>
      </c>
      <c r="I153" s="75">
        <v>44774</v>
      </c>
      <c r="J153" s="76">
        <f ca="1">EFEITO!$J$153*EFEITO!$Y$153</f>
        <v>8348.6199809247228</v>
      </c>
      <c r="K153" s="76">
        <f ca="1">EFEITO!$L$153*EFEITO!$Z$153</f>
        <v>2268.092218396444</v>
      </c>
      <c r="L153" s="76">
        <f>EFEITO!$N$153*EFEITO!$AA$153</f>
        <v>2694.6035476767906</v>
      </c>
      <c r="M153" s="76">
        <f ca="1">$J$153-EFEITO!$K$153*EFEITO!$Y$153</f>
        <v>0</v>
      </c>
      <c r="N153" s="76">
        <f ca="1">$K$153-EFEITO!$M$153*EFEITO!$Z$153</f>
        <v>0</v>
      </c>
      <c r="O153" s="76">
        <f>$L$153-EFEITO!$O$153*EFEITO!$AA$153</f>
        <v>0</v>
      </c>
      <c r="P153" s="57"/>
      <c r="Q153" s="57"/>
      <c r="R153" s="57"/>
      <c r="S153" s="57"/>
      <c r="T153" s="57"/>
      <c r="U153" s="57"/>
      <c r="V153" s="57"/>
      <c r="W153" s="5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41</v>
      </c>
      <c r="C154" s="53" t="s">
        <v>40</v>
      </c>
      <c r="D154" s="53" t="s">
        <v>47</v>
      </c>
      <c r="E154" s="53" t="s">
        <v>25</v>
      </c>
      <c r="F154" s="53" t="s">
        <v>25</v>
      </c>
      <c r="G154" s="53" t="s">
        <v>25</v>
      </c>
      <c r="H154" s="53" t="s">
        <v>35</v>
      </c>
      <c r="I154" s="75">
        <v>44805</v>
      </c>
      <c r="J154" s="76">
        <f ca="1">EFEITO!$J$154*EFEITO!$Y$154</f>
        <v>63525.793661960204</v>
      </c>
      <c r="K154" s="76">
        <f ca="1">EFEITO!$L$154*EFEITO!$Z$154</f>
        <v>154736.04561593424</v>
      </c>
      <c r="L154" s="76">
        <f>EFEITO!$N$154*EFEITO!$AA$154</f>
        <v>183833.92619060355</v>
      </c>
      <c r="M154" s="76">
        <f ca="1">$J$154-EFEITO!$K$154*EFEITO!$Y$154</f>
        <v>0</v>
      </c>
      <c r="N154" s="76">
        <f ca="1">$K$154-EFEITO!$M$154*EFEITO!$Z$154</f>
        <v>0</v>
      </c>
      <c r="O154" s="76">
        <f>$L$154-EFEITO!$O$154*EFEITO!$AA$154</f>
        <v>0</v>
      </c>
      <c r="P154" s="57"/>
      <c r="Q154" s="57"/>
      <c r="R154" s="57"/>
      <c r="S154" s="57"/>
      <c r="T154" s="57"/>
      <c r="U154" s="57"/>
      <c r="V154" s="57"/>
      <c r="W154" s="5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28</v>
      </c>
      <c r="B155" s="53" t="s">
        <v>41</v>
      </c>
      <c r="C155" s="53" t="s">
        <v>40</v>
      </c>
      <c r="D155" s="53" t="s">
        <v>47</v>
      </c>
      <c r="E155" s="53" t="s">
        <v>25</v>
      </c>
      <c r="F155" s="53" t="s">
        <v>25</v>
      </c>
      <c r="G155" s="53" t="s">
        <v>25</v>
      </c>
      <c r="H155" s="53" t="s">
        <v>35</v>
      </c>
      <c r="I155" s="75">
        <v>44805</v>
      </c>
      <c r="J155" s="76">
        <f ca="1">EFEITO!$J$155*EFEITO!$Y$155</f>
        <v>10086.150027716163</v>
      </c>
      <c r="K155" s="76">
        <f ca="1">EFEITO!$L$155*EFEITO!$Z$155</f>
        <v>1284.4900561537872</v>
      </c>
      <c r="L155" s="76">
        <f>EFEITO!$N$155*EFEITO!$AA$155</f>
        <v>1526.0364786730938</v>
      </c>
      <c r="M155" s="76">
        <f ca="1">$J$155-EFEITO!$K$155*EFEITO!$Y$155</f>
        <v>0</v>
      </c>
      <c r="N155" s="76">
        <f ca="1">$K$155-EFEITO!$M$155*EFEITO!$Z$155</f>
        <v>0</v>
      </c>
      <c r="O155" s="76">
        <f>$L$155-EFEITO!$O$155*EFEITO!$AA$155</f>
        <v>0</v>
      </c>
      <c r="P155" s="57"/>
      <c r="Q155" s="57"/>
      <c r="R155" s="57"/>
      <c r="S155" s="57"/>
      <c r="T155" s="57"/>
      <c r="U155" s="57"/>
      <c r="V155" s="57"/>
      <c r="W155" s="5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41</v>
      </c>
      <c r="C156" s="53" t="s">
        <v>40</v>
      </c>
      <c r="D156" s="53" t="s">
        <v>47</v>
      </c>
      <c r="E156" s="53" t="s">
        <v>25</v>
      </c>
      <c r="F156" s="53" t="s">
        <v>25</v>
      </c>
      <c r="G156" s="53" t="s">
        <v>25</v>
      </c>
      <c r="H156" s="53" t="s">
        <v>35</v>
      </c>
      <c r="I156" s="75">
        <v>44835</v>
      </c>
      <c r="J156" s="76">
        <f ca="1">EFEITO!$J$156*EFEITO!$Y$156</f>
        <v>63504.604271145676</v>
      </c>
      <c r="K156" s="76">
        <f ca="1">EFEITO!$L$156*EFEITO!$Z$156</f>
        <v>159135.57831321264</v>
      </c>
      <c r="L156" s="76">
        <f>EFEITO!$N$156*EFEITO!$AA$156</f>
        <v>189060.78439242212</v>
      </c>
      <c r="M156" s="76">
        <f ca="1">$J$156-EFEITO!$K$156*EFEITO!$Y$156</f>
        <v>0</v>
      </c>
      <c r="N156" s="76">
        <f ca="1">$K$156-EFEITO!$M$156*EFEITO!$Z$156</f>
        <v>0</v>
      </c>
      <c r="O156" s="76">
        <f>$L$156-EFEITO!$O$156*EFEITO!$AA$156</f>
        <v>0</v>
      </c>
      <c r="P156" s="57"/>
      <c r="Q156" s="57"/>
      <c r="R156" s="57"/>
      <c r="S156" s="57"/>
      <c r="T156" s="57"/>
      <c r="U156" s="57"/>
      <c r="V156" s="57"/>
      <c r="W156" s="5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28</v>
      </c>
      <c r="B157" s="53" t="s">
        <v>41</v>
      </c>
      <c r="C157" s="53" t="s">
        <v>40</v>
      </c>
      <c r="D157" s="53" t="s">
        <v>47</v>
      </c>
      <c r="E157" s="53" t="s">
        <v>25</v>
      </c>
      <c r="F157" s="53" t="s">
        <v>25</v>
      </c>
      <c r="G157" s="53" t="s">
        <v>25</v>
      </c>
      <c r="H157" s="53" t="s">
        <v>35</v>
      </c>
      <c r="I157" s="75">
        <v>44835</v>
      </c>
      <c r="J157" s="76">
        <f ca="1">EFEITO!$J$157*EFEITO!$Y$157</f>
        <v>4237.8781629059513</v>
      </c>
      <c r="K157" s="76">
        <f ca="1">EFEITO!$L$157*EFEITO!$Z$157</f>
        <v>789.24092317219845</v>
      </c>
      <c r="L157" s="76">
        <f>EFEITO!$N$157*EFEITO!$AA$157</f>
        <v>937.65649134632451</v>
      </c>
      <c r="M157" s="76">
        <f ca="1">$J$157-EFEITO!$K$157*EFEITO!$Y$157</f>
        <v>0</v>
      </c>
      <c r="N157" s="76">
        <f ca="1">$K$157-EFEITO!$M$157*EFEITO!$Z$157</f>
        <v>0</v>
      </c>
      <c r="O157" s="76">
        <f>$L$157-EFEITO!$O$157*EFEITO!$AA$157</f>
        <v>0</v>
      </c>
      <c r="P157" s="57"/>
      <c r="Q157" s="57"/>
      <c r="R157" s="57"/>
      <c r="S157" s="57"/>
      <c r="T157" s="57"/>
      <c r="U157" s="57"/>
      <c r="V157" s="57"/>
      <c r="W157" s="5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28</v>
      </c>
      <c r="B158" s="53" t="s">
        <v>41</v>
      </c>
      <c r="C158" s="53" t="s">
        <v>40</v>
      </c>
      <c r="D158" s="53" t="s">
        <v>47</v>
      </c>
      <c r="E158" s="53" t="s">
        <v>25</v>
      </c>
      <c r="F158" s="53" t="s">
        <v>25</v>
      </c>
      <c r="G158" s="53" t="s">
        <v>25</v>
      </c>
      <c r="H158" s="53" t="s">
        <v>35</v>
      </c>
      <c r="I158" s="75">
        <v>44835</v>
      </c>
      <c r="J158" s="76">
        <f ca="1">EFEITO!$J$158*EFEITO!$Y$158</f>
        <v>-9959.0136828289851</v>
      </c>
      <c r="K158" s="76">
        <f ca="1">EFEITO!$L$158*EFEITO!$Z$158</f>
        <v>-3336.8068186634196</v>
      </c>
      <c r="L158" s="76">
        <f>EFEITO!$N$158*EFEITO!$AA$158</f>
        <v>-3964.2883206219517</v>
      </c>
      <c r="M158" s="76">
        <f ca="1">$J$158-EFEITO!$K$158*EFEITO!$Y$158</f>
        <v>0</v>
      </c>
      <c r="N158" s="76">
        <f ca="1">$K$158-EFEITO!$M$158*EFEITO!$Z$158</f>
        <v>0</v>
      </c>
      <c r="O158" s="76">
        <f>$L$158-EFEITO!$O$158*EFEITO!$AA$158</f>
        <v>0</v>
      </c>
      <c r="P158" s="57"/>
      <c r="Q158" s="57"/>
      <c r="R158" s="57"/>
      <c r="S158" s="57"/>
      <c r="T158" s="57"/>
      <c r="U158" s="57"/>
      <c r="V158" s="57"/>
      <c r="W158" s="5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54</v>
      </c>
      <c r="B159" s="53" t="s">
        <v>41</v>
      </c>
      <c r="C159" s="53" t="s">
        <v>40</v>
      </c>
      <c r="D159" s="53" t="s">
        <v>47</v>
      </c>
      <c r="E159" s="53" t="s">
        <v>25</v>
      </c>
      <c r="F159" s="53" t="s">
        <v>25</v>
      </c>
      <c r="G159" s="53" t="s">
        <v>25</v>
      </c>
      <c r="H159" s="53" t="s">
        <v>35</v>
      </c>
      <c r="I159" s="75">
        <v>44866</v>
      </c>
      <c r="J159" s="76">
        <f ca="1">EFEITO!$J$159*EFEITO!$Y$159</f>
        <v>63504.604271145676</v>
      </c>
      <c r="K159" s="76">
        <f ca="1">EFEITO!$L$159*EFEITO!$Z$159</f>
        <v>159135.57831321264</v>
      </c>
      <c r="L159" s="76">
        <f>EFEITO!$N$159*EFEITO!$AA$159</f>
        <v>189060.78439242212</v>
      </c>
      <c r="M159" s="76">
        <f ca="1">$J$159-EFEITO!$K$159*EFEITO!$Y$159</f>
        <v>0</v>
      </c>
      <c r="N159" s="76">
        <f ca="1">$K$159-EFEITO!$M$159*EFEITO!$Z$159</f>
        <v>0</v>
      </c>
      <c r="O159" s="76">
        <f>$L$159-EFEITO!$O$159*EFEITO!$AA$159</f>
        <v>0</v>
      </c>
      <c r="P159" s="57"/>
      <c r="Q159" s="57"/>
      <c r="R159" s="57"/>
      <c r="S159" s="57"/>
      <c r="T159" s="57"/>
      <c r="U159" s="57"/>
      <c r="V159" s="57"/>
      <c r="W159" s="5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54</v>
      </c>
      <c r="B160" s="53" t="s">
        <v>41</v>
      </c>
      <c r="C160" s="53" t="s">
        <v>40</v>
      </c>
      <c r="D160" s="53" t="s">
        <v>47</v>
      </c>
      <c r="E160" s="53" t="s">
        <v>25</v>
      </c>
      <c r="F160" s="53" t="s">
        <v>25</v>
      </c>
      <c r="G160" s="53" t="s">
        <v>25</v>
      </c>
      <c r="H160" s="53" t="s">
        <v>35</v>
      </c>
      <c r="I160" s="75">
        <v>44866</v>
      </c>
      <c r="J160" s="76">
        <f ca="1">EFEITO!$J$160*EFEITO!$Y$160</f>
        <v>4237.8781629059513</v>
      </c>
      <c r="K160" s="76">
        <f ca="1">EFEITO!$L$160*EFEITO!$Z$160</f>
        <v>789.24092317219845</v>
      </c>
      <c r="L160" s="76">
        <f>EFEITO!$N$160*EFEITO!$AA$160</f>
        <v>937.65649134632451</v>
      </c>
      <c r="M160" s="76">
        <f ca="1">$J$160-EFEITO!$K$160*EFEITO!$Y$160</f>
        <v>0</v>
      </c>
      <c r="N160" s="76">
        <f ca="1">$K$160-EFEITO!$M$160*EFEITO!$Z$160</f>
        <v>0</v>
      </c>
      <c r="O160" s="76">
        <f>$L$160-EFEITO!$O$160*EFEITO!$AA$160</f>
        <v>0</v>
      </c>
      <c r="P160" s="57"/>
      <c r="Q160" s="57"/>
      <c r="R160" s="57"/>
      <c r="S160" s="57"/>
      <c r="T160" s="57"/>
      <c r="U160" s="57"/>
      <c r="V160" s="57"/>
      <c r="W160" s="5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54</v>
      </c>
      <c r="B161" s="53" t="s">
        <v>41</v>
      </c>
      <c r="C161" s="53" t="s">
        <v>40</v>
      </c>
      <c r="D161" s="53" t="s">
        <v>47</v>
      </c>
      <c r="E161" s="53" t="s">
        <v>25</v>
      </c>
      <c r="F161" s="53" t="s">
        <v>25</v>
      </c>
      <c r="G161" s="53" t="s">
        <v>25</v>
      </c>
      <c r="H161" s="53" t="s">
        <v>35</v>
      </c>
      <c r="I161" s="75">
        <v>44866</v>
      </c>
      <c r="J161" s="76">
        <f ca="1">EFEITO!$J$161*EFEITO!$Y$161</f>
        <v>-9959.0136828289851</v>
      </c>
      <c r="K161" s="76">
        <f ca="1">EFEITO!$L$161*EFEITO!$Z$161</f>
        <v>-3336.8068186634196</v>
      </c>
      <c r="L161" s="76">
        <f>EFEITO!$N$161*EFEITO!$AA$161</f>
        <v>-3964.2883206219517</v>
      </c>
      <c r="M161" s="76">
        <f ca="1">$J$161-EFEITO!$K$161*EFEITO!$Y$161</f>
        <v>0</v>
      </c>
      <c r="N161" s="76">
        <f ca="1">$K$161-EFEITO!$M$161*EFEITO!$Z$161</f>
        <v>0</v>
      </c>
      <c r="O161" s="76">
        <f>$L$161-EFEITO!$O$161*EFEITO!$AA$161</f>
        <v>0</v>
      </c>
      <c r="P161" s="57"/>
      <c r="Q161" s="57"/>
      <c r="R161" s="57"/>
      <c r="S161" s="57"/>
      <c r="T161" s="57"/>
      <c r="U161" s="57"/>
      <c r="V161" s="57"/>
      <c r="W161" s="5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41</v>
      </c>
      <c r="C162" s="53" t="s">
        <v>40</v>
      </c>
      <c r="D162" s="53" t="s">
        <v>47</v>
      </c>
      <c r="E162" s="53" t="s">
        <v>25</v>
      </c>
      <c r="F162" s="53" t="s">
        <v>25</v>
      </c>
      <c r="G162" s="53" t="s">
        <v>25</v>
      </c>
      <c r="H162" s="53" t="s">
        <v>34</v>
      </c>
      <c r="I162" s="75">
        <v>44531</v>
      </c>
      <c r="J162" s="76">
        <f ca="1">EFEITO!$J$162*EFEITO!$Y$162</f>
        <v>129707.97590223484</v>
      </c>
      <c r="K162" s="76">
        <f ca="1">EFEITO!$L$162*EFEITO!$Z$162</f>
        <v>11221.956993837488</v>
      </c>
      <c r="L162" s="76">
        <f>EFEITO!$N$162*EFEITO!$AA$162</f>
        <v>19919.229643174553</v>
      </c>
      <c r="M162" s="76">
        <f ca="1">$J$162-EFEITO!$K$162*EFEITO!$Y$162</f>
        <v>0</v>
      </c>
      <c r="N162" s="76">
        <f ca="1">$K$162-EFEITO!$M$162*EFEITO!$Z$162</f>
        <v>0</v>
      </c>
      <c r="O162" s="76">
        <f>$L$162-EFEITO!$O$162*EFEITO!$AA$162</f>
        <v>0</v>
      </c>
      <c r="P162" s="57"/>
      <c r="Q162" s="57"/>
      <c r="R162" s="57"/>
      <c r="S162" s="57"/>
      <c r="T162" s="57"/>
      <c r="U162" s="57"/>
      <c r="V162" s="57"/>
      <c r="W162" s="5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28</v>
      </c>
      <c r="B163" s="53" t="s">
        <v>41</v>
      </c>
      <c r="C163" s="53" t="s">
        <v>40</v>
      </c>
      <c r="D163" s="53" t="s">
        <v>47</v>
      </c>
      <c r="E163" s="53" t="s">
        <v>25</v>
      </c>
      <c r="F163" s="53" t="s">
        <v>25</v>
      </c>
      <c r="G163" s="53" t="s">
        <v>25</v>
      </c>
      <c r="H163" s="53" t="s">
        <v>34</v>
      </c>
      <c r="I163" s="75">
        <v>44531</v>
      </c>
      <c r="J163" s="76">
        <f ca="1">EFEITO!$J$163*EFEITO!$Y$163</f>
        <v>18227.469637453327</v>
      </c>
      <c r="K163" s="76">
        <f ca="1">EFEITO!$L$163*EFEITO!$Z$163</f>
        <v>234.4675264976961</v>
      </c>
      <c r="L163" s="76">
        <f>EFEITO!$N$163*EFEITO!$AA$163</f>
        <v>416.18520786877627</v>
      </c>
      <c r="M163" s="76">
        <f ca="1">$J$163-EFEITO!$K$163*EFEITO!$Y$163</f>
        <v>0</v>
      </c>
      <c r="N163" s="76">
        <f ca="1">$K$163-EFEITO!$M$163*EFEITO!$Z$163</f>
        <v>0</v>
      </c>
      <c r="O163" s="76">
        <f>$L$163-EFEITO!$O$163*EFEITO!$AA$163</f>
        <v>0</v>
      </c>
      <c r="P163" s="57"/>
      <c r="Q163" s="57"/>
      <c r="R163" s="57"/>
      <c r="S163" s="57"/>
      <c r="T163" s="57"/>
      <c r="U163" s="57"/>
      <c r="V163" s="57"/>
      <c r="W163" s="5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41</v>
      </c>
      <c r="C164" s="53" t="s">
        <v>40</v>
      </c>
      <c r="D164" s="53" t="s">
        <v>47</v>
      </c>
      <c r="E164" s="53" t="s">
        <v>25</v>
      </c>
      <c r="F164" s="53" t="s">
        <v>25</v>
      </c>
      <c r="G164" s="53" t="s">
        <v>25</v>
      </c>
      <c r="H164" s="53" t="s">
        <v>34</v>
      </c>
      <c r="I164" s="75">
        <v>44562</v>
      </c>
      <c r="J164" s="76">
        <f ca="1">EFEITO!$J$164*EFEITO!$Y$164</f>
        <v>126019.08323751214</v>
      </c>
      <c r="K164" s="76">
        <f ca="1">EFEITO!$L$164*EFEITO!$Z$164</f>
        <v>9908.0677586646398</v>
      </c>
      <c r="L164" s="76">
        <f>EFEITO!$N$164*EFEITO!$AA$164</f>
        <v>17587.046280194721</v>
      </c>
      <c r="M164" s="76">
        <f ca="1">$J$164-EFEITO!$K$164*EFEITO!$Y$164</f>
        <v>0</v>
      </c>
      <c r="N164" s="76">
        <f ca="1">$K$164-EFEITO!$M$164*EFEITO!$Z$164</f>
        <v>0</v>
      </c>
      <c r="O164" s="76">
        <f>$L$164-EFEITO!$O$164*EFEITO!$AA$164</f>
        <v>0</v>
      </c>
      <c r="P164" s="57"/>
      <c r="Q164" s="57"/>
      <c r="R164" s="57"/>
      <c r="S164" s="57"/>
      <c r="T164" s="57"/>
      <c r="U164" s="57"/>
      <c r="V164" s="57"/>
      <c r="W164" s="5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28</v>
      </c>
      <c r="B165" s="53" t="s">
        <v>41</v>
      </c>
      <c r="C165" s="53" t="s">
        <v>40</v>
      </c>
      <c r="D165" s="53" t="s">
        <v>47</v>
      </c>
      <c r="E165" s="53" t="s">
        <v>25</v>
      </c>
      <c r="F165" s="53" t="s">
        <v>25</v>
      </c>
      <c r="G165" s="53" t="s">
        <v>25</v>
      </c>
      <c r="H165" s="53" t="s">
        <v>34</v>
      </c>
      <c r="I165" s="75">
        <v>44562</v>
      </c>
      <c r="J165" s="76">
        <f ca="1">EFEITO!$J$165*EFEITO!$Y$165</f>
        <v>18227.469637453327</v>
      </c>
      <c r="K165" s="76">
        <f ca="1">EFEITO!$L$165*EFEITO!$Z$165</f>
        <v>266.04442248113196</v>
      </c>
      <c r="L165" s="76">
        <f>EFEITO!$N$165*EFEITO!$AA$165</f>
        <v>472.23491852602632</v>
      </c>
      <c r="M165" s="76">
        <f ca="1">$J$165-EFEITO!$K$165*EFEITO!$Y$165</f>
        <v>0</v>
      </c>
      <c r="N165" s="76">
        <f ca="1">$K$165-EFEITO!$M$165*EFEITO!$Z$165</f>
        <v>0</v>
      </c>
      <c r="O165" s="76">
        <f>$L$165-EFEITO!$O$165*EFEITO!$AA$165</f>
        <v>0</v>
      </c>
      <c r="P165" s="57"/>
      <c r="Q165" s="57"/>
      <c r="R165" s="57"/>
      <c r="S165" s="57"/>
      <c r="T165" s="57"/>
      <c r="U165" s="57"/>
      <c r="V165" s="57"/>
      <c r="W165" s="5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41</v>
      </c>
      <c r="C166" s="53" t="s">
        <v>40</v>
      </c>
      <c r="D166" s="53" t="s">
        <v>47</v>
      </c>
      <c r="E166" s="53" t="s">
        <v>25</v>
      </c>
      <c r="F166" s="53" t="s">
        <v>25</v>
      </c>
      <c r="G166" s="53" t="s">
        <v>25</v>
      </c>
      <c r="H166" s="53" t="s">
        <v>34</v>
      </c>
      <c r="I166" s="75">
        <v>44593</v>
      </c>
      <c r="J166" s="76">
        <f ca="1">EFEITO!$J$166*EFEITO!$Y$166</f>
        <v>125747.84112981195</v>
      </c>
      <c r="K166" s="76">
        <f ca="1">EFEITO!$L$166*EFEITO!$Z$166</f>
        <v>9458.187729107527</v>
      </c>
      <c r="L166" s="76">
        <f>EFEITO!$N$166*EFEITO!$AA$166</f>
        <v>16788.498965715855</v>
      </c>
      <c r="M166" s="76">
        <f ca="1">$J$166-EFEITO!$K$166*EFEITO!$Y$166</f>
        <v>0</v>
      </c>
      <c r="N166" s="76">
        <f ca="1">$K$166-EFEITO!$M$166*EFEITO!$Z$166</f>
        <v>0</v>
      </c>
      <c r="O166" s="76">
        <f>$L$166-EFEITO!$O$166*EFEITO!$AA$166</f>
        <v>0</v>
      </c>
      <c r="P166" s="57"/>
      <c r="Q166" s="57"/>
      <c r="R166" s="57"/>
      <c r="S166" s="57"/>
      <c r="T166" s="57"/>
      <c r="U166" s="57"/>
      <c r="V166" s="57"/>
      <c r="W166" s="5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28</v>
      </c>
      <c r="B167" s="53" t="s">
        <v>41</v>
      </c>
      <c r="C167" s="53" t="s">
        <v>40</v>
      </c>
      <c r="D167" s="53" t="s">
        <v>47</v>
      </c>
      <c r="E167" s="53" t="s">
        <v>25</v>
      </c>
      <c r="F167" s="53" t="s">
        <v>25</v>
      </c>
      <c r="G167" s="53" t="s">
        <v>25</v>
      </c>
      <c r="H167" s="53" t="s">
        <v>34</v>
      </c>
      <c r="I167" s="75">
        <v>44593</v>
      </c>
      <c r="J167" s="76">
        <f ca="1">EFEITO!$J$167*EFEITO!$Y$167</f>
        <v>18227.469637453327</v>
      </c>
      <c r="K167" s="76">
        <f ca="1">EFEITO!$L$167*EFEITO!$Z$167</f>
        <v>380.55603952451139</v>
      </c>
      <c r="L167" s="76">
        <f>EFEITO!$N$167*EFEITO!$AA$167</f>
        <v>675.49565085203085</v>
      </c>
      <c r="M167" s="76">
        <f ca="1">$J$167-EFEITO!$K$167*EFEITO!$Y$167</f>
        <v>0</v>
      </c>
      <c r="N167" s="76">
        <f ca="1">$K$167-EFEITO!$M$167*EFEITO!$Z$167</f>
        <v>0</v>
      </c>
      <c r="O167" s="76">
        <f>$L$167-EFEITO!$O$167*EFEITO!$AA$167</f>
        <v>0</v>
      </c>
      <c r="P167" s="57"/>
      <c r="Q167" s="57"/>
      <c r="R167" s="57"/>
      <c r="S167" s="57"/>
      <c r="T167" s="57"/>
      <c r="U167" s="57"/>
      <c r="V167" s="57"/>
      <c r="W167" s="5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41</v>
      </c>
      <c r="C168" s="53" t="s">
        <v>40</v>
      </c>
      <c r="D168" s="53" t="s">
        <v>47</v>
      </c>
      <c r="E168" s="53" t="s">
        <v>25</v>
      </c>
      <c r="F168" s="53" t="s">
        <v>25</v>
      </c>
      <c r="G168" s="53" t="s">
        <v>25</v>
      </c>
      <c r="H168" s="53" t="s">
        <v>34</v>
      </c>
      <c r="I168" s="75">
        <v>44621</v>
      </c>
      <c r="J168" s="76">
        <f ca="1">EFEITO!$J$168*EFEITO!$Y$168</f>
        <v>124988.36322825139</v>
      </c>
      <c r="K168" s="76">
        <f ca="1">EFEITO!$L$168*EFEITO!$Z$168</f>
        <v>10532.528098199136</v>
      </c>
      <c r="L168" s="76">
        <f>EFEITO!$N$168*EFEITO!$AA$168</f>
        <v>18695.477627157921</v>
      </c>
      <c r="M168" s="76">
        <f ca="1">$J$168-EFEITO!$K$168*EFEITO!$Y$168</f>
        <v>0</v>
      </c>
      <c r="N168" s="76">
        <f ca="1">$K$168-EFEITO!$M$168*EFEITO!$Z$168</f>
        <v>0</v>
      </c>
      <c r="O168" s="76">
        <f>$L$168-EFEITO!$O$168*EFEITO!$AA$168</f>
        <v>0</v>
      </c>
      <c r="P168" s="57"/>
      <c r="Q168" s="57"/>
      <c r="R168" s="57"/>
      <c r="S168" s="57"/>
      <c r="T168" s="57"/>
      <c r="U168" s="57"/>
      <c r="V168" s="57"/>
      <c r="W168" s="5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28</v>
      </c>
      <c r="B169" s="53" t="s">
        <v>41</v>
      </c>
      <c r="C169" s="53" t="s">
        <v>40</v>
      </c>
      <c r="D169" s="53" t="s">
        <v>47</v>
      </c>
      <c r="E169" s="53" t="s">
        <v>25</v>
      </c>
      <c r="F169" s="53" t="s">
        <v>25</v>
      </c>
      <c r="G169" s="53" t="s">
        <v>25</v>
      </c>
      <c r="H169" s="53" t="s">
        <v>34</v>
      </c>
      <c r="I169" s="75">
        <v>44621</v>
      </c>
      <c r="J169" s="76">
        <f ca="1">EFEITO!$J$169*EFEITO!$Y$169</f>
        <v>18227.469637453327</v>
      </c>
      <c r="K169" s="76">
        <f ca="1">EFEITO!$L$169*EFEITO!$Z$169</f>
        <v>520.83730731299363</v>
      </c>
      <c r="L169" s="76">
        <f>EFEITO!$N$169*EFEITO!$AA$169</f>
        <v>924.4981010707337</v>
      </c>
      <c r="M169" s="76">
        <f ca="1">$J$169-EFEITO!$K$169*EFEITO!$Y$169</f>
        <v>0</v>
      </c>
      <c r="N169" s="76">
        <f ca="1">$K$169-EFEITO!$M$169*EFEITO!$Z$169</f>
        <v>0</v>
      </c>
      <c r="O169" s="76">
        <f>$L$169-EFEITO!$O$169*EFEITO!$AA$169</f>
        <v>0</v>
      </c>
      <c r="P169" s="57"/>
      <c r="Q169" s="57"/>
      <c r="R169" s="57"/>
      <c r="S169" s="57"/>
      <c r="T169" s="57"/>
      <c r="U169" s="57"/>
      <c r="V169" s="57"/>
      <c r="W169" s="5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21</v>
      </c>
      <c r="B170" s="53" t="s">
        <v>41</v>
      </c>
      <c r="C170" s="53" t="s">
        <v>40</v>
      </c>
      <c r="D170" s="53" t="s">
        <v>47</v>
      </c>
      <c r="E170" s="53" t="s">
        <v>25</v>
      </c>
      <c r="F170" s="53" t="s">
        <v>25</v>
      </c>
      <c r="G170" s="53" t="s">
        <v>25</v>
      </c>
      <c r="H170" s="53" t="s">
        <v>34</v>
      </c>
      <c r="I170" s="75">
        <v>44652</v>
      </c>
      <c r="J170" s="76">
        <f ca="1">EFEITO!$J$170*EFEITO!$Y$170</f>
        <v>126344.57376675238</v>
      </c>
      <c r="K170" s="76">
        <f ca="1">EFEITO!$L$170*EFEITO!$Z$170</f>
        <v>10035.645677494267</v>
      </c>
      <c r="L170" s="76">
        <f>EFEITO!$N$170*EFEITO!$AA$170</f>
        <v>17813.499996240964</v>
      </c>
      <c r="M170" s="76">
        <f ca="1">$J$170-EFEITO!$K$170*EFEITO!$Y$170</f>
        <v>0</v>
      </c>
      <c r="N170" s="76">
        <f ca="1">$K$170-EFEITO!$M$170*EFEITO!$Z$170</f>
        <v>0</v>
      </c>
      <c r="O170" s="76">
        <f>$L$170-EFEITO!$O$170*EFEITO!$AA$170</f>
        <v>0</v>
      </c>
      <c r="P170" s="57"/>
      <c r="Q170" s="57"/>
      <c r="R170" s="57"/>
      <c r="S170" s="57"/>
      <c r="T170" s="57"/>
      <c r="U170" s="57"/>
      <c r="V170" s="57"/>
      <c r="W170" s="5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28</v>
      </c>
      <c r="B171" s="53" t="s">
        <v>41</v>
      </c>
      <c r="C171" s="53" t="s">
        <v>40</v>
      </c>
      <c r="D171" s="53" t="s">
        <v>47</v>
      </c>
      <c r="E171" s="53" t="s">
        <v>25</v>
      </c>
      <c r="F171" s="53" t="s">
        <v>25</v>
      </c>
      <c r="G171" s="53" t="s">
        <v>25</v>
      </c>
      <c r="H171" s="53" t="s">
        <v>34</v>
      </c>
      <c r="I171" s="75">
        <v>44652</v>
      </c>
      <c r="J171" s="76">
        <f ca="1">EFEITO!$J$171*EFEITO!$Y$171</f>
        <v>18227.469637453327</v>
      </c>
      <c r="K171" s="76">
        <f ca="1">EFEITO!$L$171*EFEITO!$Z$171</f>
        <v>496.15651505007827</v>
      </c>
      <c r="L171" s="76">
        <f>EFEITO!$N$171*EFEITO!$AA$171</f>
        <v>880.68913182138886</v>
      </c>
      <c r="M171" s="76">
        <f ca="1">$J$171-EFEITO!$K$171*EFEITO!$Y$171</f>
        <v>0</v>
      </c>
      <c r="N171" s="76">
        <f ca="1">$K$171-EFEITO!$M$171*EFEITO!$Z$171</f>
        <v>0</v>
      </c>
      <c r="O171" s="76">
        <f>$L$171-EFEITO!$O$171*EFEITO!$AA$171</f>
        <v>0</v>
      </c>
      <c r="P171" s="57"/>
      <c r="Q171" s="57"/>
      <c r="R171" s="57"/>
      <c r="S171" s="57"/>
      <c r="T171" s="57"/>
      <c r="U171" s="57"/>
      <c r="V171" s="57"/>
      <c r="W171" s="5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41</v>
      </c>
      <c r="C172" s="53" t="s">
        <v>40</v>
      </c>
      <c r="D172" s="53" t="s">
        <v>47</v>
      </c>
      <c r="E172" s="53" t="s">
        <v>25</v>
      </c>
      <c r="F172" s="53" t="s">
        <v>25</v>
      </c>
      <c r="G172" s="53" t="s">
        <v>25</v>
      </c>
      <c r="H172" s="53" t="s">
        <v>34</v>
      </c>
      <c r="I172" s="75">
        <v>44682</v>
      </c>
      <c r="J172" s="76">
        <f ca="1">EFEITO!$J$172*EFEITO!$Y$172</f>
        <v>127321.0453544731</v>
      </c>
      <c r="K172" s="76">
        <f ca="1">EFEITO!$L$172*EFEITO!$Z$172</f>
        <v>11777.819248994178</v>
      </c>
      <c r="L172" s="76">
        <f>EFEITO!$N$172*EFEITO!$AA$172</f>
        <v>20905.897825606487</v>
      </c>
      <c r="M172" s="76">
        <f ca="1">$J$172-EFEITO!$K$172*EFEITO!$Y$172</f>
        <v>0</v>
      </c>
      <c r="N172" s="76">
        <f ca="1">$K$172-EFEITO!$M$172*EFEITO!$Z$172</f>
        <v>0</v>
      </c>
      <c r="O172" s="76">
        <f>$L$172-EFEITO!$O$172*EFEITO!$AA$172</f>
        <v>0</v>
      </c>
      <c r="P172" s="57"/>
      <c r="Q172" s="57"/>
      <c r="R172" s="57"/>
      <c r="S172" s="57"/>
      <c r="T172" s="57"/>
      <c r="U172" s="57"/>
      <c r="V172" s="57"/>
      <c r="W172" s="5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28</v>
      </c>
      <c r="B173" s="53" t="s">
        <v>41</v>
      </c>
      <c r="C173" s="53" t="s">
        <v>40</v>
      </c>
      <c r="D173" s="53" t="s">
        <v>47</v>
      </c>
      <c r="E173" s="53" t="s">
        <v>25</v>
      </c>
      <c r="F173" s="53" t="s">
        <v>25</v>
      </c>
      <c r="G173" s="53" t="s">
        <v>25</v>
      </c>
      <c r="H173" s="53" t="s">
        <v>34</v>
      </c>
      <c r="I173" s="75">
        <v>44682</v>
      </c>
      <c r="J173" s="76">
        <f ca="1">EFEITO!$J$173*EFEITO!$Y$173</f>
        <v>18227.469637453327</v>
      </c>
      <c r="K173" s="76">
        <f ca="1">EFEITO!$L$173*EFEITO!$Z$173</f>
        <v>619.74195277835304</v>
      </c>
      <c r="L173" s="76">
        <f>EFEITO!$N$173*EFEITO!$AA$173</f>
        <v>1100.0561028420054</v>
      </c>
      <c r="M173" s="76">
        <f ca="1">$J$173-EFEITO!$K$173*EFEITO!$Y$173</f>
        <v>0</v>
      </c>
      <c r="N173" s="76">
        <f ca="1">$K$173-EFEITO!$M$173*EFEITO!$Z$173</f>
        <v>0</v>
      </c>
      <c r="O173" s="76">
        <f>$L$173-EFEITO!$O$173*EFEITO!$AA$173</f>
        <v>0</v>
      </c>
      <c r="P173" s="57"/>
      <c r="Q173" s="57"/>
      <c r="R173" s="57"/>
      <c r="S173" s="57"/>
      <c r="T173" s="57"/>
      <c r="U173" s="57"/>
      <c r="V173" s="57"/>
      <c r="W173" s="5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21</v>
      </c>
      <c r="B174" s="53" t="s">
        <v>41</v>
      </c>
      <c r="C174" s="53" t="s">
        <v>40</v>
      </c>
      <c r="D174" s="53" t="s">
        <v>47</v>
      </c>
      <c r="E174" s="53" t="s">
        <v>25</v>
      </c>
      <c r="F174" s="53" t="s">
        <v>25</v>
      </c>
      <c r="G174" s="53" t="s">
        <v>25</v>
      </c>
      <c r="H174" s="53" t="s">
        <v>34</v>
      </c>
      <c r="I174" s="75">
        <v>44713</v>
      </c>
      <c r="J174" s="76">
        <f ca="1">EFEITO!$J$174*EFEITO!$Y$174</f>
        <v>134536.08541929838</v>
      </c>
      <c r="K174" s="76">
        <f ca="1">EFEITO!$L$174*EFEITO!$Z$174</f>
        <v>13390.418661113781</v>
      </c>
      <c r="L174" s="76">
        <f>EFEITO!$N$174*EFEITO!$AA$174</f>
        <v>23768.298566412948</v>
      </c>
      <c r="M174" s="76">
        <f ca="1">$J$174-EFEITO!$K$174*EFEITO!$Y$174</f>
        <v>0</v>
      </c>
      <c r="N174" s="76">
        <f ca="1">$K$174-EFEITO!$M$174*EFEITO!$Z$174</f>
        <v>0</v>
      </c>
      <c r="O174" s="76">
        <f>$L$174-EFEITO!$O$174*EFEITO!$AA$174</f>
        <v>0</v>
      </c>
      <c r="P174" s="57"/>
      <c r="Q174" s="57"/>
      <c r="R174" s="57"/>
      <c r="S174" s="57"/>
      <c r="T174" s="57"/>
      <c r="U174" s="57"/>
      <c r="V174" s="57"/>
      <c r="W174" s="5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28</v>
      </c>
      <c r="B175" s="53" t="s">
        <v>41</v>
      </c>
      <c r="C175" s="53" t="s">
        <v>40</v>
      </c>
      <c r="D175" s="53" t="s">
        <v>47</v>
      </c>
      <c r="E175" s="53" t="s">
        <v>25</v>
      </c>
      <c r="F175" s="53" t="s">
        <v>25</v>
      </c>
      <c r="G175" s="53" t="s">
        <v>25</v>
      </c>
      <c r="H175" s="53" t="s">
        <v>34</v>
      </c>
      <c r="I175" s="75">
        <v>44713</v>
      </c>
      <c r="J175" s="76">
        <f ca="1">EFEITO!$J$175*EFEITO!$Y$175</f>
        <v>14755.570658890789</v>
      </c>
      <c r="K175" s="76">
        <f ca="1">EFEITO!$L$175*EFEITO!$Z$175</f>
        <v>344.98666243972156</v>
      </c>
      <c r="L175" s="76">
        <f>EFEITO!$N$175*EFEITO!$AA$175</f>
        <v>612.35919516915146</v>
      </c>
      <c r="M175" s="76">
        <f ca="1">$J$175-EFEITO!$K$175*EFEITO!$Y$175</f>
        <v>0</v>
      </c>
      <c r="N175" s="76">
        <f ca="1">$K$175-EFEITO!$M$175*EFEITO!$Z$175</f>
        <v>0</v>
      </c>
      <c r="O175" s="76">
        <f>$L$175-EFEITO!$O$175*EFEITO!$AA$175</f>
        <v>0</v>
      </c>
      <c r="P175" s="57"/>
      <c r="Q175" s="57"/>
      <c r="R175" s="57"/>
      <c r="S175" s="57"/>
      <c r="T175" s="57"/>
      <c r="U175" s="57"/>
      <c r="V175" s="57"/>
      <c r="W175" s="5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41</v>
      </c>
      <c r="C176" s="53" t="s">
        <v>40</v>
      </c>
      <c r="D176" s="53" t="s">
        <v>47</v>
      </c>
      <c r="E176" s="53" t="s">
        <v>25</v>
      </c>
      <c r="F176" s="53" t="s">
        <v>25</v>
      </c>
      <c r="G176" s="53" t="s">
        <v>25</v>
      </c>
      <c r="H176" s="53" t="s">
        <v>34</v>
      </c>
      <c r="I176" s="75">
        <v>44743</v>
      </c>
      <c r="J176" s="76">
        <f ca="1">EFEITO!$J$176*EFEITO!$Y$176</f>
        <v>126778.5611390727</v>
      </c>
      <c r="K176" s="76">
        <f ca="1">EFEITO!$L$176*EFEITO!$Z$176</f>
        <v>10358.85517029024</v>
      </c>
      <c r="L176" s="76">
        <f>EFEITO!$N$176*EFEITO!$AA$176</f>
        <v>18387.204218543051</v>
      </c>
      <c r="M176" s="76">
        <f ca="1">$J$176-EFEITO!$K$176*EFEITO!$Y$176</f>
        <v>0</v>
      </c>
      <c r="N176" s="76">
        <f ca="1">$K$176-EFEITO!$M$176*EFEITO!$Z$176</f>
        <v>0</v>
      </c>
      <c r="O176" s="76">
        <f>$L$176-EFEITO!$O$176*EFEITO!$AA$176</f>
        <v>0</v>
      </c>
      <c r="P176" s="57"/>
      <c r="Q176" s="57"/>
      <c r="R176" s="57"/>
      <c r="S176" s="57"/>
      <c r="T176" s="57"/>
      <c r="U176" s="57"/>
      <c r="V176" s="57"/>
      <c r="W176" s="5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28</v>
      </c>
      <c r="B177" s="53" t="s">
        <v>41</v>
      </c>
      <c r="C177" s="53" t="s">
        <v>40</v>
      </c>
      <c r="D177" s="53" t="s">
        <v>47</v>
      </c>
      <c r="E177" s="53" t="s">
        <v>25</v>
      </c>
      <c r="F177" s="53" t="s">
        <v>25</v>
      </c>
      <c r="G177" s="53" t="s">
        <v>25</v>
      </c>
      <c r="H177" s="53" t="s">
        <v>34</v>
      </c>
      <c r="I177" s="75">
        <v>44743</v>
      </c>
      <c r="J177" s="76">
        <f ca="1">EFEITO!$J$177*EFEITO!$Y$177</f>
        <v>12585.633797289202</v>
      </c>
      <c r="K177" s="76">
        <f ca="1">EFEITO!$L$177*EFEITO!$Z$177</f>
        <v>337.00170023701367</v>
      </c>
      <c r="L177" s="76">
        <f>EFEITO!$N$177*EFEITO!$AA$177</f>
        <v>598.18570511789289</v>
      </c>
      <c r="M177" s="76">
        <f ca="1">$J$177-EFEITO!$K$177*EFEITO!$Y$177</f>
        <v>0</v>
      </c>
      <c r="N177" s="76">
        <f ca="1">$K$177-EFEITO!$M$177*EFEITO!$Z$177</f>
        <v>0</v>
      </c>
      <c r="O177" s="76">
        <f>$L$177-EFEITO!$O$177*EFEITO!$AA$177</f>
        <v>0</v>
      </c>
      <c r="P177" s="57"/>
      <c r="Q177" s="57"/>
      <c r="R177" s="57"/>
      <c r="S177" s="57"/>
      <c r="T177" s="57"/>
      <c r="U177" s="57"/>
      <c r="V177" s="57"/>
      <c r="W177" s="5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28</v>
      </c>
      <c r="B178" s="53" t="s">
        <v>41</v>
      </c>
      <c r="C178" s="53" t="s">
        <v>40</v>
      </c>
      <c r="D178" s="53" t="s">
        <v>47</v>
      </c>
      <c r="E178" s="53" t="s">
        <v>25</v>
      </c>
      <c r="F178" s="53" t="s">
        <v>25</v>
      </c>
      <c r="G178" s="53" t="s">
        <v>25</v>
      </c>
      <c r="H178" s="53" t="s">
        <v>34</v>
      </c>
      <c r="I178" s="75">
        <v>44743</v>
      </c>
      <c r="J178" s="76">
        <f ca="1">EFEITO!$J$178*EFEITO!$Y$178</f>
        <v>0</v>
      </c>
      <c r="K178" s="76">
        <f ca="1">EFEITO!$L$178*EFEITO!$Z$178</f>
        <v>88.197537057182899</v>
      </c>
      <c r="L178" s="76">
        <f>EFEITO!$N$178*EFEITO!$AA$178</f>
        <v>156.55264011162947</v>
      </c>
      <c r="M178" s="76">
        <f ca="1">$J$178-EFEITO!$K$178*EFEITO!$Y$178</f>
        <v>0</v>
      </c>
      <c r="N178" s="76">
        <f ca="1">$K$178-EFEITO!$M$178*EFEITO!$Z$178</f>
        <v>0</v>
      </c>
      <c r="O178" s="76">
        <f>$L$178-EFEITO!$O$178*EFEITO!$AA$178</f>
        <v>0</v>
      </c>
      <c r="P178" s="57"/>
      <c r="Q178" s="57"/>
      <c r="R178" s="57"/>
      <c r="S178" s="57"/>
      <c r="T178" s="57"/>
      <c r="U178" s="57"/>
      <c r="V178" s="57"/>
      <c r="W178" s="5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21</v>
      </c>
      <c r="B179" s="53" t="s">
        <v>41</v>
      </c>
      <c r="C179" s="53" t="s">
        <v>40</v>
      </c>
      <c r="D179" s="53" t="s">
        <v>47</v>
      </c>
      <c r="E179" s="53" t="s">
        <v>25</v>
      </c>
      <c r="F179" s="53" t="s">
        <v>25</v>
      </c>
      <c r="G179" s="53" t="s">
        <v>25</v>
      </c>
      <c r="H179" s="53" t="s">
        <v>34</v>
      </c>
      <c r="I179" s="75">
        <v>44774</v>
      </c>
      <c r="J179" s="76">
        <f ca="1">EFEITO!$J$179*EFEITO!$Y$179</f>
        <v>128623.00747143404</v>
      </c>
      <c r="K179" s="76">
        <f ca="1">EFEITO!$L$179*EFEITO!$Z$179</f>
        <v>14456.048162347892</v>
      </c>
      <c r="L179" s="76">
        <f>EFEITO!$N$179*EFEITO!$AA$179</f>
        <v>25659.81523870819</v>
      </c>
      <c r="M179" s="76">
        <f ca="1">$J$179-EFEITO!$K$179*EFEITO!$Y$179</f>
        <v>0</v>
      </c>
      <c r="N179" s="76">
        <f ca="1">$K$179-EFEITO!$M$179*EFEITO!$Z$179</f>
        <v>0</v>
      </c>
      <c r="O179" s="76">
        <f>$L$179-EFEITO!$O$179*EFEITO!$AA$179</f>
        <v>0</v>
      </c>
      <c r="P179" s="57"/>
      <c r="Q179" s="57"/>
      <c r="R179" s="57"/>
      <c r="S179" s="57"/>
      <c r="T179" s="57"/>
      <c r="U179" s="57"/>
      <c r="V179" s="57"/>
      <c r="W179" s="5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28</v>
      </c>
      <c r="B180" s="53" t="s">
        <v>41</v>
      </c>
      <c r="C180" s="53" t="s">
        <v>40</v>
      </c>
      <c r="D180" s="53" t="s">
        <v>47</v>
      </c>
      <c r="E180" s="53" t="s">
        <v>25</v>
      </c>
      <c r="F180" s="53" t="s">
        <v>25</v>
      </c>
      <c r="G180" s="53" t="s">
        <v>25</v>
      </c>
      <c r="H180" s="53" t="s">
        <v>34</v>
      </c>
      <c r="I180" s="75">
        <v>44774</v>
      </c>
      <c r="J180" s="76">
        <f ca="1">EFEITO!$J$180*EFEITO!$Y$180</f>
        <v>15298.054874291185</v>
      </c>
      <c r="K180" s="76">
        <f ca="1">EFEITO!$L$180*EFEITO!$Z$180</f>
        <v>705.39882004376523</v>
      </c>
      <c r="L180" s="76">
        <f>EFEITO!$N$180*EFEITO!$AA$180</f>
        <v>1252.0989961191435</v>
      </c>
      <c r="M180" s="76">
        <f ca="1">$J$180-EFEITO!$K$180*EFEITO!$Y$180</f>
        <v>0</v>
      </c>
      <c r="N180" s="76">
        <f ca="1">$K$180-EFEITO!$M$180*EFEITO!$Z$180</f>
        <v>0</v>
      </c>
      <c r="O180" s="76">
        <f>$L$180-EFEITO!$O$180*EFEITO!$AA$180</f>
        <v>0</v>
      </c>
      <c r="P180" s="57"/>
      <c r="Q180" s="57"/>
      <c r="R180" s="57"/>
      <c r="S180" s="57"/>
      <c r="T180" s="57"/>
      <c r="U180" s="57"/>
      <c r="V180" s="57"/>
      <c r="W180" s="5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21</v>
      </c>
      <c r="B181" s="53" t="s">
        <v>41</v>
      </c>
      <c r="C181" s="53" t="s">
        <v>40</v>
      </c>
      <c r="D181" s="53" t="s">
        <v>47</v>
      </c>
      <c r="E181" s="53" t="s">
        <v>25</v>
      </c>
      <c r="F181" s="53" t="s">
        <v>25</v>
      </c>
      <c r="G181" s="53" t="s">
        <v>25</v>
      </c>
      <c r="H181" s="53" t="s">
        <v>34</v>
      </c>
      <c r="I181" s="75">
        <v>44805</v>
      </c>
      <c r="J181" s="76">
        <f ca="1">EFEITO!$J$181*EFEITO!$Y$181</f>
        <v>129870.72116685496</v>
      </c>
      <c r="K181" s="76">
        <f ca="1">EFEITO!$L$181*EFEITO!$Z$181</f>
        <v>13395.500000697321</v>
      </c>
      <c r="L181" s="76">
        <f>EFEITO!$N$181*EFEITO!$AA$181</f>
        <v>23777.318060081929</v>
      </c>
      <c r="M181" s="76">
        <f ca="1">$J$181-EFEITO!$K$181*EFEITO!$Y$181</f>
        <v>0</v>
      </c>
      <c r="N181" s="76">
        <f ca="1">$K$181-EFEITO!$M$181*EFEITO!$Z$181</f>
        <v>0</v>
      </c>
      <c r="O181" s="76">
        <f>$L$181-EFEITO!$O$181*EFEITO!$AA$181</f>
        <v>0</v>
      </c>
      <c r="P181" s="57"/>
      <c r="Q181" s="57"/>
      <c r="R181" s="57"/>
      <c r="S181" s="57"/>
      <c r="T181" s="57"/>
      <c r="U181" s="57"/>
      <c r="V181" s="57"/>
      <c r="W181" s="5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28</v>
      </c>
      <c r="B182" s="53" t="s">
        <v>41</v>
      </c>
      <c r="C182" s="53" t="s">
        <v>40</v>
      </c>
      <c r="D182" s="53" t="s">
        <v>47</v>
      </c>
      <c r="E182" s="53" t="s">
        <v>25</v>
      </c>
      <c r="F182" s="53" t="s">
        <v>25</v>
      </c>
      <c r="G182" s="53" t="s">
        <v>25</v>
      </c>
      <c r="H182" s="53" t="s">
        <v>34</v>
      </c>
      <c r="I182" s="75">
        <v>44805</v>
      </c>
      <c r="J182" s="76">
        <f ca="1">EFEITO!$J$182*EFEITO!$Y$182</f>
        <v>24737.280222258087</v>
      </c>
      <c r="K182" s="76">
        <f ca="1">EFEITO!$L$182*EFEITO!$Z$182</f>
        <v>395.8000582751356</v>
      </c>
      <c r="L182" s="76">
        <f>EFEITO!$N$182*EFEITO!$AA$182</f>
        <v>702.55413185897919</v>
      </c>
      <c r="M182" s="76">
        <f ca="1">$J$182-EFEITO!$K$182*EFEITO!$Y$182</f>
        <v>0</v>
      </c>
      <c r="N182" s="76">
        <f ca="1">$K$182-EFEITO!$M$182*EFEITO!$Z$182</f>
        <v>0</v>
      </c>
      <c r="O182" s="76">
        <f>$L$182-EFEITO!$O$182*EFEITO!$AA$182</f>
        <v>0</v>
      </c>
      <c r="P182" s="57"/>
      <c r="Q182" s="57"/>
      <c r="R182" s="57"/>
      <c r="S182" s="57"/>
      <c r="T182" s="57"/>
      <c r="U182" s="57"/>
      <c r="V182" s="57"/>
      <c r="W182" s="5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21</v>
      </c>
      <c r="B183" s="53" t="s">
        <v>41</v>
      </c>
      <c r="C183" s="53" t="s">
        <v>40</v>
      </c>
      <c r="D183" s="53" t="s">
        <v>47</v>
      </c>
      <c r="E183" s="53" t="s">
        <v>25</v>
      </c>
      <c r="F183" s="53" t="s">
        <v>25</v>
      </c>
      <c r="G183" s="53" t="s">
        <v>25</v>
      </c>
      <c r="H183" s="53" t="s">
        <v>34</v>
      </c>
      <c r="I183" s="75">
        <v>44835</v>
      </c>
      <c r="J183" s="76">
        <f ca="1">EFEITO!$J$183*EFEITO!$Y$183</f>
        <v>122709.92952356972</v>
      </c>
      <c r="K183" s="76">
        <f ca="1">EFEITO!$L$183*EFEITO!$Z$183</f>
        <v>13503.115514020179</v>
      </c>
      <c r="L183" s="76">
        <f>EFEITO!$N$183*EFEITO!$AA$183</f>
        <v>23968.338051000028</v>
      </c>
      <c r="M183" s="76">
        <f ca="1">$J$183-EFEITO!$K$183*EFEITO!$Y$183</f>
        <v>0</v>
      </c>
      <c r="N183" s="76">
        <f ca="1">$K$183-EFEITO!$M$183*EFEITO!$Z$183</f>
        <v>0</v>
      </c>
      <c r="O183" s="76">
        <f>$L$183-EFEITO!$O$183*EFEITO!$AA$183</f>
        <v>0</v>
      </c>
      <c r="P183" s="57"/>
      <c r="Q183" s="57"/>
      <c r="R183" s="57"/>
      <c r="S183" s="57"/>
      <c r="T183" s="57"/>
      <c r="U183" s="57"/>
      <c r="V183" s="57"/>
      <c r="W183" s="5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28</v>
      </c>
      <c r="B184" s="53" t="s">
        <v>41</v>
      </c>
      <c r="C184" s="53" t="s">
        <v>40</v>
      </c>
      <c r="D184" s="53" t="s">
        <v>47</v>
      </c>
      <c r="E184" s="53" t="s">
        <v>25</v>
      </c>
      <c r="F184" s="53" t="s">
        <v>25</v>
      </c>
      <c r="G184" s="53" t="s">
        <v>25</v>
      </c>
      <c r="H184" s="53" t="s">
        <v>34</v>
      </c>
      <c r="I184" s="75">
        <v>44835</v>
      </c>
      <c r="J184" s="76">
        <f ca="1">EFEITO!$J$184*EFEITO!$Y$184</f>
        <v>9764.7158772071398</v>
      </c>
      <c r="K184" s="76">
        <f ca="1">EFEITO!$L$184*EFEITO!$Z$184</f>
        <v>158.06595633087716</v>
      </c>
      <c r="L184" s="76">
        <f>EFEITO!$N$184*EFEITO!$AA$184</f>
        <v>280.57067806014254</v>
      </c>
      <c r="M184" s="76">
        <f ca="1">$J$184-EFEITO!$K$184*EFEITO!$Y$184</f>
        <v>0</v>
      </c>
      <c r="N184" s="76">
        <f ca="1">$K$184-EFEITO!$M$184*EFEITO!$Z$184</f>
        <v>0</v>
      </c>
      <c r="O184" s="76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28</v>
      </c>
      <c r="B185" s="53" t="s">
        <v>41</v>
      </c>
      <c r="C185" s="53" t="s">
        <v>40</v>
      </c>
      <c r="D185" s="53" t="s">
        <v>47</v>
      </c>
      <c r="E185" s="53" t="s">
        <v>25</v>
      </c>
      <c r="F185" s="53" t="s">
        <v>25</v>
      </c>
      <c r="G185" s="53" t="s">
        <v>25</v>
      </c>
      <c r="H185" s="53" t="s">
        <v>34</v>
      </c>
      <c r="I185" s="75">
        <v>44835</v>
      </c>
      <c r="J185" s="76">
        <f ca="1">EFEITO!$J$185*EFEITO!$Y$185</f>
        <v>-20505.903342134992</v>
      </c>
      <c r="K185" s="76">
        <f ca="1">EFEITO!$L$185*EFEITO!$Z$185</f>
        <v>-1418.6011258765404</v>
      </c>
      <c r="L185" s="76">
        <f>EFEITO!$N$185*EFEITO!$AA$185</f>
        <v>-2518.0493575156534</v>
      </c>
      <c r="M185" s="76">
        <f ca="1">$J$185-EFEITO!$K$185*EFEITO!$Y$185</f>
        <v>0</v>
      </c>
      <c r="N185" s="76">
        <f ca="1">$K$185-EFEITO!$M$185*EFEITO!$Z$185</f>
        <v>0</v>
      </c>
      <c r="O185" s="76">
        <f>$L$185-EFEITO!$O$185*EFEITO!$AA$185</f>
        <v>0</v>
      </c>
      <c r="P185" s="57"/>
      <c r="Q185" s="57"/>
      <c r="R185" s="57"/>
      <c r="S185" s="57"/>
      <c r="T185" s="57"/>
      <c r="U185" s="57"/>
      <c r="V185" s="57"/>
      <c r="W185" s="5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54</v>
      </c>
      <c r="B186" s="53" t="s">
        <v>41</v>
      </c>
      <c r="C186" s="53" t="s">
        <v>40</v>
      </c>
      <c r="D186" s="53" t="s">
        <v>47</v>
      </c>
      <c r="E186" s="53" t="s">
        <v>25</v>
      </c>
      <c r="F186" s="53" t="s">
        <v>25</v>
      </c>
      <c r="G186" s="53" t="s">
        <v>25</v>
      </c>
      <c r="H186" s="53" t="s">
        <v>34</v>
      </c>
      <c r="I186" s="75">
        <v>44866</v>
      </c>
      <c r="J186" s="76">
        <f ca="1">EFEITO!$J$186*EFEITO!$Y$186</f>
        <v>122709.92952356972</v>
      </c>
      <c r="K186" s="76">
        <f ca="1">EFEITO!$L$186*EFEITO!$Z$186</f>
        <v>13503.115514020179</v>
      </c>
      <c r="L186" s="76">
        <f>EFEITO!$N$186*EFEITO!$AA$186</f>
        <v>23968.338051000028</v>
      </c>
      <c r="M186" s="76">
        <f ca="1">$J$186-EFEITO!$K$186*EFEITO!$Y$186</f>
        <v>0</v>
      </c>
      <c r="N186" s="76">
        <f ca="1">$K$186-EFEITO!$M$186*EFEITO!$Z$186</f>
        <v>0</v>
      </c>
      <c r="O186" s="76">
        <f>$L$186-EFEITO!$O$186*EFEITO!$AA$186</f>
        <v>0</v>
      </c>
      <c r="P186" s="57"/>
      <c r="Q186" s="57"/>
      <c r="R186" s="57"/>
      <c r="S186" s="57"/>
      <c r="T186" s="57"/>
      <c r="U186" s="57"/>
      <c r="V186" s="57"/>
      <c r="W186" s="5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54</v>
      </c>
      <c r="B187" s="53" t="s">
        <v>41</v>
      </c>
      <c r="C187" s="53" t="s">
        <v>40</v>
      </c>
      <c r="D187" s="53" t="s">
        <v>47</v>
      </c>
      <c r="E187" s="53" t="s">
        <v>25</v>
      </c>
      <c r="F187" s="53" t="s">
        <v>25</v>
      </c>
      <c r="G187" s="53" t="s">
        <v>25</v>
      </c>
      <c r="H187" s="53" t="s">
        <v>34</v>
      </c>
      <c r="I187" s="75">
        <v>44866</v>
      </c>
      <c r="J187" s="76">
        <f ca="1">EFEITO!$J$187*EFEITO!$Y$187</f>
        <v>9764.7158772071398</v>
      </c>
      <c r="K187" s="76">
        <f ca="1">EFEITO!$L$187*EFEITO!$Z$187</f>
        <v>158.06595633087716</v>
      </c>
      <c r="L187" s="76">
        <f>EFEITO!$N$187*EFEITO!$AA$187</f>
        <v>280.57067806014254</v>
      </c>
      <c r="M187" s="76">
        <f ca="1">$J$187-EFEITO!$K$187*EFEITO!$Y$187</f>
        <v>0</v>
      </c>
      <c r="N187" s="76">
        <f ca="1">$K$187-EFEITO!$M$187*EFEITO!$Z$187</f>
        <v>0</v>
      </c>
      <c r="O187" s="76">
        <f>$L$187-EFEITO!$O$187*EFEITO!$AA$187</f>
        <v>0</v>
      </c>
      <c r="P187" s="57"/>
      <c r="Q187" s="57"/>
      <c r="R187" s="57"/>
      <c r="S187" s="57"/>
      <c r="T187" s="57"/>
      <c r="U187" s="57"/>
      <c r="V187" s="57"/>
      <c r="W187" s="5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54</v>
      </c>
      <c r="B188" s="53" t="s">
        <v>41</v>
      </c>
      <c r="C188" s="53" t="s">
        <v>40</v>
      </c>
      <c r="D188" s="53" t="s">
        <v>47</v>
      </c>
      <c r="E188" s="53" t="s">
        <v>25</v>
      </c>
      <c r="F188" s="53" t="s">
        <v>25</v>
      </c>
      <c r="G188" s="53" t="s">
        <v>25</v>
      </c>
      <c r="H188" s="53" t="s">
        <v>34</v>
      </c>
      <c r="I188" s="75">
        <v>44866</v>
      </c>
      <c r="J188" s="76">
        <f ca="1">EFEITO!$J$188*EFEITO!$Y$188</f>
        <v>-20505.903342134992</v>
      </c>
      <c r="K188" s="76">
        <f ca="1">EFEITO!$L$188*EFEITO!$Z$188</f>
        <v>-1418.6011258765404</v>
      </c>
      <c r="L188" s="76">
        <f>EFEITO!$N$188*EFEITO!$AA$188</f>
        <v>-2518.0493575156534</v>
      </c>
      <c r="M188" s="76">
        <f ca="1">$J$188-EFEITO!$K$188*EFEITO!$Y$188</f>
        <v>0</v>
      </c>
      <c r="N188" s="76">
        <f ca="1">$K$188-EFEITO!$M$188*EFEITO!$Z$188</f>
        <v>0</v>
      </c>
      <c r="O188" s="76">
        <f>$L$188-EFEITO!$O$188*EFEITO!$AA$188</f>
        <v>0</v>
      </c>
      <c r="P188" s="57"/>
      <c r="Q188" s="57"/>
      <c r="R188" s="57"/>
      <c r="S188" s="57"/>
      <c r="T188" s="57"/>
      <c r="U188" s="57"/>
      <c r="V188" s="57"/>
      <c r="W188" s="5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41</v>
      </c>
      <c r="C189" s="53" t="s">
        <v>40</v>
      </c>
      <c r="D189" s="53" t="s">
        <v>51</v>
      </c>
      <c r="E189" s="53" t="s">
        <v>52</v>
      </c>
      <c r="F189" s="53" t="s">
        <v>25</v>
      </c>
      <c r="G189" s="53" t="s">
        <v>25</v>
      </c>
      <c r="H189" s="53" t="s">
        <v>35</v>
      </c>
      <c r="I189" s="75">
        <v>44531</v>
      </c>
      <c r="J189" s="76">
        <f ca="1">EFEITO!$J$189*EFEITO!$Y$161</f>
        <v>30512.722772922847</v>
      </c>
      <c r="K189" s="76">
        <f ca="1">EFEITO!$L$189*EFEITO!$Z$161</f>
        <v>137631.71214849281</v>
      </c>
      <c r="L189" s="76">
        <f>EFEITO!$N$189*EFEITO!$AA$161</f>
        <v>163513.148548414</v>
      </c>
      <c r="M189" s="76">
        <f ca="1">$J$189-EFEITO!$K$189*EFEITO!$Y$189</f>
        <v>915.38168318768658</v>
      </c>
      <c r="N189" s="76">
        <f ca="1">$K$189-EFEITO!$M$189*EFEITO!$Z$189</f>
        <v>4128.9513644547842</v>
      </c>
      <c r="O189" s="76">
        <f>$L$189-EFEITO!$O$189*EFEITO!$AA$189</f>
        <v>4905.3944564524281</v>
      </c>
      <c r="P189" s="57"/>
      <c r="Q189" s="57"/>
      <c r="R189" s="57"/>
      <c r="S189" s="57"/>
      <c r="T189" s="57"/>
      <c r="U189" s="57"/>
      <c r="V189" s="57"/>
      <c r="W189" s="5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41</v>
      </c>
      <c r="C190" s="53" t="s">
        <v>40</v>
      </c>
      <c r="D190" s="53" t="s">
        <v>51</v>
      </c>
      <c r="E190" s="53" t="s">
        <v>52</v>
      </c>
      <c r="F190" s="53" t="s">
        <v>25</v>
      </c>
      <c r="G190" s="53" t="s">
        <v>25</v>
      </c>
      <c r="H190" s="53" t="s">
        <v>35</v>
      </c>
      <c r="I190" s="75">
        <v>44562</v>
      </c>
      <c r="J190" s="76">
        <f ca="1">EFEITO!$J$190*EFEITO!$Y$161</f>
        <v>30512.722772922847</v>
      </c>
      <c r="K190" s="76">
        <f ca="1">EFEITO!$L$190*EFEITO!$Z$161</f>
        <v>135363.25697726896</v>
      </c>
      <c r="L190" s="76">
        <f>EFEITO!$N$190*EFEITO!$AA$161</f>
        <v>160818.11379517667</v>
      </c>
      <c r="M190" s="76">
        <f ca="1">$J$190-EFEITO!$K$190*EFEITO!$Y$190</f>
        <v>915.38168318768658</v>
      </c>
      <c r="N190" s="76">
        <f ca="1">$K$190-EFEITO!$M$190*EFEITO!$Z$190</f>
        <v>4060.8977093180583</v>
      </c>
      <c r="O190" s="76">
        <f>$L$190-EFEITO!$O$190*EFEITO!$AA$190</f>
        <v>4824.543413855281</v>
      </c>
      <c r="P190" s="57"/>
      <c r="Q190" s="57"/>
      <c r="R190" s="57"/>
      <c r="S190" s="57"/>
      <c r="T190" s="57"/>
      <c r="U190" s="57"/>
      <c r="V190" s="57"/>
      <c r="W190" s="5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41</v>
      </c>
      <c r="C191" s="53" t="s">
        <v>40</v>
      </c>
      <c r="D191" s="53" t="s">
        <v>51</v>
      </c>
      <c r="E191" s="53" t="s">
        <v>52</v>
      </c>
      <c r="F191" s="53" t="s">
        <v>25</v>
      </c>
      <c r="G191" s="53" t="s">
        <v>25</v>
      </c>
      <c r="H191" s="53" t="s">
        <v>35</v>
      </c>
      <c r="I191" s="75">
        <v>44593</v>
      </c>
      <c r="J191" s="76">
        <f ca="1">EFEITO!$J$191*EFEITO!$Y$161</f>
        <v>30512.722772922847</v>
      </c>
      <c r="K191" s="76">
        <f ca="1">EFEITO!$L$191*EFEITO!$Z$161</f>
        <v>146246.76045955985</v>
      </c>
      <c r="L191" s="76">
        <f>EFEITO!$N$191*EFEITO!$AA$161</f>
        <v>173748.24373286849</v>
      </c>
      <c r="M191" s="76">
        <f ca="1">$J$191-EFEITO!$K$191*EFEITO!$Y$191</f>
        <v>915.38168318768658</v>
      </c>
      <c r="N191" s="76">
        <f ca="1">$K$191-EFEITO!$M$191*EFEITO!$Z$191</f>
        <v>4387.4028137867863</v>
      </c>
      <c r="O191" s="76">
        <f>$L$191-EFEITO!$O$191*EFEITO!$AA$191</f>
        <v>5212.447311986034</v>
      </c>
      <c r="P191" s="57"/>
      <c r="Q191" s="57"/>
      <c r="R191" s="57"/>
      <c r="S191" s="57"/>
      <c r="T191" s="57"/>
      <c r="U191" s="57"/>
      <c r="V191" s="57"/>
      <c r="W191" s="5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41</v>
      </c>
      <c r="C192" s="53" t="s">
        <v>40</v>
      </c>
      <c r="D192" s="53" t="s">
        <v>51</v>
      </c>
      <c r="E192" s="53" t="s">
        <v>52</v>
      </c>
      <c r="F192" s="53" t="s">
        <v>25</v>
      </c>
      <c r="G192" s="53" t="s">
        <v>25</v>
      </c>
      <c r="H192" s="53" t="s">
        <v>35</v>
      </c>
      <c r="I192" s="75">
        <v>44621</v>
      </c>
      <c r="J192" s="76">
        <f ca="1">EFEITO!$J$192*EFEITO!$Y$161</f>
        <v>30512.722772922847</v>
      </c>
      <c r="K192" s="76">
        <f ca="1">EFEITO!$L$192*EFEITO!$Z$161</f>
        <v>139629.94893972046</v>
      </c>
      <c r="L192" s="76">
        <f>EFEITO!$N$192*EFEITO!$AA$161</f>
        <v>165887.15076184567</v>
      </c>
      <c r="M192" s="76">
        <f ca="1">$J$192-EFEITO!$K$192*EFEITO!$Y$192</f>
        <v>915.38168318768658</v>
      </c>
      <c r="N192" s="76">
        <f ca="1">$K$192-EFEITO!$M$192*EFEITO!$Z$192</f>
        <v>4188.898468191619</v>
      </c>
      <c r="O192" s="76">
        <f>$L$192-EFEITO!$O$192*EFEITO!$AA$192</f>
        <v>4976.6145228553796</v>
      </c>
      <c r="P192" s="57"/>
      <c r="Q192" s="57"/>
      <c r="R192" s="57"/>
      <c r="S192" s="57"/>
      <c r="T192" s="57"/>
      <c r="U192" s="57"/>
      <c r="V192" s="57"/>
      <c r="W192" s="5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21</v>
      </c>
      <c r="B193" s="53" t="s">
        <v>41</v>
      </c>
      <c r="C193" s="53" t="s">
        <v>40</v>
      </c>
      <c r="D193" s="53" t="s">
        <v>51</v>
      </c>
      <c r="E193" s="53" t="s">
        <v>52</v>
      </c>
      <c r="F193" s="53" t="s">
        <v>25</v>
      </c>
      <c r="G193" s="53" t="s">
        <v>25</v>
      </c>
      <c r="H193" s="53" t="s">
        <v>35</v>
      </c>
      <c r="I193" s="75">
        <v>44652</v>
      </c>
      <c r="J193" s="76">
        <f ca="1">EFEITO!$J$193*EFEITO!$Y$161</f>
        <v>30512.722772922847</v>
      </c>
      <c r="K193" s="76">
        <f ca="1">EFEITO!$L$193*EFEITO!$Z$161</f>
        <v>137190.9059396206</v>
      </c>
      <c r="L193" s="76">
        <f>EFEITO!$N$193*EFEITO!$AA$161</f>
        <v>162989.44939516491</v>
      </c>
      <c r="M193" s="76">
        <f ca="1">$J$193-EFEITO!$K$193*EFEITO!$Y$193</f>
        <v>915.38168318768658</v>
      </c>
      <c r="N193" s="76">
        <f ca="1">$K$193-EFEITO!$M$193*EFEITO!$Z$193</f>
        <v>4115.7271781886229</v>
      </c>
      <c r="O193" s="76">
        <f>$L$193-EFEITO!$O$193*EFEITO!$AA$193</f>
        <v>4889.6834818549396</v>
      </c>
      <c r="P193" s="57"/>
      <c r="Q193" s="57"/>
      <c r="R193" s="57"/>
      <c r="S193" s="57"/>
      <c r="T193" s="57"/>
      <c r="U193" s="57"/>
      <c r="V193" s="57"/>
      <c r="W193" s="5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41</v>
      </c>
      <c r="C194" s="53" t="s">
        <v>40</v>
      </c>
      <c r="D194" s="53" t="s">
        <v>51</v>
      </c>
      <c r="E194" s="53" t="s">
        <v>52</v>
      </c>
      <c r="F194" s="53" t="s">
        <v>25</v>
      </c>
      <c r="G194" s="53" t="s">
        <v>25</v>
      </c>
      <c r="H194" s="53" t="s">
        <v>35</v>
      </c>
      <c r="I194" s="75">
        <v>44682</v>
      </c>
      <c r="J194" s="76">
        <f ca="1">EFEITO!$J$194*EFEITO!$Y$161</f>
        <v>30512.722772922847</v>
      </c>
      <c r="K194" s="76">
        <f ca="1">EFEITO!$L$194*EFEITO!$Z$161</f>
        <v>130554.85791992923</v>
      </c>
      <c r="L194" s="76">
        <f>EFEITO!$N$194*EFEITO!$AA$161</f>
        <v>155105.50252943463</v>
      </c>
      <c r="M194" s="76">
        <f ca="1">$J$194-EFEITO!$K$194*EFEITO!$Y$194</f>
        <v>915.38168318768658</v>
      </c>
      <c r="N194" s="76">
        <f ca="1">$K$194-EFEITO!$M$194*EFEITO!$Z$194</f>
        <v>3916.6457375978789</v>
      </c>
      <c r="O194" s="76">
        <f>$L$194-EFEITO!$O$194*EFEITO!$AA$194</f>
        <v>4653.1650758830365</v>
      </c>
      <c r="P194" s="57"/>
      <c r="Q194" s="57"/>
      <c r="R194" s="57"/>
      <c r="S194" s="57"/>
      <c r="T194" s="57"/>
      <c r="U194" s="57"/>
      <c r="V194" s="57"/>
      <c r="W194" s="5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21</v>
      </c>
      <c r="B195" s="53" t="s">
        <v>41</v>
      </c>
      <c r="C195" s="53" t="s">
        <v>40</v>
      </c>
      <c r="D195" s="53" t="s">
        <v>51</v>
      </c>
      <c r="E195" s="53" t="s">
        <v>52</v>
      </c>
      <c r="F195" s="53" t="s">
        <v>25</v>
      </c>
      <c r="G195" s="53" t="s">
        <v>25</v>
      </c>
      <c r="H195" s="53" t="s">
        <v>35</v>
      </c>
      <c r="I195" s="75">
        <v>44713</v>
      </c>
      <c r="J195" s="76">
        <f ca="1">EFEITO!$J$195*EFEITO!$Y$161</f>
        <v>30512.722772922847</v>
      </c>
      <c r="K195" s="76">
        <f ca="1">EFEITO!$L$195*EFEITO!$Z$161</f>
        <v>120553.14833179647</v>
      </c>
      <c r="L195" s="76">
        <f>EFEITO!$N$195*EFEITO!$AA$161</f>
        <v>143222.98650102122</v>
      </c>
      <c r="M195" s="76">
        <f ca="1">$J$195-EFEITO!$K$195*EFEITO!$Y$195</f>
        <v>915.38168318768658</v>
      </c>
      <c r="N195" s="76">
        <f ca="1">$K$195-EFEITO!$M$195*EFEITO!$Z$195</f>
        <v>3616.5944499538891</v>
      </c>
      <c r="O195" s="76">
        <f>$L$195-EFEITO!$O$195*EFEITO!$AA$195</f>
        <v>4296.6895950306498</v>
      </c>
      <c r="P195" s="57"/>
      <c r="Q195" s="57"/>
      <c r="R195" s="57"/>
      <c r="S195" s="57"/>
      <c r="T195" s="57"/>
      <c r="U195" s="57"/>
      <c r="V195" s="57"/>
      <c r="W195" s="5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27</v>
      </c>
      <c r="B196" s="53" t="s">
        <v>41</v>
      </c>
      <c r="C196" s="53" t="s">
        <v>40</v>
      </c>
      <c r="D196" s="53" t="s">
        <v>51</v>
      </c>
      <c r="E196" s="53" t="s">
        <v>52</v>
      </c>
      <c r="F196" s="53" t="s">
        <v>25</v>
      </c>
      <c r="G196" s="53" t="s">
        <v>25</v>
      </c>
      <c r="H196" s="53" t="s">
        <v>35</v>
      </c>
      <c r="I196" s="75">
        <v>44743</v>
      </c>
      <c r="J196" s="76">
        <f ca="1">EFEITO!$J$196*EFEITO!$Y$161</f>
        <v>30512.722772922847</v>
      </c>
      <c r="K196" s="76">
        <f ca="1">EFEITO!$L$196*EFEITO!$Z$161</f>
        <v>47256.458126935031</v>
      </c>
      <c r="L196" s="76">
        <f>EFEITO!$N$196*EFEITO!$AA$161</f>
        <v>56142.963979439606</v>
      </c>
      <c r="M196" s="76">
        <f ca="1">$J$196-EFEITO!$K$196*EFEITO!$Y$196</f>
        <v>915.38168318768658</v>
      </c>
      <c r="N196" s="76">
        <f ca="1">$K$196-EFEITO!$M$196*EFEITO!$Z$196</f>
        <v>1417.6937438080495</v>
      </c>
      <c r="O196" s="76">
        <f>$L$196-EFEITO!$O$196*EFEITO!$AA$196</f>
        <v>1684.288919383187</v>
      </c>
      <c r="P196" s="57"/>
      <c r="Q196" s="57"/>
      <c r="R196" s="57"/>
      <c r="S196" s="57"/>
      <c r="T196" s="57"/>
      <c r="U196" s="57"/>
      <c r="V196" s="57"/>
      <c r="W196" s="5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21</v>
      </c>
      <c r="B197" s="53" t="s">
        <v>41</v>
      </c>
      <c r="C197" s="53" t="s">
        <v>40</v>
      </c>
      <c r="D197" s="53" t="s">
        <v>51</v>
      </c>
      <c r="E197" s="53" t="s">
        <v>52</v>
      </c>
      <c r="F197" s="53" t="s">
        <v>25</v>
      </c>
      <c r="G197" s="53" t="s">
        <v>25</v>
      </c>
      <c r="H197" s="53" t="s">
        <v>35</v>
      </c>
      <c r="I197" s="75">
        <v>44774</v>
      </c>
      <c r="J197" s="76">
        <f ca="1">EFEITO!$J$197*EFEITO!$Y$161</f>
        <v>22778.595125619486</v>
      </c>
      <c r="K197" s="76">
        <f ca="1">EFEITO!$L$197*EFEITO!$Z$161</f>
        <v>105119.12377603055</v>
      </c>
      <c r="L197" s="76">
        <f>EFEITO!$N$197*EFEITO!$AA$161</f>
        <v>124886.61684833534</v>
      </c>
      <c r="M197" s="76">
        <f ca="1">$J$197-EFEITO!$K$197*EFEITO!$Y$197</f>
        <v>683.35785376858621</v>
      </c>
      <c r="N197" s="76">
        <f ca="1">$K$197-EFEITO!$M$197*EFEITO!$Z$197</f>
        <v>3153.5737132809008</v>
      </c>
      <c r="O197" s="76">
        <f>$L$197-EFEITO!$O$197*EFEITO!$AA$197</f>
        <v>3746.5985054500634</v>
      </c>
      <c r="P197" s="57"/>
      <c r="Q197" s="57"/>
      <c r="R197" s="57"/>
      <c r="S197" s="57"/>
      <c r="T197" s="57"/>
      <c r="U197" s="57"/>
      <c r="V197" s="57"/>
      <c r="W197" s="5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27</v>
      </c>
      <c r="B198" s="53" t="s">
        <v>41</v>
      </c>
      <c r="C198" s="53" t="s">
        <v>40</v>
      </c>
      <c r="D198" s="53" t="s">
        <v>51</v>
      </c>
      <c r="E198" s="53" t="s">
        <v>52</v>
      </c>
      <c r="F198" s="53" t="s">
        <v>25</v>
      </c>
      <c r="G198" s="53" t="s">
        <v>25</v>
      </c>
      <c r="H198" s="53" t="s">
        <v>35</v>
      </c>
      <c r="I198" s="75">
        <v>44774</v>
      </c>
      <c r="J198" s="76">
        <f ca="1">EFEITO!$J$198*EFEITO!$Y$161</f>
        <v>0</v>
      </c>
      <c r="K198" s="76">
        <f ca="1">EFEITO!$L$198*EFEITO!$Z$161</f>
        <v>75294.926996089082</v>
      </c>
      <c r="L198" s="76">
        <f>EFEITO!$N$198*EFEITO!$AA$161</f>
        <v>89454.02473501327</v>
      </c>
      <c r="M198" s="76">
        <f ca="1">$J$198-EFEITO!$K$198*EFEITO!$Y$198</f>
        <v>0</v>
      </c>
      <c r="N198" s="76">
        <f ca="1">$K$198-EFEITO!$M$198*EFEITO!$Z$198</f>
        <v>2258.8478098826599</v>
      </c>
      <c r="O198" s="76">
        <f>$L$198-EFEITO!$O$198*EFEITO!$AA$198</f>
        <v>2683.620742050407</v>
      </c>
      <c r="P198" s="57"/>
      <c r="Q198" s="57"/>
      <c r="R198" s="57"/>
      <c r="S198" s="57"/>
      <c r="T198" s="57"/>
      <c r="U198" s="57"/>
      <c r="V198" s="57"/>
      <c r="W198" s="5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21</v>
      </c>
      <c r="B199" s="53" t="s">
        <v>41</v>
      </c>
      <c r="C199" s="53" t="s">
        <v>40</v>
      </c>
      <c r="D199" s="53" t="s">
        <v>51</v>
      </c>
      <c r="E199" s="53" t="s">
        <v>52</v>
      </c>
      <c r="F199" s="53" t="s">
        <v>25</v>
      </c>
      <c r="G199" s="53" t="s">
        <v>25</v>
      </c>
      <c r="H199" s="53" t="s">
        <v>35</v>
      </c>
      <c r="I199" s="75">
        <v>44805</v>
      </c>
      <c r="J199" s="76">
        <f ca="1">EFEITO!$J$199*EFEITO!$Y$161</f>
        <v>23583.791976571618</v>
      </c>
      <c r="K199" s="76">
        <f ca="1">EFEITO!$L$199*EFEITO!$Z$161</f>
        <v>99993.68542396056</v>
      </c>
      <c r="L199" s="76">
        <f>EFEITO!$N$199*EFEITO!$AA$161</f>
        <v>118797.34752548081</v>
      </c>
      <c r="M199" s="76">
        <f ca="1">$J$199-EFEITO!$K$199*EFEITO!$Y$199</f>
        <v>707.51375929715141</v>
      </c>
      <c r="N199" s="76">
        <f ca="1">$K$199-EFEITO!$M$199*EFEITO!$Z$199</f>
        <v>2999.8105627188197</v>
      </c>
      <c r="O199" s="76">
        <f>$L$199-EFEITO!$O$199*EFEITO!$AA$199</f>
        <v>3563.920425764416</v>
      </c>
      <c r="P199" s="57"/>
      <c r="Q199" s="57"/>
      <c r="R199" s="57"/>
      <c r="S199" s="57"/>
      <c r="T199" s="57"/>
      <c r="U199" s="57"/>
      <c r="V199" s="57"/>
      <c r="W199" s="5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41</v>
      </c>
      <c r="C200" s="53" t="s">
        <v>40</v>
      </c>
      <c r="D200" s="53" t="s">
        <v>51</v>
      </c>
      <c r="E200" s="53" t="s">
        <v>52</v>
      </c>
      <c r="F200" s="53" t="s">
        <v>25</v>
      </c>
      <c r="G200" s="53" t="s">
        <v>25</v>
      </c>
      <c r="H200" s="53" t="s">
        <v>35</v>
      </c>
      <c r="I200" s="75">
        <v>44835</v>
      </c>
      <c r="J200" s="76">
        <f ca="1">EFEITO!$J$200*EFEITO!$Y$161</f>
        <v>23583.791976571618</v>
      </c>
      <c r="K200" s="76">
        <f ca="1">EFEITO!$L$200*EFEITO!$Z$161</f>
        <v>112147.16084930941</v>
      </c>
      <c r="L200" s="76">
        <f>EFEITO!$N$200*EFEITO!$AA$161</f>
        <v>133236.26571942502</v>
      </c>
      <c r="M200" s="76">
        <f ca="1">$J$200-EFEITO!$K$200*EFEITO!$Y$200</f>
        <v>707.51375929715141</v>
      </c>
      <c r="N200" s="76">
        <f ca="1">$K$200-EFEITO!$M$200*EFEITO!$Z$200</f>
        <v>3364.4148254792817</v>
      </c>
      <c r="O200" s="76">
        <f>$L$200-EFEITO!$O$200*EFEITO!$AA$200</f>
        <v>3997.0879715827468</v>
      </c>
      <c r="P200" s="57"/>
      <c r="Q200" s="57"/>
      <c r="R200" s="57"/>
      <c r="S200" s="57"/>
      <c r="T200" s="57"/>
      <c r="U200" s="57"/>
      <c r="V200" s="57"/>
      <c r="W200" s="5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54</v>
      </c>
      <c r="B201" s="53" t="s">
        <v>41</v>
      </c>
      <c r="C201" s="53" t="s">
        <v>40</v>
      </c>
      <c r="D201" s="53" t="s">
        <v>51</v>
      </c>
      <c r="E201" s="53" t="s">
        <v>52</v>
      </c>
      <c r="F201" s="53" t="s">
        <v>25</v>
      </c>
      <c r="G201" s="53" t="s">
        <v>25</v>
      </c>
      <c r="H201" s="53" t="s">
        <v>35</v>
      </c>
      <c r="I201" s="75">
        <v>44866</v>
      </c>
      <c r="J201" s="76">
        <f ca="1">EFEITO!$J$201*EFEITO!$Y$161</f>
        <v>23583.791976571618</v>
      </c>
      <c r="K201" s="76">
        <f ca="1">EFEITO!$L$201*EFEITO!$Z$161</f>
        <v>112147.16084930941</v>
      </c>
      <c r="L201" s="76">
        <f>EFEITO!$N$201*EFEITO!$AA$161</f>
        <v>133236.26571942502</v>
      </c>
      <c r="M201" s="76">
        <f ca="1">$J$201-EFEITO!$K$201*EFEITO!$Y$201</f>
        <v>707.51375929715141</v>
      </c>
      <c r="N201" s="76">
        <f ca="1">$K$201-EFEITO!$M$201*EFEITO!$Z$201</f>
        <v>3364.4148254792817</v>
      </c>
      <c r="O201" s="76">
        <f>$L$201-EFEITO!$O$201*EFEITO!$AA$201</f>
        <v>3997.0879715827468</v>
      </c>
      <c r="P201" s="57"/>
      <c r="Q201" s="57"/>
      <c r="R201" s="57"/>
      <c r="S201" s="57"/>
      <c r="T201" s="57"/>
      <c r="U201" s="57"/>
      <c r="V201" s="57"/>
      <c r="W201" s="5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41</v>
      </c>
      <c r="C202" s="53" t="s">
        <v>40</v>
      </c>
      <c r="D202" s="53" t="s">
        <v>51</v>
      </c>
      <c r="E202" s="53" t="s">
        <v>52</v>
      </c>
      <c r="F202" s="53" t="s">
        <v>25</v>
      </c>
      <c r="G202" s="53" t="s">
        <v>25</v>
      </c>
      <c r="H202" s="53" t="s">
        <v>34</v>
      </c>
      <c r="I202" s="75">
        <v>44531</v>
      </c>
      <c r="J202" s="76">
        <f ca="1">EFEITO!$J$202*EFEITO!$Y$188</f>
        <v>72909.878549813307</v>
      </c>
      <c r="K202" s="76">
        <f ca="1">EFEITO!$L$202*EFEITO!$Z$188</f>
        <v>13937.388571999272</v>
      </c>
      <c r="L202" s="76">
        <f>EFEITO!$N$202*EFEITO!$AA$188</f>
        <v>24739.182634924164</v>
      </c>
      <c r="M202" s="76">
        <f ca="1">$J$202-EFEITO!$K$202*EFEITO!$Y$202</f>
        <v>2187.296356494393</v>
      </c>
      <c r="N202" s="76">
        <f ca="1">$K$202-EFEITO!$M$202*EFEITO!$Z$202</f>
        <v>418.12165715997799</v>
      </c>
      <c r="O202" s="76">
        <f>$L$202-EFEITO!$O$202*EFEITO!$AA$202</f>
        <v>742.175479047728</v>
      </c>
      <c r="P202" s="57"/>
      <c r="Q202" s="57"/>
      <c r="R202" s="57"/>
      <c r="S202" s="57"/>
      <c r="T202" s="57"/>
      <c r="U202" s="57"/>
      <c r="V202" s="57"/>
      <c r="W202" s="5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21</v>
      </c>
      <c r="B203" s="53" t="s">
        <v>41</v>
      </c>
      <c r="C203" s="53" t="s">
        <v>40</v>
      </c>
      <c r="D203" s="53" t="s">
        <v>51</v>
      </c>
      <c r="E203" s="53" t="s">
        <v>52</v>
      </c>
      <c r="F203" s="53" t="s">
        <v>25</v>
      </c>
      <c r="G203" s="53" t="s">
        <v>25</v>
      </c>
      <c r="H203" s="53" t="s">
        <v>34</v>
      </c>
      <c r="I203" s="75">
        <v>44562</v>
      </c>
      <c r="J203" s="76">
        <f ca="1">EFEITO!$J$203*EFEITO!$Y$188</f>
        <v>72909.878549813307</v>
      </c>
      <c r="K203" s="76">
        <f ca="1">EFEITO!$L$203*EFEITO!$Z$188</f>
        <v>13472.08304727784</v>
      </c>
      <c r="L203" s="76">
        <f>EFEITO!$N$203*EFEITO!$AA$188</f>
        <v>23913.254714664457</v>
      </c>
      <c r="M203" s="76">
        <f ca="1">$J$203-EFEITO!$K$203*EFEITO!$Y$203</f>
        <v>2187.296356494393</v>
      </c>
      <c r="N203" s="76">
        <f ca="1">$K$203-EFEITO!$M$203*EFEITO!$Z$203</f>
        <v>404.16249141833578</v>
      </c>
      <c r="O203" s="76">
        <f>$L$203-EFEITO!$O$203*EFEITO!$AA$203</f>
        <v>717.39764143993671</v>
      </c>
      <c r="P203" s="57"/>
      <c r="Q203" s="57"/>
      <c r="R203" s="57"/>
      <c r="S203" s="57"/>
      <c r="T203" s="57"/>
      <c r="U203" s="57"/>
      <c r="V203" s="57"/>
      <c r="W203" s="5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21</v>
      </c>
      <c r="B204" s="53" t="s">
        <v>41</v>
      </c>
      <c r="C204" s="53" t="s">
        <v>40</v>
      </c>
      <c r="D204" s="53" t="s">
        <v>51</v>
      </c>
      <c r="E204" s="53" t="s">
        <v>52</v>
      </c>
      <c r="F204" s="53" t="s">
        <v>25</v>
      </c>
      <c r="G204" s="53" t="s">
        <v>25</v>
      </c>
      <c r="H204" s="53" t="s">
        <v>34</v>
      </c>
      <c r="I204" s="75">
        <v>44593</v>
      </c>
      <c r="J204" s="76">
        <f ca="1">EFEITO!$J$204*EFEITO!$Y$188</f>
        <v>72909.878549813307</v>
      </c>
      <c r="K204" s="76">
        <f ca="1">EFEITO!$L$204*EFEITO!$Z$188</f>
        <v>14977.429898901979</v>
      </c>
      <c r="L204" s="76">
        <f>EFEITO!$N$204*EFEITO!$AA$188</f>
        <v>26585.279714100601</v>
      </c>
      <c r="M204" s="76">
        <f ca="1">$J$204-EFEITO!$K$204*EFEITO!$Y$204</f>
        <v>2187.296356494393</v>
      </c>
      <c r="N204" s="76">
        <f ca="1">$K$204-EFEITO!$M$204*EFEITO!$Z$204</f>
        <v>449.32289696705811</v>
      </c>
      <c r="O204" s="76">
        <f>$L$204-EFEITO!$O$204*EFEITO!$AA$204</f>
        <v>797.5583914230192</v>
      </c>
      <c r="P204" s="57"/>
      <c r="Q204" s="57"/>
      <c r="R204" s="57"/>
      <c r="S204" s="57"/>
      <c r="T204" s="57"/>
      <c r="U204" s="57"/>
      <c r="V204" s="57"/>
      <c r="W204" s="5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21</v>
      </c>
      <c r="B205" s="53" t="s">
        <v>41</v>
      </c>
      <c r="C205" s="53" t="s">
        <v>40</v>
      </c>
      <c r="D205" s="53" t="s">
        <v>51</v>
      </c>
      <c r="E205" s="53" t="s">
        <v>52</v>
      </c>
      <c r="F205" s="53" t="s">
        <v>25</v>
      </c>
      <c r="G205" s="53" t="s">
        <v>25</v>
      </c>
      <c r="H205" s="53" t="s">
        <v>34</v>
      </c>
      <c r="I205" s="75">
        <v>44621</v>
      </c>
      <c r="J205" s="76">
        <f ca="1">EFEITO!$J$205*EFEITO!$Y$188</f>
        <v>72909.878549813307</v>
      </c>
      <c r="K205" s="76">
        <f ca="1">EFEITO!$L$205*EFEITO!$Z$188</f>
        <v>13944.284675719791</v>
      </c>
      <c r="L205" s="76">
        <f>EFEITO!$N$205*EFEITO!$AA$188</f>
        <v>24751.423376332066</v>
      </c>
      <c r="M205" s="76">
        <f ca="1">$J$205-EFEITO!$K$205*EFEITO!$Y$205</f>
        <v>2187.296356494393</v>
      </c>
      <c r="N205" s="76">
        <f ca="1">$K$205-EFEITO!$M$205*EFEITO!$Z$205</f>
        <v>418.32854027159374</v>
      </c>
      <c r="O205" s="76">
        <f>$L$205-EFEITO!$O$205*EFEITO!$AA$205</f>
        <v>742.54270128996359</v>
      </c>
      <c r="P205" s="57"/>
      <c r="Q205" s="57"/>
      <c r="R205" s="57"/>
      <c r="S205" s="57"/>
      <c r="T205" s="57"/>
      <c r="U205" s="57"/>
      <c r="V205" s="57"/>
      <c r="W205" s="5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41</v>
      </c>
      <c r="C206" s="53" t="s">
        <v>40</v>
      </c>
      <c r="D206" s="53" t="s">
        <v>51</v>
      </c>
      <c r="E206" s="53" t="s">
        <v>52</v>
      </c>
      <c r="F206" s="53" t="s">
        <v>25</v>
      </c>
      <c r="G206" s="53" t="s">
        <v>25</v>
      </c>
      <c r="H206" s="53" t="s">
        <v>34</v>
      </c>
      <c r="I206" s="75">
        <v>44652</v>
      </c>
      <c r="J206" s="76">
        <f ca="1">EFEITO!$J$206*EFEITO!$Y$188</f>
        <v>72909.878549813307</v>
      </c>
      <c r="K206" s="76">
        <f ca="1">EFEITO!$L$206*EFEITO!$Z$188</f>
        <v>11926.811384640159</v>
      </c>
      <c r="L206" s="76">
        <f>EFEITO!$N$206*EFEITO!$AA$188</f>
        <v>21170.36226497202</v>
      </c>
      <c r="M206" s="76">
        <f ca="1">$J$206-EFEITO!$K$206*EFEITO!$Y$206</f>
        <v>2187.296356494393</v>
      </c>
      <c r="N206" s="76">
        <f ca="1">$K$206-EFEITO!$M$206*EFEITO!$Z$206</f>
        <v>357.80434153920396</v>
      </c>
      <c r="O206" s="76">
        <f>$L$206-EFEITO!$O$206*EFEITO!$AA$206</f>
        <v>635.11086794916264</v>
      </c>
      <c r="P206" s="57"/>
      <c r="Q206" s="57"/>
      <c r="R206" s="57"/>
      <c r="S206" s="57"/>
      <c r="T206" s="57"/>
      <c r="U206" s="57"/>
      <c r="V206" s="57"/>
      <c r="W206" s="5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21</v>
      </c>
      <c r="B207" s="53" t="s">
        <v>41</v>
      </c>
      <c r="C207" s="53" t="s">
        <v>40</v>
      </c>
      <c r="D207" s="53" t="s">
        <v>51</v>
      </c>
      <c r="E207" s="53" t="s">
        <v>52</v>
      </c>
      <c r="F207" s="53" t="s">
        <v>25</v>
      </c>
      <c r="G207" s="53" t="s">
        <v>25</v>
      </c>
      <c r="H207" s="53" t="s">
        <v>34</v>
      </c>
      <c r="I207" s="75">
        <v>44682</v>
      </c>
      <c r="J207" s="76">
        <f ca="1">EFEITO!$J$207*EFEITO!$Y$188</f>
        <v>72909.878549813307</v>
      </c>
      <c r="K207" s="76">
        <f ca="1">EFEITO!$L$207*EFEITO!$Z$188</f>
        <v>12637.654497094862</v>
      </c>
      <c r="L207" s="76">
        <f>EFEITO!$N$207*EFEITO!$AA$188</f>
        <v>22432.125004307931</v>
      </c>
      <c r="M207" s="76">
        <f ca="1">$J$207-EFEITO!$K$207*EFEITO!$Y$207</f>
        <v>2187.296356494393</v>
      </c>
      <c r="N207" s="76">
        <f ca="1">$K$207-EFEITO!$M$207*EFEITO!$Z$207</f>
        <v>379.12963491284427</v>
      </c>
      <c r="O207" s="76">
        <f>$L$207-EFEITO!$O$207*EFEITO!$AA$207</f>
        <v>672.96375012924182</v>
      </c>
      <c r="P207" s="57"/>
      <c r="Q207" s="57"/>
      <c r="R207" s="57"/>
      <c r="S207" s="57"/>
      <c r="T207" s="57"/>
      <c r="U207" s="57"/>
      <c r="V207" s="57"/>
      <c r="W207" s="5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41</v>
      </c>
      <c r="C208" s="53" t="s">
        <v>40</v>
      </c>
      <c r="D208" s="53" t="s">
        <v>51</v>
      </c>
      <c r="E208" s="53" t="s">
        <v>52</v>
      </c>
      <c r="F208" s="53" t="s">
        <v>25</v>
      </c>
      <c r="G208" s="53" t="s">
        <v>25</v>
      </c>
      <c r="H208" s="53" t="s">
        <v>34</v>
      </c>
      <c r="I208" s="75">
        <v>44713</v>
      </c>
      <c r="J208" s="76">
        <f ca="1">EFEITO!$J$208*EFEITO!$Y$188</f>
        <v>72909.878549813307</v>
      </c>
      <c r="K208" s="76">
        <f ca="1">EFEITO!$L$208*EFEITO!$Z$188</f>
        <v>11848.413573922662</v>
      </c>
      <c r="L208" s="76">
        <f>EFEITO!$N$208*EFEITO!$AA$188</f>
        <v>21031.204362650569</v>
      </c>
      <c r="M208" s="76">
        <f ca="1">$J$208-EFEITO!$K$208*EFEITO!$Y$208</f>
        <v>2187.296356494393</v>
      </c>
      <c r="N208" s="76">
        <f ca="1">$K$208-EFEITO!$M$208*EFEITO!$Z$208</f>
        <v>355.45240721767914</v>
      </c>
      <c r="O208" s="76">
        <f>$L$208-EFEITO!$O$208*EFEITO!$AA$208</f>
        <v>630.93613087951962</v>
      </c>
      <c r="P208" s="57"/>
      <c r="Q208" s="57"/>
      <c r="R208" s="57"/>
      <c r="S208" s="57"/>
      <c r="T208" s="57"/>
      <c r="U208" s="57"/>
      <c r="V208" s="57"/>
      <c r="W208" s="5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27</v>
      </c>
      <c r="B209" s="53" t="s">
        <v>41</v>
      </c>
      <c r="C209" s="53" t="s">
        <v>40</v>
      </c>
      <c r="D209" s="53" t="s">
        <v>51</v>
      </c>
      <c r="E209" s="53" t="s">
        <v>52</v>
      </c>
      <c r="F209" s="53" t="s">
        <v>25</v>
      </c>
      <c r="G209" s="53" t="s">
        <v>25</v>
      </c>
      <c r="H209" s="53" t="s">
        <v>34</v>
      </c>
      <c r="I209" s="75">
        <v>44743</v>
      </c>
      <c r="J209" s="76">
        <f ca="1">EFEITO!$J$209*EFEITO!$Y$188</f>
        <v>72909.878549813307</v>
      </c>
      <c r="K209" s="76">
        <f ca="1">EFEITO!$L$209*EFEITO!$Z$188</f>
        <v>4240.3778824652991</v>
      </c>
      <c r="L209" s="76">
        <f>EFEITO!$N$209*EFEITO!$AA$188</f>
        <v>7526.7674667661195</v>
      </c>
      <c r="M209" s="76">
        <f ca="1">$J$209-EFEITO!$K$209*EFEITO!$Y$209</f>
        <v>2187.296356494393</v>
      </c>
      <c r="N209" s="76">
        <f ca="1">$K$209-EFEITO!$M$209*EFEITO!$Z$209</f>
        <v>127.21133647395891</v>
      </c>
      <c r="O209" s="76">
        <f>$L$209-EFEITO!$O$209*EFEITO!$AA$209</f>
        <v>225.80302400298388</v>
      </c>
      <c r="P209" s="57"/>
      <c r="Q209" s="57"/>
      <c r="R209" s="57"/>
      <c r="S209" s="57"/>
      <c r="T209" s="57"/>
      <c r="U209" s="57"/>
      <c r="V209" s="57"/>
      <c r="W209" s="5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41</v>
      </c>
      <c r="C210" s="53" t="s">
        <v>40</v>
      </c>
      <c r="D210" s="53" t="s">
        <v>51</v>
      </c>
      <c r="E210" s="53" t="s">
        <v>52</v>
      </c>
      <c r="F210" s="53" t="s">
        <v>25</v>
      </c>
      <c r="G210" s="53" t="s">
        <v>25</v>
      </c>
      <c r="H210" s="53" t="s">
        <v>34</v>
      </c>
      <c r="I210" s="75">
        <v>44774</v>
      </c>
      <c r="J210" s="76">
        <f ca="1">EFEITO!$J$210*EFEITO!$Y$188</f>
        <v>58317.053155542642</v>
      </c>
      <c r="K210" s="76">
        <f ca="1">EFEITO!$L$210*EFEITO!$Z$188</f>
        <v>11416.318232907946</v>
      </c>
      <c r="L210" s="76">
        <f>EFEITO!$N$210*EFEITO!$AA$188</f>
        <v>20264.225276013141</v>
      </c>
      <c r="M210" s="76">
        <f ca="1">$J$210-EFEITO!$K$210*EFEITO!$Y$210</f>
        <v>1749.5115946662845</v>
      </c>
      <c r="N210" s="76">
        <f ca="1">$K$210-EFEITO!$M$210*EFEITO!$Z$210</f>
        <v>342.48954698723901</v>
      </c>
      <c r="O210" s="76">
        <f>$L$210-EFEITO!$O$210*EFEITO!$AA$210</f>
        <v>607.92675828039501</v>
      </c>
      <c r="P210" s="57"/>
      <c r="Q210" s="57"/>
      <c r="R210" s="57"/>
      <c r="S210" s="57"/>
      <c r="T210" s="57"/>
      <c r="U210" s="57"/>
      <c r="V210" s="57"/>
      <c r="W210" s="5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27</v>
      </c>
      <c r="B211" s="53" t="s">
        <v>41</v>
      </c>
      <c r="C211" s="53" t="s">
        <v>40</v>
      </c>
      <c r="D211" s="53" t="s">
        <v>51</v>
      </c>
      <c r="E211" s="53" t="s">
        <v>52</v>
      </c>
      <c r="F211" s="53" t="s">
        <v>25</v>
      </c>
      <c r="G211" s="53" t="s">
        <v>25</v>
      </c>
      <c r="H211" s="53" t="s">
        <v>34</v>
      </c>
      <c r="I211" s="75">
        <v>44774</v>
      </c>
      <c r="J211" s="76">
        <f ca="1">EFEITO!$J$211*EFEITO!$Y$188</f>
        <v>0</v>
      </c>
      <c r="K211" s="76">
        <f ca="1">EFEITO!$L$211*EFEITO!$Z$188</f>
        <v>7080.1208040101519</v>
      </c>
      <c r="L211" s="76">
        <f>EFEITO!$N$211*EFEITO!$AA$188</f>
        <v>12567.375928631918</v>
      </c>
      <c r="M211" s="76">
        <f ca="1">$J$211-EFEITO!$K$211*EFEITO!$Y$211</f>
        <v>0</v>
      </c>
      <c r="N211" s="76">
        <f ca="1">$K$211-EFEITO!$M$211*EFEITO!$Z$211</f>
        <v>212.40362412030481</v>
      </c>
      <c r="O211" s="76">
        <f>$L$211-EFEITO!$O$211*EFEITO!$AA$211</f>
        <v>377.02127785895755</v>
      </c>
      <c r="P211" s="57"/>
      <c r="Q211" s="57"/>
      <c r="R211" s="57"/>
      <c r="S211" s="57"/>
      <c r="T211" s="57"/>
      <c r="U211" s="57"/>
      <c r="V211" s="57"/>
      <c r="W211" s="5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41</v>
      </c>
      <c r="C212" s="53" t="s">
        <v>40</v>
      </c>
      <c r="D212" s="53" t="s">
        <v>51</v>
      </c>
      <c r="E212" s="53" t="s">
        <v>52</v>
      </c>
      <c r="F212" s="53" t="s">
        <v>25</v>
      </c>
      <c r="G212" s="53" t="s">
        <v>25</v>
      </c>
      <c r="H212" s="53" t="s">
        <v>34</v>
      </c>
      <c r="I212" s="75">
        <v>44805</v>
      </c>
      <c r="J212" s="76">
        <f ca="1">EFEITO!$J$212*EFEITO!$Y$188</f>
        <v>58317.053155542642</v>
      </c>
      <c r="K212" s="76">
        <f ca="1">EFEITO!$L$212*EFEITO!$Z$188</f>
        <v>9885.0202541250037</v>
      </c>
      <c r="L212" s="76">
        <f>EFEITO!$N$212*EFEITO!$AA$188</f>
        <v>17546.136433910404</v>
      </c>
      <c r="M212" s="76">
        <f ca="1">$J$212-EFEITO!$K$212*EFEITO!$Y$212</f>
        <v>1749.5115946662845</v>
      </c>
      <c r="N212" s="76">
        <f ca="1">$K$212-EFEITO!$M$212*EFEITO!$Z$212</f>
        <v>296.55060762374887</v>
      </c>
      <c r="O212" s="76">
        <f>$L$212-EFEITO!$O$212*EFEITO!$AA$212</f>
        <v>526.38409301731008</v>
      </c>
      <c r="P212" s="57"/>
      <c r="Q212" s="57"/>
      <c r="R212" s="57"/>
      <c r="S212" s="57"/>
      <c r="T212" s="57"/>
      <c r="U212" s="57"/>
      <c r="V212" s="57"/>
      <c r="W212" s="5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21</v>
      </c>
      <c r="B213" s="53" t="s">
        <v>41</v>
      </c>
      <c r="C213" s="53" t="s">
        <v>40</v>
      </c>
      <c r="D213" s="53" t="s">
        <v>51</v>
      </c>
      <c r="E213" s="53" t="s">
        <v>52</v>
      </c>
      <c r="F213" s="53" t="s">
        <v>25</v>
      </c>
      <c r="G213" s="53" t="s">
        <v>25</v>
      </c>
      <c r="H213" s="53" t="s">
        <v>34</v>
      </c>
      <c r="I213" s="75">
        <v>44835</v>
      </c>
      <c r="J213" s="76">
        <f ca="1">EFEITO!$J$213*EFEITO!$Y$188</f>
        <v>58317.053155542642</v>
      </c>
      <c r="K213" s="76">
        <f ca="1">EFEITO!$L$213*EFEITO!$Z$188</f>
        <v>9928.5745934125025</v>
      </c>
      <c r="L213" s="76">
        <f>EFEITO!$N$213*EFEITO!$AA$188</f>
        <v>17623.446379644545</v>
      </c>
      <c r="M213" s="76">
        <f ca="1">$J$213-EFEITO!$K$213*EFEITO!$Y$213</f>
        <v>1749.5115946662845</v>
      </c>
      <c r="N213" s="76">
        <f ca="1">$K$213-EFEITO!$M$213*EFEITO!$Z$213</f>
        <v>297.85723780237458</v>
      </c>
      <c r="O213" s="76">
        <f>$L$213-EFEITO!$O$213*EFEITO!$AA$213</f>
        <v>528.70339138933923</v>
      </c>
      <c r="P213" s="57"/>
      <c r="Q213" s="57"/>
      <c r="R213" s="57"/>
      <c r="S213" s="57"/>
      <c r="T213" s="57"/>
      <c r="U213" s="57"/>
      <c r="V213" s="57"/>
      <c r="W213" s="5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54</v>
      </c>
      <c r="B214" s="53" t="s">
        <v>41</v>
      </c>
      <c r="C214" s="53" t="s">
        <v>40</v>
      </c>
      <c r="D214" s="53" t="s">
        <v>51</v>
      </c>
      <c r="E214" s="53" t="s">
        <v>52</v>
      </c>
      <c r="F214" s="53" t="s">
        <v>25</v>
      </c>
      <c r="G214" s="53" t="s">
        <v>25</v>
      </c>
      <c r="H214" s="53" t="s">
        <v>34</v>
      </c>
      <c r="I214" s="75">
        <v>44866</v>
      </c>
      <c r="J214" s="76">
        <f ca="1">EFEITO!$J$214*EFEITO!$Y$188</f>
        <v>58317.053155542642</v>
      </c>
      <c r="K214" s="76">
        <f ca="1">EFEITO!$L$214*EFEITO!$Z$188</f>
        <v>9928.5745934125025</v>
      </c>
      <c r="L214" s="76">
        <f>EFEITO!$N$214*EFEITO!$AA$188</f>
        <v>17623.446379644545</v>
      </c>
      <c r="M214" s="76">
        <f ca="1">$J$214-EFEITO!$K$214*EFEITO!$Y$214</f>
        <v>1749.5115946662845</v>
      </c>
      <c r="N214" s="76">
        <f ca="1">$K$214-EFEITO!$M$214*EFEITO!$Z$214</f>
        <v>297.85723780237458</v>
      </c>
      <c r="O214" s="76">
        <f>$L$214-EFEITO!$O$214*EFEITO!$AA$214</f>
        <v>528.70339138933923</v>
      </c>
      <c r="P214" s="57"/>
      <c r="Q214" s="57"/>
      <c r="R214" s="57"/>
      <c r="S214" s="57"/>
      <c r="T214" s="57"/>
      <c r="U214" s="57"/>
      <c r="V214" s="57"/>
      <c r="W214" s="5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21</v>
      </c>
      <c r="B215" s="53" t="s">
        <v>41</v>
      </c>
      <c r="C215" s="53" t="s">
        <v>43</v>
      </c>
      <c r="D215" s="53" t="s">
        <v>44</v>
      </c>
      <c r="E215" s="53" t="s">
        <v>25</v>
      </c>
      <c r="F215" s="53" t="s">
        <v>25</v>
      </c>
      <c r="G215" s="53" t="s">
        <v>25</v>
      </c>
      <c r="H215" s="53" t="s">
        <v>35</v>
      </c>
      <c r="I215" s="75">
        <v>44531</v>
      </c>
      <c r="J215" s="76">
        <f>EFEITO!$J$215*EFEITO!$Y$215</f>
        <v>0</v>
      </c>
      <c r="K215" s="76">
        <f ca="1">EFEITO!$L$215*EFEITO!$Z$215</f>
        <v>1247977.1831941819</v>
      </c>
      <c r="L215" s="76">
        <f>EFEITO!$N$215*EFEITO!$AA$215</f>
        <v>1482657.4148877664</v>
      </c>
      <c r="M215" s="76">
        <f>$J$215-EFEITO!$K$215*EFEITO!$Y$215</f>
        <v>0</v>
      </c>
      <c r="N215" s="76">
        <f ca="1">$K$215-EFEITO!$M$215*EFEITO!$Z$215</f>
        <v>0</v>
      </c>
      <c r="O215" s="76">
        <f>$L$215-EFEITO!$O$215*EFEITO!$AA$215</f>
        <v>0</v>
      </c>
      <c r="P215" s="57"/>
      <c r="Q215" s="57"/>
      <c r="R215" s="57"/>
      <c r="S215" s="57"/>
      <c r="T215" s="57"/>
      <c r="U215" s="57"/>
      <c r="V215" s="57"/>
      <c r="W215" s="5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28</v>
      </c>
      <c r="B216" s="53" t="s">
        <v>41</v>
      </c>
      <c r="C216" s="53" t="s">
        <v>43</v>
      </c>
      <c r="D216" s="53" t="s">
        <v>44</v>
      </c>
      <c r="E216" s="53" t="s">
        <v>25</v>
      </c>
      <c r="F216" s="53" t="s">
        <v>25</v>
      </c>
      <c r="G216" s="53" t="s">
        <v>25</v>
      </c>
      <c r="H216" s="53" t="s">
        <v>35</v>
      </c>
      <c r="I216" s="75">
        <v>44531</v>
      </c>
      <c r="J216" s="76">
        <f>EFEITO!$J$216*EFEITO!$Y$216</f>
        <v>0</v>
      </c>
      <c r="K216" s="76">
        <f ca="1">EFEITO!$L$216*EFEITO!$Z$216</f>
        <v>9413.0001020967484</v>
      </c>
      <c r="L216" s="76">
        <f>EFEITO!$N$216*EFEITO!$AA$216</f>
        <v>11183.100609253277</v>
      </c>
      <c r="M216" s="76">
        <f>$J$216-EFEITO!$K$216*EFEITO!$Y$216</f>
        <v>0</v>
      </c>
      <c r="N216" s="76">
        <f ca="1">$K$216-EFEITO!$M$216*EFEITO!$Z$216</f>
        <v>0</v>
      </c>
      <c r="O216" s="76">
        <f>$L$216-EFEITO!$O$216*EFEITO!$AA$216</f>
        <v>0</v>
      </c>
      <c r="P216" s="57"/>
      <c r="Q216" s="57"/>
      <c r="R216" s="57"/>
      <c r="S216" s="57"/>
      <c r="T216" s="57"/>
      <c r="U216" s="57"/>
      <c r="V216" s="57"/>
      <c r="W216" s="5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21</v>
      </c>
      <c r="B217" s="53" t="s">
        <v>41</v>
      </c>
      <c r="C217" s="53" t="s">
        <v>43</v>
      </c>
      <c r="D217" s="53" t="s">
        <v>44</v>
      </c>
      <c r="E217" s="53" t="s">
        <v>25</v>
      </c>
      <c r="F217" s="53" t="s">
        <v>25</v>
      </c>
      <c r="G217" s="53" t="s">
        <v>25</v>
      </c>
      <c r="H217" s="53" t="s">
        <v>35</v>
      </c>
      <c r="I217" s="75">
        <v>44562</v>
      </c>
      <c r="J217" s="76">
        <f>EFEITO!$J$217*EFEITO!$Y$217</f>
        <v>0</v>
      </c>
      <c r="K217" s="76">
        <f ca="1">EFEITO!$L$217*EFEITO!$Z$217</f>
        <v>1099753.0557309696</v>
      </c>
      <c r="L217" s="76">
        <f>EFEITO!$N$217*EFEITO!$AA$217</f>
        <v>1306559.9632611959</v>
      </c>
      <c r="M217" s="76">
        <f>$J$217-EFEITO!$K$217*EFEITO!$Y$217</f>
        <v>0</v>
      </c>
      <c r="N217" s="76">
        <f ca="1">$K$217-EFEITO!$M$217*EFEITO!$Z$217</f>
        <v>0</v>
      </c>
      <c r="O217" s="76">
        <f>$L$217-EFEITO!$O$217*EFEITO!$AA$217</f>
        <v>0</v>
      </c>
      <c r="P217" s="57"/>
      <c r="Q217" s="57"/>
      <c r="R217" s="57"/>
      <c r="S217" s="57"/>
      <c r="T217" s="57"/>
      <c r="U217" s="57"/>
      <c r="V217" s="57"/>
      <c r="W217" s="5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27</v>
      </c>
      <c r="B218" s="53" t="s">
        <v>41</v>
      </c>
      <c r="C218" s="53" t="s">
        <v>43</v>
      </c>
      <c r="D218" s="53" t="s">
        <v>44</v>
      </c>
      <c r="E218" s="53" t="s">
        <v>25</v>
      </c>
      <c r="F218" s="53" t="s">
        <v>25</v>
      </c>
      <c r="G218" s="53" t="s">
        <v>25</v>
      </c>
      <c r="H218" s="53" t="s">
        <v>35</v>
      </c>
      <c r="I218" s="75">
        <v>44562</v>
      </c>
      <c r="J218" s="76">
        <f>EFEITO!$J$218*EFEITO!$Y$218</f>
        <v>0</v>
      </c>
      <c r="K218" s="76">
        <f ca="1">EFEITO!$L$218*EFEITO!$Z$218</f>
        <v>-7381.0086979212811</v>
      </c>
      <c r="L218" s="76">
        <f>EFEITO!$N$218*EFEITO!$AA$218</f>
        <v>-8768.9962786934248</v>
      </c>
      <c r="M218" s="76">
        <f>$J$218-EFEITO!$K$218*EFEITO!$Y$218</f>
        <v>0</v>
      </c>
      <c r="N218" s="76">
        <f ca="1">$K$218-EFEITO!$M$218*EFEITO!$Z$218</f>
        <v>0</v>
      </c>
      <c r="O218" s="76">
        <f>$L$218-EFEITO!$O$218*EFEITO!$AA$218</f>
        <v>0</v>
      </c>
      <c r="P218" s="57"/>
      <c r="Q218" s="57"/>
      <c r="R218" s="57"/>
      <c r="S218" s="57"/>
      <c r="T218" s="57"/>
      <c r="U218" s="57"/>
      <c r="V218" s="57"/>
      <c r="W218" s="5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28</v>
      </c>
      <c r="B219" s="53" t="s">
        <v>41</v>
      </c>
      <c r="C219" s="53" t="s">
        <v>43</v>
      </c>
      <c r="D219" s="53" t="s">
        <v>44</v>
      </c>
      <c r="E219" s="53" t="s">
        <v>25</v>
      </c>
      <c r="F219" s="53" t="s">
        <v>25</v>
      </c>
      <c r="G219" s="53" t="s">
        <v>25</v>
      </c>
      <c r="H219" s="53" t="s">
        <v>35</v>
      </c>
      <c r="I219" s="75">
        <v>44562</v>
      </c>
      <c r="J219" s="76">
        <f>EFEITO!$J$219*EFEITO!$Y$219</f>
        <v>0</v>
      </c>
      <c r="K219" s="76">
        <f ca="1">EFEITO!$L$219*EFEITO!$Z$219</f>
        <v>11245.367451204516</v>
      </c>
      <c r="L219" s="76">
        <f>EFEITO!$N$219*EFEITO!$AA$219</f>
        <v>13360.041881528246</v>
      </c>
      <c r="M219" s="76">
        <f>$J$219-EFEITO!$K$219*EFEITO!$Y$219</f>
        <v>0</v>
      </c>
      <c r="N219" s="76">
        <f ca="1">$K$219-EFEITO!$M$219*EFEITO!$Z$219</f>
        <v>0</v>
      </c>
      <c r="O219" s="76">
        <f>$L$219-EFEITO!$O$219*EFEITO!$AA$219</f>
        <v>0</v>
      </c>
      <c r="P219" s="57"/>
      <c r="Q219" s="57"/>
      <c r="R219" s="57"/>
      <c r="S219" s="57"/>
      <c r="T219" s="57"/>
      <c r="U219" s="57"/>
      <c r="V219" s="57"/>
      <c r="W219" s="5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41</v>
      </c>
      <c r="C220" s="53" t="s">
        <v>43</v>
      </c>
      <c r="D220" s="53" t="s">
        <v>44</v>
      </c>
      <c r="E220" s="53" t="s">
        <v>25</v>
      </c>
      <c r="F220" s="53" t="s">
        <v>25</v>
      </c>
      <c r="G220" s="53" t="s">
        <v>25</v>
      </c>
      <c r="H220" s="53" t="s">
        <v>35</v>
      </c>
      <c r="I220" s="75">
        <v>44593</v>
      </c>
      <c r="J220" s="76">
        <f>EFEITO!$J$220*EFEITO!$Y$220</f>
        <v>0</v>
      </c>
      <c r="K220" s="76">
        <f ca="1">EFEITO!$L$220*EFEITO!$Z$220</f>
        <v>1107758.7062448391</v>
      </c>
      <c r="L220" s="76">
        <f>EFEITO!$N$220*EFEITO!$AA$220</f>
        <v>1316071.0643095407</v>
      </c>
      <c r="M220" s="76">
        <f>$J$220-EFEITO!$K$220*EFEITO!$Y$220</f>
        <v>0</v>
      </c>
      <c r="N220" s="76">
        <f ca="1">$K$220-EFEITO!$M$220*EFEITO!$Z$220</f>
        <v>0</v>
      </c>
      <c r="O220" s="76">
        <f>$L$220-EFEITO!$O$220*EFEITO!$AA$220</f>
        <v>0</v>
      </c>
      <c r="P220" s="57"/>
      <c r="Q220" s="57"/>
      <c r="R220" s="57"/>
      <c r="S220" s="57"/>
      <c r="T220" s="57"/>
      <c r="U220" s="57"/>
      <c r="V220" s="57"/>
      <c r="W220" s="5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27</v>
      </c>
      <c r="B221" s="53" t="s">
        <v>41</v>
      </c>
      <c r="C221" s="53" t="s">
        <v>43</v>
      </c>
      <c r="D221" s="53" t="s">
        <v>44</v>
      </c>
      <c r="E221" s="53" t="s">
        <v>25</v>
      </c>
      <c r="F221" s="53" t="s">
        <v>25</v>
      </c>
      <c r="G221" s="53" t="s">
        <v>25</v>
      </c>
      <c r="H221" s="53" t="s">
        <v>35</v>
      </c>
      <c r="I221" s="75">
        <v>44593</v>
      </c>
      <c r="J221" s="76">
        <f>EFEITO!$J$221*EFEITO!$Y$221</f>
        <v>0</v>
      </c>
      <c r="K221" s="76">
        <f ca="1">EFEITO!$L$221*EFEITO!$Z$221</f>
        <v>-148.81065923228388</v>
      </c>
      <c r="L221" s="76">
        <f>EFEITO!$N$221*EFEITO!$AA$221</f>
        <v>-176.79427981236745</v>
      </c>
      <c r="M221" s="76">
        <f>$J$221-EFEITO!$K$221*EFEITO!$Y$221</f>
        <v>0</v>
      </c>
      <c r="N221" s="76">
        <f ca="1">$K$221-EFEITO!$M$221*EFEITO!$Z$221</f>
        <v>0</v>
      </c>
      <c r="O221" s="76">
        <f>$L$221-EFEITO!$O$221*EFEITO!$AA$221</f>
        <v>0</v>
      </c>
      <c r="P221" s="57"/>
      <c r="Q221" s="57"/>
      <c r="R221" s="57"/>
      <c r="S221" s="57"/>
      <c r="T221" s="57"/>
      <c r="U221" s="57"/>
      <c r="V221" s="57"/>
      <c r="W221" s="5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28</v>
      </c>
      <c r="B222" s="53" t="s">
        <v>41</v>
      </c>
      <c r="C222" s="53" t="s">
        <v>43</v>
      </c>
      <c r="D222" s="53" t="s">
        <v>44</v>
      </c>
      <c r="E222" s="53" t="s">
        <v>25</v>
      </c>
      <c r="F222" s="53" t="s">
        <v>25</v>
      </c>
      <c r="G222" s="53" t="s">
        <v>25</v>
      </c>
      <c r="H222" s="53" t="s">
        <v>35</v>
      </c>
      <c r="I222" s="75">
        <v>44593</v>
      </c>
      <c r="J222" s="76">
        <f>EFEITO!$J$222*EFEITO!$Y$222</f>
        <v>0</v>
      </c>
      <c r="K222" s="76">
        <f ca="1">EFEITO!$L$222*EFEITO!$Z$222</f>
        <v>5817.4079175001125</v>
      </c>
      <c r="L222" s="76">
        <f>EFEITO!$N$222*EFEITO!$AA$222</f>
        <v>6911.3627239820125</v>
      </c>
      <c r="M222" s="76">
        <f>$J$222-EFEITO!$K$222*EFEITO!$Y$222</f>
        <v>0</v>
      </c>
      <c r="N222" s="76">
        <f ca="1">$K$222-EFEITO!$M$222*EFEITO!$Z$222</f>
        <v>0</v>
      </c>
      <c r="O222" s="76">
        <f>$L$222-EFEITO!$O$222*EFEITO!$AA$222</f>
        <v>0</v>
      </c>
      <c r="P222" s="57"/>
      <c r="Q222" s="57"/>
      <c r="R222" s="57"/>
      <c r="S222" s="57"/>
      <c r="T222" s="57"/>
      <c r="U222" s="57"/>
      <c r="V222" s="57"/>
      <c r="W222" s="5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21</v>
      </c>
      <c r="B223" s="53" t="s">
        <v>41</v>
      </c>
      <c r="C223" s="53" t="s">
        <v>43</v>
      </c>
      <c r="D223" s="53" t="s">
        <v>44</v>
      </c>
      <c r="E223" s="53" t="s">
        <v>25</v>
      </c>
      <c r="F223" s="53" t="s">
        <v>25</v>
      </c>
      <c r="G223" s="53" t="s">
        <v>25</v>
      </c>
      <c r="H223" s="53" t="s">
        <v>35</v>
      </c>
      <c r="I223" s="75">
        <v>44621</v>
      </c>
      <c r="J223" s="76">
        <f>EFEITO!$J$223*EFEITO!$Y$223</f>
        <v>0</v>
      </c>
      <c r="K223" s="76">
        <f ca="1">EFEITO!$L$223*EFEITO!$Z$223</f>
        <v>1183889.5136024207</v>
      </c>
      <c r="L223" s="76">
        <f>EFEITO!$N$223*EFEITO!$AA$223</f>
        <v>1406518.1554504267</v>
      </c>
      <c r="M223" s="76">
        <f>$J$223-EFEITO!$K$223*EFEITO!$Y$223</f>
        <v>0</v>
      </c>
      <c r="N223" s="76">
        <f ca="1">$K$223-EFEITO!$M$223*EFEITO!$Z$223</f>
        <v>0</v>
      </c>
      <c r="O223" s="76">
        <f>$L$223-EFEITO!$O$223*EFEITO!$AA$223</f>
        <v>0</v>
      </c>
      <c r="P223" s="57"/>
      <c r="Q223" s="57"/>
      <c r="R223" s="57"/>
      <c r="S223" s="57"/>
      <c r="T223" s="57"/>
      <c r="U223" s="57"/>
      <c r="V223" s="57"/>
      <c r="W223" s="5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28</v>
      </c>
      <c r="B224" s="53" t="s">
        <v>41</v>
      </c>
      <c r="C224" s="53" t="s">
        <v>43</v>
      </c>
      <c r="D224" s="53" t="s">
        <v>44</v>
      </c>
      <c r="E224" s="53" t="s">
        <v>25</v>
      </c>
      <c r="F224" s="53" t="s">
        <v>25</v>
      </c>
      <c r="G224" s="53" t="s">
        <v>25</v>
      </c>
      <c r="H224" s="53" t="s">
        <v>35</v>
      </c>
      <c r="I224" s="75">
        <v>44621</v>
      </c>
      <c r="J224" s="76">
        <f>EFEITO!$J$224*EFEITO!$Y$224</f>
        <v>0</v>
      </c>
      <c r="K224" s="76">
        <f ca="1">EFEITO!$L$224*EFEITO!$Z$224</f>
        <v>11386.919053888885</v>
      </c>
      <c r="L224" s="76">
        <f>EFEITO!$N$224*EFEITO!$AA$224</f>
        <v>13528.212050130254</v>
      </c>
      <c r="M224" s="76">
        <f>$J$224-EFEITO!$K$224*EFEITO!$Y$224</f>
        <v>0</v>
      </c>
      <c r="N224" s="76">
        <f ca="1">$K$224-EFEITO!$M$224*EFEITO!$Z$224</f>
        <v>0</v>
      </c>
      <c r="O224" s="76">
        <f>$L$224-EFEITO!$O$224*EFEITO!$AA$224</f>
        <v>0</v>
      </c>
      <c r="P224" s="57"/>
      <c r="Q224" s="57"/>
      <c r="R224" s="57"/>
      <c r="S224" s="57"/>
      <c r="T224" s="57"/>
      <c r="U224" s="57"/>
      <c r="V224" s="57"/>
      <c r="W224" s="5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21</v>
      </c>
      <c r="B225" s="53" t="s">
        <v>41</v>
      </c>
      <c r="C225" s="53" t="s">
        <v>43</v>
      </c>
      <c r="D225" s="53" t="s">
        <v>44</v>
      </c>
      <c r="E225" s="53" t="s">
        <v>25</v>
      </c>
      <c r="F225" s="53" t="s">
        <v>25</v>
      </c>
      <c r="G225" s="53" t="s">
        <v>25</v>
      </c>
      <c r="H225" s="53" t="s">
        <v>35</v>
      </c>
      <c r="I225" s="75">
        <v>44652</v>
      </c>
      <c r="J225" s="76">
        <f>EFEITO!$J$225*EFEITO!$Y$225</f>
        <v>0</v>
      </c>
      <c r="K225" s="76">
        <f ca="1">EFEITO!$L$225*EFEITO!$Z$225</f>
        <v>1162619.3890585438</v>
      </c>
      <c r="L225" s="76">
        <f>EFEITO!$N$225*EFEITO!$AA$225</f>
        <v>1381248.2159873922</v>
      </c>
      <c r="M225" s="76">
        <f>$J$225-EFEITO!$K$225*EFEITO!$Y$225</f>
        <v>0</v>
      </c>
      <c r="N225" s="76">
        <f ca="1">$K$225-EFEITO!$M$225*EFEITO!$Z$225</f>
        <v>0</v>
      </c>
      <c r="O225" s="76">
        <f>$L$225-EFEITO!$O$225*EFEITO!$AA$225</f>
        <v>0</v>
      </c>
      <c r="P225" s="57"/>
      <c r="Q225" s="57"/>
      <c r="R225" s="57"/>
      <c r="S225" s="57"/>
      <c r="T225" s="57"/>
      <c r="U225" s="57"/>
      <c r="V225" s="57"/>
      <c r="W225" s="5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28</v>
      </c>
      <c r="B226" s="53" t="s">
        <v>41</v>
      </c>
      <c r="C226" s="53" t="s">
        <v>43</v>
      </c>
      <c r="D226" s="53" t="s">
        <v>44</v>
      </c>
      <c r="E226" s="53" t="s">
        <v>25</v>
      </c>
      <c r="F226" s="53" t="s">
        <v>25</v>
      </c>
      <c r="G226" s="53" t="s">
        <v>25</v>
      </c>
      <c r="H226" s="53" t="s">
        <v>35</v>
      </c>
      <c r="I226" s="75">
        <v>44652</v>
      </c>
      <c r="J226" s="76">
        <f>EFEITO!$J$226*EFEITO!$Y$226</f>
        <v>0</v>
      </c>
      <c r="K226" s="76">
        <f ca="1">EFEITO!$L$226*EFEITO!$Z$226</f>
        <v>13351.038279341334</v>
      </c>
      <c r="L226" s="76">
        <f>EFEITO!$N$226*EFEITO!$AA$226</f>
        <v>15861.680940873246</v>
      </c>
      <c r="M226" s="76">
        <f>$J$226-EFEITO!$K$226*EFEITO!$Y$226</f>
        <v>0</v>
      </c>
      <c r="N226" s="76">
        <f ca="1">$K$226-EFEITO!$M$226*EFEITO!$Z$226</f>
        <v>0</v>
      </c>
      <c r="O226" s="76">
        <f>$L$226-EFEITO!$O$226*EFEITO!$AA$226</f>
        <v>0</v>
      </c>
      <c r="P226" s="57"/>
      <c r="Q226" s="57"/>
      <c r="R226" s="57"/>
      <c r="S226" s="57"/>
      <c r="T226" s="57"/>
      <c r="U226" s="57"/>
      <c r="V226" s="57"/>
      <c r="W226" s="5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21</v>
      </c>
      <c r="B227" s="53" t="s">
        <v>41</v>
      </c>
      <c r="C227" s="53" t="s">
        <v>43</v>
      </c>
      <c r="D227" s="53" t="s">
        <v>44</v>
      </c>
      <c r="E227" s="53" t="s">
        <v>25</v>
      </c>
      <c r="F227" s="53" t="s">
        <v>25</v>
      </c>
      <c r="G227" s="53" t="s">
        <v>25</v>
      </c>
      <c r="H227" s="53" t="s">
        <v>35</v>
      </c>
      <c r="I227" s="75">
        <v>44682</v>
      </c>
      <c r="J227" s="76">
        <f>EFEITO!$J$227*EFEITO!$Y$227</f>
        <v>0</v>
      </c>
      <c r="K227" s="76">
        <f ca="1">EFEITO!$L$227*EFEITO!$Z$227</f>
        <v>1242102.4287299532</v>
      </c>
      <c r="L227" s="76">
        <f>EFEITO!$N$227*EFEITO!$AA$227</f>
        <v>1475677.9216852223</v>
      </c>
      <c r="M227" s="76">
        <f>$J$227-EFEITO!$K$227*EFEITO!$Y$227</f>
        <v>0</v>
      </c>
      <c r="N227" s="76">
        <f ca="1">$K$227-EFEITO!$M$227*EFEITO!$Z$227</f>
        <v>0</v>
      </c>
      <c r="O227" s="76">
        <f>$L$227-EFEITO!$O$227*EFEITO!$AA$227</f>
        <v>0</v>
      </c>
      <c r="P227" s="57"/>
      <c r="Q227" s="57"/>
      <c r="R227" s="57"/>
      <c r="S227" s="57"/>
      <c r="T227" s="57"/>
      <c r="U227" s="57"/>
      <c r="V227" s="57"/>
      <c r="W227" s="5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28</v>
      </c>
      <c r="B228" s="53" t="s">
        <v>41</v>
      </c>
      <c r="C228" s="53" t="s">
        <v>43</v>
      </c>
      <c r="D228" s="53" t="s">
        <v>44</v>
      </c>
      <c r="E228" s="53" t="s">
        <v>25</v>
      </c>
      <c r="F228" s="53" t="s">
        <v>25</v>
      </c>
      <c r="G228" s="53" t="s">
        <v>25</v>
      </c>
      <c r="H228" s="53" t="s">
        <v>35</v>
      </c>
      <c r="I228" s="75">
        <v>44682</v>
      </c>
      <c r="J228" s="76">
        <f>EFEITO!$J$228*EFEITO!$Y$228</f>
        <v>0</v>
      </c>
      <c r="K228" s="76">
        <f ca="1">EFEITO!$L$228*EFEITO!$Z$228</f>
        <v>16041.607588826506</v>
      </c>
      <c r="L228" s="76">
        <f>EFEITO!$N$228*EFEITO!$AA$228</f>
        <v>19058.207760992951</v>
      </c>
      <c r="M228" s="76">
        <f>$J$228-EFEITO!$K$228*EFEITO!$Y$228</f>
        <v>0</v>
      </c>
      <c r="N228" s="76">
        <f ca="1">$K$228-EFEITO!$M$228*EFEITO!$Z$228</f>
        <v>0</v>
      </c>
      <c r="O228" s="76">
        <f>$L$228-EFEITO!$O$228*EFEITO!$AA$228</f>
        <v>0</v>
      </c>
      <c r="P228" s="57"/>
      <c r="Q228" s="57"/>
      <c r="R228" s="57"/>
      <c r="S228" s="57"/>
      <c r="T228" s="57"/>
      <c r="U228" s="57"/>
      <c r="V228" s="57"/>
      <c r="W228" s="5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21</v>
      </c>
      <c r="B229" s="53" t="s">
        <v>41</v>
      </c>
      <c r="C229" s="53" t="s">
        <v>43</v>
      </c>
      <c r="D229" s="53" t="s">
        <v>44</v>
      </c>
      <c r="E229" s="53" t="s">
        <v>25</v>
      </c>
      <c r="F229" s="53" t="s">
        <v>25</v>
      </c>
      <c r="G229" s="53" t="s">
        <v>25</v>
      </c>
      <c r="H229" s="53" t="s">
        <v>35</v>
      </c>
      <c r="I229" s="75">
        <v>44713</v>
      </c>
      <c r="J229" s="76">
        <f>EFEITO!$J$229*EFEITO!$Y$229</f>
        <v>0</v>
      </c>
      <c r="K229" s="76">
        <f ca="1">EFEITO!$L$229*EFEITO!$Z$229</f>
        <v>1231686.0455365207</v>
      </c>
      <c r="L229" s="76">
        <f>EFEITO!$N$229*EFEITO!$AA$229</f>
        <v>1463302.7533039171</v>
      </c>
      <c r="M229" s="76">
        <f>$J$229-EFEITO!$K$229*EFEITO!$Y$229</f>
        <v>0</v>
      </c>
      <c r="N229" s="76">
        <f ca="1">$K$229-EFEITO!$M$229*EFEITO!$Z$229</f>
        <v>0</v>
      </c>
      <c r="O229" s="76">
        <f>$L$229-EFEITO!$O$229*EFEITO!$AA$229</f>
        <v>0</v>
      </c>
      <c r="P229" s="57"/>
      <c r="Q229" s="57"/>
      <c r="R229" s="57"/>
      <c r="S229" s="57"/>
      <c r="T229" s="57"/>
      <c r="U229" s="57"/>
      <c r="V229" s="57"/>
      <c r="W229" s="5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27</v>
      </c>
      <c r="B230" s="53" t="s">
        <v>41</v>
      </c>
      <c r="C230" s="53" t="s">
        <v>43</v>
      </c>
      <c r="D230" s="53" t="s">
        <v>44</v>
      </c>
      <c r="E230" s="53" t="s">
        <v>25</v>
      </c>
      <c r="F230" s="53" t="s">
        <v>25</v>
      </c>
      <c r="G230" s="53" t="s">
        <v>25</v>
      </c>
      <c r="H230" s="53" t="s">
        <v>35</v>
      </c>
      <c r="I230" s="75">
        <v>44713</v>
      </c>
      <c r="J230" s="76">
        <f>EFEITO!$J$230*EFEITO!$Y$230</f>
        <v>0</v>
      </c>
      <c r="K230" s="76">
        <f ca="1">EFEITO!$L$230*EFEITO!$Z$230</f>
        <v>-932.24433716614919</v>
      </c>
      <c r="L230" s="76">
        <f>EFEITO!$N$230*EFEITO!$AA$230</f>
        <v>-1107.5514821904044</v>
      </c>
      <c r="M230" s="76">
        <f>$J$230-EFEITO!$K$230*EFEITO!$Y$230</f>
        <v>0</v>
      </c>
      <c r="N230" s="76">
        <f ca="1">$K$230-EFEITO!$M$230*EFEITO!$Z$230</f>
        <v>0</v>
      </c>
      <c r="O230" s="76">
        <f>$L$230-EFEITO!$O$230*EFEITO!$AA$230</f>
        <v>0</v>
      </c>
      <c r="P230" s="57"/>
      <c r="Q230" s="57"/>
      <c r="R230" s="57"/>
      <c r="S230" s="57"/>
      <c r="T230" s="57"/>
      <c r="U230" s="57"/>
      <c r="V230" s="57"/>
      <c r="W230" s="5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28</v>
      </c>
      <c r="B231" s="53" t="s">
        <v>41</v>
      </c>
      <c r="C231" s="53" t="s">
        <v>43</v>
      </c>
      <c r="D231" s="53" t="s">
        <v>44</v>
      </c>
      <c r="E231" s="53" t="s">
        <v>25</v>
      </c>
      <c r="F231" s="53" t="s">
        <v>25</v>
      </c>
      <c r="G231" s="53" t="s">
        <v>25</v>
      </c>
      <c r="H231" s="53" t="s">
        <v>35</v>
      </c>
      <c r="I231" s="75">
        <v>44713</v>
      </c>
      <c r="J231" s="76">
        <f>EFEITO!$J$231*EFEITO!$Y$231</f>
        <v>0</v>
      </c>
      <c r="K231" s="76">
        <f ca="1">EFEITO!$L$231*EFEITO!$Z$231</f>
        <v>10356.133024084773</v>
      </c>
      <c r="L231" s="76">
        <f>EFEITO!$N$231*EFEITO!$AA$231</f>
        <v>12303.58825825922</v>
      </c>
      <c r="M231" s="76">
        <f>$J$231-EFEITO!$K$231*EFEITO!$Y$231</f>
        <v>0</v>
      </c>
      <c r="N231" s="76">
        <f ca="1">$K$231-EFEITO!$M$231*EFEITO!$Z$231</f>
        <v>0</v>
      </c>
      <c r="O231" s="76">
        <f>$L$231-EFEITO!$O$231*EFEITO!$AA$231</f>
        <v>0</v>
      </c>
      <c r="P231" s="57"/>
      <c r="Q231" s="57"/>
      <c r="R231" s="57"/>
      <c r="S231" s="57"/>
      <c r="T231" s="57"/>
      <c r="U231" s="57"/>
      <c r="V231" s="57"/>
      <c r="W231" s="5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21</v>
      </c>
      <c r="B232" s="53" t="s">
        <v>41</v>
      </c>
      <c r="C232" s="53" t="s">
        <v>43</v>
      </c>
      <c r="D232" s="53" t="s">
        <v>44</v>
      </c>
      <c r="E232" s="53" t="s">
        <v>25</v>
      </c>
      <c r="F232" s="53" t="s">
        <v>25</v>
      </c>
      <c r="G232" s="53" t="s">
        <v>25</v>
      </c>
      <c r="H232" s="53" t="s">
        <v>35</v>
      </c>
      <c r="I232" s="75">
        <v>44743</v>
      </c>
      <c r="J232" s="76">
        <f>EFEITO!$J$232*EFEITO!$Y$232</f>
        <v>0</v>
      </c>
      <c r="K232" s="76">
        <f ca="1">EFEITO!$L$232*EFEITO!$Z$232</f>
        <v>1374969.8405896348</v>
      </c>
      <c r="L232" s="76">
        <f>EFEITO!$N$232*EFEITO!$AA$232</f>
        <v>1633530.8504434973</v>
      </c>
      <c r="M232" s="76">
        <f>$J$232-EFEITO!$K$232*EFEITO!$Y$232</f>
        <v>0</v>
      </c>
      <c r="N232" s="76">
        <f ca="1">$K$232-EFEITO!$M$232*EFEITO!$Z$232</f>
        <v>0</v>
      </c>
      <c r="O232" s="76">
        <f>$L$232-EFEITO!$O$232*EFEITO!$AA$232</f>
        <v>0</v>
      </c>
      <c r="P232" s="57"/>
      <c r="Q232" s="57"/>
      <c r="R232" s="57"/>
      <c r="S232" s="57"/>
      <c r="T232" s="57"/>
      <c r="U232" s="57"/>
      <c r="V232" s="57"/>
      <c r="W232" s="5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28</v>
      </c>
      <c r="B233" s="53" t="s">
        <v>41</v>
      </c>
      <c r="C233" s="53" t="s">
        <v>43</v>
      </c>
      <c r="D233" s="53" t="s">
        <v>44</v>
      </c>
      <c r="E233" s="53" t="s">
        <v>25</v>
      </c>
      <c r="F233" s="53" t="s">
        <v>25</v>
      </c>
      <c r="G233" s="53" t="s">
        <v>25</v>
      </c>
      <c r="H233" s="53" t="s">
        <v>35</v>
      </c>
      <c r="I233" s="75">
        <v>44743</v>
      </c>
      <c r="J233" s="76">
        <f>EFEITO!$J$233*EFEITO!$Y$233</f>
        <v>0</v>
      </c>
      <c r="K233" s="76">
        <f ca="1">EFEITO!$L$233*EFEITO!$Z$233</f>
        <v>9673.6002321669421</v>
      </c>
      <c r="L233" s="76">
        <f>EFEITO!$N$233*EFEITO!$AA$233</f>
        <v>11492.706201705179</v>
      </c>
      <c r="M233" s="76">
        <f>$J$233-EFEITO!$K$233*EFEITO!$Y$233</f>
        <v>0</v>
      </c>
      <c r="N233" s="76">
        <f ca="1">$K$233-EFEITO!$M$233*EFEITO!$Z$233</f>
        <v>0</v>
      </c>
      <c r="O233" s="76">
        <f>$L$233-EFEITO!$O$233*EFEITO!$AA$233</f>
        <v>0</v>
      </c>
      <c r="P233" s="57"/>
      <c r="Q233" s="57"/>
      <c r="R233" s="57"/>
      <c r="S233" s="57"/>
      <c r="T233" s="57"/>
      <c r="U233" s="57"/>
      <c r="V233" s="57"/>
      <c r="W233" s="5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21</v>
      </c>
      <c r="B234" s="53" t="s">
        <v>41</v>
      </c>
      <c r="C234" s="53" t="s">
        <v>43</v>
      </c>
      <c r="D234" s="53" t="s">
        <v>44</v>
      </c>
      <c r="E234" s="53" t="s">
        <v>25</v>
      </c>
      <c r="F234" s="53" t="s">
        <v>25</v>
      </c>
      <c r="G234" s="53" t="s">
        <v>25</v>
      </c>
      <c r="H234" s="53" t="s">
        <v>35</v>
      </c>
      <c r="I234" s="75">
        <v>44774</v>
      </c>
      <c r="J234" s="76">
        <f>EFEITO!$J$234*EFEITO!$Y$234</f>
        <v>0</v>
      </c>
      <c r="K234" s="76">
        <f ca="1">EFEITO!$L$234*EFEITO!$Z$234</f>
        <v>1404965.1696276935</v>
      </c>
      <c r="L234" s="76">
        <f>EFEITO!$N$234*EFEITO!$AA$234</f>
        <v>1669166.7559786034</v>
      </c>
      <c r="M234" s="76">
        <f>$J$234-EFEITO!$K$234*EFEITO!$Y$234</f>
        <v>0</v>
      </c>
      <c r="N234" s="76">
        <f ca="1">$K$234-EFEITO!$M$234*EFEITO!$Z$234</f>
        <v>0</v>
      </c>
      <c r="O234" s="76">
        <f>$L$234-EFEITO!$O$234*EFEITO!$AA$234</f>
        <v>0</v>
      </c>
      <c r="P234" s="57"/>
      <c r="Q234" s="57"/>
      <c r="R234" s="57"/>
      <c r="S234" s="57"/>
      <c r="T234" s="57"/>
      <c r="U234" s="57"/>
      <c r="V234" s="57"/>
      <c r="W234" s="5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27</v>
      </c>
      <c r="B235" s="53" t="s">
        <v>41</v>
      </c>
      <c r="C235" s="53" t="s">
        <v>43</v>
      </c>
      <c r="D235" s="53" t="s">
        <v>44</v>
      </c>
      <c r="E235" s="53" t="s">
        <v>25</v>
      </c>
      <c r="F235" s="53" t="s">
        <v>25</v>
      </c>
      <c r="G235" s="53" t="s">
        <v>25</v>
      </c>
      <c r="H235" s="53" t="s">
        <v>35</v>
      </c>
      <c r="I235" s="75">
        <v>44774</v>
      </c>
      <c r="J235" s="76">
        <f>EFEITO!$J$235*EFEITO!$Y$235</f>
        <v>0</v>
      </c>
      <c r="K235" s="76">
        <f ca="1">EFEITO!$L$235*EFEITO!$Z$235</f>
        <v>-120187.65483460888</v>
      </c>
      <c r="L235" s="76">
        <f>EFEITO!$N$235*EFEITO!$AA$235</f>
        <v>-142788.76250157962</v>
      </c>
      <c r="M235" s="76">
        <f>$J$235-EFEITO!$K$235*EFEITO!$Y$235</f>
        <v>0</v>
      </c>
      <c r="N235" s="76">
        <f ca="1">$K$235-EFEITO!$M$235*EFEITO!$Z$235</f>
        <v>0</v>
      </c>
      <c r="O235" s="76">
        <f>$L$235-EFEITO!$O$235*EFEITO!$AA$235</f>
        <v>0</v>
      </c>
      <c r="P235" s="57"/>
      <c r="Q235" s="57"/>
      <c r="R235" s="57"/>
      <c r="S235" s="57"/>
      <c r="T235" s="57"/>
      <c r="U235" s="57"/>
      <c r="V235" s="57"/>
      <c r="W235" s="5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28</v>
      </c>
      <c r="B236" s="53" t="s">
        <v>41</v>
      </c>
      <c r="C236" s="53" t="s">
        <v>43</v>
      </c>
      <c r="D236" s="53" t="s">
        <v>44</v>
      </c>
      <c r="E236" s="53" t="s">
        <v>25</v>
      </c>
      <c r="F236" s="53" t="s">
        <v>25</v>
      </c>
      <c r="G236" s="53" t="s">
        <v>25</v>
      </c>
      <c r="H236" s="53" t="s">
        <v>35</v>
      </c>
      <c r="I236" s="75">
        <v>44774</v>
      </c>
      <c r="J236" s="76">
        <f>EFEITO!$J$236*EFEITO!$Y$236</f>
        <v>0</v>
      </c>
      <c r="K236" s="76">
        <f ca="1">EFEITO!$L$236*EFEITO!$Z$236</f>
        <v>8641.725343880642</v>
      </c>
      <c r="L236" s="76">
        <f>EFEITO!$N$236*EFEITO!$AA$236</f>
        <v>10266.788793152593</v>
      </c>
      <c r="M236" s="76">
        <f>$J$236-EFEITO!$K$236*EFEITO!$Y$236</f>
        <v>0</v>
      </c>
      <c r="N236" s="76">
        <f ca="1">$K$236-EFEITO!$M$236*EFEITO!$Z$236</f>
        <v>0</v>
      </c>
      <c r="O236" s="76">
        <f>$L$236-EFEITO!$O$236*EFEITO!$AA$236</f>
        <v>0</v>
      </c>
      <c r="P236" s="57"/>
      <c r="Q236" s="57"/>
      <c r="R236" s="57"/>
      <c r="S236" s="57"/>
      <c r="T236" s="57"/>
      <c r="U236" s="57"/>
      <c r="V236" s="57"/>
      <c r="W236" s="5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21</v>
      </c>
      <c r="B237" s="53" t="s">
        <v>41</v>
      </c>
      <c r="C237" s="53" t="s">
        <v>43</v>
      </c>
      <c r="D237" s="53" t="s">
        <v>44</v>
      </c>
      <c r="E237" s="53" t="s">
        <v>25</v>
      </c>
      <c r="F237" s="53" t="s">
        <v>25</v>
      </c>
      <c r="G237" s="53" t="s">
        <v>25</v>
      </c>
      <c r="H237" s="53" t="s">
        <v>35</v>
      </c>
      <c r="I237" s="75">
        <v>44805</v>
      </c>
      <c r="J237" s="76">
        <f>EFEITO!$J$237*EFEITO!$Y$237</f>
        <v>0</v>
      </c>
      <c r="K237" s="76">
        <f ca="1">EFEITO!$L$237*EFEITO!$Z$237</f>
        <v>1408077.4901226126</v>
      </c>
      <c r="L237" s="76">
        <f>EFEITO!$N$237*EFEITO!$AA$237</f>
        <v>1672864.3436600452</v>
      </c>
      <c r="M237" s="76">
        <f>$J$237-EFEITO!$K$237*EFEITO!$Y$237</f>
        <v>0</v>
      </c>
      <c r="N237" s="76">
        <f ca="1">$K$237-EFEITO!$M$237*EFEITO!$Z$237</f>
        <v>0</v>
      </c>
      <c r="O237" s="76">
        <f>$L$237-EFEITO!$O$237*EFEITO!$AA$237</f>
        <v>0</v>
      </c>
      <c r="P237" s="57"/>
      <c r="Q237" s="57"/>
      <c r="R237" s="57"/>
      <c r="S237" s="57"/>
      <c r="T237" s="57"/>
      <c r="U237" s="57"/>
      <c r="V237" s="57"/>
      <c r="W237" s="5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27</v>
      </c>
      <c r="B238" s="53" t="s">
        <v>41</v>
      </c>
      <c r="C238" s="53" t="s">
        <v>43</v>
      </c>
      <c r="D238" s="53" t="s">
        <v>44</v>
      </c>
      <c r="E238" s="53" t="s">
        <v>25</v>
      </c>
      <c r="F238" s="53" t="s">
        <v>25</v>
      </c>
      <c r="G238" s="53" t="s">
        <v>25</v>
      </c>
      <c r="H238" s="53" t="s">
        <v>35</v>
      </c>
      <c r="I238" s="75">
        <v>44805</v>
      </c>
      <c r="J238" s="76">
        <f>EFEITO!$J$238*EFEITO!$Y$238</f>
        <v>0</v>
      </c>
      <c r="K238" s="76">
        <f ca="1">EFEITO!$L$238*EFEITO!$Z$238</f>
        <v>19273.15808754514</v>
      </c>
      <c r="L238" s="76">
        <f>EFEITO!$N$238*EFEITO!$AA$238</f>
        <v>22897.446469064693</v>
      </c>
      <c r="M238" s="76">
        <f>$J$238-EFEITO!$K$238*EFEITO!$Y$238</f>
        <v>0</v>
      </c>
      <c r="N238" s="76">
        <f ca="1">$K$238-EFEITO!$M$238*EFEITO!$Z$238</f>
        <v>0</v>
      </c>
      <c r="O238" s="76">
        <f>$L$238-EFEITO!$O$238*EFEITO!$AA$238</f>
        <v>0</v>
      </c>
      <c r="P238" s="57"/>
      <c r="Q238" s="57"/>
      <c r="R238" s="57"/>
      <c r="S238" s="57"/>
      <c r="T238" s="57"/>
      <c r="U238" s="57"/>
      <c r="V238" s="57"/>
      <c r="W238" s="5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28</v>
      </c>
      <c r="B239" s="53" t="s">
        <v>41</v>
      </c>
      <c r="C239" s="53" t="s">
        <v>43</v>
      </c>
      <c r="D239" s="53" t="s">
        <v>44</v>
      </c>
      <c r="E239" s="53" t="s">
        <v>25</v>
      </c>
      <c r="F239" s="53" t="s">
        <v>25</v>
      </c>
      <c r="G239" s="53" t="s">
        <v>25</v>
      </c>
      <c r="H239" s="53" t="s">
        <v>35</v>
      </c>
      <c r="I239" s="75">
        <v>44805</v>
      </c>
      <c r="J239" s="76">
        <f>EFEITO!$J$239*EFEITO!$Y$239</f>
        <v>0</v>
      </c>
      <c r="K239" s="76">
        <f ca="1">EFEITO!$L$239*EFEITO!$Z$239</f>
        <v>6854.0011925425588</v>
      </c>
      <c r="L239" s="76">
        <f>EFEITO!$N$239*EFEITO!$AA$239</f>
        <v>8142.8858048213342</v>
      </c>
      <c r="M239" s="76">
        <f>$J$239-EFEITO!$K$239*EFEITO!$Y$239</f>
        <v>0</v>
      </c>
      <c r="N239" s="76">
        <f ca="1">$K$239-EFEITO!$M$239*EFEITO!$Z$239</f>
        <v>0</v>
      </c>
      <c r="O239" s="76">
        <f>$L$239-EFEITO!$O$239*EFEITO!$AA$239</f>
        <v>0</v>
      </c>
      <c r="P239" s="57"/>
      <c r="Q239" s="57"/>
      <c r="R239" s="57"/>
      <c r="S239" s="57"/>
      <c r="T239" s="57"/>
      <c r="U239" s="57"/>
      <c r="V239" s="57"/>
      <c r="W239" s="5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21</v>
      </c>
      <c r="B240" s="53" t="s">
        <v>41</v>
      </c>
      <c r="C240" s="53" t="s">
        <v>43</v>
      </c>
      <c r="D240" s="53" t="s">
        <v>44</v>
      </c>
      <c r="E240" s="53" t="s">
        <v>25</v>
      </c>
      <c r="F240" s="53" t="s">
        <v>25</v>
      </c>
      <c r="G240" s="53" t="s">
        <v>25</v>
      </c>
      <c r="H240" s="53" t="s">
        <v>35</v>
      </c>
      <c r="I240" s="75">
        <v>44835</v>
      </c>
      <c r="J240" s="76">
        <f>EFEITO!$J$240*EFEITO!$Y$240</f>
        <v>0</v>
      </c>
      <c r="K240" s="76">
        <f ca="1">EFEITO!$L$240*EFEITO!$Z$240</f>
        <v>1472567.4929235419</v>
      </c>
      <c r="L240" s="76">
        <f>EFEITO!$N$240*EFEITO!$AA$240</f>
        <v>1749481.5944612187</v>
      </c>
      <c r="M240" s="76">
        <f>$J$240-EFEITO!$K$240*EFEITO!$Y$240</f>
        <v>0</v>
      </c>
      <c r="N240" s="76">
        <f ca="1">$K$240-EFEITO!$M$240*EFEITO!$Z$240</f>
        <v>0</v>
      </c>
      <c r="O240" s="76">
        <f>$L$240-EFEITO!$O$240*EFEITO!$AA$240</f>
        <v>0</v>
      </c>
      <c r="P240" s="57"/>
      <c r="Q240" s="57"/>
      <c r="R240" s="57"/>
      <c r="S240" s="57"/>
      <c r="T240" s="57"/>
      <c r="U240" s="57"/>
      <c r="V240" s="57"/>
      <c r="W240" s="5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27</v>
      </c>
      <c r="B241" s="53" t="s">
        <v>41</v>
      </c>
      <c r="C241" s="53" t="s">
        <v>43</v>
      </c>
      <c r="D241" s="53" t="s">
        <v>44</v>
      </c>
      <c r="E241" s="53" t="s">
        <v>25</v>
      </c>
      <c r="F241" s="53" t="s">
        <v>25</v>
      </c>
      <c r="G241" s="53" t="s">
        <v>25</v>
      </c>
      <c r="H241" s="53" t="s">
        <v>35</v>
      </c>
      <c r="I241" s="75">
        <v>44835</v>
      </c>
      <c r="J241" s="76">
        <f>EFEITO!$J$241*EFEITO!$Y$241</f>
        <v>0</v>
      </c>
      <c r="K241" s="76">
        <f ca="1">EFEITO!$L$241*EFEITO!$Z$241</f>
        <v>2186.9722614734796</v>
      </c>
      <c r="L241" s="76">
        <f>EFEITO!$N$241*EFEITO!$AA$241</f>
        <v>2598.2291049010246</v>
      </c>
      <c r="M241" s="76">
        <f>$J$241-EFEITO!$K$241*EFEITO!$Y$241</f>
        <v>0</v>
      </c>
      <c r="N241" s="76">
        <f ca="1">$K$241-EFEITO!$M$241*EFEITO!$Z$241</f>
        <v>0</v>
      </c>
      <c r="O241" s="76">
        <f>$L$241-EFEITO!$O$241*EFEITO!$AA$241</f>
        <v>0</v>
      </c>
      <c r="P241" s="57"/>
      <c r="Q241" s="57"/>
      <c r="R241" s="57"/>
      <c r="S241" s="57"/>
      <c r="T241" s="57"/>
      <c r="U241" s="57"/>
      <c r="V241" s="57"/>
      <c r="W241" s="5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28</v>
      </c>
      <c r="B242" s="53" t="s">
        <v>41</v>
      </c>
      <c r="C242" s="53" t="s">
        <v>43</v>
      </c>
      <c r="D242" s="53" t="s">
        <v>44</v>
      </c>
      <c r="E242" s="53" t="s">
        <v>25</v>
      </c>
      <c r="F242" s="53" t="s">
        <v>25</v>
      </c>
      <c r="G242" s="53" t="s">
        <v>25</v>
      </c>
      <c r="H242" s="53" t="s">
        <v>35</v>
      </c>
      <c r="I242" s="75">
        <v>44835</v>
      </c>
      <c r="J242" s="76">
        <f>EFEITO!$J$242*EFEITO!$Y$242</f>
        <v>0</v>
      </c>
      <c r="K242" s="76">
        <f ca="1">EFEITO!$L$242*EFEITO!$Z$242</f>
        <v>18028.955795232287</v>
      </c>
      <c r="L242" s="76">
        <f>EFEITO!$N$242*EFEITO!$AA$242</f>
        <v>21419.273807609094</v>
      </c>
      <c r="M242" s="76">
        <f>$J$242-EFEITO!$K$242*EFEITO!$Y$242</f>
        <v>0</v>
      </c>
      <c r="N242" s="76">
        <f ca="1">$K$242-EFEITO!$M$242*EFEITO!$Z$242</f>
        <v>0</v>
      </c>
      <c r="O242" s="76">
        <f>$L$242-EFEITO!$O$242*EFEITO!$AA$242</f>
        <v>0</v>
      </c>
      <c r="P242" s="57"/>
      <c r="Q242" s="57"/>
      <c r="R242" s="57"/>
      <c r="S242" s="57"/>
      <c r="T242" s="57"/>
      <c r="U242" s="57"/>
      <c r="V242" s="57"/>
      <c r="W242" s="5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54</v>
      </c>
      <c r="B243" s="53" t="s">
        <v>41</v>
      </c>
      <c r="C243" s="53" t="s">
        <v>43</v>
      </c>
      <c r="D243" s="53" t="s">
        <v>44</v>
      </c>
      <c r="E243" s="53" t="s">
        <v>25</v>
      </c>
      <c r="F243" s="53" t="s">
        <v>25</v>
      </c>
      <c r="G243" s="53" t="s">
        <v>25</v>
      </c>
      <c r="H243" s="53" t="s">
        <v>35</v>
      </c>
      <c r="I243" s="75">
        <v>44866</v>
      </c>
      <c r="J243" s="76">
        <f>EFEITO!$J$243*EFEITO!$Y$243</f>
        <v>0</v>
      </c>
      <c r="K243" s="76">
        <f ca="1">EFEITO!$L$243*EFEITO!$Z$243</f>
        <v>1472567.4929235419</v>
      </c>
      <c r="L243" s="76">
        <f>EFEITO!$N$243*EFEITO!$AA$243</f>
        <v>1749481.5944612187</v>
      </c>
      <c r="M243" s="76">
        <f>$J$243-EFEITO!$K$243*EFEITO!$Y$243</f>
        <v>0</v>
      </c>
      <c r="N243" s="76">
        <f ca="1">$K$243-EFEITO!$M$243*EFEITO!$Z$243</f>
        <v>0</v>
      </c>
      <c r="O243" s="76">
        <f>$L$243-EFEITO!$O$243*EFEITO!$AA$243</f>
        <v>0</v>
      </c>
      <c r="P243" s="57"/>
      <c r="Q243" s="57"/>
      <c r="R243" s="57"/>
      <c r="S243" s="57"/>
      <c r="T243" s="57"/>
      <c r="U243" s="57"/>
      <c r="V243" s="57"/>
      <c r="W243" s="5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54</v>
      </c>
      <c r="B244" s="53" t="s">
        <v>41</v>
      </c>
      <c r="C244" s="53" t="s">
        <v>43</v>
      </c>
      <c r="D244" s="53" t="s">
        <v>44</v>
      </c>
      <c r="E244" s="53" t="s">
        <v>25</v>
      </c>
      <c r="F244" s="53" t="s">
        <v>25</v>
      </c>
      <c r="G244" s="53" t="s">
        <v>25</v>
      </c>
      <c r="H244" s="53" t="s">
        <v>35</v>
      </c>
      <c r="I244" s="75">
        <v>44866</v>
      </c>
      <c r="J244" s="76">
        <f>EFEITO!$J$244*EFEITO!$Y$244</f>
        <v>0</v>
      </c>
      <c r="K244" s="76">
        <f ca="1">EFEITO!$L$244*EFEITO!$Z$244</f>
        <v>2186.9722614734796</v>
      </c>
      <c r="L244" s="76">
        <f>EFEITO!$N$244*EFEITO!$AA$244</f>
        <v>2598.2291049010246</v>
      </c>
      <c r="M244" s="76">
        <f>$J$244-EFEITO!$K$244*EFEITO!$Y$244</f>
        <v>0</v>
      </c>
      <c r="N244" s="76">
        <f ca="1">$K$244-EFEITO!$M$244*EFEITO!$Z$244</f>
        <v>0</v>
      </c>
      <c r="O244" s="76">
        <f>$L$244-EFEITO!$O$244*EFEITO!$AA$244</f>
        <v>0</v>
      </c>
      <c r="P244" s="57"/>
      <c r="Q244" s="57"/>
      <c r="R244" s="57"/>
      <c r="S244" s="57"/>
      <c r="T244" s="57"/>
      <c r="U244" s="57"/>
      <c r="V244" s="57"/>
      <c r="W244" s="5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54</v>
      </c>
      <c r="B245" s="53" t="s">
        <v>41</v>
      </c>
      <c r="C245" s="53" t="s">
        <v>43</v>
      </c>
      <c r="D245" s="53" t="s">
        <v>44</v>
      </c>
      <c r="E245" s="53" t="s">
        <v>25</v>
      </c>
      <c r="F245" s="53" t="s">
        <v>25</v>
      </c>
      <c r="G245" s="53" t="s">
        <v>25</v>
      </c>
      <c r="H245" s="53" t="s">
        <v>35</v>
      </c>
      <c r="I245" s="75">
        <v>44866</v>
      </c>
      <c r="J245" s="76">
        <f>EFEITO!$J$245*EFEITO!$Y$245</f>
        <v>0</v>
      </c>
      <c r="K245" s="76">
        <f ca="1">EFEITO!$L$245*EFEITO!$Z$245</f>
        <v>18028.955795232287</v>
      </c>
      <c r="L245" s="76">
        <f>EFEITO!$N$245*EFEITO!$AA$245</f>
        <v>21419.273807609094</v>
      </c>
      <c r="M245" s="76">
        <f>$J$245-EFEITO!$K$245*EFEITO!$Y$245</f>
        <v>0</v>
      </c>
      <c r="N245" s="76">
        <f ca="1">$K$245-EFEITO!$M$245*EFEITO!$Z$245</f>
        <v>0</v>
      </c>
      <c r="O245" s="76">
        <f>$L$245-EFEITO!$O$245*EFEITO!$AA$245</f>
        <v>0</v>
      </c>
      <c r="P245" s="57"/>
      <c r="Q245" s="57"/>
      <c r="R245" s="57"/>
      <c r="S245" s="57"/>
      <c r="T245" s="57"/>
      <c r="U245" s="57"/>
      <c r="V245" s="57"/>
      <c r="W245" s="5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21</v>
      </c>
      <c r="B246" s="53" t="s">
        <v>41</v>
      </c>
      <c r="C246" s="53" t="s">
        <v>43</v>
      </c>
      <c r="D246" s="53" t="s">
        <v>44</v>
      </c>
      <c r="E246" s="53" t="s">
        <v>25</v>
      </c>
      <c r="F246" s="53" t="s">
        <v>25</v>
      </c>
      <c r="G246" s="53" t="s">
        <v>25</v>
      </c>
      <c r="H246" s="53" t="s">
        <v>25</v>
      </c>
      <c r="I246" s="75">
        <v>44531</v>
      </c>
      <c r="J246" s="76">
        <f ca="1">EFEITO!$J$246*EFEITO!$Y$246</f>
        <v>733449.5736541329</v>
      </c>
      <c r="K246" s="76">
        <f>EFEITO!$L$246*EFEITO!$Z$246</f>
        <v>0</v>
      </c>
      <c r="L246" s="76">
        <f>EFEITO!$N$246*EFEITO!$AA$246</f>
        <v>0</v>
      </c>
      <c r="M246" s="76">
        <f ca="1">$J$246-EFEITO!$K$246*EFEITO!$Y$246</f>
        <v>0</v>
      </c>
      <c r="N246" s="76">
        <f>$K$246-EFEITO!$M$246*EFEITO!$Z$246</f>
        <v>0</v>
      </c>
      <c r="O246" s="76">
        <f>$L$246-EFEITO!$O$246*EFEITO!$AA$246</f>
        <v>0</v>
      </c>
      <c r="P246" s="57"/>
      <c r="Q246" s="57"/>
      <c r="R246" s="57"/>
      <c r="S246" s="57"/>
      <c r="T246" s="57"/>
      <c r="U246" s="57"/>
      <c r="V246" s="57"/>
      <c r="W246" s="5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28</v>
      </c>
      <c r="B247" s="53" t="s">
        <v>41</v>
      </c>
      <c r="C247" s="53" t="s">
        <v>43</v>
      </c>
      <c r="D247" s="53" t="s">
        <v>44</v>
      </c>
      <c r="E247" s="53" t="s">
        <v>25</v>
      </c>
      <c r="F247" s="53" t="s">
        <v>25</v>
      </c>
      <c r="G247" s="53" t="s">
        <v>25</v>
      </c>
      <c r="H247" s="53" t="s">
        <v>25</v>
      </c>
      <c r="I247" s="75">
        <v>44531</v>
      </c>
      <c r="J247" s="76">
        <f ca="1">EFEITO!$J$247*EFEITO!$Y$247</f>
        <v>55283.120635108135</v>
      </c>
      <c r="K247" s="76">
        <f>EFEITO!$L$247*EFEITO!$Z$247</f>
        <v>0</v>
      </c>
      <c r="L247" s="76">
        <f>EFEITO!$N$247*EFEITO!$AA$247</f>
        <v>0</v>
      </c>
      <c r="M247" s="76">
        <f ca="1">$J$247-EFEITO!$K$247*EFEITO!$Y$247</f>
        <v>0</v>
      </c>
      <c r="N247" s="76">
        <f>$K$247-EFEITO!$M$247*EFEITO!$Z$247</f>
        <v>0</v>
      </c>
      <c r="O247" s="76">
        <f>$L$247-EFEITO!$O$247*EFEITO!$AA$247</f>
        <v>0</v>
      </c>
      <c r="P247" s="57"/>
      <c r="Q247" s="57"/>
      <c r="R247" s="57"/>
      <c r="S247" s="57"/>
      <c r="T247" s="57"/>
      <c r="U247" s="57"/>
      <c r="V247" s="57"/>
      <c r="W247" s="5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21</v>
      </c>
      <c r="B248" s="53" t="s">
        <v>41</v>
      </c>
      <c r="C248" s="53" t="s">
        <v>43</v>
      </c>
      <c r="D248" s="53" t="s">
        <v>44</v>
      </c>
      <c r="E248" s="53" t="s">
        <v>25</v>
      </c>
      <c r="F248" s="53" t="s">
        <v>25</v>
      </c>
      <c r="G248" s="53" t="s">
        <v>25</v>
      </c>
      <c r="H248" s="53" t="s">
        <v>25</v>
      </c>
      <c r="I248" s="75">
        <v>44562</v>
      </c>
      <c r="J248" s="76">
        <f ca="1">EFEITO!$J$248*EFEITO!$Y$248</f>
        <v>726393.50651289453</v>
      </c>
      <c r="K248" s="76">
        <f>EFEITO!$L$248*EFEITO!$Z$248</f>
        <v>0</v>
      </c>
      <c r="L248" s="76">
        <f>EFEITO!$N$248*EFEITO!$AA$248</f>
        <v>0</v>
      </c>
      <c r="M248" s="76">
        <f ca="1">$J$248-EFEITO!$K$248*EFEITO!$Y$248</f>
        <v>0</v>
      </c>
      <c r="N248" s="76">
        <f>$K$248-EFEITO!$M$248*EFEITO!$Z$248</f>
        <v>0</v>
      </c>
      <c r="O248" s="76">
        <f>$L$248-EFEITO!$O$248*EFEITO!$AA$248</f>
        <v>0</v>
      </c>
      <c r="P248" s="57"/>
      <c r="Q248" s="57"/>
      <c r="R248" s="57"/>
      <c r="S248" s="57"/>
      <c r="T248" s="57"/>
      <c r="U248" s="57"/>
      <c r="V248" s="57"/>
      <c r="W248" s="5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27</v>
      </c>
      <c r="B249" s="53" t="s">
        <v>41</v>
      </c>
      <c r="C249" s="53" t="s">
        <v>43</v>
      </c>
      <c r="D249" s="53" t="s">
        <v>44</v>
      </c>
      <c r="E249" s="53" t="s">
        <v>25</v>
      </c>
      <c r="F249" s="53" t="s">
        <v>25</v>
      </c>
      <c r="G249" s="53" t="s">
        <v>25</v>
      </c>
      <c r="H249" s="53" t="s">
        <v>25</v>
      </c>
      <c r="I249" s="75">
        <v>44562</v>
      </c>
      <c r="J249" s="76">
        <f ca="1">EFEITO!$J$249*EFEITO!$Y$249</f>
        <v>-179198.67811847813</v>
      </c>
      <c r="K249" s="76">
        <f>EFEITO!$L$249*EFEITO!$Z$249</f>
        <v>0</v>
      </c>
      <c r="L249" s="76">
        <f>EFEITO!$N$249*EFEITO!$AA$249</f>
        <v>0</v>
      </c>
      <c r="M249" s="76">
        <f ca="1">$J$249-EFEITO!$K$249*EFEITO!$Y$249</f>
        <v>0</v>
      </c>
      <c r="N249" s="76">
        <f>$K$249-EFEITO!$M$249*EFEITO!$Z$249</f>
        <v>0</v>
      </c>
      <c r="O249" s="76">
        <f>$L$249-EFEITO!$O$249*EFEITO!$AA$249</f>
        <v>0</v>
      </c>
      <c r="P249" s="57"/>
      <c r="Q249" s="57"/>
      <c r="R249" s="57"/>
      <c r="S249" s="57"/>
      <c r="T249" s="57"/>
      <c r="U249" s="57"/>
      <c r="V249" s="57"/>
      <c r="W249" s="5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28</v>
      </c>
      <c r="B250" s="53" t="s">
        <v>41</v>
      </c>
      <c r="C250" s="53" t="s">
        <v>43</v>
      </c>
      <c r="D250" s="53" t="s">
        <v>44</v>
      </c>
      <c r="E250" s="53" t="s">
        <v>25</v>
      </c>
      <c r="F250" s="53" t="s">
        <v>25</v>
      </c>
      <c r="G250" s="53" t="s">
        <v>25</v>
      </c>
      <c r="H250" s="53" t="s">
        <v>25</v>
      </c>
      <c r="I250" s="75">
        <v>44562</v>
      </c>
      <c r="J250" s="76">
        <f ca="1">EFEITO!$J$250*EFEITO!$Y$250</f>
        <v>54986.469163704714</v>
      </c>
      <c r="K250" s="76">
        <f>EFEITO!$L$250*EFEITO!$Z$250</f>
        <v>0</v>
      </c>
      <c r="L250" s="76">
        <f>EFEITO!$N$250*EFEITO!$AA$250</f>
        <v>0</v>
      </c>
      <c r="M250" s="76">
        <f ca="1">$J$250-EFEITO!$K$250*EFEITO!$Y$250</f>
        <v>0</v>
      </c>
      <c r="N250" s="76">
        <f>$K$250-EFEITO!$M$250*EFEITO!$Z$250</f>
        <v>0</v>
      </c>
      <c r="O250" s="76">
        <f>$L$250-EFEITO!$O$250*EFEITO!$AA$250</f>
        <v>0</v>
      </c>
      <c r="P250" s="57"/>
      <c r="Q250" s="57"/>
      <c r="R250" s="57"/>
      <c r="S250" s="57"/>
      <c r="T250" s="57"/>
      <c r="U250" s="57"/>
      <c r="V250" s="57"/>
      <c r="W250" s="5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21</v>
      </c>
      <c r="B251" s="53" t="s">
        <v>41</v>
      </c>
      <c r="C251" s="53" t="s">
        <v>43</v>
      </c>
      <c r="D251" s="53" t="s">
        <v>44</v>
      </c>
      <c r="E251" s="53" t="s">
        <v>25</v>
      </c>
      <c r="F251" s="53" t="s">
        <v>25</v>
      </c>
      <c r="G251" s="53" t="s">
        <v>25</v>
      </c>
      <c r="H251" s="53" t="s">
        <v>25</v>
      </c>
      <c r="I251" s="75">
        <v>44593</v>
      </c>
      <c r="J251" s="76">
        <f ca="1">EFEITO!$J$251*EFEITO!$Y$251</f>
        <v>730758.52102068765</v>
      </c>
      <c r="K251" s="76">
        <f>EFEITO!$L$251*EFEITO!$Z$251</f>
        <v>0</v>
      </c>
      <c r="L251" s="76">
        <f>EFEITO!$N$251*EFEITO!$AA$251</f>
        <v>0</v>
      </c>
      <c r="M251" s="76">
        <f ca="1">$J$251-EFEITO!$K$251*EFEITO!$Y$251</f>
        <v>0</v>
      </c>
      <c r="N251" s="76">
        <f>$K$251-EFEITO!$M$251*EFEITO!$Z$251</f>
        <v>0</v>
      </c>
      <c r="O251" s="76">
        <f>$L$251-EFEITO!$O$251*EFEITO!$AA$251</f>
        <v>0</v>
      </c>
      <c r="P251" s="57"/>
      <c r="Q251" s="57"/>
      <c r="R251" s="57"/>
      <c r="S251" s="57"/>
      <c r="T251" s="57"/>
      <c r="U251" s="57"/>
      <c r="V251" s="57"/>
      <c r="W251" s="5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27</v>
      </c>
      <c r="B252" s="53" t="s">
        <v>41</v>
      </c>
      <c r="C252" s="53" t="s">
        <v>43</v>
      </c>
      <c r="D252" s="53" t="s">
        <v>44</v>
      </c>
      <c r="E252" s="53" t="s">
        <v>25</v>
      </c>
      <c r="F252" s="53" t="s">
        <v>25</v>
      </c>
      <c r="G252" s="53" t="s">
        <v>25</v>
      </c>
      <c r="H252" s="53" t="s">
        <v>25</v>
      </c>
      <c r="I252" s="75">
        <v>44593</v>
      </c>
      <c r="J252" s="76">
        <f ca="1">EFEITO!$J$252*EFEITO!$Y$252</f>
        <v>-8051.9685095213072</v>
      </c>
      <c r="K252" s="76">
        <f>EFEITO!$L$252*EFEITO!$Z$252</f>
        <v>0</v>
      </c>
      <c r="L252" s="76">
        <f>EFEITO!$N$252*EFEITO!$AA$252</f>
        <v>0</v>
      </c>
      <c r="M252" s="76">
        <f ca="1">$J$252-EFEITO!$K$252*EFEITO!$Y$252</f>
        <v>0</v>
      </c>
      <c r="N252" s="76">
        <f>$K$252-EFEITO!$M$252*EFEITO!$Z$252</f>
        <v>0</v>
      </c>
      <c r="O252" s="76">
        <f>$L$252-EFEITO!$O$252*EFEITO!$AA$252</f>
        <v>0</v>
      </c>
      <c r="P252" s="57"/>
      <c r="Q252" s="57"/>
      <c r="R252" s="57"/>
      <c r="S252" s="57"/>
      <c r="T252" s="57"/>
      <c r="U252" s="57"/>
      <c r="V252" s="57"/>
      <c r="W252" s="5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28</v>
      </c>
      <c r="B253" s="53" t="s">
        <v>41</v>
      </c>
      <c r="C253" s="53" t="s">
        <v>43</v>
      </c>
      <c r="D253" s="53" t="s">
        <v>44</v>
      </c>
      <c r="E253" s="53" t="s">
        <v>25</v>
      </c>
      <c r="F253" s="53" t="s">
        <v>25</v>
      </c>
      <c r="G253" s="53" t="s">
        <v>25</v>
      </c>
      <c r="H253" s="53" t="s">
        <v>25</v>
      </c>
      <c r="I253" s="75">
        <v>44593</v>
      </c>
      <c r="J253" s="76">
        <f ca="1">EFEITO!$J$253*EFEITO!$Y$253</f>
        <v>55622.150888140604</v>
      </c>
      <c r="K253" s="76">
        <f>EFEITO!$L$253*EFEITO!$Z$253</f>
        <v>0</v>
      </c>
      <c r="L253" s="76">
        <f>EFEITO!$N$253*EFEITO!$AA$253</f>
        <v>0</v>
      </c>
      <c r="M253" s="76">
        <f ca="1">$J$253-EFEITO!$K$253*EFEITO!$Y$253</f>
        <v>0</v>
      </c>
      <c r="N253" s="76">
        <f>$K$253-EFEITO!$M$253*EFEITO!$Z$253</f>
        <v>0</v>
      </c>
      <c r="O253" s="76">
        <f>$L$253-EFEITO!$O$253*EFEITO!$AA$253</f>
        <v>0</v>
      </c>
      <c r="P253" s="57"/>
      <c r="Q253" s="57"/>
      <c r="R253" s="57"/>
      <c r="S253" s="57"/>
      <c r="T253" s="57"/>
      <c r="U253" s="57"/>
      <c r="V253" s="57"/>
      <c r="W253" s="5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41</v>
      </c>
      <c r="C254" s="53" t="s">
        <v>43</v>
      </c>
      <c r="D254" s="53" t="s">
        <v>44</v>
      </c>
      <c r="E254" s="53" t="s">
        <v>25</v>
      </c>
      <c r="F254" s="53" t="s">
        <v>25</v>
      </c>
      <c r="G254" s="53" t="s">
        <v>25</v>
      </c>
      <c r="H254" s="53" t="s">
        <v>25</v>
      </c>
      <c r="I254" s="75">
        <v>44621</v>
      </c>
      <c r="J254" s="76">
        <f ca="1">EFEITO!$J$254*EFEITO!$Y$254</f>
        <v>728046.27899642789</v>
      </c>
      <c r="K254" s="76">
        <f>EFEITO!$L$254*EFEITO!$Z$254</f>
        <v>0</v>
      </c>
      <c r="L254" s="76">
        <f>EFEITO!$N$254*EFEITO!$AA$254</f>
        <v>0</v>
      </c>
      <c r="M254" s="76">
        <f ca="1">$J$254-EFEITO!$K$254*EFEITO!$Y$254</f>
        <v>0</v>
      </c>
      <c r="N254" s="76">
        <f>$K$254-EFEITO!$M$254*EFEITO!$Z$254</f>
        <v>0</v>
      </c>
      <c r="O254" s="76">
        <f>$L$254-EFEITO!$O$254*EFEITO!$AA$254</f>
        <v>0</v>
      </c>
      <c r="P254" s="57"/>
      <c r="Q254" s="57"/>
      <c r="R254" s="57"/>
      <c r="S254" s="57"/>
      <c r="T254" s="57"/>
      <c r="U254" s="57"/>
      <c r="V254" s="57"/>
      <c r="W254" s="5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27</v>
      </c>
      <c r="B255" s="53" t="s">
        <v>41</v>
      </c>
      <c r="C255" s="53" t="s">
        <v>43</v>
      </c>
      <c r="D255" s="53" t="s">
        <v>44</v>
      </c>
      <c r="E255" s="53" t="s">
        <v>25</v>
      </c>
      <c r="F255" s="53" t="s">
        <v>25</v>
      </c>
      <c r="G255" s="53" t="s">
        <v>25</v>
      </c>
      <c r="H255" s="53" t="s">
        <v>25</v>
      </c>
      <c r="I255" s="75">
        <v>44621</v>
      </c>
      <c r="J255" s="76">
        <f ca="1">EFEITO!$J$255*EFEITO!$Y$255</f>
        <v>-41933.804421954388</v>
      </c>
      <c r="K255" s="76">
        <f>EFEITO!$L$255*EFEITO!$Z$255</f>
        <v>0</v>
      </c>
      <c r="L255" s="76">
        <f>EFEITO!$N$255*EFEITO!$AA$255</f>
        <v>0</v>
      </c>
      <c r="M255" s="76">
        <f ca="1">$J$255-EFEITO!$K$255*EFEITO!$Y$255</f>
        <v>0</v>
      </c>
      <c r="N255" s="76">
        <f>$K$255-EFEITO!$M$255*EFEITO!$Z$255</f>
        <v>0</v>
      </c>
      <c r="O255" s="76">
        <f>$L$255-EFEITO!$O$255*EFEITO!$AA$255</f>
        <v>0</v>
      </c>
      <c r="P255" s="57"/>
      <c r="Q255" s="57"/>
      <c r="R255" s="57"/>
      <c r="S255" s="57"/>
      <c r="T255" s="57"/>
      <c r="U255" s="57"/>
      <c r="V255" s="57"/>
      <c r="W255" s="5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28</v>
      </c>
      <c r="B256" s="53" t="s">
        <v>41</v>
      </c>
      <c r="C256" s="53" t="s">
        <v>43</v>
      </c>
      <c r="D256" s="53" t="s">
        <v>44</v>
      </c>
      <c r="E256" s="53" t="s">
        <v>25</v>
      </c>
      <c r="F256" s="53" t="s">
        <v>25</v>
      </c>
      <c r="G256" s="53" t="s">
        <v>25</v>
      </c>
      <c r="H256" s="53" t="s">
        <v>25</v>
      </c>
      <c r="I256" s="75">
        <v>44621</v>
      </c>
      <c r="J256" s="76">
        <f ca="1">EFEITO!$J$256*EFEITO!$Y$256</f>
        <v>56660.431038052564</v>
      </c>
      <c r="K256" s="76">
        <f>EFEITO!$L$256*EFEITO!$Z$256</f>
        <v>0</v>
      </c>
      <c r="L256" s="76">
        <f>EFEITO!$N$256*EFEITO!$AA$256</f>
        <v>0</v>
      </c>
      <c r="M256" s="76">
        <f ca="1">$J$256-EFEITO!$K$256*EFEITO!$Y$256</f>
        <v>0</v>
      </c>
      <c r="N256" s="76">
        <f>$K$256-EFEITO!$M$256*EFEITO!$Z$256</f>
        <v>0</v>
      </c>
      <c r="O256" s="76">
        <f>$L$256-EFEITO!$O$256*EFEITO!$AA$256</f>
        <v>0</v>
      </c>
      <c r="P256" s="57"/>
      <c r="Q256" s="57"/>
      <c r="R256" s="57"/>
      <c r="S256" s="57"/>
      <c r="T256" s="57"/>
      <c r="U256" s="57"/>
      <c r="V256" s="57"/>
      <c r="W256" s="5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21</v>
      </c>
      <c r="B257" s="53" t="s">
        <v>41</v>
      </c>
      <c r="C257" s="53" t="s">
        <v>43</v>
      </c>
      <c r="D257" s="53" t="s">
        <v>44</v>
      </c>
      <c r="E257" s="53" t="s">
        <v>25</v>
      </c>
      <c r="F257" s="53" t="s">
        <v>25</v>
      </c>
      <c r="G257" s="53" t="s">
        <v>25</v>
      </c>
      <c r="H257" s="53" t="s">
        <v>25</v>
      </c>
      <c r="I257" s="75">
        <v>44652</v>
      </c>
      <c r="J257" s="76">
        <f ca="1">EFEITO!$J$257*EFEITO!$Y$257</f>
        <v>728427.68803108938</v>
      </c>
      <c r="K257" s="76">
        <f>EFEITO!$L$257*EFEITO!$Z$257</f>
        <v>0</v>
      </c>
      <c r="L257" s="76">
        <f>EFEITO!$N$257*EFEITO!$AA$257</f>
        <v>0</v>
      </c>
      <c r="M257" s="76">
        <f ca="1">$J$257-EFEITO!$K$257*EFEITO!$Y$257</f>
        <v>0</v>
      </c>
      <c r="N257" s="76">
        <f>$K$257-EFEITO!$M$257*EFEITO!$Z$257</f>
        <v>0</v>
      </c>
      <c r="O257" s="76">
        <f>$L$257-EFEITO!$O$257*EFEITO!$AA$257</f>
        <v>0</v>
      </c>
      <c r="P257" s="57"/>
      <c r="Q257" s="57"/>
      <c r="R257" s="57"/>
      <c r="S257" s="57"/>
      <c r="T257" s="57"/>
      <c r="U257" s="57"/>
      <c r="V257" s="57"/>
      <c r="W257" s="5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27</v>
      </c>
      <c r="B258" s="53" t="s">
        <v>41</v>
      </c>
      <c r="C258" s="53" t="s">
        <v>43</v>
      </c>
      <c r="D258" s="53" t="s">
        <v>44</v>
      </c>
      <c r="E258" s="53" t="s">
        <v>25</v>
      </c>
      <c r="F258" s="53" t="s">
        <v>25</v>
      </c>
      <c r="G258" s="53" t="s">
        <v>25</v>
      </c>
      <c r="H258" s="53" t="s">
        <v>25</v>
      </c>
      <c r="I258" s="75">
        <v>44652</v>
      </c>
      <c r="J258" s="76">
        <f ca="1">EFEITO!$J$258*EFEITO!$Y$258</f>
        <v>-1589.2043110897316</v>
      </c>
      <c r="K258" s="76">
        <f>EFEITO!$L$258*EFEITO!$Z$258</f>
        <v>0</v>
      </c>
      <c r="L258" s="76">
        <f>EFEITO!$N$258*EFEITO!$AA$258</f>
        <v>0</v>
      </c>
      <c r="M258" s="76">
        <f ca="1">$J$258-EFEITO!$K$258*EFEITO!$Y$258</f>
        <v>0</v>
      </c>
      <c r="N258" s="76">
        <f>$K$258-EFEITO!$M$258*EFEITO!$Z$258</f>
        <v>0</v>
      </c>
      <c r="O258" s="76">
        <f>$L$258-EFEITO!$O$258*EFEITO!$AA$258</f>
        <v>0</v>
      </c>
      <c r="P258" s="57"/>
      <c r="Q258" s="57"/>
      <c r="R258" s="57"/>
      <c r="S258" s="57"/>
      <c r="T258" s="57"/>
      <c r="U258" s="57"/>
      <c r="V258" s="57"/>
      <c r="W258" s="5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28</v>
      </c>
      <c r="B259" s="53" t="s">
        <v>41</v>
      </c>
      <c r="C259" s="53" t="s">
        <v>43</v>
      </c>
      <c r="D259" s="53" t="s">
        <v>44</v>
      </c>
      <c r="E259" s="53" t="s">
        <v>25</v>
      </c>
      <c r="F259" s="53" t="s">
        <v>25</v>
      </c>
      <c r="G259" s="53" t="s">
        <v>25</v>
      </c>
      <c r="H259" s="53" t="s">
        <v>25</v>
      </c>
      <c r="I259" s="75">
        <v>44652</v>
      </c>
      <c r="J259" s="76">
        <f ca="1">EFEITO!$J$259*EFEITO!$Y$259</f>
        <v>56490.915911536329</v>
      </c>
      <c r="K259" s="76">
        <f>EFEITO!$L$259*EFEITO!$Z$259</f>
        <v>0</v>
      </c>
      <c r="L259" s="76">
        <f>EFEITO!$N$259*EFEITO!$AA$259</f>
        <v>0</v>
      </c>
      <c r="M259" s="76">
        <f ca="1">$J$259-EFEITO!$K$259*EFEITO!$Y$259</f>
        <v>0</v>
      </c>
      <c r="N259" s="76">
        <f>$K$259-EFEITO!$M$259*EFEITO!$Z$259</f>
        <v>0</v>
      </c>
      <c r="O259" s="76">
        <f>$L$259-EFEITO!$O$259*EFEITO!$AA$259</f>
        <v>0</v>
      </c>
      <c r="P259" s="57"/>
      <c r="Q259" s="57"/>
      <c r="R259" s="57"/>
      <c r="S259" s="57"/>
      <c r="T259" s="57"/>
      <c r="U259" s="57"/>
      <c r="V259" s="57"/>
      <c r="W259" s="5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21</v>
      </c>
      <c r="B260" s="53" t="s">
        <v>41</v>
      </c>
      <c r="C260" s="53" t="s">
        <v>43</v>
      </c>
      <c r="D260" s="53" t="s">
        <v>44</v>
      </c>
      <c r="E260" s="53" t="s">
        <v>25</v>
      </c>
      <c r="F260" s="53" t="s">
        <v>25</v>
      </c>
      <c r="G260" s="53" t="s">
        <v>25</v>
      </c>
      <c r="H260" s="53" t="s">
        <v>25</v>
      </c>
      <c r="I260" s="75">
        <v>44682</v>
      </c>
      <c r="J260" s="76">
        <f ca="1">EFEITO!$J$260*EFEITO!$Y$260</f>
        <v>753176.89650246012</v>
      </c>
      <c r="K260" s="76">
        <f>EFEITO!$L$260*EFEITO!$Z$260</f>
        <v>0</v>
      </c>
      <c r="L260" s="76">
        <f>EFEITO!$N$260*EFEITO!$AA$260</f>
        <v>0</v>
      </c>
      <c r="M260" s="76">
        <f ca="1">$J$260-EFEITO!$K$260*EFEITO!$Y$260</f>
        <v>0</v>
      </c>
      <c r="N260" s="76">
        <f>$K$260-EFEITO!$M$260*EFEITO!$Z$260</f>
        <v>0</v>
      </c>
      <c r="O260" s="76">
        <f>$L$260-EFEITO!$O$260*EFEITO!$AA$260</f>
        <v>0</v>
      </c>
      <c r="P260" s="57"/>
      <c r="Q260" s="57"/>
      <c r="R260" s="57"/>
      <c r="S260" s="57"/>
      <c r="T260" s="57"/>
      <c r="U260" s="57"/>
      <c r="V260" s="57"/>
      <c r="W260" s="5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28</v>
      </c>
      <c r="B261" s="53" t="s">
        <v>41</v>
      </c>
      <c r="C261" s="53" t="s">
        <v>43</v>
      </c>
      <c r="D261" s="53" t="s">
        <v>44</v>
      </c>
      <c r="E261" s="53" t="s">
        <v>25</v>
      </c>
      <c r="F261" s="53" t="s">
        <v>25</v>
      </c>
      <c r="G261" s="53" t="s">
        <v>25</v>
      </c>
      <c r="H261" s="53" t="s">
        <v>25</v>
      </c>
      <c r="I261" s="75">
        <v>44682</v>
      </c>
      <c r="J261" s="76">
        <f ca="1">EFEITO!$J$261*EFEITO!$Y$261</f>
        <v>56935.893118641456</v>
      </c>
      <c r="K261" s="76">
        <f>EFEITO!$L$261*EFEITO!$Z$261</f>
        <v>0</v>
      </c>
      <c r="L261" s="76">
        <f>EFEITO!$N$261*EFEITO!$AA$261</f>
        <v>0</v>
      </c>
      <c r="M261" s="76">
        <f ca="1">$J$261-EFEITO!$K$261*EFEITO!$Y$261</f>
        <v>0</v>
      </c>
      <c r="N261" s="76">
        <f>$K$261-EFEITO!$M$261*EFEITO!$Z$261</f>
        <v>0</v>
      </c>
      <c r="O261" s="76">
        <f>$L$261-EFEITO!$O$261*EFEITO!$AA$261</f>
        <v>0</v>
      </c>
      <c r="P261" s="57"/>
      <c r="Q261" s="57"/>
      <c r="R261" s="57"/>
      <c r="S261" s="57"/>
      <c r="T261" s="57"/>
      <c r="U261" s="57"/>
      <c r="V261" s="57"/>
      <c r="W261" s="5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21</v>
      </c>
      <c r="B262" s="53" t="s">
        <v>41</v>
      </c>
      <c r="C262" s="53" t="s">
        <v>43</v>
      </c>
      <c r="D262" s="53" t="s">
        <v>44</v>
      </c>
      <c r="E262" s="53" t="s">
        <v>25</v>
      </c>
      <c r="F262" s="53" t="s">
        <v>25</v>
      </c>
      <c r="G262" s="53" t="s">
        <v>25</v>
      </c>
      <c r="H262" s="53" t="s">
        <v>25</v>
      </c>
      <c r="I262" s="75">
        <v>44713</v>
      </c>
      <c r="J262" s="76">
        <f ca="1">EFEITO!$J$262*EFEITO!$Y$262</f>
        <v>739340.22430057218</v>
      </c>
      <c r="K262" s="76">
        <f>EFEITO!$L$262*EFEITO!$Z$262</f>
        <v>0</v>
      </c>
      <c r="L262" s="76">
        <f>EFEITO!$N$262*EFEITO!$AA$262</f>
        <v>0</v>
      </c>
      <c r="M262" s="76">
        <f ca="1">$J$262-EFEITO!$K$262*EFEITO!$Y$262</f>
        <v>0</v>
      </c>
      <c r="N262" s="76">
        <f>$K$262-EFEITO!$M$262*EFEITO!$Z$262</f>
        <v>0</v>
      </c>
      <c r="O262" s="76">
        <f>$L$262-EFEITO!$O$262*EFEITO!$AA$262</f>
        <v>0</v>
      </c>
      <c r="P262" s="57"/>
      <c r="Q262" s="57"/>
      <c r="R262" s="57"/>
      <c r="S262" s="57"/>
      <c r="T262" s="57"/>
      <c r="U262" s="57"/>
      <c r="V262" s="57"/>
      <c r="W262" s="5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28</v>
      </c>
      <c r="B263" s="53" t="s">
        <v>41</v>
      </c>
      <c r="C263" s="53" t="s">
        <v>43</v>
      </c>
      <c r="D263" s="53" t="s">
        <v>44</v>
      </c>
      <c r="E263" s="53" t="s">
        <v>25</v>
      </c>
      <c r="F263" s="53" t="s">
        <v>25</v>
      </c>
      <c r="G263" s="53" t="s">
        <v>25</v>
      </c>
      <c r="H263" s="53" t="s">
        <v>25</v>
      </c>
      <c r="I263" s="75">
        <v>44713</v>
      </c>
      <c r="J263" s="76">
        <f ca="1">EFEITO!$J$263*EFEITO!$Y$263</f>
        <v>56766.377992125213</v>
      </c>
      <c r="K263" s="76">
        <f>EFEITO!$L$263*EFEITO!$Z$263</f>
        <v>0</v>
      </c>
      <c r="L263" s="76">
        <f>EFEITO!$N$263*EFEITO!$AA$263</f>
        <v>0</v>
      </c>
      <c r="M263" s="76">
        <f ca="1">$J$263-EFEITO!$K$263*EFEITO!$Y$263</f>
        <v>0</v>
      </c>
      <c r="N263" s="76">
        <f>$K$263-EFEITO!$M$263*EFEITO!$Z$263</f>
        <v>0</v>
      </c>
      <c r="O263" s="76">
        <f>$L$263-EFEITO!$O$263*EFEITO!$AA$263</f>
        <v>0</v>
      </c>
      <c r="P263" s="57"/>
      <c r="Q263" s="57"/>
      <c r="R263" s="57"/>
      <c r="S263" s="57"/>
      <c r="T263" s="57"/>
      <c r="U263" s="57"/>
      <c r="V263" s="57"/>
      <c r="W263" s="5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21</v>
      </c>
      <c r="B264" s="53" t="s">
        <v>41</v>
      </c>
      <c r="C264" s="53" t="s">
        <v>43</v>
      </c>
      <c r="D264" s="53" t="s">
        <v>44</v>
      </c>
      <c r="E264" s="53" t="s">
        <v>25</v>
      </c>
      <c r="F264" s="53" t="s">
        <v>25</v>
      </c>
      <c r="G264" s="53" t="s">
        <v>25</v>
      </c>
      <c r="H264" s="53" t="s">
        <v>25</v>
      </c>
      <c r="I264" s="75">
        <v>44743</v>
      </c>
      <c r="J264" s="76">
        <f ca="1">EFEITO!$J$264*EFEITO!$Y$264</f>
        <v>754702.53264110629</v>
      </c>
      <c r="K264" s="76">
        <f>EFEITO!$L$264*EFEITO!$Z$264</f>
        <v>0</v>
      </c>
      <c r="L264" s="76">
        <f>EFEITO!$N$264*EFEITO!$AA$264</f>
        <v>0</v>
      </c>
      <c r="M264" s="76">
        <f ca="1">$J$264-EFEITO!$K$264*EFEITO!$Y$264</f>
        <v>0</v>
      </c>
      <c r="N264" s="76">
        <f>$K$264-EFEITO!$M$264*EFEITO!$Z$264</f>
        <v>0</v>
      </c>
      <c r="O264" s="76">
        <f>$L$264-EFEITO!$O$264*EFEITO!$AA$264</f>
        <v>0</v>
      </c>
      <c r="P264" s="57"/>
      <c r="Q264" s="57"/>
      <c r="R264" s="57"/>
      <c r="S264" s="57"/>
      <c r="T264" s="57"/>
      <c r="U264" s="57"/>
      <c r="V264" s="57"/>
      <c r="W264" s="5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28</v>
      </c>
      <c r="B265" s="53" t="s">
        <v>41</v>
      </c>
      <c r="C265" s="53" t="s">
        <v>43</v>
      </c>
      <c r="D265" s="53" t="s">
        <v>44</v>
      </c>
      <c r="E265" s="53" t="s">
        <v>25</v>
      </c>
      <c r="F265" s="53" t="s">
        <v>25</v>
      </c>
      <c r="G265" s="53" t="s">
        <v>25</v>
      </c>
      <c r="H265" s="53" t="s">
        <v>25</v>
      </c>
      <c r="I265" s="75">
        <v>44743</v>
      </c>
      <c r="J265" s="76">
        <f ca="1">EFEITO!$J$265*EFEITO!$Y$265</f>
        <v>57529.196061448289</v>
      </c>
      <c r="K265" s="76">
        <f>EFEITO!$L$265*EFEITO!$Z$265</f>
        <v>0</v>
      </c>
      <c r="L265" s="76">
        <f>EFEITO!$N$265*EFEITO!$AA$265</f>
        <v>0</v>
      </c>
      <c r="M265" s="76">
        <f ca="1">$J$265-EFEITO!$K$265*EFEITO!$Y$265</f>
        <v>0</v>
      </c>
      <c r="N265" s="76">
        <f>$K$265-EFEITO!$M$265*EFEITO!$Z$265</f>
        <v>0</v>
      </c>
      <c r="O265" s="76">
        <f>$L$265-EFEITO!$O$265*EFEITO!$AA$265</f>
        <v>0</v>
      </c>
      <c r="P265" s="57"/>
      <c r="Q265" s="57"/>
      <c r="R265" s="57"/>
      <c r="S265" s="57"/>
      <c r="T265" s="57"/>
      <c r="U265" s="57"/>
      <c r="V265" s="57"/>
      <c r="W265" s="5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21</v>
      </c>
      <c r="B266" s="53" t="s">
        <v>41</v>
      </c>
      <c r="C266" s="53" t="s">
        <v>43</v>
      </c>
      <c r="D266" s="53" t="s">
        <v>44</v>
      </c>
      <c r="E266" s="53" t="s">
        <v>25</v>
      </c>
      <c r="F266" s="53" t="s">
        <v>25</v>
      </c>
      <c r="G266" s="53" t="s">
        <v>25</v>
      </c>
      <c r="H266" s="53" t="s">
        <v>25</v>
      </c>
      <c r="I266" s="75">
        <v>44774</v>
      </c>
      <c r="J266" s="76">
        <f ca="1">EFEITO!$J$266*EFEITO!$Y$266</f>
        <v>732707.94497562444</v>
      </c>
      <c r="K266" s="76">
        <f>EFEITO!$L$266*EFEITO!$Z$266</f>
        <v>0</v>
      </c>
      <c r="L266" s="76">
        <f>EFEITO!$N$266*EFEITO!$AA$266</f>
        <v>0</v>
      </c>
      <c r="M266" s="76">
        <f ca="1">$J$266-EFEITO!$K$266*EFEITO!$Y$266</f>
        <v>0</v>
      </c>
      <c r="N266" s="76">
        <f>$K$266-EFEITO!$M$266*EFEITO!$Z$266</f>
        <v>0</v>
      </c>
      <c r="O266" s="76">
        <f>$L$266-EFEITO!$O$266*EFEITO!$AA$266</f>
        <v>0</v>
      </c>
      <c r="P266" s="57"/>
      <c r="Q266" s="57"/>
      <c r="R266" s="57"/>
      <c r="S266" s="57"/>
      <c r="T266" s="57"/>
      <c r="U266" s="57"/>
      <c r="V266" s="57"/>
      <c r="W266" s="5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27</v>
      </c>
      <c r="B267" s="53" t="s">
        <v>41</v>
      </c>
      <c r="C267" s="53" t="s">
        <v>43</v>
      </c>
      <c r="D267" s="53" t="s">
        <v>44</v>
      </c>
      <c r="E267" s="53" t="s">
        <v>25</v>
      </c>
      <c r="F267" s="53" t="s">
        <v>25</v>
      </c>
      <c r="G267" s="53" t="s">
        <v>25</v>
      </c>
      <c r="H267" s="53" t="s">
        <v>25</v>
      </c>
      <c r="I267" s="75">
        <v>44774</v>
      </c>
      <c r="J267" s="76">
        <f ca="1">EFEITO!$J$267*EFEITO!$Y$267</f>
        <v>-20214.678837061387</v>
      </c>
      <c r="K267" s="76">
        <f>EFEITO!$L$267*EFEITO!$Z$267</f>
        <v>0</v>
      </c>
      <c r="L267" s="76">
        <f>EFEITO!$N$267*EFEITO!$AA$267</f>
        <v>0</v>
      </c>
      <c r="M267" s="76">
        <f ca="1">$J$267-EFEITO!$K$267*EFEITO!$Y$267</f>
        <v>0</v>
      </c>
      <c r="N267" s="76">
        <f>$K$267-EFEITO!$M$267*EFEITO!$Z$267</f>
        <v>0</v>
      </c>
      <c r="O267" s="76">
        <f>$L$267-EFEITO!$O$267*EFEITO!$AA$267</f>
        <v>0</v>
      </c>
      <c r="P267" s="57"/>
      <c r="Q267" s="57"/>
      <c r="R267" s="57"/>
      <c r="S267" s="57"/>
      <c r="T267" s="57"/>
      <c r="U267" s="57"/>
      <c r="V267" s="57"/>
      <c r="W267" s="5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28</v>
      </c>
      <c r="B268" s="53" t="s">
        <v>41</v>
      </c>
      <c r="C268" s="53" t="s">
        <v>43</v>
      </c>
      <c r="D268" s="53" t="s">
        <v>44</v>
      </c>
      <c r="E268" s="53" t="s">
        <v>25</v>
      </c>
      <c r="F268" s="53" t="s">
        <v>25</v>
      </c>
      <c r="G268" s="53" t="s">
        <v>25</v>
      </c>
      <c r="H268" s="53" t="s">
        <v>25</v>
      </c>
      <c r="I268" s="75">
        <v>44774</v>
      </c>
      <c r="J268" s="76">
        <f ca="1">EFEITO!$J$268*EFEITO!$Y$268</f>
        <v>58694.612556247419</v>
      </c>
      <c r="K268" s="76">
        <f>EFEITO!$L$268*EFEITO!$Z$268</f>
        <v>0</v>
      </c>
      <c r="L268" s="76">
        <f>EFEITO!$N$268*EFEITO!$AA$268</f>
        <v>0</v>
      </c>
      <c r="M268" s="76">
        <f ca="1">$J$268-EFEITO!$K$268*EFEITO!$Y$268</f>
        <v>0</v>
      </c>
      <c r="N268" s="76">
        <f>$K$268-EFEITO!$M$268*EFEITO!$Z$268</f>
        <v>0</v>
      </c>
      <c r="O268" s="76">
        <f>$L$268-EFEITO!$O$268*EFEITO!$AA$268</f>
        <v>0</v>
      </c>
      <c r="P268" s="57"/>
      <c r="Q268" s="57"/>
      <c r="R268" s="57"/>
      <c r="S268" s="57"/>
      <c r="T268" s="57"/>
      <c r="U268" s="57"/>
      <c r="V268" s="57"/>
      <c r="W268" s="5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21</v>
      </c>
      <c r="B269" s="53" t="s">
        <v>41</v>
      </c>
      <c r="C269" s="53" t="s">
        <v>43</v>
      </c>
      <c r="D269" s="53" t="s">
        <v>44</v>
      </c>
      <c r="E269" s="53" t="s">
        <v>25</v>
      </c>
      <c r="F269" s="53" t="s">
        <v>25</v>
      </c>
      <c r="G269" s="53" t="s">
        <v>25</v>
      </c>
      <c r="H269" s="53" t="s">
        <v>25</v>
      </c>
      <c r="I269" s="75">
        <v>44805</v>
      </c>
      <c r="J269" s="76">
        <f ca="1">EFEITO!$J$269*EFEITO!$Y$269</f>
        <v>754872.04776762251</v>
      </c>
      <c r="K269" s="76">
        <f>EFEITO!$L$269*EFEITO!$Z$269</f>
        <v>0</v>
      </c>
      <c r="L269" s="76">
        <f>EFEITO!$N$269*EFEITO!$AA$269</f>
        <v>0</v>
      </c>
      <c r="M269" s="76">
        <f ca="1">$J$269-EFEITO!$K$269*EFEITO!$Y$269</f>
        <v>0</v>
      </c>
      <c r="N269" s="76">
        <f>$K$269-EFEITO!$M$269*EFEITO!$Z$269</f>
        <v>0</v>
      </c>
      <c r="O269" s="76">
        <f>$L$269-EFEITO!$O$269*EFEITO!$AA$269</f>
        <v>0</v>
      </c>
      <c r="P269" s="57"/>
      <c r="Q269" s="57"/>
      <c r="R269" s="57"/>
      <c r="S269" s="57"/>
      <c r="T269" s="57"/>
      <c r="U269" s="57"/>
      <c r="V269" s="57"/>
      <c r="W269" s="5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27</v>
      </c>
      <c r="B270" s="53" t="s">
        <v>41</v>
      </c>
      <c r="C270" s="53" t="s">
        <v>43</v>
      </c>
      <c r="D270" s="53" t="s">
        <v>44</v>
      </c>
      <c r="E270" s="53" t="s">
        <v>25</v>
      </c>
      <c r="F270" s="53" t="s">
        <v>25</v>
      </c>
      <c r="G270" s="53" t="s">
        <v>25</v>
      </c>
      <c r="H270" s="53" t="s">
        <v>25</v>
      </c>
      <c r="I270" s="75">
        <v>44805</v>
      </c>
      <c r="J270" s="76">
        <f ca="1">EFEITO!$J$270*EFEITO!$Y$270</f>
        <v>2733.4314150743385</v>
      </c>
      <c r="K270" s="76">
        <f>EFEITO!$L$270*EFEITO!$Z$270</f>
        <v>0</v>
      </c>
      <c r="L270" s="76">
        <f>EFEITO!$N$270*EFEITO!$AA$270</f>
        <v>0</v>
      </c>
      <c r="M270" s="76">
        <f ca="1">$J$270-EFEITO!$K$270*EFEITO!$Y$270</f>
        <v>0</v>
      </c>
      <c r="N270" s="76">
        <f>$K$270-EFEITO!$M$270*EFEITO!$Z$270</f>
        <v>0</v>
      </c>
      <c r="O270" s="76">
        <f>$L$270-EFEITO!$O$270*EFEITO!$AA$270</f>
        <v>0</v>
      </c>
      <c r="P270" s="57"/>
      <c r="Q270" s="57"/>
      <c r="R270" s="57"/>
      <c r="S270" s="57"/>
      <c r="T270" s="57"/>
      <c r="U270" s="57"/>
      <c r="V270" s="57"/>
      <c r="W270" s="5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28</v>
      </c>
      <c r="B271" s="53" t="s">
        <v>41</v>
      </c>
      <c r="C271" s="53" t="s">
        <v>43</v>
      </c>
      <c r="D271" s="53" t="s">
        <v>44</v>
      </c>
      <c r="E271" s="53" t="s">
        <v>25</v>
      </c>
      <c r="F271" s="53" t="s">
        <v>25</v>
      </c>
      <c r="G271" s="53" t="s">
        <v>25</v>
      </c>
      <c r="H271" s="53" t="s">
        <v>25</v>
      </c>
      <c r="I271" s="75">
        <v>44805</v>
      </c>
      <c r="J271" s="76">
        <f ca="1">EFEITO!$J$271*EFEITO!$Y$271</f>
        <v>61194.960672361936</v>
      </c>
      <c r="K271" s="76">
        <f>EFEITO!$L$271*EFEITO!$Z$271</f>
        <v>0</v>
      </c>
      <c r="L271" s="76">
        <f>EFEITO!$N$271*EFEITO!$AA$271</f>
        <v>0</v>
      </c>
      <c r="M271" s="76">
        <f ca="1">$J$271-EFEITO!$K$271*EFEITO!$Y$271</f>
        <v>0</v>
      </c>
      <c r="N271" s="76">
        <f>$K$271-EFEITO!$M$271*EFEITO!$Z$271</f>
        <v>0</v>
      </c>
      <c r="O271" s="76">
        <f>$L$271-EFEITO!$O$271*EFEITO!$AA$271</f>
        <v>0</v>
      </c>
      <c r="P271" s="57"/>
      <c r="Q271" s="57"/>
      <c r="R271" s="57"/>
      <c r="S271" s="57"/>
      <c r="T271" s="57"/>
      <c r="U271" s="57"/>
      <c r="V271" s="57"/>
      <c r="W271" s="5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21</v>
      </c>
      <c r="B272" s="53" t="s">
        <v>41</v>
      </c>
      <c r="C272" s="53" t="s">
        <v>43</v>
      </c>
      <c r="D272" s="53" t="s">
        <v>44</v>
      </c>
      <c r="E272" s="53" t="s">
        <v>25</v>
      </c>
      <c r="F272" s="53" t="s">
        <v>25</v>
      </c>
      <c r="G272" s="53" t="s">
        <v>25</v>
      </c>
      <c r="H272" s="53" t="s">
        <v>25</v>
      </c>
      <c r="I272" s="75">
        <v>44835</v>
      </c>
      <c r="J272" s="76">
        <f ca="1">EFEITO!$J$272*EFEITO!$Y$272</f>
        <v>762627.36480574042</v>
      </c>
      <c r="K272" s="76">
        <f>EFEITO!$L$272*EFEITO!$Z$272</f>
        <v>0</v>
      </c>
      <c r="L272" s="76">
        <f>EFEITO!$N$272*EFEITO!$AA$272</f>
        <v>0</v>
      </c>
      <c r="M272" s="76">
        <f ca="1">$J$272-EFEITO!$K$272*EFEITO!$Y$272</f>
        <v>0</v>
      </c>
      <c r="N272" s="76">
        <f>$K$272-EFEITO!$M$272*EFEITO!$Z$272</f>
        <v>0</v>
      </c>
      <c r="O272" s="76">
        <f>$L$272-EFEITO!$O$272*EFEITO!$AA$272</f>
        <v>0</v>
      </c>
      <c r="P272" s="57"/>
      <c r="Q272" s="57"/>
      <c r="R272" s="57"/>
      <c r="S272" s="57"/>
      <c r="T272" s="57"/>
      <c r="U272" s="57"/>
      <c r="V272" s="57"/>
      <c r="W272" s="5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28</v>
      </c>
      <c r="B273" s="53" t="s">
        <v>41</v>
      </c>
      <c r="C273" s="53" t="s">
        <v>43</v>
      </c>
      <c r="D273" s="53" t="s">
        <v>44</v>
      </c>
      <c r="E273" s="53" t="s">
        <v>25</v>
      </c>
      <c r="F273" s="53" t="s">
        <v>25</v>
      </c>
      <c r="G273" s="53" t="s">
        <v>25</v>
      </c>
      <c r="H273" s="53" t="s">
        <v>25</v>
      </c>
      <c r="I273" s="75">
        <v>44835</v>
      </c>
      <c r="J273" s="76">
        <f ca="1">EFEITO!$J$273*EFEITO!$Y$273</f>
        <v>67000.853755543081</v>
      </c>
      <c r="K273" s="76">
        <f>EFEITO!$L$273*EFEITO!$Z$273</f>
        <v>0</v>
      </c>
      <c r="L273" s="76">
        <f>EFEITO!$N$273*EFEITO!$AA$273</f>
        <v>0</v>
      </c>
      <c r="M273" s="76">
        <f ca="1">$J$273-EFEITO!$K$273*EFEITO!$Y$273</f>
        <v>0</v>
      </c>
      <c r="N273" s="76">
        <f>$K$273-EFEITO!$M$273*EFEITO!$Z$273</f>
        <v>0</v>
      </c>
      <c r="O273" s="76">
        <f>$L$273-EFEITO!$O$273*EFEITO!$AA$273</f>
        <v>0</v>
      </c>
      <c r="P273" s="57"/>
      <c r="Q273" s="57"/>
      <c r="R273" s="57"/>
      <c r="S273" s="57"/>
      <c r="T273" s="57"/>
      <c r="U273" s="57"/>
      <c r="V273" s="57"/>
      <c r="W273" s="5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54</v>
      </c>
      <c r="B274" s="53" t="s">
        <v>41</v>
      </c>
      <c r="C274" s="53" t="s">
        <v>43</v>
      </c>
      <c r="D274" s="53" t="s">
        <v>44</v>
      </c>
      <c r="E274" s="53" t="s">
        <v>25</v>
      </c>
      <c r="F274" s="53" t="s">
        <v>25</v>
      </c>
      <c r="G274" s="53" t="s">
        <v>25</v>
      </c>
      <c r="H274" s="53" t="s">
        <v>25</v>
      </c>
      <c r="I274" s="75">
        <v>44866</v>
      </c>
      <c r="J274" s="76">
        <f ca="1">EFEITO!$J$274*EFEITO!$Y$274</f>
        <v>762627.36480574042</v>
      </c>
      <c r="K274" s="76">
        <f>EFEITO!$L$274*EFEITO!$Z$274</f>
        <v>0</v>
      </c>
      <c r="L274" s="76">
        <f>EFEITO!$N$274*EFEITO!$AA$274</f>
        <v>0</v>
      </c>
      <c r="M274" s="76">
        <f ca="1">$J$274-EFEITO!$K$274*EFEITO!$Y$274</f>
        <v>0</v>
      </c>
      <c r="N274" s="76">
        <f>$K$274-EFEITO!$M$274*EFEITO!$Z$274</f>
        <v>0</v>
      </c>
      <c r="O274" s="76">
        <f>$L$274-EFEITO!$O$274*EFEITO!$AA$274</f>
        <v>0</v>
      </c>
      <c r="P274" s="57"/>
      <c r="Q274" s="57"/>
      <c r="R274" s="57"/>
      <c r="S274" s="57"/>
      <c r="T274" s="57"/>
      <c r="U274" s="57"/>
      <c r="V274" s="57"/>
      <c r="W274" s="5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54</v>
      </c>
      <c r="B275" s="53" t="s">
        <v>41</v>
      </c>
      <c r="C275" s="53" t="s">
        <v>43</v>
      </c>
      <c r="D275" s="53" t="s">
        <v>44</v>
      </c>
      <c r="E275" s="53" t="s">
        <v>25</v>
      </c>
      <c r="F275" s="53" t="s">
        <v>25</v>
      </c>
      <c r="G275" s="53" t="s">
        <v>25</v>
      </c>
      <c r="H275" s="53" t="s">
        <v>25</v>
      </c>
      <c r="I275" s="75">
        <v>44866</v>
      </c>
      <c r="J275" s="76">
        <f ca="1">EFEITO!$J$275*EFEITO!$Y$275</f>
        <v>67000.853755543081</v>
      </c>
      <c r="K275" s="76">
        <f>EFEITO!$L$275*EFEITO!$Z$275</f>
        <v>0</v>
      </c>
      <c r="L275" s="76">
        <f>EFEITO!$N$275*EFEITO!$AA$275</f>
        <v>0</v>
      </c>
      <c r="M275" s="76">
        <f ca="1">$J$275-EFEITO!$K$275*EFEITO!$Y$275</f>
        <v>0</v>
      </c>
      <c r="N275" s="76">
        <f>$K$275-EFEITO!$M$275*EFEITO!$Z$275</f>
        <v>0</v>
      </c>
      <c r="O275" s="76">
        <f>$L$275-EFEITO!$O$275*EFEITO!$AA$275</f>
        <v>0</v>
      </c>
      <c r="P275" s="57"/>
      <c r="Q275" s="57"/>
      <c r="R275" s="57"/>
      <c r="S275" s="57"/>
      <c r="T275" s="57"/>
      <c r="U275" s="57"/>
      <c r="V275" s="57"/>
      <c r="W275" s="5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21</v>
      </c>
      <c r="B276" s="53" t="s">
        <v>41</v>
      </c>
      <c r="C276" s="53" t="s">
        <v>43</v>
      </c>
      <c r="D276" s="53" t="s">
        <v>44</v>
      </c>
      <c r="E276" s="53" t="s">
        <v>25</v>
      </c>
      <c r="F276" s="53" t="s">
        <v>25</v>
      </c>
      <c r="G276" s="53" t="s">
        <v>25</v>
      </c>
      <c r="H276" s="53" t="s">
        <v>34</v>
      </c>
      <c r="I276" s="75">
        <v>44531</v>
      </c>
      <c r="J276" s="76">
        <f>EFEITO!$J$276*EFEITO!$Y$276</f>
        <v>0</v>
      </c>
      <c r="K276" s="76">
        <f ca="1">EFEITO!$L$276*EFEITO!$Z$276</f>
        <v>848099.36550749675</v>
      </c>
      <c r="L276" s="76">
        <f>EFEITO!$N$276*EFEITO!$AA$276</f>
        <v>182385.75847869169</v>
      </c>
      <c r="M276" s="76">
        <f>$J$276-EFEITO!$K$276*EFEITO!$Y$276</f>
        <v>0</v>
      </c>
      <c r="N276" s="76">
        <f ca="1">$K$276-EFEITO!$M$276*EFEITO!$Z$276</f>
        <v>0</v>
      </c>
      <c r="O276" s="76">
        <f>$L$276-EFEITO!$O$276*EFEITO!$AA$276</f>
        <v>0</v>
      </c>
      <c r="P276" s="57"/>
      <c r="Q276" s="57"/>
      <c r="R276" s="57"/>
      <c r="S276" s="57"/>
      <c r="T276" s="57"/>
      <c r="U276" s="57"/>
      <c r="V276" s="57"/>
      <c r="W276" s="5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28</v>
      </c>
      <c r="B277" s="53" t="s">
        <v>41</v>
      </c>
      <c r="C277" s="53" t="s">
        <v>43</v>
      </c>
      <c r="D277" s="53" t="s">
        <v>44</v>
      </c>
      <c r="E277" s="53" t="s">
        <v>25</v>
      </c>
      <c r="F277" s="53" t="s">
        <v>25</v>
      </c>
      <c r="G277" s="53" t="s">
        <v>25</v>
      </c>
      <c r="H277" s="53" t="s">
        <v>34</v>
      </c>
      <c r="I277" s="75">
        <v>44531</v>
      </c>
      <c r="J277" s="76">
        <f>EFEITO!$J$277*EFEITO!$Y$277</f>
        <v>0</v>
      </c>
      <c r="K277" s="76">
        <f ca="1">EFEITO!$L$277*EFEITO!$Z$277</f>
        <v>10122.741086301674</v>
      </c>
      <c r="L277" s="76">
        <f>EFEITO!$N$277*EFEITO!$AA$277</f>
        <v>2176.9192219637694</v>
      </c>
      <c r="M277" s="76">
        <f>$J$277-EFEITO!$K$277*EFEITO!$Y$277</f>
        <v>0</v>
      </c>
      <c r="N277" s="76">
        <f ca="1">$K$277-EFEITO!$M$277*EFEITO!$Z$277</f>
        <v>0</v>
      </c>
      <c r="O277" s="76">
        <f>$L$277-EFEITO!$O$277*EFEITO!$AA$277</f>
        <v>0</v>
      </c>
      <c r="P277" s="57"/>
      <c r="Q277" s="57"/>
      <c r="R277" s="57"/>
      <c r="S277" s="57"/>
      <c r="T277" s="57"/>
      <c r="U277" s="57"/>
      <c r="V277" s="57"/>
      <c r="W277" s="5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21</v>
      </c>
      <c r="B278" s="53" t="s">
        <v>41</v>
      </c>
      <c r="C278" s="53" t="s">
        <v>43</v>
      </c>
      <c r="D278" s="53" t="s">
        <v>44</v>
      </c>
      <c r="E278" s="53" t="s">
        <v>25</v>
      </c>
      <c r="F278" s="53" t="s">
        <v>25</v>
      </c>
      <c r="G278" s="53" t="s">
        <v>25</v>
      </c>
      <c r="H278" s="53" t="s">
        <v>34</v>
      </c>
      <c r="I278" s="75">
        <v>44562</v>
      </c>
      <c r="J278" s="76">
        <f>EFEITO!$J$278*EFEITO!$Y$278</f>
        <v>0</v>
      </c>
      <c r="K278" s="76">
        <f ca="1">EFEITO!$L$278*EFEITO!$Z$278</f>
        <v>678542.70336690918</v>
      </c>
      <c r="L278" s="76">
        <f>EFEITO!$N$278*EFEITO!$AA$278</f>
        <v>145922.2004484116</v>
      </c>
      <c r="M278" s="76">
        <f>$J$278-EFEITO!$K$278*EFEITO!$Y$278</f>
        <v>0</v>
      </c>
      <c r="N278" s="76">
        <f ca="1">$K$278-EFEITO!$M$278*EFEITO!$Z$278</f>
        <v>0</v>
      </c>
      <c r="O278" s="76">
        <f>$L$278-EFEITO!$O$278*EFEITO!$AA$278</f>
        <v>0</v>
      </c>
      <c r="P278" s="57"/>
      <c r="Q278" s="57"/>
      <c r="R278" s="57"/>
      <c r="S278" s="57"/>
      <c r="T278" s="57"/>
      <c r="U278" s="57"/>
      <c r="V278" s="57"/>
      <c r="W278" s="5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27</v>
      </c>
      <c r="B279" s="53" t="s">
        <v>41</v>
      </c>
      <c r="C279" s="53" t="s">
        <v>43</v>
      </c>
      <c r="D279" s="53" t="s">
        <v>44</v>
      </c>
      <c r="E279" s="53" t="s">
        <v>25</v>
      </c>
      <c r="F279" s="53" t="s">
        <v>25</v>
      </c>
      <c r="G279" s="53" t="s">
        <v>25</v>
      </c>
      <c r="H279" s="53" t="s">
        <v>34</v>
      </c>
      <c r="I279" s="75">
        <v>44562</v>
      </c>
      <c r="J279" s="76">
        <f>EFEITO!$J$279*EFEITO!$Y$279</f>
        <v>0</v>
      </c>
      <c r="K279" s="76">
        <f ca="1">EFEITO!$L$279*EFEITO!$Z$279</f>
        <v>-8106.5810534277389</v>
      </c>
      <c r="L279" s="76">
        <f>EFEITO!$N$279*EFEITO!$AA$279</f>
        <v>-1743.3392763048121</v>
      </c>
      <c r="M279" s="76">
        <f>$J$279-EFEITO!$K$279*EFEITO!$Y$279</f>
        <v>0</v>
      </c>
      <c r="N279" s="76">
        <f ca="1">$K$279-EFEITO!$M$279*EFEITO!$Z$279</f>
        <v>0</v>
      </c>
      <c r="O279" s="76">
        <f>$L$279-EFEITO!$O$279*EFEITO!$AA$279</f>
        <v>0</v>
      </c>
      <c r="P279" s="57"/>
      <c r="Q279" s="57"/>
      <c r="R279" s="57"/>
      <c r="S279" s="57"/>
      <c r="T279" s="57"/>
      <c r="U279" s="57"/>
      <c r="V279" s="57"/>
      <c r="W279" s="5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28</v>
      </c>
      <c r="B280" s="53" t="s">
        <v>41</v>
      </c>
      <c r="C280" s="53" t="s">
        <v>43</v>
      </c>
      <c r="D280" s="53" t="s">
        <v>44</v>
      </c>
      <c r="E280" s="53" t="s">
        <v>25</v>
      </c>
      <c r="F280" s="53" t="s">
        <v>25</v>
      </c>
      <c r="G280" s="53" t="s">
        <v>25</v>
      </c>
      <c r="H280" s="53" t="s">
        <v>34</v>
      </c>
      <c r="I280" s="75">
        <v>44562</v>
      </c>
      <c r="J280" s="76">
        <f>EFEITO!$J$280*EFEITO!$Y$280</f>
        <v>0</v>
      </c>
      <c r="K280" s="76">
        <f ca="1">EFEITO!$L$280*EFEITO!$Z$280</f>
        <v>11933.690179722616</v>
      </c>
      <c r="L280" s="76">
        <f>EFEITO!$N$280*EFEITO!$AA$280</f>
        <v>2566.3680735994894</v>
      </c>
      <c r="M280" s="76">
        <f>$J$280-EFEITO!$K$280*EFEITO!$Y$280</f>
        <v>0</v>
      </c>
      <c r="N280" s="76">
        <f ca="1">$K$280-EFEITO!$M$280*EFEITO!$Z$280</f>
        <v>0</v>
      </c>
      <c r="O280" s="76">
        <f>$L$280-EFEITO!$O$280*EFEITO!$AA$280</f>
        <v>0</v>
      </c>
      <c r="P280" s="57"/>
      <c r="Q280" s="57"/>
      <c r="R280" s="57"/>
      <c r="S280" s="57"/>
      <c r="T280" s="57"/>
      <c r="U280" s="57"/>
      <c r="V280" s="57"/>
      <c r="W280" s="5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21</v>
      </c>
      <c r="B281" s="53" t="s">
        <v>41</v>
      </c>
      <c r="C281" s="53" t="s">
        <v>43</v>
      </c>
      <c r="D281" s="53" t="s">
        <v>44</v>
      </c>
      <c r="E281" s="53" t="s">
        <v>25</v>
      </c>
      <c r="F281" s="53" t="s">
        <v>25</v>
      </c>
      <c r="G281" s="53" t="s">
        <v>25</v>
      </c>
      <c r="H281" s="53" t="s">
        <v>34</v>
      </c>
      <c r="I281" s="75">
        <v>44593</v>
      </c>
      <c r="J281" s="76">
        <f>EFEITO!$J$281*EFEITO!$Y$281</f>
        <v>0</v>
      </c>
      <c r="K281" s="76">
        <f ca="1">EFEITO!$L$281*EFEITO!$Z$281</f>
        <v>699993.98704505747</v>
      </c>
      <c r="L281" s="76">
        <f>EFEITO!$N$281*EFEITO!$AA$281</f>
        <v>150535.34933532239</v>
      </c>
      <c r="M281" s="76">
        <f>$J$281-EFEITO!$K$281*EFEITO!$Y$281</f>
        <v>0</v>
      </c>
      <c r="N281" s="76">
        <f ca="1">$K$281-EFEITO!$M$281*EFEITO!$Z$281</f>
        <v>0</v>
      </c>
      <c r="O281" s="76">
        <f>$L$281-EFEITO!$O$281*EFEITO!$AA$281</f>
        <v>0</v>
      </c>
      <c r="P281" s="57"/>
      <c r="Q281" s="57"/>
      <c r="R281" s="57"/>
      <c r="S281" s="57"/>
      <c r="T281" s="57"/>
      <c r="U281" s="57"/>
      <c r="V281" s="57"/>
      <c r="W281" s="5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27</v>
      </c>
      <c r="B282" s="53" t="s">
        <v>41</v>
      </c>
      <c r="C282" s="53" t="s">
        <v>43</v>
      </c>
      <c r="D282" s="53" t="s">
        <v>44</v>
      </c>
      <c r="E282" s="53" t="s">
        <v>25</v>
      </c>
      <c r="F282" s="53" t="s">
        <v>25</v>
      </c>
      <c r="G282" s="53" t="s">
        <v>25</v>
      </c>
      <c r="H282" s="53" t="s">
        <v>34</v>
      </c>
      <c r="I282" s="75">
        <v>44593</v>
      </c>
      <c r="J282" s="76">
        <f>EFEITO!$J$282*EFEITO!$Y$282</f>
        <v>0</v>
      </c>
      <c r="K282" s="76">
        <f ca="1">EFEITO!$L$282*EFEITO!$Z$282</f>
        <v>-122.82698565799606</v>
      </c>
      <c r="L282" s="76">
        <f>EFEITO!$N$282*EFEITO!$AA$282</f>
        <v>-26.414231459163823</v>
      </c>
      <c r="M282" s="76">
        <f>$J$282-EFEITO!$K$282*EFEITO!$Y$282</f>
        <v>0</v>
      </c>
      <c r="N282" s="76">
        <f ca="1">$K$282-EFEITO!$M$282*EFEITO!$Z$282</f>
        <v>0</v>
      </c>
      <c r="O282" s="76">
        <f>$L$282-EFEITO!$O$282*EFEITO!$AA$282</f>
        <v>0</v>
      </c>
      <c r="P282" s="57"/>
      <c r="Q282" s="57"/>
      <c r="R282" s="57"/>
      <c r="S282" s="57"/>
      <c r="T282" s="57"/>
      <c r="U282" s="57"/>
      <c r="V282" s="57"/>
      <c r="W282" s="5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28</v>
      </c>
      <c r="B283" s="53" t="s">
        <v>41</v>
      </c>
      <c r="C283" s="53" t="s">
        <v>43</v>
      </c>
      <c r="D283" s="53" t="s">
        <v>44</v>
      </c>
      <c r="E283" s="53" t="s">
        <v>25</v>
      </c>
      <c r="F283" s="53" t="s">
        <v>25</v>
      </c>
      <c r="G283" s="53" t="s">
        <v>25</v>
      </c>
      <c r="H283" s="53" t="s">
        <v>34</v>
      </c>
      <c r="I283" s="75">
        <v>44593</v>
      </c>
      <c r="J283" s="76">
        <f>EFEITO!$J$283*EFEITO!$Y$283</f>
        <v>0</v>
      </c>
      <c r="K283" s="76">
        <f ca="1">EFEITO!$L$283*EFEITO!$Z$283</f>
        <v>5957.1088044128082</v>
      </c>
      <c r="L283" s="76">
        <f>EFEITO!$N$283*EFEITO!$AA$283</f>
        <v>1281.0902257694452</v>
      </c>
      <c r="M283" s="76">
        <f>$J$283-EFEITO!$K$283*EFEITO!$Y$283</f>
        <v>0</v>
      </c>
      <c r="N283" s="76">
        <f ca="1">$K$283-EFEITO!$M$283*EFEITO!$Z$283</f>
        <v>0</v>
      </c>
      <c r="O283" s="76">
        <f>$L$283-EFEITO!$O$283*EFEITO!$AA$283</f>
        <v>0</v>
      </c>
      <c r="P283" s="57"/>
      <c r="Q283" s="57"/>
      <c r="R283" s="57"/>
      <c r="S283" s="57"/>
      <c r="T283" s="57"/>
      <c r="U283" s="57"/>
      <c r="V283" s="57"/>
      <c r="W283" s="5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21</v>
      </c>
      <c r="B284" s="53" t="s">
        <v>41</v>
      </c>
      <c r="C284" s="53" t="s">
        <v>43</v>
      </c>
      <c r="D284" s="53" t="s">
        <v>44</v>
      </c>
      <c r="E284" s="53" t="s">
        <v>25</v>
      </c>
      <c r="F284" s="53" t="s">
        <v>25</v>
      </c>
      <c r="G284" s="53" t="s">
        <v>25</v>
      </c>
      <c r="H284" s="53" t="s">
        <v>34</v>
      </c>
      <c r="I284" s="75">
        <v>44621</v>
      </c>
      <c r="J284" s="76">
        <f>EFEITO!$J$284*EFEITO!$Y$284</f>
        <v>0</v>
      </c>
      <c r="K284" s="76">
        <f ca="1">EFEITO!$L$284*EFEITO!$Z$284</f>
        <v>754836.23614135268</v>
      </c>
      <c r="L284" s="76">
        <f>EFEITO!$N$284*EFEITO!$AA$284</f>
        <v>162329.30368183902</v>
      </c>
      <c r="M284" s="76">
        <f>$J$284-EFEITO!$K$284*EFEITO!$Y$284</f>
        <v>0</v>
      </c>
      <c r="N284" s="76">
        <f ca="1">$K$284-EFEITO!$M$284*EFEITO!$Z$284</f>
        <v>0</v>
      </c>
      <c r="O284" s="76">
        <f>$L$284-EFEITO!$O$284*EFEITO!$AA$284</f>
        <v>0</v>
      </c>
      <c r="P284" s="57"/>
      <c r="Q284" s="57"/>
      <c r="R284" s="57"/>
      <c r="S284" s="57"/>
      <c r="T284" s="57"/>
      <c r="U284" s="57"/>
      <c r="V284" s="57"/>
      <c r="W284" s="5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28</v>
      </c>
      <c r="B285" s="53" t="s">
        <v>41</v>
      </c>
      <c r="C285" s="53" t="s">
        <v>43</v>
      </c>
      <c r="D285" s="53" t="s">
        <v>44</v>
      </c>
      <c r="E285" s="53" t="s">
        <v>25</v>
      </c>
      <c r="F285" s="53" t="s">
        <v>25</v>
      </c>
      <c r="G285" s="53" t="s">
        <v>25</v>
      </c>
      <c r="H285" s="53" t="s">
        <v>34</v>
      </c>
      <c r="I285" s="75">
        <v>44621</v>
      </c>
      <c r="J285" s="76">
        <f>EFEITO!$J$285*EFEITO!$Y$285</f>
        <v>0</v>
      </c>
      <c r="K285" s="76">
        <f ca="1">EFEITO!$L$285*EFEITO!$Z$285</f>
        <v>11496.30627957463</v>
      </c>
      <c r="L285" s="76">
        <f>EFEITO!$N$285*EFEITO!$AA$285</f>
        <v>2472.3076396229549</v>
      </c>
      <c r="M285" s="76">
        <f>$J$285-EFEITO!$K$285*EFEITO!$Y$285</f>
        <v>0</v>
      </c>
      <c r="N285" s="76">
        <f ca="1">$K$285-EFEITO!$M$285*EFEITO!$Z$285</f>
        <v>0</v>
      </c>
      <c r="O285" s="76">
        <f>$L$285-EFEITO!$O$285*EFEITO!$AA$285</f>
        <v>0</v>
      </c>
      <c r="P285" s="57"/>
      <c r="Q285" s="57"/>
      <c r="R285" s="57"/>
      <c r="S285" s="57"/>
      <c r="T285" s="57"/>
      <c r="U285" s="57"/>
      <c r="V285" s="57"/>
      <c r="W285" s="5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21</v>
      </c>
      <c r="B286" s="53" t="s">
        <v>41</v>
      </c>
      <c r="C286" s="53" t="s">
        <v>43</v>
      </c>
      <c r="D286" s="53" t="s">
        <v>44</v>
      </c>
      <c r="E286" s="53" t="s">
        <v>25</v>
      </c>
      <c r="F286" s="53" t="s">
        <v>25</v>
      </c>
      <c r="G286" s="53" t="s">
        <v>25</v>
      </c>
      <c r="H286" s="53" t="s">
        <v>34</v>
      </c>
      <c r="I286" s="75">
        <v>44652</v>
      </c>
      <c r="J286" s="76">
        <f>EFEITO!$J$286*EFEITO!$Y$286</f>
        <v>0</v>
      </c>
      <c r="K286" s="76">
        <f ca="1">EFEITO!$L$286*EFEITO!$Z$286</f>
        <v>712314.1328625821</v>
      </c>
      <c r="L286" s="76">
        <f>EFEITO!$N$286*EFEITO!$AA$286</f>
        <v>153184.82560058607</v>
      </c>
      <c r="M286" s="76">
        <f>$J$286-EFEITO!$K$286*EFEITO!$Y$286</f>
        <v>0</v>
      </c>
      <c r="N286" s="76">
        <f ca="1">$K$286-EFEITO!$M$286*EFEITO!$Z$286</f>
        <v>0</v>
      </c>
      <c r="O286" s="76">
        <f>$L$286-EFEITO!$O$286*EFEITO!$AA$286</f>
        <v>0</v>
      </c>
      <c r="P286" s="57"/>
      <c r="Q286" s="57"/>
      <c r="R286" s="57"/>
      <c r="S286" s="57"/>
      <c r="T286" s="57"/>
      <c r="U286" s="57"/>
      <c r="V286" s="57"/>
      <c r="W286" s="5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28</v>
      </c>
      <c r="B287" s="53" t="s">
        <v>41</v>
      </c>
      <c r="C287" s="53" t="s">
        <v>43</v>
      </c>
      <c r="D287" s="53" t="s">
        <v>44</v>
      </c>
      <c r="E287" s="53" t="s">
        <v>25</v>
      </c>
      <c r="F287" s="53" t="s">
        <v>25</v>
      </c>
      <c r="G287" s="53" t="s">
        <v>25</v>
      </c>
      <c r="H287" s="53" t="s">
        <v>34</v>
      </c>
      <c r="I287" s="75">
        <v>44652</v>
      </c>
      <c r="J287" s="76">
        <f>EFEITO!$J$287*EFEITO!$Y$287</f>
        <v>0</v>
      </c>
      <c r="K287" s="76">
        <f ca="1">EFEITO!$L$287*EFEITO!$Z$287</f>
        <v>13837.508457421554</v>
      </c>
      <c r="L287" s="76">
        <f>EFEITO!$N$287*EFEITO!$AA$287</f>
        <v>2975.7886612165289</v>
      </c>
      <c r="M287" s="76">
        <f>$J$287-EFEITO!$K$287*EFEITO!$Y$287</f>
        <v>0</v>
      </c>
      <c r="N287" s="76">
        <f ca="1">$K$287-EFEITO!$M$287*EFEITO!$Z$287</f>
        <v>0</v>
      </c>
      <c r="O287" s="76">
        <f>$L$287-EFEITO!$O$287*EFEITO!$AA$287</f>
        <v>0</v>
      </c>
      <c r="P287" s="57"/>
      <c r="Q287" s="57"/>
      <c r="R287" s="57"/>
      <c r="S287" s="57"/>
      <c r="T287" s="57"/>
      <c r="U287" s="57"/>
      <c r="V287" s="57"/>
      <c r="W287" s="5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21</v>
      </c>
      <c r="B288" s="53" t="s">
        <v>41</v>
      </c>
      <c r="C288" s="53" t="s">
        <v>43</v>
      </c>
      <c r="D288" s="53" t="s">
        <v>44</v>
      </c>
      <c r="E288" s="53" t="s">
        <v>25</v>
      </c>
      <c r="F288" s="53" t="s">
        <v>25</v>
      </c>
      <c r="G288" s="53" t="s">
        <v>25</v>
      </c>
      <c r="H288" s="53" t="s">
        <v>34</v>
      </c>
      <c r="I288" s="75">
        <v>44682</v>
      </c>
      <c r="J288" s="76">
        <f>EFEITO!$J$288*EFEITO!$Y$288</f>
        <v>0</v>
      </c>
      <c r="K288" s="76">
        <f ca="1">EFEITO!$L$288*EFEITO!$Z$288</f>
        <v>802762.72678907518</v>
      </c>
      <c r="L288" s="76">
        <f>EFEITO!$N$288*EFEITO!$AA$288</f>
        <v>172636.00794729521</v>
      </c>
      <c r="M288" s="76">
        <f>$J$288-EFEITO!$K$288*EFEITO!$Y$288</f>
        <v>0</v>
      </c>
      <c r="N288" s="76">
        <f ca="1">$K$288-EFEITO!$M$288*EFEITO!$Z$288</f>
        <v>0</v>
      </c>
      <c r="O288" s="76">
        <f>$L$288-EFEITO!$O$288*EFEITO!$AA$288</f>
        <v>0</v>
      </c>
      <c r="P288" s="57"/>
      <c r="Q288" s="57"/>
      <c r="R288" s="57"/>
      <c r="S288" s="57"/>
      <c r="T288" s="57"/>
      <c r="U288" s="57"/>
      <c r="V288" s="57"/>
      <c r="W288" s="5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28</v>
      </c>
      <c r="B289" s="53" t="s">
        <v>41</v>
      </c>
      <c r="C289" s="53" t="s">
        <v>43</v>
      </c>
      <c r="D289" s="53" t="s">
        <v>44</v>
      </c>
      <c r="E289" s="53" t="s">
        <v>25</v>
      </c>
      <c r="F289" s="53" t="s">
        <v>25</v>
      </c>
      <c r="G289" s="53" t="s">
        <v>25</v>
      </c>
      <c r="H289" s="53" t="s">
        <v>34</v>
      </c>
      <c r="I289" s="75">
        <v>44682</v>
      </c>
      <c r="J289" s="76">
        <f>EFEITO!$J$289*EFEITO!$Y$289</f>
        <v>0</v>
      </c>
      <c r="K289" s="76">
        <f ca="1">EFEITO!$L$289*EFEITO!$Z$289</f>
        <v>17161.32652053245</v>
      </c>
      <c r="L289" s="76">
        <f>EFEITO!$N$289*EFEITO!$AA$289</f>
        <v>3690.5835344834136</v>
      </c>
      <c r="M289" s="76">
        <f>$J$289-EFEITO!$K$289*EFEITO!$Y$289</f>
        <v>0</v>
      </c>
      <c r="N289" s="76">
        <f ca="1">$K$289-EFEITO!$M$289*EFEITO!$Z$289</f>
        <v>0</v>
      </c>
      <c r="O289" s="76">
        <f>$L$289-EFEITO!$O$289*EFEITO!$AA$289</f>
        <v>0</v>
      </c>
      <c r="P289" s="57"/>
      <c r="Q289" s="57"/>
      <c r="R289" s="57"/>
      <c r="S289" s="57"/>
      <c r="T289" s="57"/>
      <c r="U289" s="57"/>
      <c r="V289" s="57"/>
      <c r="W289" s="5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21</v>
      </c>
      <c r="B290" s="53" t="s">
        <v>41</v>
      </c>
      <c r="C290" s="53" t="s">
        <v>43</v>
      </c>
      <c r="D290" s="53" t="s">
        <v>44</v>
      </c>
      <c r="E290" s="53" t="s">
        <v>25</v>
      </c>
      <c r="F290" s="53" t="s">
        <v>25</v>
      </c>
      <c r="G290" s="53" t="s">
        <v>25</v>
      </c>
      <c r="H290" s="53" t="s">
        <v>34</v>
      </c>
      <c r="I290" s="75">
        <v>44713</v>
      </c>
      <c r="J290" s="76">
        <f>EFEITO!$J$290*EFEITO!$Y$290</f>
        <v>0</v>
      </c>
      <c r="K290" s="76">
        <f ca="1">EFEITO!$L$290*EFEITO!$Z$290</f>
        <v>812193.44266349892</v>
      </c>
      <c r="L290" s="76">
        <f>EFEITO!$N$290*EFEITO!$AA$290</f>
        <v>174664.10552372076</v>
      </c>
      <c r="M290" s="76">
        <f>$J$290-EFEITO!$K$290*EFEITO!$Y$290</f>
        <v>0</v>
      </c>
      <c r="N290" s="76">
        <f ca="1">$K$290-EFEITO!$M$290*EFEITO!$Z$290</f>
        <v>0</v>
      </c>
      <c r="O290" s="76">
        <f>$L$290-EFEITO!$O$290*EFEITO!$AA$290</f>
        <v>0</v>
      </c>
      <c r="P290" s="57"/>
      <c r="Q290" s="57"/>
      <c r="R290" s="57"/>
      <c r="S290" s="57"/>
      <c r="T290" s="57"/>
      <c r="U290" s="57"/>
      <c r="V290" s="57"/>
      <c r="W290" s="5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27</v>
      </c>
      <c r="B291" s="53" t="s">
        <v>41</v>
      </c>
      <c r="C291" s="53" t="s">
        <v>43</v>
      </c>
      <c r="D291" s="53" t="s">
        <v>44</v>
      </c>
      <c r="E291" s="53" t="s">
        <v>25</v>
      </c>
      <c r="F291" s="53" t="s">
        <v>25</v>
      </c>
      <c r="G291" s="53" t="s">
        <v>25</v>
      </c>
      <c r="H291" s="53" t="s">
        <v>34</v>
      </c>
      <c r="I291" s="75">
        <v>44713</v>
      </c>
      <c r="J291" s="76">
        <f>EFEITO!$J$291*EFEITO!$Y$291</f>
        <v>0</v>
      </c>
      <c r="K291" s="76">
        <f ca="1">EFEITO!$L$291*EFEITO!$Z$291</f>
        <v>-311.56113435198995</v>
      </c>
      <c r="L291" s="76">
        <f>EFEITO!$N$291*EFEITO!$AA$291</f>
        <v>-67.00195296958627</v>
      </c>
      <c r="M291" s="76">
        <f>$J$291-EFEITO!$K$291*EFEITO!$Y$291</f>
        <v>0</v>
      </c>
      <c r="N291" s="76">
        <f ca="1">$K$291-EFEITO!$M$291*EFEITO!$Z$291</f>
        <v>0</v>
      </c>
      <c r="O291" s="76">
        <f>$L$291-EFEITO!$O$291*EFEITO!$AA$291</f>
        <v>0</v>
      </c>
      <c r="P291" s="57"/>
      <c r="Q291" s="57"/>
      <c r="R291" s="57"/>
      <c r="S291" s="57"/>
      <c r="T291" s="57"/>
      <c r="U291" s="57"/>
      <c r="V291" s="57"/>
      <c r="W291" s="5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28</v>
      </c>
      <c r="B292" s="53" t="s">
        <v>41</v>
      </c>
      <c r="C292" s="53" t="s">
        <v>43</v>
      </c>
      <c r="D292" s="53" t="s">
        <v>44</v>
      </c>
      <c r="E292" s="53" t="s">
        <v>25</v>
      </c>
      <c r="F292" s="53" t="s">
        <v>25</v>
      </c>
      <c r="G292" s="53" t="s">
        <v>25</v>
      </c>
      <c r="H292" s="53" t="s">
        <v>34</v>
      </c>
      <c r="I292" s="75">
        <v>44713</v>
      </c>
      <c r="J292" s="76">
        <f>EFEITO!$J$292*EFEITO!$Y$292</f>
        <v>0</v>
      </c>
      <c r="K292" s="76">
        <f ca="1">EFEITO!$L$292*EFEITO!$Z$292</f>
        <v>11990.610002344616</v>
      </c>
      <c r="L292" s="76">
        <f>EFEITO!$N$292*EFEITO!$AA$292</f>
        <v>2578.6088150073952</v>
      </c>
      <c r="M292" s="76">
        <f>$J$292-EFEITO!$K$292*EFEITO!$Y$292</f>
        <v>0</v>
      </c>
      <c r="N292" s="76">
        <f ca="1">$K$292-EFEITO!$M$292*EFEITO!$Z$292</f>
        <v>0</v>
      </c>
      <c r="O292" s="76">
        <f>$L$292-EFEITO!$O$292*EFEITO!$AA$292</f>
        <v>0</v>
      </c>
      <c r="P292" s="57"/>
      <c r="Q292" s="57"/>
      <c r="R292" s="57"/>
      <c r="S292" s="57"/>
      <c r="T292" s="57"/>
      <c r="U292" s="57"/>
      <c r="V292" s="57"/>
      <c r="W292" s="5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21</v>
      </c>
      <c r="B293" s="53" t="s">
        <v>41</v>
      </c>
      <c r="C293" s="53" t="s">
        <v>43</v>
      </c>
      <c r="D293" s="53" t="s">
        <v>44</v>
      </c>
      <c r="E293" s="53" t="s">
        <v>25</v>
      </c>
      <c r="F293" s="53" t="s">
        <v>25</v>
      </c>
      <c r="G293" s="53" t="s">
        <v>25</v>
      </c>
      <c r="H293" s="53" t="s">
        <v>34</v>
      </c>
      <c r="I293" s="75">
        <v>44743</v>
      </c>
      <c r="J293" s="76">
        <f>EFEITO!$J$293*EFEITO!$Y$293</f>
        <v>0</v>
      </c>
      <c r="K293" s="76">
        <f ca="1">EFEITO!$L$293*EFEITO!$Z$293</f>
        <v>844898.37443004374</v>
      </c>
      <c r="L293" s="76">
        <f>EFEITO!$N$293*EFEITO!$AA$293</f>
        <v>181697.37783688394</v>
      </c>
      <c r="M293" s="76">
        <f>$J$293-EFEITO!$K$293*EFEITO!$Y$293</f>
        <v>0</v>
      </c>
      <c r="N293" s="76">
        <f ca="1">$K$293-EFEITO!$M$293*EFEITO!$Z$293</f>
        <v>0</v>
      </c>
      <c r="O293" s="76">
        <f>$L$293-EFEITO!$O$293*EFEITO!$AA$293</f>
        <v>0</v>
      </c>
      <c r="P293" s="57"/>
      <c r="Q293" s="57"/>
      <c r="R293" s="57"/>
      <c r="S293" s="57"/>
      <c r="T293" s="57"/>
      <c r="U293" s="57"/>
      <c r="V293" s="57"/>
      <c r="W293" s="5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28</v>
      </c>
      <c r="B294" s="53" t="s">
        <v>41</v>
      </c>
      <c r="C294" s="53" t="s">
        <v>43</v>
      </c>
      <c r="D294" s="53" t="s">
        <v>44</v>
      </c>
      <c r="E294" s="53" t="s">
        <v>25</v>
      </c>
      <c r="F294" s="53" t="s">
        <v>25</v>
      </c>
      <c r="G294" s="53" t="s">
        <v>25</v>
      </c>
      <c r="H294" s="53" t="s">
        <v>34</v>
      </c>
      <c r="I294" s="75">
        <v>44743</v>
      </c>
      <c r="J294" s="76">
        <f>EFEITO!$J$294*EFEITO!$Y$294</f>
        <v>0</v>
      </c>
      <c r="K294" s="76">
        <f ca="1">EFEITO!$L$294*EFEITO!$Z$294</f>
        <v>10946.580624251648</v>
      </c>
      <c r="L294" s="76">
        <f>EFEITO!$N$294*EFEITO!$AA$294</f>
        <v>2354.0878476045023</v>
      </c>
      <c r="M294" s="76">
        <f>$J$294-EFEITO!$K$294*EFEITO!$Y$294</f>
        <v>0</v>
      </c>
      <c r="N294" s="76">
        <f ca="1">$K$294-EFEITO!$M$294*EFEITO!$Z$294</f>
        <v>0</v>
      </c>
      <c r="O294" s="76">
        <f>$L$294-EFEITO!$O$294*EFEITO!$AA$294</f>
        <v>0</v>
      </c>
      <c r="P294" s="57"/>
      <c r="Q294" s="57"/>
      <c r="R294" s="57"/>
      <c r="S294" s="57"/>
      <c r="T294" s="57"/>
      <c r="U294" s="57"/>
      <c r="V294" s="57"/>
      <c r="W294" s="5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41</v>
      </c>
      <c r="C295" s="53" t="s">
        <v>43</v>
      </c>
      <c r="D295" s="53" t="s">
        <v>44</v>
      </c>
      <c r="E295" s="53" t="s">
        <v>25</v>
      </c>
      <c r="F295" s="53" t="s">
        <v>25</v>
      </c>
      <c r="G295" s="53" t="s">
        <v>25</v>
      </c>
      <c r="H295" s="53" t="s">
        <v>34</v>
      </c>
      <c r="I295" s="75">
        <v>44774</v>
      </c>
      <c r="J295" s="76">
        <f>EFEITO!$J$295*EFEITO!$Y$295</f>
        <v>0</v>
      </c>
      <c r="K295" s="76">
        <f ca="1">EFEITO!$L$295*EFEITO!$Z$295</f>
        <v>1013437.9692137804</v>
      </c>
      <c r="L295" s="76">
        <f>EFEITO!$N$295*EFEITO!$AA$295</f>
        <v>217942.2131456912</v>
      </c>
      <c r="M295" s="76">
        <f>$J$295-EFEITO!$K$295*EFEITO!$Y$295</f>
        <v>0</v>
      </c>
      <c r="N295" s="76">
        <f ca="1">$K$295-EFEITO!$M$295*EFEITO!$Z$295</f>
        <v>0</v>
      </c>
      <c r="O295" s="76">
        <f>$L$295-EFEITO!$O$295*EFEITO!$AA$295</f>
        <v>0</v>
      </c>
      <c r="P295" s="57"/>
      <c r="Q295" s="57"/>
      <c r="R295" s="57"/>
      <c r="S295" s="57"/>
      <c r="T295" s="57"/>
      <c r="U295" s="57"/>
      <c r="V295" s="57"/>
      <c r="W295" s="5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27</v>
      </c>
      <c r="B296" s="53" t="s">
        <v>41</v>
      </c>
      <c r="C296" s="53" t="s">
        <v>43</v>
      </c>
      <c r="D296" s="53" t="s">
        <v>44</v>
      </c>
      <c r="E296" s="53" t="s">
        <v>25</v>
      </c>
      <c r="F296" s="53" t="s">
        <v>25</v>
      </c>
      <c r="G296" s="53" t="s">
        <v>25</v>
      </c>
      <c r="H296" s="53" t="s">
        <v>34</v>
      </c>
      <c r="I296" s="75">
        <v>44774</v>
      </c>
      <c r="J296" s="76">
        <f>EFEITO!$J$296*EFEITO!$Y$296</f>
        <v>0</v>
      </c>
      <c r="K296" s="76">
        <f ca="1">EFEITO!$L$296*EFEITO!$Z$296</f>
        <v>-52173.008993337324</v>
      </c>
      <c r="L296" s="76">
        <f>EFEITO!$N$296*EFEITO!$AA$296</f>
        <v>-11219.927999440672</v>
      </c>
      <c r="M296" s="76">
        <f>$J$296-EFEITO!$K$296*EFEITO!$Y$296</f>
        <v>0</v>
      </c>
      <c r="N296" s="76">
        <f ca="1">$K$296-EFEITO!$M$296*EFEITO!$Z$296</f>
        <v>0</v>
      </c>
      <c r="O296" s="76">
        <f>$L$296-EFEITO!$O$296*EFEITO!$AA$296</f>
        <v>0</v>
      </c>
      <c r="P296" s="57"/>
      <c r="Q296" s="57"/>
      <c r="R296" s="57"/>
      <c r="S296" s="57"/>
      <c r="T296" s="57"/>
      <c r="U296" s="57"/>
      <c r="V296" s="57"/>
      <c r="W296" s="5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28</v>
      </c>
      <c r="B297" s="53" t="s">
        <v>41</v>
      </c>
      <c r="C297" s="53" t="s">
        <v>43</v>
      </c>
      <c r="D297" s="53" t="s">
        <v>44</v>
      </c>
      <c r="E297" s="53" t="s">
        <v>25</v>
      </c>
      <c r="F297" s="53" t="s">
        <v>25</v>
      </c>
      <c r="G297" s="53" t="s">
        <v>25</v>
      </c>
      <c r="H297" s="53" t="s">
        <v>34</v>
      </c>
      <c r="I297" s="75">
        <v>44774</v>
      </c>
      <c r="J297" s="76">
        <f>EFEITO!$J$297*EFEITO!$Y$297</f>
        <v>0</v>
      </c>
      <c r="K297" s="76">
        <f ca="1">EFEITO!$L$297*EFEITO!$Z$297</f>
        <v>10489.724153206664</v>
      </c>
      <c r="L297" s="76">
        <f>EFEITO!$N$297*EFEITO!$AA$297</f>
        <v>2255.8397915673686</v>
      </c>
      <c r="M297" s="76">
        <f>$J$297-EFEITO!$K$297*EFEITO!$Y$297</f>
        <v>0</v>
      </c>
      <c r="N297" s="76">
        <f ca="1">$K$297-EFEITO!$M$297*EFEITO!$Z$297</f>
        <v>0</v>
      </c>
      <c r="O297" s="76">
        <f>$L$297-EFEITO!$O$297*EFEITO!$AA$297</f>
        <v>0</v>
      </c>
      <c r="P297" s="57"/>
      <c r="Q297" s="57"/>
      <c r="R297" s="57"/>
      <c r="S297" s="57"/>
      <c r="T297" s="57"/>
      <c r="U297" s="57"/>
      <c r="V297" s="57"/>
      <c r="W297" s="5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41</v>
      </c>
      <c r="C298" s="53" t="s">
        <v>43</v>
      </c>
      <c r="D298" s="53" t="s">
        <v>44</v>
      </c>
      <c r="E298" s="53" t="s">
        <v>25</v>
      </c>
      <c r="F298" s="53" t="s">
        <v>25</v>
      </c>
      <c r="G298" s="53" t="s">
        <v>25</v>
      </c>
      <c r="H298" s="53" t="s">
        <v>34</v>
      </c>
      <c r="I298" s="75">
        <v>44805</v>
      </c>
      <c r="J298" s="76">
        <f>EFEITO!$J$298*EFEITO!$Y$298</f>
        <v>0</v>
      </c>
      <c r="K298" s="76">
        <f ca="1">EFEITO!$L$298*EFEITO!$Z$298</f>
        <v>958075.9522635421</v>
      </c>
      <c r="L298" s="76">
        <f>EFEITO!$N$298*EFEITO!$AA$298</f>
        <v>206036.48150263395</v>
      </c>
      <c r="M298" s="76">
        <f>$J$298-EFEITO!$K$298*EFEITO!$Y$298</f>
        <v>0</v>
      </c>
      <c r="N298" s="76">
        <f ca="1">$K$298-EFEITO!$M$298*EFEITO!$Z$298</f>
        <v>0</v>
      </c>
      <c r="O298" s="76">
        <f>$L$298-EFEITO!$O$298*EFEITO!$AA$298</f>
        <v>0</v>
      </c>
      <c r="P298" s="57"/>
      <c r="Q298" s="57"/>
      <c r="R298" s="57"/>
      <c r="S298" s="57"/>
      <c r="T298" s="57"/>
      <c r="U298" s="57"/>
      <c r="V298" s="57"/>
      <c r="W298" s="5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27</v>
      </c>
      <c r="B299" s="53" t="s">
        <v>41</v>
      </c>
      <c r="C299" s="53" t="s">
        <v>43</v>
      </c>
      <c r="D299" s="53" t="s">
        <v>44</v>
      </c>
      <c r="E299" s="53" t="s">
        <v>25</v>
      </c>
      <c r="F299" s="53" t="s">
        <v>25</v>
      </c>
      <c r="G299" s="53" t="s">
        <v>25</v>
      </c>
      <c r="H299" s="53" t="s">
        <v>34</v>
      </c>
      <c r="I299" s="75">
        <v>44805</v>
      </c>
      <c r="J299" s="76">
        <f>EFEITO!$J$299*EFEITO!$Y$299</f>
        <v>0</v>
      </c>
      <c r="K299" s="76">
        <f ca="1">EFEITO!$L$299*EFEITO!$Z$299</f>
        <v>12655.673192980594</v>
      </c>
      <c r="L299" s="76">
        <f>EFEITO!$N$299*EFEITO!$AA$299</f>
        <v>2721.6322146155503</v>
      </c>
      <c r="M299" s="76">
        <f>$J$299-EFEITO!$K$299*EFEITO!$Y$299</f>
        <v>0</v>
      </c>
      <c r="N299" s="76">
        <f ca="1">$K$299-EFEITO!$M$299*EFEITO!$Z$299</f>
        <v>0</v>
      </c>
      <c r="O299" s="76">
        <f>$L$299-EFEITO!$O$299*EFEITO!$AA$299</f>
        <v>0</v>
      </c>
      <c r="P299" s="57"/>
      <c r="Q299" s="57"/>
      <c r="R299" s="57"/>
      <c r="S299" s="57"/>
      <c r="T299" s="57"/>
      <c r="U299" s="57"/>
      <c r="V299" s="57"/>
      <c r="W299" s="5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28</v>
      </c>
      <c r="B300" s="53" t="s">
        <v>41</v>
      </c>
      <c r="C300" s="53" t="s">
        <v>43</v>
      </c>
      <c r="D300" s="53" t="s">
        <v>44</v>
      </c>
      <c r="E300" s="53" t="s">
        <v>25</v>
      </c>
      <c r="F300" s="53" t="s">
        <v>25</v>
      </c>
      <c r="G300" s="53" t="s">
        <v>25</v>
      </c>
      <c r="H300" s="53" t="s">
        <v>34</v>
      </c>
      <c r="I300" s="75">
        <v>44805</v>
      </c>
      <c r="J300" s="76">
        <f>EFEITO!$J$300*EFEITO!$Y$300</f>
        <v>0</v>
      </c>
      <c r="K300" s="76">
        <f ca="1">EFEITO!$L$300*EFEITO!$Z$300</f>
        <v>7637.7414618307548</v>
      </c>
      <c r="L300" s="76">
        <f>EFEITO!$N$300*EFEITO!$AA$300</f>
        <v>1642.5142220765406</v>
      </c>
      <c r="M300" s="76">
        <f>$J$300-EFEITO!$K$300*EFEITO!$Y$300</f>
        <v>0</v>
      </c>
      <c r="N300" s="76">
        <f ca="1">$K$300-EFEITO!$M$300*EFEITO!$Z$300</f>
        <v>0</v>
      </c>
      <c r="O300" s="76">
        <f>$L$300-EFEITO!$O$300*EFEITO!$AA$300</f>
        <v>0</v>
      </c>
      <c r="P300" s="57"/>
      <c r="Q300" s="57"/>
      <c r="R300" s="57"/>
      <c r="S300" s="57"/>
      <c r="T300" s="57"/>
      <c r="U300" s="57"/>
      <c r="V300" s="57"/>
      <c r="W300" s="5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21</v>
      </c>
      <c r="B301" s="53" t="s">
        <v>41</v>
      </c>
      <c r="C301" s="53" t="s">
        <v>43</v>
      </c>
      <c r="D301" s="53" t="s">
        <v>44</v>
      </c>
      <c r="E301" s="53" t="s">
        <v>25</v>
      </c>
      <c r="F301" s="53" t="s">
        <v>25</v>
      </c>
      <c r="G301" s="53" t="s">
        <v>25</v>
      </c>
      <c r="H301" s="53" t="s">
        <v>34</v>
      </c>
      <c r="I301" s="75">
        <v>44835</v>
      </c>
      <c r="J301" s="76">
        <f>EFEITO!$J$301*EFEITO!$Y$301</f>
        <v>0</v>
      </c>
      <c r="K301" s="76">
        <f ca="1">EFEITO!$L$301*EFEITO!$Z$301</f>
        <v>929530.66121861001</v>
      </c>
      <c r="L301" s="76">
        <f>EFEITO!$N$301*EFEITO!$AA$301</f>
        <v>199897.7496865695</v>
      </c>
      <c r="M301" s="76">
        <f>$J$301-EFEITO!$K$301*EFEITO!$Y$301</f>
        <v>0</v>
      </c>
      <c r="N301" s="76">
        <f ca="1">$K$301-EFEITO!$M$301*EFEITO!$Z$301</f>
        <v>0</v>
      </c>
      <c r="O301" s="76">
        <f>$L$301-EFEITO!$O$301*EFEITO!$AA$301</f>
        <v>0</v>
      </c>
      <c r="P301" s="57"/>
      <c r="Q301" s="57"/>
      <c r="R301" s="57"/>
      <c r="S301" s="57"/>
      <c r="T301" s="57"/>
      <c r="U301" s="57"/>
      <c r="V301" s="57"/>
      <c r="W301" s="5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27</v>
      </c>
      <c r="B302" s="53" t="s">
        <v>41</v>
      </c>
      <c r="C302" s="53" t="s">
        <v>43</v>
      </c>
      <c r="D302" s="53" t="s">
        <v>44</v>
      </c>
      <c r="E302" s="53" t="s">
        <v>25</v>
      </c>
      <c r="F302" s="53" t="s">
        <v>25</v>
      </c>
      <c r="G302" s="53" t="s">
        <v>25</v>
      </c>
      <c r="H302" s="53" t="s">
        <v>34</v>
      </c>
      <c r="I302" s="75">
        <v>44835</v>
      </c>
      <c r="J302" s="76">
        <f>EFEITO!$J$302*EFEITO!$Y$302</f>
        <v>0</v>
      </c>
      <c r="K302" s="76">
        <f ca="1">EFEITO!$L$302*EFEITO!$Z$302</f>
        <v>-18052.571111587418</v>
      </c>
      <c r="L302" s="76">
        <f>EFEITO!$N$302*EFEITO!$AA$302</f>
        <v>-3882.2477749492969</v>
      </c>
      <c r="M302" s="76">
        <f>$J$302-EFEITO!$K$302*EFEITO!$Y$302</f>
        <v>0</v>
      </c>
      <c r="N302" s="76">
        <f ca="1">$K$302-EFEITO!$M$302*EFEITO!$Z$302</f>
        <v>0</v>
      </c>
      <c r="O302" s="76">
        <f>$L$302-EFEITO!$O$302*EFEITO!$AA$302</f>
        <v>0</v>
      </c>
      <c r="P302" s="57"/>
      <c r="Q302" s="57"/>
      <c r="R302" s="57"/>
      <c r="S302" s="57"/>
      <c r="T302" s="57"/>
      <c r="U302" s="57"/>
      <c r="V302" s="57"/>
      <c r="W302" s="5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28</v>
      </c>
      <c r="B303" s="53" t="s">
        <v>41</v>
      </c>
      <c r="C303" s="53" t="s">
        <v>43</v>
      </c>
      <c r="D303" s="53" t="s">
        <v>44</v>
      </c>
      <c r="E303" s="53" t="s">
        <v>25</v>
      </c>
      <c r="F303" s="53" t="s">
        <v>25</v>
      </c>
      <c r="G303" s="53" t="s">
        <v>25</v>
      </c>
      <c r="H303" s="53" t="s">
        <v>34</v>
      </c>
      <c r="I303" s="75">
        <v>44835</v>
      </c>
      <c r="J303" s="76">
        <f>EFEITO!$J$303*EFEITO!$Y$303</f>
        <v>0</v>
      </c>
      <c r="K303" s="76">
        <f ca="1">EFEITO!$L$303*EFEITO!$Z$303</f>
        <v>19277.84518802938</v>
      </c>
      <c r="L303" s="76">
        <f>EFEITO!$N$303*EFEITO!$AA$303</f>
        <v>4145.7458399931502</v>
      </c>
      <c r="M303" s="76">
        <f>$J$303-EFEITO!$K$303*EFEITO!$Y$303</f>
        <v>0</v>
      </c>
      <c r="N303" s="76">
        <f ca="1">$K$303-EFEITO!$M$303*EFEITO!$Z$303</f>
        <v>0</v>
      </c>
      <c r="O303" s="76">
        <f>$L$303-EFEITO!$O$303*EFEITO!$AA$303</f>
        <v>0</v>
      </c>
      <c r="P303" s="57"/>
      <c r="Q303" s="57"/>
      <c r="R303" s="57"/>
      <c r="S303" s="57"/>
      <c r="T303" s="57"/>
      <c r="U303" s="57"/>
      <c r="V303" s="57"/>
      <c r="W303" s="5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54</v>
      </c>
      <c r="B304" s="53" t="s">
        <v>41</v>
      </c>
      <c r="C304" s="53" t="s">
        <v>43</v>
      </c>
      <c r="D304" s="53" t="s">
        <v>44</v>
      </c>
      <c r="E304" s="53" t="s">
        <v>25</v>
      </c>
      <c r="F304" s="53" t="s">
        <v>25</v>
      </c>
      <c r="G304" s="53" t="s">
        <v>25</v>
      </c>
      <c r="H304" s="53" t="s">
        <v>34</v>
      </c>
      <c r="I304" s="75">
        <v>44866</v>
      </c>
      <c r="J304" s="76">
        <f>EFEITO!$J$304*EFEITO!$Y$304</f>
        <v>0</v>
      </c>
      <c r="K304" s="76">
        <f ca="1">EFEITO!$L$304*EFEITO!$Z$304</f>
        <v>929530.66121861001</v>
      </c>
      <c r="L304" s="76">
        <f>EFEITO!$N$304*EFEITO!$AA$304</f>
        <v>199897.7496865695</v>
      </c>
      <c r="M304" s="76">
        <f>$J$304-EFEITO!$K$304*EFEITO!$Y$304</f>
        <v>0</v>
      </c>
      <c r="N304" s="76">
        <f ca="1">$K$304-EFEITO!$M$304*EFEITO!$Z$304</f>
        <v>0</v>
      </c>
      <c r="O304" s="76">
        <f>$L$304-EFEITO!$O$304*EFEITO!$AA$304</f>
        <v>0</v>
      </c>
      <c r="P304" s="57"/>
      <c r="Q304" s="57"/>
      <c r="R304" s="57"/>
      <c r="S304" s="57"/>
      <c r="T304" s="57"/>
      <c r="U304" s="57"/>
      <c r="V304" s="57"/>
      <c r="W304" s="5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54</v>
      </c>
      <c r="B305" s="53" t="s">
        <v>41</v>
      </c>
      <c r="C305" s="53" t="s">
        <v>43</v>
      </c>
      <c r="D305" s="53" t="s">
        <v>44</v>
      </c>
      <c r="E305" s="53" t="s">
        <v>25</v>
      </c>
      <c r="F305" s="53" t="s">
        <v>25</v>
      </c>
      <c r="G305" s="53" t="s">
        <v>25</v>
      </c>
      <c r="H305" s="53" t="s">
        <v>34</v>
      </c>
      <c r="I305" s="75">
        <v>44866</v>
      </c>
      <c r="J305" s="76">
        <f>EFEITO!$J$305*EFEITO!$Y$305</f>
        <v>0</v>
      </c>
      <c r="K305" s="76">
        <f ca="1">EFEITO!$L$305*EFEITO!$Z$305</f>
        <v>-18052.571111587418</v>
      </c>
      <c r="L305" s="76">
        <f>EFEITO!$N$305*EFEITO!$AA$305</f>
        <v>-3882.2477749492969</v>
      </c>
      <c r="M305" s="76">
        <f>$J$305-EFEITO!$K$305*EFEITO!$Y$305</f>
        <v>0</v>
      </c>
      <c r="N305" s="76">
        <f ca="1">$K$305-EFEITO!$M$305*EFEITO!$Z$305</f>
        <v>0</v>
      </c>
      <c r="O305" s="76">
        <f>$L$305-EFEITO!$O$305*EFEITO!$AA$305</f>
        <v>0</v>
      </c>
      <c r="P305" s="57"/>
      <c r="Q305" s="57"/>
      <c r="R305" s="57"/>
      <c r="S305" s="57"/>
      <c r="T305" s="57"/>
      <c r="U305" s="57"/>
      <c r="V305" s="57"/>
      <c r="W305" s="5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54</v>
      </c>
      <c r="B306" s="53" t="s">
        <v>41</v>
      </c>
      <c r="C306" s="53" t="s">
        <v>43</v>
      </c>
      <c r="D306" s="53" t="s">
        <v>44</v>
      </c>
      <c r="E306" s="53" t="s">
        <v>25</v>
      </c>
      <c r="F306" s="53" t="s">
        <v>25</v>
      </c>
      <c r="G306" s="53" t="s">
        <v>25</v>
      </c>
      <c r="H306" s="53" t="s">
        <v>34</v>
      </c>
      <c r="I306" s="75">
        <v>44866</v>
      </c>
      <c r="J306" s="76">
        <f>EFEITO!$J$306*EFEITO!$Y$306</f>
        <v>0</v>
      </c>
      <c r="K306" s="76">
        <f ca="1">EFEITO!$L$306*EFEITO!$Z$306</f>
        <v>19277.84518802938</v>
      </c>
      <c r="L306" s="76">
        <f>EFEITO!$N$306*EFEITO!$AA$306</f>
        <v>4145.7458399931502</v>
      </c>
      <c r="M306" s="76">
        <f>$J$306-EFEITO!$K$306*EFEITO!$Y$306</f>
        <v>0</v>
      </c>
      <c r="N306" s="76">
        <f ca="1">$K$306-EFEITO!$M$306*EFEITO!$Z$306</f>
        <v>0</v>
      </c>
      <c r="O306" s="76">
        <f>$L$306-EFEITO!$O$306*EFEITO!$AA$306</f>
        <v>0</v>
      </c>
      <c r="P306" s="57"/>
      <c r="Q306" s="57"/>
      <c r="R306" s="57"/>
      <c r="S306" s="57"/>
      <c r="T306" s="57"/>
      <c r="U306" s="57"/>
      <c r="V306" s="57"/>
      <c r="W306" s="5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21</v>
      </c>
      <c r="B307" s="53" t="s">
        <v>41</v>
      </c>
      <c r="C307" s="53" t="s">
        <v>43</v>
      </c>
      <c r="D307" s="53" t="s">
        <v>53</v>
      </c>
      <c r="E307" s="53" t="s">
        <v>25</v>
      </c>
      <c r="F307" s="53" t="s">
        <v>25</v>
      </c>
      <c r="G307" s="53" t="s">
        <v>25</v>
      </c>
      <c r="H307" s="53" t="s">
        <v>35</v>
      </c>
      <c r="I307" s="75">
        <v>44531</v>
      </c>
      <c r="J307" s="76">
        <f>EFEITO!$J$307*EFEITO!$Y$307</f>
        <v>0</v>
      </c>
      <c r="K307" s="76">
        <f ca="1">EFEITO!$L$307*EFEITO!$Z$307</f>
        <v>1979.181767789376</v>
      </c>
      <c r="L307" s="76">
        <f>EFEITO!$N$307*EFEITO!$AA$307</f>
        <v>2351.3639215044873</v>
      </c>
      <c r="M307" s="76">
        <f>$J$307-EFEITO!$K$307*EFEITO!$Y$307</f>
        <v>0</v>
      </c>
      <c r="N307" s="76">
        <f ca="1">$K$307-EFEITO!$M$307*EFEITO!$Z$307</f>
        <v>0</v>
      </c>
      <c r="O307" s="76">
        <f>$L$307-EFEITO!$O$307*EFEITO!$AA$307</f>
        <v>0</v>
      </c>
      <c r="P307" s="57"/>
      <c r="Q307" s="57"/>
      <c r="R307" s="57"/>
      <c r="S307" s="57"/>
      <c r="T307" s="57"/>
      <c r="U307" s="57"/>
      <c r="V307" s="57"/>
      <c r="W307" s="5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41</v>
      </c>
      <c r="C308" s="53" t="s">
        <v>43</v>
      </c>
      <c r="D308" s="53" t="s">
        <v>53</v>
      </c>
      <c r="E308" s="53" t="s">
        <v>25</v>
      </c>
      <c r="F308" s="53" t="s">
        <v>25</v>
      </c>
      <c r="G308" s="53" t="s">
        <v>25</v>
      </c>
      <c r="H308" s="53" t="s">
        <v>35</v>
      </c>
      <c r="I308" s="75">
        <v>44562</v>
      </c>
      <c r="J308" s="76">
        <f>EFEITO!$J$308*EFEITO!$Y$308</f>
        <v>0</v>
      </c>
      <c r="K308" s="76">
        <f ca="1">EFEITO!$L$308*EFEITO!$Z$308</f>
        <v>1685.7344068398597</v>
      </c>
      <c r="L308" s="76">
        <f>EFEITO!$N$308*EFEITO!$AA$308</f>
        <v>2002.7342258257088</v>
      </c>
      <c r="M308" s="76">
        <f>$J$308-EFEITO!$K$308*EFEITO!$Y$308</f>
        <v>0</v>
      </c>
      <c r="N308" s="76">
        <f ca="1">$K$308-EFEITO!$M$308*EFEITO!$Z$308</f>
        <v>0</v>
      </c>
      <c r="O308" s="76">
        <f>$L$308-EFEITO!$O$308*EFEITO!$AA$308</f>
        <v>0</v>
      </c>
      <c r="P308" s="57"/>
      <c r="Q308" s="57"/>
      <c r="R308" s="57"/>
      <c r="S308" s="57"/>
      <c r="T308" s="57"/>
      <c r="U308" s="57"/>
      <c r="V308" s="57"/>
      <c r="W308" s="5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21</v>
      </c>
      <c r="B309" s="53" t="s">
        <v>41</v>
      </c>
      <c r="C309" s="53" t="s">
        <v>43</v>
      </c>
      <c r="D309" s="53" t="s">
        <v>53</v>
      </c>
      <c r="E309" s="53" t="s">
        <v>25</v>
      </c>
      <c r="F309" s="53" t="s">
        <v>25</v>
      </c>
      <c r="G309" s="53" t="s">
        <v>25</v>
      </c>
      <c r="H309" s="53" t="s">
        <v>35</v>
      </c>
      <c r="I309" s="75">
        <v>44593</v>
      </c>
      <c r="J309" s="76">
        <f>EFEITO!$J$309*EFEITO!$Y$309</f>
        <v>0</v>
      </c>
      <c r="K309" s="76">
        <f ca="1">EFEITO!$L$309*EFEITO!$Z$309</f>
        <v>2062.4794416767154</v>
      </c>
      <c r="L309" s="76">
        <f>EFEITO!$N$309*EFEITO!$AA$309</f>
        <v>2450.3255976433611</v>
      </c>
      <c r="M309" s="76">
        <f>$J$309-EFEITO!$K$309*EFEITO!$Y$309</f>
        <v>0</v>
      </c>
      <c r="N309" s="76">
        <f ca="1">$K$309-EFEITO!$M$309*EFEITO!$Z$309</f>
        <v>0</v>
      </c>
      <c r="O309" s="76">
        <f>$L$309-EFEITO!$O$309*EFEITO!$AA$309</f>
        <v>0</v>
      </c>
      <c r="P309" s="57"/>
      <c r="Q309" s="57"/>
      <c r="R309" s="57"/>
      <c r="S309" s="57"/>
      <c r="T309" s="57"/>
      <c r="U309" s="57"/>
      <c r="V309" s="57"/>
      <c r="W309" s="5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41</v>
      </c>
      <c r="C310" s="53" t="s">
        <v>43</v>
      </c>
      <c r="D310" s="53" t="s">
        <v>53</v>
      </c>
      <c r="E310" s="53" t="s">
        <v>25</v>
      </c>
      <c r="F310" s="53" t="s">
        <v>25</v>
      </c>
      <c r="G310" s="53" t="s">
        <v>25</v>
      </c>
      <c r="H310" s="53" t="s">
        <v>35</v>
      </c>
      <c r="I310" s="75">
        <v>44621</v>
      </c>
      <c r="J310" s="76">
        <f>EFEITO!$J$310*EFEITO!$Y$310</f>
        <v>0</v>
      </c>
      <c r="K310" s="76">
        <f ca="1">EFEITO!$L$310*EFEITO!$Z$310</f>
        <v>2327.4350056756598</v>
      </c>
      <c r="L310" s="76">
        <f>EFEITO!$N$310*EFEITO!$AA$310</f>
        <v>2765.1056568214785</v>
      </c>
      <c r="M310" s="76">
        <f>$J$310-EFEITO!$K$310*EFEITO!$Y$310</f>
        <v>0</v>
      </c>
      <c r="N310" s="76">
        <f ca="1">$K$310-EFEITO!$M$310*EFEITO!$Z$310</f>
        <v>0</v>
      </c>
      <c r="O310" s="76">
        <f>$L$310-EFEITO!$O$310*EFEITO!$AA$310</f>
        <v>0</v>
      </c>
      <c r="P310" s="57"/>
      <c r="Q310" s="57"/>
      <c r="R310" s="57"/>
      <c r="S310" s="57"/>
      <c r="T310" s="57"/>
      <c r="U310" s="57"/>
      <c r="V310" s="57"/>
      <c r="W310" s="5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21</v>
      </c>
      <c r="B311" s="53" t="s">
        <v>41</v>
      </c>
      <c r="C311" s="53" t="s">
        <v>43</v>
      </c>
      <c r="D311" s="53" t="s">
        <v>53</v>
      </c>
      <c r="E311" s="53" t="s">
        <v>25</v>
      </c>
      <c r="F311" s="53" t="s">
        <v>25</v>
      </c>
      <c r="G311" s="53" t="s">
        <v>25</v>
      </c>
      <c r="H311" s="53" t="s">
        <v>35</v>
      </c>
      <c r="I311" s="75">
        <v>44652</v>
      </c>
      <c r="J311" s="76">
        <f>EFEITO!$J$311*EFEITO!$Y$311</f>
        <v>0</v>
      </c>
      <c r="K311" s="76">
        <f ca="1">EFEITO!$L$311*EFEITO!$Z$311</f>
        <v>2086.7972811122349</v>
      </c>
      <c r="L311" s="76">
        <f>EFEITO!$N$311*EFEITO!$AA$311</f>
        <v>2479.2163701980653</v>
      </c>
      <c r="M311" s="76">
        <f>$J$311-EFEITO!$K$311*EFEITO!$Y$311</f>
        <v>0</v>
      </c>
      <c r="N311" s="76">
        <f ca="1">$K$311-EFEITO!$M$311*EFEITO!$Z$311</f>
        <v>0</v>
      </c>
      <c r="O311" s="76">
        <f>$L$311-EFEITO!$O$311*EFEITO!$AA$311</f>
        <v>0</v>
      </c>
      <c r="P311" s="57"/>
      <c r="Q311" s="57"/>
      <c r="R311" s="57"/>
      <c r="S311" s="57"/>
      <c r="T311" s="57"/>
      <c r="U311" s="57"/>
      <c r="V311" s="57"/>
      <c r="W311" s="5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41</v>
      </c>
      <c r="C312" s="53" t="s">
        <v>43</v>
      </c>
      <c r="D312" s="53" t="s">
        <v>53</v>
      </c>
      <c r="E312" s="53" t="s">
        <v>25</v>
      </c>
      <c r="F312" s="53" t="s">
        <v>25</v>
      </c>
      <c r="G312" s="53" t="s">
        <v>25</v>
      </c>
      <c r="H312" s="53" t="s">
        <v>35</v>
      </c>
      <c r="I312" s="75">
        <v>44682</v>
      </c>
      <c r="J312" s="76">
        <f>EFEITO!$J$312*EFEITO!$Y$312</f>
        <v>0</v>
      </c>
      <c r="K312" s="76">
        <f ca="1">EFEITO!$L$312*EFEITO!$Z$312</f>
        <v>2676.5956256304335</v>
      </c>
      <c r="L312" s="76">
        <f>EFEITO!$N$312*EFEITO!$AA$312</f>
        <v>3179.9254060397652</v>
      </c>
      <c r="M312" s="76">
        <f>$J$312-EFEITO!$K$312*EFEITO!$Y$312</f>
        <v>0</v>
      </c>
      <c r="N312" s="76">
        <f ca="1">$K$312-EFEITO!$M$312*EFEITO!$Z$312</f>
        <v>0</v>
      </c>
      <c r="O312" s="76">
        <f>$L$312-EFEITO!$O$312*EFEITO!$AA$312</f>
        <v>0</v>
      </c>
      <c r="P312" s="57"/>
      <c r="Q312" s="57"/>
      <c r="R312" s="57"/>
      <c r="S312" s="57"/>
      <c r="T312" s="57"/>
      <c r="U312" s="57"/>
      <c r="V312" s="57"/>
      <c r="W312" s="5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21</v>
      </c>
      <c r="B313" s="53" t="s">
        <v>41</v>
      </c>
      <c r="C313" s="53" t="s">
        <v>43</v>
      </c>
      <c r="D313" s="53" t="s">
        <v>53</v>
      </c>
      <c r="E313" s="53" t="s">
        <v>25</v>
      </c>
      <c r="F313" s="53" t="s">
        <v>25</v>
      </c>
      <c r="G313" s="53" t="s">
        <v>25</v>
      </c>
      <c r="H313" s="53" t="s">
        <v>35</v>
      </c>
      <c r="I313" s="75">
        <v>44713</v>
      </c>
      <c r="J313" s="76">
        <f>EFEITO!$J$313*EFEITO!$Y$313</f>
        <v>0</v>
      </c>
      <c r="K313" s="76">
        <f ca="1">EFEITO!$L$313*EFEITO!$Z$313</f>
        <v>2895.0932277227134</v>
      </c>
      <c r="L313" s="76">
        <f>EFEITO!$N$313*EFEITO!$AA$313</f>
        <v>3439.5111534715825</v>
      </c>
      <c r="M313" s="76">
        <f>$J$313-EFEITO!$K$313*EFEITO!$Y$313</f>
        <v>0</v>
      </c>
      <c r="N313" s="76">
        <f ca="1">$K$313-EFEITO!$M$313*EFEITO!$Z$313</f>
        <v>0</v>
      </c>
      <c r="O313" s="76">
        <f>$L$313-EFEITO!$O$313*EFEITO!$AA$313</f>
        <v>0</v>
      </c>
      <c r="P313" s="57"/>
      <c r="Q313" s="57"/>
      <c r="R313" s="57"/>
      <c r="S313" s="57"/>
      <c r="T313" s="57"/>
      <c r="U313" s="57"/>
      <c r="V313" s="57"/>
      <c r="W313" s="5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41</v>
      </c>
      <c r="C314" s="53" t="s">
        <v>43</v>
      </c>
      <c r="D314" s="53" t="s">
        <v>53</v>
      </c>
      <c r="E314" s="53" t="s">
        <v>25</v>
      </c>
      <c r="F314" s="53" t="s">
        <v>25</v>
      </c>
      <c r="G314" s="53" t="s">
        <v>25</v>
      </c>
      <c r="H314" s="53" t="s">
        <v>35</v>
      </c>
      <c r="I314" s="75">
        <v>44743</v>
      </c>
      <c r="J314" s="76">
        <f>EFEITO!$J$314*EFEITO!$Y$314</f>
        <v>0</v>
      </c>
      <c r="K314" s="76">
        <f ca="1">EFEITO!$L$314*EFEITO!$Z$314</f>
        <v>1330.2221124056598</v>
      </c>
      <c r="L314" s="76">
        <f>EFEITO!$N$314*EFEITO!$AA$314</f>
        <v>1580.3683792983579</v>
      </c>
      <c r="M314" s="76">
        <f>$J$314-EFEITO!$K$314*EFEITO!$Y$314</f>
        <v>0</v>
      </c>
      <c r="N314" s="76">
        <f ca="1">$K$314-EFEITO!$M$314*EFEITO!$Z$314</f>
        <v>0</v>
      </c>
      <c r="O314" s="76">
        <f>$L$314-EFEITO!$O$314*EFEITO!$AA$314</f>
        <v>0</v>
      </c>
      <c r="P314" s="57"/>
      <c r="Q314" s="57"/>
      <c r="R314" s="57"/>
      <c r="S314" s="57"/>
      <c r="T314" s="57"/>
      <c r="U314" s="57"/>
      <c r="V314" s="57"/>
      <c r="W314" s="5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21</v>
      </c>
      <c r="B315" s="53" t="s">
        <v>41</v>
      </c>
      <c r="C315" s="53" t="s">
        <v>43</v>
      </c>
      <c r="D315" s="53" t="s">
        <v>53</v>
      </c>
      <c r="E315" s="53" t="s">
        <v>25</v>
      </c>
      <c r="F315" s="53" t="s">
        <v>25</v>
      </c>
      <c r="G315" s="53" t="s">
        <v>25</v>
      </c>
      <c r="H315" s="53" t="s">
        <v>35</v>
      </c>
      <c r="I315" s="75">
        <v>44774</v>
      </c>
      <c r="J315" s="76">
        <f>EFEITO!$J$315*EFEITO!$Y$315</f>
        <v>0</v>
      </c>
      <c r="K315" s="76">
        <f ca="1">EFEITO!$L$315*EFEITO!$Z$315</f>
        <v>1518.5946298240874</v>
      </c>
      <c r="L315" s="76">
        <f>EFEITO!$N$315*EFEITO!$AA$315</f>
        <v>1804.164065207184</v>
      </c>
      <c r="M315" s="76">
        <f>$J$315-EFEITO!$K$315*EFEITO!$Y$315</f>
        <v>0</v>
      </c>
      <c r="N315" s="76">
        <f ca="1">$K$315-EFEITO!$M$315*EFEITO!$Z$315</f>
        <v>0</v>
      </c>
      <c r="O315" s="76">
        <f>$L$315-EFEITO!$O$315*EFEITO!$AA$315</f>
        <v>0</v>
      </c>
      <c r="P315" s="57"/>
      <c r="Q315" s="57"/>
      <c r="R315" s="57"/>
      <c r="S315" s="57"/>
      <c r="T315" s="57"/>
      <c r="U315" s="57"/>
      <c r="V315" s="57"/>
      <c r="W315" s="5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21</v>
      </c>
      <c r="B316" s="53" t="s">
        <v>41</v>
      </c>
      <c r="C316" s="53" t="s">
        <v>43</v>
      </c>
      <c r="D316" s="53" t="s">
        <v>53</v>
      </c>
      <c r="E316" s="53" t="s">
        <v>25</v>
      </c>
      <c r="F316" s="53" t="s">
        <v>25</v>
      </c>
      <c r="G316" s="53" t="s">
        <v>25</v>
      </c>
      <c r="H316" s="53" t="s">
        <v>35</v>
      </c>
      <c r="I316" s="75">
        <v>44805</v>
      </c>
      <c r="J316" s="76">
        <f>EFEITO!$J$316*EFEITO!$Y$316</f>
        <v>0</v>
      </c>
      <c r="K316" s="76">
        <f ca="1">EFEITO!$L$316*EFEITO!$Z$316</f>
        <v>1394.2832864410209</v>
      </c>
      <c r="L316" s="76">
        <f>EFEITO!$N$316*EFEITO!$AA$316</f>
        <v>1656.4761607297794</v>
      </c>
      <c r="M316" s="76">
        <f>$J$316-EFEITO!$K$316*EFEITO!$Y$316</f>
        <v>0</v>
      </c>
      <c r="N316" s="76">
        <f ca="1">$K$316-EFEITO!$M$316*EFEITO!$Z$316</f>
        <v>0</v>
      </c>
      <c r="O316" s="76">
        <f>$L$316-EFEITO!$O$316*EFEITO!$AA$316</f>
        <v>0</v>
      </c>
      <c r="P316" s="57"/>
      <c r="Q316" s="57"/>
      <c r="R316" s="57"/>
      <c r="S316" s="57"/>
      <c r="T316" s="57"/>
      <c r="U316" s="57"/>
      <c r="V316" s="57"/>
      <c r="W316" s="5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21</v>
      </c>
      <c r="B317" s="53" t="s">
        <v>41</v>
      </c>
      <c r="C317" s="53" t="s">
        <v>43</v>
      </c>
      <c r="D317" s="53" t="s">
        <v>53</v>
      </c>
      <c r="E317" s="53" t="s">
        <v>25</v>
      </c>
      <c r="F317" s="53" t="s">
        <v>25</v>
      </c>
      <c r="G317" s="53" t="s">
        <v>25</v>
      </c>
      <c r="H317" s="53" t="s">
        <v>35</v>
      </c>
      <c r="I317" s="75">
        <v>44835</v>
      </c>
      <c r="J317" s="76">
        <f>EFEITO!$J$317*EFEITO!$Y$317</f>
        <v>0</v>
      </c>
      <c r="K317" s="76">
        <f ca="1">EFEITO!$L$317*EFEITO!$Z$317</f>
        <v>2414.3622078369572</v>
      </c>
      <c r="L317" s="76">
        <f>EFEITO!$N$317*EFEITO!$AA$317</f>
        <v>2868.3793885655323</v>
      </c>
      <c r="M317" s="76">
        <f>$J$317-EFEITO!$K$317*EFEITO!$Y$317</f>
        <v>0</v>
      </c>
      <c r="N317" s="76">
        <f ca="1">$K$317-EFEITO!$M$317*EFEITO!$Z$317</f>
        <v>0</v>
      </c>
      <c r="O317" s="76">
        <f>$L$317-EFEITO!$O$317*EFEITO!$AA$317</f>
        <v>0</v>
      </c>
      <c r="P317" s="57"/>
      <c r="Q317" s="57"/>
      <c r="R317" s="57"/>
      <c r="S317" s="57"/>
      <c r="T317" s="57"/>
      <c r="U317" s="57"/>
      <c r="V317" s="57"/>
      <c r="W317" s="5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54</v>
      </c>
      <c r="B318" s="53" t="s">
        <v>41</v>
      </c>
      <c r="C318" s="53" t="s">
        <v>43</v>
      </c>
      <c r="D318" s="53" t="s">
        <v>53</v>
      </c>
      <c r="E318" s="53" t="s">
        <v>25</v>
      </c>
      <c r="F318" s="53" t="s">
        <v>25</v>
      </c>
      <c r="G318" s="53" t="s">
        <v>25</v>
      </c>
      <c r="H318" s="53" t="s">
        <v>35</v>
      </c>
      <c r="I318" s="75">
        <v>44866</v>
      </c>
      <c r="J318" s="76">
        <f>EFEITO!$J$318*EFEITO!$Y$318</f>
        <v>0</v>
      </c>
      <c r="K318" s="76">
        <f ca="1">EFEITO!$L$318*EFEITO!$Z$318</f>
        <v>2414.3622078369572</v>
      </c>
      <c r="L318" s="76">
        <f>EFEITO!$N$318*EFEITO!$AA$318</f>
        <v>2868.3793885655323</v>
      </c>
      <c r="M318" s="76">
        <f>$J$318-EFEITO!$K$318*EFEITO!$Y$318</f>
        <v>0</v>
      </c>
      <c r="N318" s="76">
        <f ca="1">$K$318-EFEITO!$M$318*EFEITO!$Z$318</f>
        <v>0</v>
      </c>
      <c r="O318" s="76">
        <f>$L$318-EFEITO!$O$318*EFEITO!$AA$318</f>
        <v>0</v>
      </c>
      <c r="P318" s="57"/>
      <c r="Q318" s="57"/>
      <c r="R318" s="57"/>
      <c r="S318" s="57"/>
      <c r="T318" s="57"/>
      <c r="U318" s="57"/>
      <c r="V318" s="57"/>
      <c r="W318" s="5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21</v>
      </c>
      <c r="B319" s="53" t="s">
        <v>41</v>
      </c>
      <c r="C319" s="53" t="s">
        <v>43</v>
      </c>
      <c r="D319" s="53" t="s">
        <v>53</v>
      </c>
      <c r="E319" s="53" t="s">
        <v>25</v>
      </c>
      <c r="F319" s="53" t="s">
        <v>25</v>
      </c>
      <c r="G319" s="53" t="s">
        <v>25</v>
      </c>
      <c r="H319" s="53" t="s">
        <v>25</v>
      </c>
      <c r="I319" s="75">
        <v>44531</v>
      </c>
      <c r="J319" s="76">
        <f ca="1">EFEITO!$J$319*EFEITO!$Y$319</f>
        <v>3284.3555762521119</v>
      </c>
      <c r="K319" s="76">
        <f>EFEITO!$L$319*EFEITO!$Z$319</f>
        <v>0</v>
      </c>
      <c r="L319" s="76">
        <f>EFEITO!$N$319*EFEITO!$AA$319</f>
        <v>0</v>
      </c>
      <c r="M319" s="76">
        <f ca="1">$J$319-EFEITO!$K$319*EFEITO!$Y$319</f>
        <v>0</v>
      </c>
      <c r="N319" s="76">
        <f>$K$319-EFEITO!$M$319*EFEITO!$Z$319</f>
        <v>0</v>
      </c>
      <c r="O319" s="76">
        <f>$L$319-EFEITO!$O$319*EFEITO!$AA$319</f>
        <v>0</v>
      </c>
      <c r="P319" s="57"/>
      <c r="Q319" s="57"/>
      <c r="R319" s="57"/>
      <c r="S319" s="57"/>
      <c r="T319" s="57"/>
      <c r="U319" s="57"/>
      <c r="V319" s="57"/>
      <c r="W319" s="5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41</v>
      </c>
      <c r="C320" s="53" t="s">
        <v>43</v>
      </c>
      <c r="D320" s="53" t="s">
        <v>53</v>
      </c>
      <c r="E320" s="53" t="s">
        <v>25</v>
      </c>
      <c r="F320" s="53" t="s">
        <v>25</v>
      </c>
      <c r="G320" s="53" t="s">
        <v>25</v>
      </c>
      <c r="H320" s="53" t="s">
        <v>25</v>
      </c>
      <c r="I320" s="75">
        <v>44562</v>
      </c>
      <c r="J320" s="76">
        <f ca="1">EFEITO!$J$320*EFEITO!$Y$320</f>
        <v>3284.3555762521119</v>
      </c>
      <c r="K320" s="76">
        <f>EFEITO!$L$320*EFEITO!$Z$320</f>
        <v>0</v>
      </c>
      <c r="L320" s="76">
        <f>EFEITO!$N$320*EFEITO!$AA$320</f>
        <v>0</v>
      </c>
      <c r="M320" s="76">
        <f ca="1">$J$320-EFEITO!$K$320*EFEITO!$Y$320</f>
        <v>0</v>
      </c>
      <c r="N320" s="76">
        <f>$K$320-EFEITO!$M$320*EFEITO!$Z$320</f>
        <v>0</v>
      </c>
      <c r="O320" s="76">
        <f>$L$320-EFEITO!$O$320*EFEITO!$AA$320</f>
        <v>0</v>
      </c>
      <c r="P320" s="57"/>
      <c r="Q320" s="57"/>
      <c r="R320" s="57"/>
      <c r="S320" s="57"/>
      <c r="T320" s="57"/>
      <c r="U320" s="57"/>
      <c r="V320" s="57"/>
      <c r="W320" s="5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21</v>
      </c>
      <c r="B321" s="53" t="s">
        <v>41</v>
      </c>
      <c r="C321" s="53" t="s">
        <v>43</v>
      </c>
      <c r="D321" s="53" t="s">
        <v>53</v>
      </c>
      <c r="E321" s="53" t="s">
        <v>25</v>
      </c>
      <c r="F321" s="53" t="s">
        <v>25</v>
      </c>
      <c r="G321" s="53" t="s">
        <v>25</v>
      </c>
      <c r="H321" s="53" t="s">
        <v>25</v>
      </c>
      <c r="I321" s="75">
        <v>44593</v>
      </c>
      <c r="J321" s="76">
        <f ca="1">EFEITO!$J$321*EFEITO!$Y$321</f>
        <v>3284.3555762521119</v>
      </c>
      <c r="K321" s="76">
        <f>EFEITO!$L$321*EFEITO!$Z$321</f>
        <v>0</v>
      </c>
      <c r="L321" s="76">
        <f>EFEITO!$N$321*EFEITO!$AA$321</f>
        <v>0</v>
      </c>
      <c r="M321" s="76">
        <f ca="1">$J$321-EFEITO!$K$321*EFEITO!$Y$321</f>
        <v>0</v>
      </c>
      <c r="N321" s="76">
        <f>$K$321-EFEITO!$M$321*EFEITO!$Z$321</f>
        <v>0</v>
      </c>
      <c r="O321" s="76">
        <f>$L$321-EFEITO!$O$321*EFEITO!$AA$321</f>
        <v>0</v>
      </c>
      <c r="P321" s="57"/>
      <c r="Q321" s="57"/>
      <c r="R321" s="57"/>
      <c r="S321" s="57"/>
      <c r="T321" s="57"/>
      <c r="U321" s="57"/>
      <c r="V321" s="57"/>
      <c r="W321" s="5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41</v>
      </c>
      <c r="C322" s="53" t="s">
        <v>43</v>
      </c>
      <c r="D322" s="53" t="s">
        <v>53</v>
      </c>
      <c r="E322" s="53" t="s">
        <v>25</v>
      </c>
      <c r="F322" s="53" t="s">
        <v>25</v>
      </c>
      <c r="G322" s="53" t="s">
        <v>25</v>
      </c>
      <c r="H322" s="53" t="s">
        <v>25</v>
      </c>
      <c r="I322" s="75">
        <v>44621</v>
      </c>
      <c r="J322" s="76">
        <f ca="1">EFEITO!$J$322*EFEITO!$Y$322</f>
        <v>3284.3555762521119</v>
      </c>
      <c r="K322" s="76">
        <f>EFEITO!$L$322*EFEITO!$Z$322</f>
        <v>0</v>
      </c>
      <c r="L322" s="76">
        <f>EFEITO!$N$322*EFEITO!$AA$322</f>
        <v>0</v>
      </c>
      <c r="M322" s="76">
        <f ca="1">$J$322-EFEITO!$K$322*EFEITO!$Y$322</f>
        <v>0</v>
      </c>
      <c r="N322" s="76">
        <f>$K$322-EFEITO!$M$322*EFEITO!$Z$322</f>
        <v>0</v>
      </c>
      <c r="O322" s="76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41</v>
      </c>
      <c r="C323" s="53" t="s">
        <v>43</v>
      </c>
      <c r="D323" s="53" t="s">
        <v>53</v>
      </c>
      <c r="E323" s="53" t="s">
        <v>25</v>
      </c>
      <c r="F323" s="53" t="s">
        <v>25</v>
      </c>
      <c r="G323" s="53" t="s">
        <v>25</v>
      </c>
      <c r="H323" s="53" t="s">
        <v>25</v>
      </c>
      <c r="I323" s="75">
        <v>44652</v>
      </c>
      <c r="J323" s="76">
        <f ca="1">EFEITO!$J$323*EFEITO!$Y$323</f>
        <v>3284.3555762521119</v>
      </c>
      <c r="K323" s="76">
        <f>EFEITO!$L$323*EFEITO!$Z$323</f>
        <v>0</v>
      </c>
      <c r="L323" s="76">
        <f>EFEITO!$N$323*EFEITO!$AA$323</f>
        <v>0</v>
      </c>
      <c r="M323" s="76">
        <f ca="1">$J$323-EFEITO!$K$323*EFEITO!$Y$323</f>
        <v>0</v>
      </c>
      <c r="N323" s="76">
        <f>$K$323-EFEITO!$M$323*EFEITO!$Z$323</f>
        <v>0</v>
      </c>
      <c r="O323" s="76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21</v>
      </c>
      <c r="B324" s="53" t="s">
        <v>41</v>
      </c>
      <c r="C324" s="53" t="s">
        <v>43</v>
      </c>
      <c r="D324" s="53" t="s">
        <v>53</v>
      </c>
      <c r="E324" s="53" t="s">
        <v>25</v>
      </c>
      <c r="F324" s="53" t="s">
        <v>25</v>
      </c>
      <c r="G324" s="53" t="s">
        <v>25</v>
      </c>
      <c r="H324" s="53" t="s">
        <v>25</v>
      </c>
      <c r="I324" s="75">
        <v>44682</v>
      </c>
      <c r="J324" s="76">
        <f ca="1">EFEITO!$J$324*EFEITO!$Y$324</f>
        <v>3284.3555762521119</v>
      </c>
      <c r="K324" s="76">
        <f>EFEITO!$L$324*EFEITO!$Z$324</f>
        <v>0</v>
      </c>
      <c r="L324" s="76">
        <f>EFEITO!$N$324*EFEITO!$AA$324</f>
        <v>0</v>
      </c>
      <c r="M324" s="76">
        <f ca="1">$J$324-EFEITO!$K$324*EFEITO!$Y$324</f>
        <v>0</v>
      </c>
      <c r="N324" s="76">
        <f>$K$324-EFEITO!$M$324*EFEITO!$Z$324</f>
        <v>0</v>
      </c>
      <c r="O324" s="76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41</v>
      </c>
      <c r="C325" s="53" t="s">
        <v>43</v>
      </c>
      <c r="D325" s="53" t="s">
        <v>53</v>
      </c>
      <c r="E325" s="53" t="s">
        <v>25</v>
      </c>
      <c r="F325" s="53" t="s">
        <v>25</v>
      </c>
      <c r="G325" s="53" t="s">
        <v>25</v>
      </c>
      <c r="H325" s="53" t="s">
        <v>25</v>
      </c>
      <c r="I325" s="75">
        <v>44713</v>
      </c>
      <c r="J325" s="76">
        <f ca="1">EFEITO!$J$325*EFEITO!$Y$325</f>
        <v>3284.3555762521119</v>
      </c>
      <c r="K325" s="76">
        <f>EFEITO!$L$325*EFEITO!$Z$325</f>
        <v>0</v>
      </c>
      <c r="L325" s="76">
        <f>EFEITO!$N$325*EFEITO!$AA$325</f>
        <v>0</v>
      </c>
      <c r="M325" s="76">
        <f ca="1">$J$325-EFEITO!$K$325*EFEITO!$Y$325</f>
        <v>0</v>
      </c>
      <c r="N325" s="76">
        <f>$K$325-EFEITO!$M$325*EFEITO!$Z$325</f>
        <v>0</v>
      </c>
      <c r="O325" s="76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21</v>
      </c>
      <c r="B326" s="53" t="s">
        <v>41</v>
      </c>
      <c r="C326" s="53" t="s">
        <v>43</v>
      </c>
      <c r="D326" s="53" t="s">
        <v>53</v>
      </c>
      <c r="E326" s="53" t="s">
        <v>25</v>
      </c>
      <c r="F326" s="53" t="s">
        <v>25</v>
      </c>
      <c r="G326" s="53" t="s">
        <v>25</v>
      </c>
      <c r="H326" s="53" t="s">
        <v>25</v>
      </c>
      <c r="I326" s="75">
        <v>44743</v>
      </c>
      <c r="J326" s="76">
        <f ca="1">EFEITO!$J$326*EFEITO!$Y$326</f>
        <v>3284.3555762521119</v>
      </c>
      <c r="K326" s="76">
        <f>EFEITO!$L$326*EFEITO!$Z$326</f>
        <v>0</v>
      </c>
      <c r="L326" s="76">
        <f>EFEITO!$N$326*EFEITO!$AA$326</f>
        <v>0</v>
      </c>
      <c r="M326" s="76">
        <f ca="1">$J$326-EFEITO!$K$326*EFEITO!$Y$326</f>
        <v>0</v>
      </c>
      <c r="N326" s="76">
        <f>$K$326-EFEITO!$M$326*EFEITO!$Z$326</f>
        <v>0</v>
      </c>
      <c r="O326" s="76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41</v>
      </c>
      <c r="C327" s="53" t="s">
        <v>43</v>
      </c>
      <c r="D327" s="53" t="s">
        <v>53</v>
      </c>
      <c r="E327" s="53" t="s">
        <v>25</v>
      </c>
      <c r="F327" s="53" t="s">
        <v>25</v>
      </c>
      <c r="G327" s="53" t="s">
        <v>25</v>
      </c>
      <c r="H327" s="53" t="s">
        <v>25</v>
      </c>
      <c r="I327" s="75">
        <v>44774</v>
      </c>
      <c r="J327" s="76">
        <f ca="1">EFEITO!$J$327*EFEITO!$Y$327</f>
        <v>3284.3555762521119</v>
      </c>
      <c r="K327" s="76">
        <f>EFEITO!$L$327*EFEITO!$Z$327</f>
        <v>0</v>
      </c>
      <c r="L327" s="76">
        <f>EFEITO!$N$327*EFEITO!$AA$327</f>
        <v>0</v>
      </c>
      <c r="M327" s="76">
        <f ca="1">$J$327-EFEITO!$K$327*EFEITO!$Y$327</f>
        <v>0</v>
      </c>
      <c r="N327" s="76">
        <f>$K$327-EFEITO!$M$327*EFEITO!$Z$327</f>
        <v>0</v>
      </c>
      <c r="O327" s="76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21</v>
      </c>
      <c r="B328" s="53" t="s">
        <v>41</v>
      </c>
      <c r="C328" s="53" t="s">
        <v>43</v>
      </c>
      <c r="D328" s="53" t="s">
        <v>53</v>
      </c>
      <c r="E328" s="53" t="s">
        <v>25</v>
      </c>
      <c r="F328" s="53" t="s">
        <v>25</v>
      </c>
      <c r="G328" s="53" t="s">
        <v>25</v>
      </c>
      <c r="H328" s="53" t="s">
        <v>25</v>
      </c>
      <c r="I328" s="75">
        <v>44805</v>
      </c>
      <c r="J328" s="76">
        <f ca="1">EFEITO!$J$328*EFEITO!$Y$328</f>
        <v>3284.3555762521119</v>
      </c>
      <c r="K328" s="76">
        <f>EFEITO!$L$328*EFEITO!$Z$328</f>
        <v>0</v>
      </c>
      <c r="L328" s="76">
        <f>EFEITO!$N$328*EFEITO!$AA$328</f>
        <v>0</v>
      </c>
      <c r="M328" s="76">
        <f ca="1">$J$328-EFEITO!$K$328*EFEITO!$Y$328</f>
        <v>0</v>
      </c>
      <c r="N328" s="76">
        <f>$K$328-EFEITO!$M$328*EFEITO!$Z$328</f>
        <v>0</v>
      </c>
      <c r="O328" s="76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41</v>
      </c>
      <c r="C329" s="53" t="s">
        <v>43</v>
      </c>
      <c r="D329" s="53" t="s">
        <v>53</v>
      </c>
      <c r="E329" s="53" t="s">
        <v>25</v>
      </c>
      <c r="F329" s="53" t="s">
        <v>25</v>
      </c>
      <c r="G329" s="53" t="s">
        <v>25</v>
      </c>
      <c r="H329" s="53" t="s">
        <v>25</v>
      </c>
      <c r="I329" s="75">
        <v>44835</v>
      </c>
      <c r="J329" s="76">
        <f ca="1">EFEITO!$J$329*EFEITO!$Y$329</f>
        <v>3284.3555762521119</v>
      </c>
      <c r="K329" s="76">
        <f>EFEITO!$L$329*EFEITO!$Z$329</f>
        <v>0</v>
      </c>
      <c r="L329" s="76">
        <f>EFEITO!$N$329*EFEITO!$AA$329</f>
        <v>0</v>
      </c>
      <c r="M329" s="76">
        <f ca="1">$J$329-EFEITO!$K$329*EFEITO!$Y$329</f>
        <v>0</v>
      </c>
      <c r="N329" s="76">
        <f>$K$329-EFEITO!$M$329*EFEITO!$Z$329</f>
        <v>0</v>
      </c>
      <c r="O329" s="76">
        <f>$L$329-EFEITO!$O$329*EFEITO!$AA$329</f>
        <v>0</v>
      </c>
      <c r="P329" s="57"/>
      <c r="Q329" s="57"/>
      <c r="R329" s="57"/>
      <c r="S329" s="57"/>
      <c r="T329" s="57"/>
      <c r="U329" s="57"/>
      <c r="V329" s="57"/>
      <c r="W329" s="5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54</v>
      </c>
      <c r="B330" s="53" t="s">
        <v>41</v>
      </c>
      <c r="C330" s="53" t="s">
        <v>43</v>
      </c>
      <c r="D330" s="53" t="s">
        <v>53</v>
      </c>
      <c r="E330" s="53" t="s">
        <v>25</v>
      </c>
      <c r="F330" s="53" t="s">
        <v>25</v>
      </c>
      <c r="G330" s="53" t="s">
        <v>25</v>
      </c>
      <c r="H330" s="53" t="s">
        <v>25</v>
      </c>
      <c r="I330" s="75">
        <v>44866</v>
      </c>
      <c r="J330" s="76">
        <f ca="1">EFEITO!$J$330*EFEITO!$Y$330</f>
        <v>3284.3555762521119</v>
      </c>
      <c r="K330" s="76">
        <f>EFEITO!$L$330*EFEITO!$Z$330</f>
        <v>0</v>
      </c>
      <c r="L330" s="76">
        <f>EFEITO!$N$330*EFEITO!$AA$330</f>
        <v>0</v>
      </c>
      <c r="M330" s="76">
        <f ca="1">$J$330-EFEITO!$K$330*EFEITO!$Y$330</f>
        <v>0</v>
      </c>
      <c r="N330" s="76">
        <f>$K$330-EFEITO!$M$330*EFEITO!$Z$330</f>
        <v>0</v>
      </c>
      <c r="O330" s="76">
        <f>$L$330-EFEITO!$O$330*EFEITO!$AA$330</f>
        <v>0</v>
      </c>
      <c r="P330" s="57"/>
      <c r="Q330" s="57"/>
      <c r="R330" s="57"/>
      <c r="S330" s="57"/>
      <c r="T330" s="57"/>
      <c r="U330" s="57"/>
      <c r="V330" s="57"/>
      <c r="W330" s="5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21</v>
      </c>
      <c r="B331" s="53" t="s">
        <v>41</v>
      </c>
      <c r="C331" s="53" t="s">
        <v>43</v>
      </c>
      <c r="D331" s="53" t="s">
        <v>53</v>
      </c>
      <c r="E331" s="53" t="s">
        <v>25</v>
      </c>
      <c r="F331" s="53" t="s">
        <v>25</v>
      </c>
      <c r="G331" s="53" t="s">
        <v>25</v>
      </c>
      <c r="H331" s="53" t="s">
        <v>34</v>
      </c>
      <c r="I331" s="75">
        <v>44531</v>
      </c>
      <c r="J331" s="76">
        <f>EFEITO!$J$331*EFEITO!$Y$331</f>
        <v>0</v>
      </c>
      <c r="K331" s="76">
        <f ca="1">EFEITO!$L$331*EFEITO!$Z$331</f>
        <v>614.13492828998017</v>
      </c>
      <c r="L331" s="76">
        <f>EFEITO!$N$331*EFEITO!$AA$331</f>
        <v>132.07115729581909</v>
      </c>
      <c r="M331" s="76">
        <f>$J$331-EFEITO!$K$331*EFEITO!$Y$331</f>
        <v>0</v>
      </c>
      <c r="N331" s="76">
        <f ca="1">$K$331-EFEITO!$M$331*EFEITO!$Z$331</f>
        <v>0</v>
      </c>
      <c r="O331" s="76">
        <f>$L$331-EFEITO!$O$331*EFEITO!$AA$331</f>
        <v>0</v>
      </c>
      <c r="P331" s="57"/>
      <c r="Q331" s="57"/>
      <c r="R331" s="57"/>
      <c r="S331" s="57"/>
      <c r="T331" s="57"/>
      <c r="U331" s="57"/>
      <c r="V331" s="57"/>
      <c r="W331" s="5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21</v>
      </c>
      <c r="B332" s="53" t="s">
        <v>41</v>
      </c>
      <c r="C332" s="53" t="s">
        <v>43</v>
      </c>
      <c r="D332" s="53" t="s">
        <v>53</v>
      </c>
      <c r="E332" s="53" t="s">
        <v>25</v>
      </c>
      <c r="F332" s="53" t="s">
        <v>25</v>
      </c>
      <c r="G332" s="53" t="s">
        <v>25</v>
      </c>
      <c r="H332" s="53" t="s">
        <v>34</v>
      </c>
      <c r="I332" s="75">
        <v>44562</v>
      </c>
      <c r="J332" s="76">
        <f>EFEITO!$J$332*EFEITO!$Y$332</f>
        <v>0</v>
      </c>
      <c r="K332" s="76">
        <f ca="1">EFEITO!$L$332*EFEITO!$Z$332</f>
        <v>786.39228622497478</v>
      </c>
      <c r="L332" s="76">
        <f>EFEITO!$N$332*EFEITO!$AA$332</f>
        <v>169.1155062934269</v>
      </c>
      <c r="M332" s="76">
        <f>$J$332-EFEITO!$K$332*EFEITO!$Y$332</f>
        <v>0</v>
      </c>
      <c r="N332" s="76">
        <f ca="1">$K$332-EFEITO!$M$332*EFEITO!$Z$332</f>
        <v>0</v>
      </c>
      <c r="O332" s="76">
        <f>$L$332-EFEITO!$O$332*EFEITO!$AA$332</f>
        <v>0</v>
      </c>
      <c r="P332" s="57"/>
      <c r="Q332" s="57"/>
      <c r="R332" s="57"/>
      <c r="S332" s="57"/>
      <c r="T332" s="57"/>
      <c r="U332" s="57"/>
      <c r="V332" s="57"/>
      <c r="W332" s="5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41</v>
      </c>
      <c r="C333" s="53" t="s">
        <v>43</v>
      </c>
      <c r="D333" s="53" t="s">
        <v>53</v>
      </c>
      <c r="E333" s="53" t="s">
        <v>25</v>
      </c>
      <c r="F333" s="53" t="s">
        <v>25</v>
      </c>
      <c r="G333" s="53" t="s">
        <v>25</v>
      </c>
      <c r="H333" s="53" t="s">
        <v>34</v>
      </c>
      <c r="I333" s="75">
        <v>44593</v>
      </c>
      <c r="J333" s="76">
        <f>EFEITO!$J$333*EFEITO!$Y$333</f>
        <v>0</v>
      </c>
      <c r="K333" s="76">
        <f ca="1">EFEITO!$L$333*EFEITO!$Z$333</f>
        <v>957.15175409096923</v>
      </c>
      <c r="L333" s="76">
        <f>EFEITO!$N$333*EFEITO!$AA$333</f>
        <v>205.83773051714246</v>
      </c>
      <c r="M333" s="76">
        <f>$J$333-EFEITO!$K$333*EFEITO!$Y$333</f>
        <v>0</v>
      </c>
      <c r="N333" s="76">
        <f ca="1">$K$333-EFEITO!$M$333*EFEITO!$Z$333</f>
        <v>0</v>
      </c>
      <c r="O333" s="76">
        <f>$L$333-EFEITO!$O$333*EFEITO!$AA$333</f>
        <v>0</v>
      </c>
      <c r="P333" s="57"/>
      <c r="Q333" s="57"/>
      <c r="R333" s="57"/>
      <c r="S333" s="57"/>
      <c r="T333" s="57"/>
      <c r="U333" s="57"/>
      <c r="V333" s="57"/>
      <c r="W333" s="5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21</v>
      </c>
      <c r="B334" s="53" t="s">
        <v>41</v>
      </c>
      <c r="C334" s="53" t="s">
        <v>43</v>
      </c>
      <c r="D334" s="53" t="s">
        <v>53</v>
      </c>
      <c r="E334" s="53" t="s">
        <v>25</v>
      </c>
      <c r="F334" s="53" t="s">
        <v>25</v>
      </c>
      <c r="G334" s="53" t="s">
        <v>25</v>
      </c>
      <c r="H334" s="53" t="s">
        <v>34</v>
      </c>
      <c r="I334" s="75">
        <v>44621</v>
      </c>
      <c r="J334" s="76">
        <f>EFEITO!$J$334*EFEITO!$Y$334</f>
        <v>0</v>
      </c>
      <c r="K334" s="76">
        <f ca="1">EFEITO!$L$334*EFEITO!$Z$334</f>
        <v>1213.290955889961</v>
      </c>
      <c r="L334" s="76">
        <f>EFEITO!$N$334*EFEITO!$AA$334</f>
        <v>260.9210668527158</v>
      </c>
      <c r="M334" s="76">
        <f>$J$334-EFEITO!$K$334*EFEITO!$Y$334</f>
        <v>0</v>
      </c>
      <c r="N334" s="76">
        <f ca="1">$K$334-EFEITO!$M$334*EFEITO!$Z$334</f>
        <v>0</v>
      </c>
      <c r="O334" s="76">
        <f>$L$334-EFEITO!$O$334*EFEITO!$AA$334</f>
        <v>0</v>
      </c>
      <c r="P334" s="57"/>
      <c r="Q334" s="57"/>
      <c r="R334" s="57"/>
      <c r="S334" s="57"/>
      <c r="T334" s="57"/>
      <c r="U334" s="57"/>
      <c r="V334" s="57"/>
      <c r="W334" s="5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41</v>
      </c>
      <c r="C335" s="53" t="s">
        <v>43</v>
      </c>
      <c r="D335" s="53" t="s">
        <v>53</v>
      </c>
      <c r="E335" s="53" t="s">
        <v>25</v>
      </c>
      <c r="F335" s="53" t="s">
        <v>25</v>
      </c>
      <c r="G335" s="53" t="s">
        <v>25</v>
      </c>
      <c r="H335" s="53" t="s">
        <v>34</v>
      </c>
      <c r="I335" s="75">
        <v>44652</v>
      </c>
      <c r="J335" s="76">
        <f>EFEITO!$J$335*EFEITO!$Y$335</f>
        <v>0</v>
      </c>
      <c r="K335" s="76">
        <f ca="1">EFEITO!$L$335*EFEITO!$Z$335</f>
        <v>1039.5357078859665</v>
      </c>
      <c r="L335" s="76">
        <f>EFEITO!$N$335*EFEITO!$AA$335</f>
        <v>223.55459308121573</v>
      </c>
      <c r="M335" s="76">
        <f>$J$335-EFEITO!$K$335*EFEITO!$Y$335</f>
        <v>0</v>
      </c>
      <c r="N335" s="76">
        <f ca="1">$K$335-EFEITO!$M$335*EFEITO!$Z$335</f>
        <v>0</v>
      </c>
      <c r="O335" s="76">
        <f>$L$335-EFEITO!$O$335*EFEITO!$AA$335</f>
        <v>0</v>
      </c>
      <c r="P335" s="57"/>
      <c r="Q335" s="57"/>
      <c r="R335" s="57"/>
      <c r="S335" s="57"/>
      <c r="T335" s="57"/>
      <c r="U335" s="57"/>
      <c r="V335" s="57"/>
      <c r="W335" s="5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21</v>
      </c>
      <c r="B336" s="53" t="s">
        <v>41</v>
      </c>
      <c r="C336" s="53" t="s">
        <v>43</v>
      </c>
      <c r="D336" s="53" t="s">
        <v>53</v>
      </c>
      <c r="E336" s="53" t="s">
        <v>25</v>
      </c>
      <c r="F336" s="53" t="s">
        <v>25</v>
      </c>
      <c r="G336" s="53" t="s">
        <v>25</v>
      </c>
      <c r="H336" s="53" t="s">
        <v>34</v>
      </c>
      <c r="I336" s="75">
        <v>44682</v>
      </c>
      <c r="J336" s="76">
        <f>EFEITO!$J$336*EFEITO!$Y$336</f>
        <v>0</v>
      </c>
      <c r="K336" s="76">
        <f ca="1">EFEITO!$L$336*EFEITO!$Z$336</f>
        <v>1327.1306011339573</v>
      </c>
      <c r="L336" s="76">
        <f>EFEITO!$N$336*EFEITO!$AA$336</f>
        <v>285.40254966852615</v>
      </c>
      <c r="M336" s="76">
        <f>$J$336-EFEITO!$K$336*EFEITO!$Y$336</f>
        <v>0</v>
      </c>
      <c r="N336" s="76">
        <f ca="1">$K$336-EFEITO!$M$336*EFEITO!$Z$336</f>
        <v>0</v>
      </c>
      <c r="O336" s="76">
        <f>$L$336-EFEITO!$O$336*EFEITO!$AA$336</f>
        <v>0</v>
      </c>
      <c r="P336" s="57"/>
      <c r="Q336" s="57"/>
      <c r="R336" s="57"/>
      <c r="S336" s="57"/>
      <c r="T336" s="57"/>
      <c r="U336" s="57"/>
      <c r="V336" s="57"/>
      <c r="W336" s="5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41</v>
      </c>
      <c r="C337" s="53" t="s">
        <v>43</v>
      </c>
      <c r="D337" s="53" t="s">
        <v>53</v>
      </c>
      <c r="E337" s="53" t="s">
        <v>25</v>
      </c>
      <c r="F337" s="53" t="s">
        <v>25</v>
      </c>
      <c r="G337" s="53" t="s">
        <v>25</v>
      </c>
      <c r="H337" s="53" t="s">
        <v>34</v>
      </c>
      <c r="I337" s="75">
        <v>44713</v>
      </c>
      <c r="J337" s="76">
        <f>EFEITO!$J$337*EFEITO!$Y$337</f>
        <v>0</v>
      </c>
      <c r="K337" s="76">
        <f ca="1">EFEITO!$L$337*EFEITO!$Z$337</f>
        <v>1496.3921789309518</v>
      </c>
      <c r="L337" s="76">
        <f>EFEITO!$N$337*EFEITO!$AA$337</f>
        <v>321.80264911834945</v>
      </c>
      <c r="M337" s="76">
        <f>$J$337-EFEITO!$K$337*EFEITO!$Y$337</f>
        <v>0</v>
      </c>
      <c r="N337" s="76">
        <f ca="1">$K$337-EFEITO!$M$337*EFEITO!$Z$337</f>
        <v>0</v>
      </c>
      <c r="O337" s="76">
        <f>$L$337-EFEITO!$O$337*EFEITO!$AA$337</f>
        <v>0</v>
      </c>
      <c r="P337" s="57"/>
      <c r="Q337" s="57"/>
      <c r="R337" s="57"/>
      <c r="S337" s="57"/>
      <c r="T337" s="57"/>
      <c r="U337" s="57"/>
      <c r="V337" s="57"/>
      <c r="W337" s="5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21</v>
      </c>
      <c r="B338" s="53" t="s">
        <v>41</v>
      </c>
      <c r="C338" s="53" t="s">
        <v>43</v>
      </c>
      <c r="D338" s="53" t="s">
        <v>53</v>
      </c>
      <c r="E338" s="53" t="s">
        <v>25</v>
      </c>
      <c r="F338" s="53" t="s">
        <v>25</v>
      </c>
      <c r="G338" s="53" t="s">
        <v>25</v>
      </c>
      <c r="H338" s="53" t="s">
        <v>34</v>
      </c>
      <c r="I338" s="75">
        <v>44743</v>
      </c>
      <c r="J338" s="76">
        <f>EFEITO!$J$338*EFEITO!$Y$338</f>
        <v>0</v>
      </c>
      <c r="K338" s="76">
        <f ca="1">EFEITO!$L$338*EFEITO!$Z$338</f>
        <v>660.56952042897876</v>
      </c>
      <c r="L338" s="76">
        <f>EFEITO!$N$338*EFEITO!$AA$338</f>
        <v>142.05702528647859</v>
      </c>
      <c r="M338" s="76">
        <f>$J$338-EFEITO!$K$338*EFEITO!$Y$338</f>
        <v>0</v>
      </c>
      <c r="N338" s="76">
        <f ca="1">$K$338-EFEITO!$M$338*EFEITO!$Z$338</f>
        <v>0</v>
      </c>
      <c r="O338" s="76">
        <f>$L$338-EFEITO!$O$338*EFEITO!$AA$338</f>
        <v>0</v>
      </c>
      <c r="P338" s="57"/>
      <c r="Q338" s="57"/>
      <c r="R338" s="57"/>
      <c r="S338" s="57"/>
      <c r="T338" s="57"/>
      <c r="U338" s="57"/>
      <c r="V338" s="57"/>
      <c r="W338" s="5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21</v>
      </c>
      <c r="B339" s="53" t="s">
        <v>41</v>
      </c>
      <c r="C339" s="53" t="s">
        <v>43</v>
      </c>
      <c r="D339" s="53" t="s">
        <v>53</v>
      </c>
      <c r="E339" s="53" t="s">
        <v>25</v>
      </c>
      <c r="F339" s="53" t="s">
        <v>25</v>
      </c>
      <c r="G339" s="53" t="s">
        <v>25</v>
      </c>
      <c r="H339" s="53" t="s">
        <v>34</v>
      </c>
      <c r="I339" s="75">
        <v>44774</v>
      </c>
      <c r="J339" s="76">
        <f>EFEITO!$J$339*EFEITO!$Y$339</f>
        <v>0</v>
      </c>
      <c r="K339" s="76">
        <f ca="1">EFEITO!$L$339*EFEITO!$Z$339</f>
        <v>867.27834995097203</v>
      </c>
      <c r="L339" s="76">
        <f>EFEITO!$N$339*EFEITO!$AA$339</f>
        <v>186.51024408360794</v>
      </c>
      <c r="M339" s="76">
        <f>$J$339-EFEITO!$K$339*EFEITO!$Y$339</f>
        <v>0</v>
      </c>
      <c r="N339" s="76">
        <f ca="1">$K$339-EFEITO!$M$339*EFEITO!$Z$339</f>
        <v>0</v>
      </c>
      <c r="O339" s="76">
        <f>$L$339-EFEITO!$O$339*EFEITO!$AA$339</f>
        <v>0</v>
      </c>
      <c r="P339" s="57"/>
      <c r="Q339" s="57"/>
      <c r="R339" s="57"/>
      <c r="S339" s="57"/>
      <c r="T339" s="57"/>
      <c r="U339" s="57"/>
      <c r="V339" s="57"/>
      <c r="W339" s="5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21</v>
      </c>
      <c r="B340" s="53" t="s">
        <v>41</v>
      </c>
      <c r="C340" s="53" t="s">
        <v>43</v>
      </c>
      <c r="D340" s="53" t="s">
        <v>53</v>
      </c>
      <c r="E340" s="53" t="s">
        <v>25</v>
      </c>
      <c r="F340" s="53" t="s">
        <v>25</v>
      </c>
      <c r="G340" s="53" t="s">
        <v>25</v>
      </c>
      <c r="H340" s="53" t="s">
        <v>34</v>
      </c>
      <c r="I340" s="75">
        <v>44805</v>
      </c>
      <c r="J340" s="76">
        <f>EFEITO!$J$340*EFEITO!$Y$340</f>
        <v>0</v>
      </c>
      <c r="K340" s="76">
        <f ca="1">EFEITO!$L$340*EFEITO!$Z$340</f>
        <v>680.04209132597816</v>
      </c>
      <c r="L340" s="76">
        <f>EFEITO!$N$340*EFEITO!$AA$340</f>
        <v>146.24464734707774</v>
      </c>
      <c r="M340" s="76">
        <f>$J$340-EFEITO!$K$340*EFEITO!$Y$340</f>
        <v>0</v>
      </c>
      <c r="N340" s="76">
        <f ca="1">$K$340-EFEITO!$M$340*EFEITO!$Z$340</f>
        <v>0</v>
      </c>
      <c r="O340" s="76">
        <f>$L$340-EFEITO!$O$340*EFEITO!$AA$340</f>
        <v>0</v>
      </c>
      <c r="P340" s="57"/>
      <c r="Q340" s="57"/>
      <c r="R340" s="57"/>
      <c r="S340" s="57"/>
      <c r="T340" s="57"/>
      <c r="U340" s="57"/>
      <c r="V340" s="57"/>
      <c r="W340" s="5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21</v>
      </c>
      <c r="B341" s="53" t="s">
        <v>41</v>
      </c>
      <c r="C341" s="53" t="s">
        <v>43</v>
      </c>
      <c r="D341" s="53" t="s">
        <v>53</v>
      </c>
      <c r="E341" s="53" t="s">
        <v>25</v>
      </c>
      <c r="F341" s="53" t="s">
        <v>25</v>
      </c>
      <c r="G341" s="53" t="s">
        <v>25</v>
      </c>
      <c r="H341" s="53" t="s">
        <v>34</v>
      </c>
      <c r="I341" s="75">
        <v>44835</v>
      </c>
      <c r="J341" s="76">
        <f>EFEITO!$J$341*EFEITO!$Y$341</f>
        <v>0</v>
      </c>
      <c r="K341" s="76">
        <f ca="1">EFEITO!$L$341*EFEITO!$Z$341</f>
        <v>771.41338553497519</v>
      </c>
      <c r="L341" s="76">
        <f>EFEITO!$N$341*EFEITO!$AA$341</f>
        <v>165.89425855450449</v>
      </c>
      <c r="M341" s="76">
        <f>$J$341-EFEITO!$K$341*EFEITO!$Y$341</f>
        <v>0</v>
      </c>
      <c r="N341" s="76">
        <f ca="1">$K$341-EFEITO!$M$341*EFEITO!$Z$341</f>
        <v>0</v>
      </c>
      <c r="O341" s="76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54</v>
      </c>
      <c r="B342" s="53" t="s">
        <v>41</v>
      </c>
      <c r="C342" s="53" t="s">
        <v>43</v>
      </c>
      <c r="D342" s="53" t="s">
        <v>53</v>
      </c>
      <c r="E342" s="53" t="s">
        <v>25</v>
      </c>
      <c r="F342" s="53" t="s">
        <v>25</v>
      </c>
      <c r="G342" s="53" t="s">
        <v>25</v>
      </c>
      <c r="H342" s="53" t="s">
        <v>34</v>
      </c>
      <c r="I342" s="75">
        <v>44866</v>
      </c>
      <c r="J342" s="76">
        <f>EFEITO!$J$342*EFEITO!$Y$342</f>
        <v>0</v>
      </c>
      <c r="K342" s="76">
        <f ca="1">EFEITO!$L$342*EFEITO!$Z$342</f>
        <v>771.41338553497519</v>
      </c>
      <c r="L342" s="76">
        <f>EFEITO!$N$342*EFEITO!$AA$342</f>
        <v>165.89425855450449</v>
      </c>
      <c r="M342" s="76">
        <f>$J$342-EFEITO!$K$342*EFEITO!$Y$342</f>
        <v>0</v>
      </c>
      <c r="N342" s="76">
        <f ca="1">$K$342-EFEITO!$M$342*EFEITO!$Z$342</f>
        <v>0</v>
      </c>
      <c r="O342" s="76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21</v>
      </c>
      <c r="B343" s="53" t="s">
        <v>41</v>
      </c>
      <c r="C343" s="53" t="s">
        <v>43</v>
      </c>
      <c r="D343" s="53" t="s">
        <v>38</v>
      </c>
      <c r="E343" s="53" t="s">
        <v>25</v>
      </c>
      <c r="F343" s="53" t="s">
        <v>55</v>
      </c>
      <c r="G343" s="53" t="s">
        <v>25</v>
      </c>
      <c r="H343" s="53" t="s">
        <v>35</v>
      </c>
      <c r="I343" s="75">
        <v>44531</v>
      </c>
      <c r="J343" s="76">
        <f>EFEITO!$J$343*EFEITO!$Y$343</f>
        <v>0</v>
      </c>
      <c r="K343" s="76">
        <f ca="1">EFEITO!$L$343*EFEITO!$Z$343</f>
        <v>128101.11533031982</v>
      </c>
      <c r="L343" s="76">
        <f>EFEITO!$N$343*EFEITO!$AA$343</f>
        <v>0</v>
      </c>
      <c r="M343" s="76">
        <f>$J$343-EFEITO!$K$343*EFEITO!$Y$343</f>
        <v>0</v>
      </c>
      <c r="N343" s="76">
        <f ca="1">$K$343-EFEITO!$M$343*EFEITO!$Z$343</f>
        <v>0</v>
      </c>
      <c r="O343" s="76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21</v>
      </c>
      <c r="B344" s="53" t="s">
        <v>41</v>
      </c>
      <c r="C344" s="53" t="s">
        <v>43</v>
      </c>
      <c r="D344" s="53" t="s">
        <v>38</v>
      </c>
      <c r="E344" s="53" t="s">
        <v>25</v>
      </c>
      <c r="F344" s="53" t="s">
        <v>55</v>
      </c>
      <c r="G344" s="53" t="s">
        <v>25</v>
      </c>
      <c r="H344" s="53" t="s">
        <v>35</v>
      </c>
      <c r="I344" s="75">
        <v>44562</v>
      </c>
      <c r="J344" s="76">
        <f>EFEITO!$J$344*EFEITO!$Y$344</f>
        <v>0</v>
      </c>
      <c r="K344" s="76">
        <f ca="1">EFEITO!$L$344*EFEITO!$Z$344</f>
        <v>11994.32061053578</v>
      </c>
      <c r="L344" s="76">
        <f>EFEITO!$N$344*EFEITO!$AA$344</f>
        <v>0</v>
      </c>
      <c r="M344" s="76">
        <f>$J$344-EFEITO!$K$344*EFEITO!$Y$344</f>
        <v>0</v>
      </c>
      <c r="N344" s="76">
        <f ca="1">$K$344-EFEITO!$M$344*EFEITO!$Z$344</f>
        <v>0</v>
      </c>
      <c r="O344" s="76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21</v>
      </c>
      <c r="B345" s="53" t="s">
        <v>41</v>
      </c>
      <c r="C345" s="53" t="s">
        <v>43</v>
      </c>
      <c r="D345" s="53" t="s">
        <v>38</v>
      </c>
      <c r="E345" s="53" t="s">
        <v>25</v>
      </c>
      <c r="F345" s="53" t="s">
        <v>55</v>
      </c>
      <c r="G345" s="53" t="s">
        <v>25</v>
      </c>
      <c r="H345" s="53" t="s">
        <v>35</v>
      </c>
      <c r="I345" s="75">
        <v>44593</v>
      </c>
      <c r="J345" s="76">
        <f>EFEITO!$J$345*EFEITO!$Y$345</f>
        <v>0</v>
      </c>
      <c r="K345" s="76">
        <f ca="1">EFEITO!$L$345*EFEITO!$Z$345</f>
        <v>12943.986683416928</v>
      </c>
      <c r="L345" s="76">
        <f>EFEITO!$N$345*EFEITO!$AA$345</f>
        <v>0</v>
      </c>
      <c r="M345" s="76">
        <f>$J$345-EFEITO!$K$345*EFEITO!$Y$345</f>
        <v>0</v>
      </c>
      <c r="N345" s="76">
        <f ca="1">$K$345-EFEITO!$M$345*EFEITO!$Z$345</f>
        <v>0</v>
      </c>
      <c r="O345" s="76">
        <f>$L$345-EFEITO!$O$345*EFEITO!$AA$345</f>
        <v>0</v>
      </c>
      <c r="P345" s="57"/>
      <c r="Q345" s="57"/>
      <c r="R345" s="57"/>
      <c r="S345" s="57"/>
      <c r="T345" s="57"/>
      <c r="U345" s="57"/>
      <c r="V345" s="57"/>
      <c r="W345" s="5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41</v>
      </c>
      <c r="C346" s="53" t="s">
        <v>43</v>
      </c>
      <c r="D346" s="53" t="s">
        <v>38</v>
      </c>
      <c r="E346" s="53" t="s">
        <v>25</v>
      </c>
      <c r="F346" s="53" t="s">
        <v>55</v>
      </c>
      <c r="G346" s="53" t="s">
        <v>25</v>
      </c>
      <c r="H346" s="53" t="s">
        <v>35</v>
      </c>
      <c r="I346" s="75">
        <v>44621</v>
      </c>
      <c r="J346" s="76">
        <f>EFEITO!$J$346*EFEITO!$Y$346</f>
        <v>0</v>
      </c>
      <c r="K346" s="76">
        <f ca="1">EFEITO!$L$346*EFEITO!$Z$346</f>
        <v>15892.615453180524</v>
      </c>
      <c r="L346" s="76">
        <f>EFEITO!$N$346*EFEITO!$AA$346</f>
        <v>0</v>
      </c>
      <c r="M346" s="76">
        <f>$J$346-EFEITO!$K$346*EFEITO!$Y$346</f>
        <v>0</v>
      </c>
      <c r="N346" s="76">
        <f ca="1">$K$346-EFEITO!$M$346*EFEITO!$Z$346</f>
        <v>0</v>
      </c>
      <c r="O346" s="76">
        <f>$L$346-EFEITO!$O$346*EFEITO!$AA$346</f>
        <v>0</v>
      </c>
      <c r="P346" s="57"/>
      <c r="Q346" s="57"/>
      <c r="R346" s="57"/>
      <c r="S346" s="57"/>
      <c r="T346" s="57"/>
      <c r="U346" s="57"/>
      <c r="V346" s="57"/>
      <c r="W346" s="5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21</v>
      </c>
      <c r="B347" s="53" t="s">
        <v>41</v>
      </c>
      <c r="C347" s="53" t="s">
        <v>43</v>
      </c>
      <c r="D347" s="53" t="s">
        <v>38</v>
      </c>
      <c r="E347" s="53" t="s">
        <v>25</v>
      </c>
      <c r="F347" s="53" t="s">
        <v>55</v>
      </c>
      <c r="G347" s="53" t="s">
        <v>25</v>
      </c>
      <c r="H347" s="53" t="s">
        <v>35</v>
      </c>
      <c r="I347" s="75">
        <v>44652</v>
      </c>
      <c r="J347" s="76">
        <f>EFEITO!$J$347*EFEITO!$Y$347</f>
        <v>0</v>
      </c>
      <c r="K347" s="76">
        <f ca="1">EFEITO!$L$347*EFEITO!$Z$347</f>
        <v>20365.82757442024</v>
      </c>
      <c r="L347" s="76">
        <f>EFEITO!$N$347*EFEITO!$AA$347</f>
        <v>0</v>
      </c>
      <c r="M347" s="76">
        <f>$J$347-EFEITO!$K$347*EFEITO!$Y$347</f>
        <v>0</v>
      </c>
      <c r="N347" s="76">
        <f ca="1">$K$347-EFEITO!$M$347*EFEITO!$Z$347</f>
        <v>0</v>
      </c>
      <c r="O347" s="76">
        <f>$L$347-EFEITO!$O$347*EFEITO!$AA$347</f>
        <v>0</v>
      </c>
      <c r="P347" s="57"/>
      <c r="Q347" s="57"/>
      <c r="R347" s="57"/>
      <c r="S347" s="57"/>
      <c r="T347" s="57"/>
      <c r="U347" s="57"/>
      <c r="V347" s="57"/>
      <c r="W347" s="5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21</v>
      </c>
      <c r="B348" s="53" t="s">
        <v>41</v>
      </c>
      <c r="C348" s="53" t="s">
        <v>43</v>
      </c>
      <c r="D348" s="53" t="s">
        <v>38</v>
      </c>
      <c r="E348" s="53" t="s">
        <v>25</v>
      </c>
      <c r="F348" s="53" t="s">
        <v>55</v>
      </c>
      <c r="G348" s="53" t="s">
        <v>25</v>
      </c>
      <c r="H348" s="53" t="s">
        <v>35</v>
      </c>
      <c r="I348" s="75">
        <v>44682</v>
      </c>
      <c r="J348" s="76">
        <f>EFEITO!$J$348*EFEITO!$Y$348</f>
        <v>0</v>
      </c>
      <c r="K348" s="76">
        <f ca="1">EFEITO!$L$348*EFEITO!$Z$348</f>
        <v>23914.961797110209</v>
      </c>
      <c r="L348" s="76">
        <f>EFEITO!$N$348*EFEITO!$AA$348</f>
        <v>0</v>
      </c>
      <c r="M348" s="76">
        <f>$J$348-EFEITO!$K$348*EFEITO!$Y$348</f>
        <v>0</v>
      </c>
      <c r="N348" s="76">
        <f ca="1">$K$348-EFEITO!$M$348*EFEITO!$Z$348</f>
        <v>0</v>
      </c>
      <c r="O348" s="76">
        <f>$L$348-EFEITO!$O$348*EFEITO!$AA$348</f>
        <v>0</v>
      </c>
      <c r="P348" s="57"/>
      <c r="Q348" s="57"/>
      <c r="R348" s="57"/>
      <c r="S348" s="57"/>
      <c r="T348" s="57"/>
      <c r="U348" s="57"/>
      <c r="V348" s="57"/>
      <c r="W348" s="5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21</v>
      </c>
      <c r="B349" s="53" t="s">
        <v>41</v>
      </c>
      <c r="C349" s="53" t="s">
        <v>43</v>
      </c>
      <c r="D349" s="53" t="s">
        <v>38</v>
      </c>
      <c r="E349" s="53" t="s">
        <v>25</v>
      </c>
      <c r="F349" s="53" t="s">
        <v>55</v>
      </c>
      <c r="G349" s="53" t="s">
        <v>25</v>
      </c>
      <c r="H349" s="53" t="s">
        <v>35</v>
      </c>
      <c r="I349" s="75">
        <v>44713</v>
      </c>
      <c r="J349" s="76">
        <f>EFEITO!$J$349*EFEITO!$Y$349</f>
        <v>0</v>
      </c>
      <c r="K349" s="76">
        <f ca="1">EFEITO!$L$349*EFEITO!$Z$349</f>
        <v>23665.976157516678</v>
      </c>
      <c r="L349" s="76">
        <f>EFEITO!$N$349*EFEITO!$AA$349</f>
        <v>0</v>
      </c>
      <c r="M349" s="76">
        <f>$J$349-EFEITO!$K$349*EFEITO!$Y$349</f>
        <v>0</v>
      </c>
      <c r="N349" s="76">
        <f ca="1">$K$349-EFEITO!$M$349*EFEITO!$Z$349</f>
        <v>0</v>
      </c>
      <c r="O349" s="76">
        <f>$L$349-EFEITO!$O$349*EFEITO!$AA$349</f>
        <v>0</v>
      </c>
      <c r="P349" s="57"/>
      <c r="Q349" s="57"/>
      <c r="R349" s="57"/>
      <c r="S349" s="57"/>
      <c r="T349" s="57"/>
      <c r="U349" s="57"/>
      <c r="V349" s="57"/>
      <c r="W349" s="5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21</v>
      </c>
      <c r="B350" s="53" t="s">
        <v>41</v>
      </c>
      <c r="C350" s="53" t="s">
        <v>43</v>
      </c>
      <c r="D350" s="53" t="s">
        <v>38</v>
      </c>
      <c r="E350" s="53" t="s">
        <v>25</v>
      </c>
      <c r="F350" s="53" t="s">
        <v>55</v>
      </c>
      <c r="G350" s="53" t="s">
        <v>25</v>
      </c>
      <c r="H350" s="53" t="s">
        <v>35</v>
      </c>
      <c r="I350" s="75">
        <v>44743</v>
      </c>
      <c r="J350" s="76">
        <f>EFEITO!$J$350*EFEITO!$Y$350</f>
        <v>0</v>
      </c>
      <c r="K350" s="76">
        <f ca="1">EFEITO!$L$350*EFEITO!$Z$350</f>
        <v>21085.563031146139</v>
      </c>
      <c r="L350" s="76">
        <f>EFEITO!$N$350*EFEITO!$AA$350</f>
        <v>0</v>
      </c>
      <c r="M350" s="76">
        <f>$J$350-EFEITO!$K$350*EFEITO!$Y$350</f>
        <v>0</v>
      </c>
      <c r="N350" s="76">
        <f ca="1">$K$350-EFEITO!$M$350*EFEITO!$Z$350</f>
        <v>0</v>
      </c>
      <c r="O350" s="76">
        <f>$L$350-EFEITO!$O$350*EFEITO!$AA$350</f>
        <v>0</v>
      </c>
      <c r="P350" s="57"/>
      <c r="Q350" s="57"/>
      <c r="R350" s="57"/>
      <c r="S350" s="57"/>
      <c r="T350" s="57"/>
      <c r="U350" s="57"/>
      <c r="V350" s="57"/>
      <c r="W350" s="5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21</v>
      </c>
      <c r="B351" s="53" t="s">
        <v>41</v>
      </c>
      <c r="C351" s="53" t="s">
        <v>43</v>
      </c>
      <c r="D351" s="53" t="s">
        <v>38</v>
      </c>
      <c r="E351" s="53" t="s">
        <v>25</v>
      </c>
      <c r="F351" s="53" t="s">
        <v>55</v>
      </c>
      <c r="G351" s="53" t="s">
        <v>25</v>
      </c>
      <c r="H351" s="53" t="s">
        <v>35</v>
      </c>
      <c r="I351" s="75">
        <v>44774</v>
      </c>
      <c r="J351" s="76">
        <f>EFEITO!$J$351*EFEITO!$Y$351</f>
        <v>0</v>
      </c>
      <c r="K351" s="76">
        <f ca="1">EFEITO!$L$351*EFEITO!$Z$351</f>
        <v>27008.590221418432</v>
      </c>
      <c r="L351" s="76">
        <f>EFEITO!$N$351*EFEITO!$AA$351</f>
        <v>0</v>
      </c>
      <c r="M351" s="76">
        <f>$J$351-EFEITO!$K$351*EFEITO!$Y$351</f>
        <v>0</v>
      </c>
      <c r="N351" s="76">
        <f ca="1">$K$351-EFEITO!$M$351*EFEITO!$Z$351</f>
        <v>0</v>
      </c>
      <c r="O351" s="76">
        <f>$L$351-EFEITO!$O$351*EFEITO!$AA$351</f>
        <v>0</v>
      </c>
      <c r="P351" s="57"/>
      <c r="Q351" s="57"/>
      <c r="R351" s="57"/>
      <c r="S351" s="57"/>
      <c r="T351" s="57"/>
      <c r="U351" s="57"/>
      <c r="V351" s="57"/>
      <c r="W351" s="5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21</v>
      </c>
      <c r="B352" s="53" t="s">
        <v>41</v>
      </c>
      <c r="C352" s="53" t="s">
        <v>43</v>
      </c>
      <c r="D352" s="53" t="s">
        <v>38</v>
      </c>
      <c r="E352" s="53" t="s">
        <v>25</v>
      </c>
      <c r="F352" s="53" t="s">
        <v>55</v>
      </c>
      <c r="G352" s="53" t="s">
        <v>25</v>
      </c>
      <c r="H352" s="53" t="s">
        <v>35</v>
      </c>
      <c r="I352" s="75">
        <v>44805</v>
      </c>
      <c r="J352" s="76">
        <f>EFEITO!$J$352*EFEITO!$Y$352</f>
        <v>0</v>
      </c>
      <c r="K352" s="76">
        <f ca="1">EFEITO!$L$352*EFEITO!$Z$352</f>
        <v>24951.010642911562</v>
      </c>
      <c r="L352" s="76">
        <f>EFEITO!$N$352*EFEITO!$AA$352</f>
        <v>0</v>
      </c>
      <c r="M352" s="76">
        <f>$J$352-EFEITO!$K$352*EFEITO!$Y$352</f>
        <v>0</v>
      </c>
      <c r="N352" s="76">
        <f ca="1">$K$352-EFEITO!$M$352*EFEITO!$Z$352</f>
        <v>0</v>
      </c>
      <c r="O352" s="76">
        <f>$L$352-EFEITO!$O$352*EFEITO!$AA$352</f>
        <v>0</v>
      </c>
      <c r="P352" s="57"/>
      <c r="Q352" s="57"/>
      <c r="R352" s="57"/>
      <c r="S352" s="57"/>
      <c r="T352" s="57"/>
      <c r="U352" s="57"/>
      <c r="V352" s="57"/>
      <c r="W352" s="5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21</v>
      </c>
      <c r="B353" s="53" t="s">
        <v>41</v>
      </c>
      <c r="C353" s="53" t="s">
        <v>43</v>
      </c>
      <c r="D353" s="53" t="s">
        <v>38</v>
      </c>
      <c r="E353" s="53" t="s">
        <v>25</v>
      </c>
      <c r="F353" s="53" t="s">
        <v>55</v>
      </c>
      <c r="G353" s="53" t="s">
        <v>25</v>
      </c>
      <c r="H353" s="53" t="s">
        <v>35</v>
      </c>
      <c r="I353" s="75">
        <v>44835</v>
      </c>
      <c r="J353" s="76">
        <f>EFEITO!$J$353*EFEITO!$Y$353</f>
        <v>0</v>
      </c>
      <c r="K353" s="76">
        <f ca="1">EFEITO!$L$353*EFEITO!$Z$353</f>
        <v>26011.740280975831</v>
      </c>
      <c r="L353" s="76">
        <f>EFEITO!$N$353*EFEITO!$AA$353</f>
        <v>0</v>
      </c>
      <c r="M353" s="76">
        <f>$J$353-EFEITO!$K$353*EFEITO!$Y$353</f>
        <v>0</v>
      </c>
      <c r="N353" s="76">
        <f ca="1">$K$353-EFEITO!$M$353*EFEITO!$Z$353</f>
        <v>0</v>
      </c>
      <c r="O353" s="76">
        <f>$L$353-EFEITO!$O$353*EFEITO!$AA$353</f>
        <v>0</v>
      </c>
      <c r="P353" s="57"/>
      <c r="Q353" s="57"/>
      <c r="R353" s="57"/>
      <c r="S353" s="57"/>
      <c r="T353" s="57"/>
      <c r="U353" s="57"/>
      <c r="V353" s="57"/>
      <c r="W353" s="5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54</v>
      </c>
      <c r="B354" s="53" t="s">
        <v>41</v>
      </c>
      <c r="C354" s="53" t="s">
        <v>43</v>
      </c>
      <c r="D354" s="53" t="s">
        <v>38</v>
      </c>
      <c r="E354" s="53" t="s">
        <v>25</v>
      </c>
      <c r="F354" s="53" t="s">
        <v>55</v>
      </c>
      <c r="G354" s="53" t="s">
        <v>25</v>
      </c>
      <c r="H354" s="53" t="s">
        <v>35</v>
      </c>
      <c r="I354" s="75">
        <v>44866</v>
      </c>
      <c r="J354" s="76">
        <f>EFEITO!$J$354*EFEITO!$Y$354</f>
        <v>0</v>
      </c>
      <c r="K354" s="76">
        <f ca="1">EFEITO!$L$354*EFEITO!$Z$354</f>
        <v>26011.740280975831</v>
      </c>
      <c r="L354" s="76">
        <f>EFEITO!$N$354*EFEITO!$AA$354</f>
        <v>0</v>
      </c>
      <c r="M354" s="76">
        <f>$J$354-EFEITO!$K$354*EFEITO!$Y$354</f>
        <v>0</v>
      </c>
      <c r="N354" s="76">
        <f ca="1">$K$354-EFEITO!$M$354*EFEITO!$Z$354</f>
        <v>0</v>
      </c>
      <c r="O354" s="76">
        <f>$L$354-EFEITO!$O$354*EFEITO!$AA$354</f>
        <v>0</v>
      </c>
      <c r="P354" s="57"/>
      <c r="Q354" s="57"/>
      <c r="R354" s="57"/>
      <c r="S354" s="57"/>
      <c r="T354" s="57"/>
      <c r="U354" s="57"/>
      <c r="V354" s="57"/>
      <c r="W354" s="5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21</v>
      </c>
      <c r="B355" s="53" t="s">
        <v>41</v>
      </c>
      <c r="C355" s="53" t="s">
        <v>43</v>
      </c>
      <c r="D355" s="53" t="s">
        <v>38</v>
      </c>
      <c r="E355" s="53" t="s">
        <v>25</v>
      </c>
      <c r="F355" s="53" t="s">
        <v>55</v>
      </c>
      <c r="G355" s="53" t="s">
        <v>25</v>
      </c>
      <c r="H355" s="53" t="s">
        <v>25</v>
      </c>
      <c r="I355" s="75">
        <v>44531</v>
      </c>
      <c r="J355" s="76">
        <f ca="1">EFEITO!$J$355*EFEITO!$Y$355</f>
        <v>78040.526369913088</v>
      </c>
      <c r="K355" s="76">
        <f>EFEITO!$L$355*EFEITO!$Z$355</f>
        <v>0</v>
      </c>
      <c r="L355" s="76">
        <f>EFEITO!$N$355*EFEITO!$AA$355</f>
        <v>0</v>
      </c>
      <c r="M355" s="76">
        <f ca="1">$J$355-EFEITO!$K$355*EFEITO!$Y$355</f>
        <v>62102.288598443622</v>
      </c>
      <c r="N355" s="76">
        <f>$K$355-EFEITO!$M$355*EFEITO!$Z$355</f>
        <v>0</v>
      </c>
      <c r="O355" s="76">
        <f>$L$355-EFEITO!$O$355*EFEITO!$AA$355</f>
        <v>0</v>
      </c>
      <c r="P355" s="57"/>
      <c r="Q355" s="57"/>
      <c r="R355" s="57"/>
      <c r="S355" s="57"/>
      <c r="T355" s="57"/>
      <c r="U355" s="57"/>
      <c r="V355" s="57"/>
      <c r="W355" s="5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21</v>
      </c>
      <c r="B356" s="53" t="s">
        <v>41</v>
      </c>
      <c r="C356" s="53" t="s">
        <v>43</v>
      </c>
      <c r="D356" s="53" t="s">
        <v>38</v>
      </c>
      <c r="E356" s="53" t="s">
        <v>25</v>
      </c>
      <c r="F356" s="53" t="s">
        <v>55</v>
      </c>
      <c r="G356" s="53" t="s">
        <v>25</v>
      </c>
      <c r="H356" s="53" t="s">
        <v>25</v>
      </c>
      <c r="I356" s="75">
        <v>44562</v>
      </c>
      <c r="J356" s="76">
        <f ca="1">EFEITO!$J$356*EFEITO!$Y$356</f>
        <v>77934.579415840446</v>
      </c>
      <c r="K356" s="76">
        <f>EFEITO!$L$356*EFEITO!$Z$356</f>
        <v>0</v>
      </c>
      <c r="L356" s="76">
        <f>EFEITO!$N$356*EFEITO!$AA$356</f>
        <v>0</v>
      </c>
      <c r="M356" s="76">
        <f ca="1">$J$356-EFEITO!$K$356*EFEITO!$Y$356</f>
        <v>49800.196246722044</v>
      </c>
      <c r="N356" s="76">
        <f>$K$356-EFEITO!$M$356*EFEITO!$Z$356</f>
        <v>0</v>
      </c>
      <c r="O356" s="76">
        <f>$L$356-EFEITO!$O$356*EFEITO!$AA$356</f>
        <v>0</v>
      </c>
      <c r="P356" s="57"/>
      <c r="Q356" s="57"/>
      <c r="R356" s="57"/>
      <c r="S356" s="57"/>
      <c r="T356" s="57"/>
      <c r="U356" s="57"/>
      <c r="V356" s="57"/>
      <c r="W356" s="5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21</v>
      </c>
      <c r="B357" s="53" t="s">
        <v>41</v>
      </c>
      <c r="C357" s="53" t="s">
        <v>43</v>
      </c>
      <c r="D357" s="53" t="s">
        <v>38</v>
      </c>
      <c r="E357" s="53" t="s">
        <v>25</v>
      </c>
      <c r="F357" s="53" t="s">
        <v>55</v>
      </c>
      <c r="G357" s="53" t="s">
        <v>25</v>
      </c>
      <c r="H357" s="53" t="s">
        <v>25</v>
      </c>
      <c r="I357" s="75">
        <v>44593</v>
      </c>
      <c r="J357" s="76">
        <f ca="1">EFEITO!$J$357*EFEITO!$Y$357</f>
        <v>77998.147588284031</v>
      </c>
      <c r="K357" s="76">
        <f>EFEITO!$L$357*EFEITO!$Z$357</f>
        <v>0</v>
      </c>
      <c r="L357" s="76">
        <f>EFEITO!$N$357*EFEITO!$AA$357</f>
        <v>0</v>
      </c>
      <c r="M357" s="76">
        <f ca="1">$J$357-EFEITO!$K$357*EFEITO!$Y$357</f>
        <v>46206.102631299458</v>
      </c>
      <c r="N357" s="76">
        <f>$K$357-EFEITO!$M$357*EFEITO!$Z$357</f>
        <v>0</v>
      </c>
      <c r="O357" s="76">
        <f>$L$357-EFEITO!$O$357*EFEITO!$AA$357</f>
        <v>0</v>
      </c>
      <c r="P357" s="57"/>
      <c r="Q357" s="57"/>
      <c r="R357" s="57"/>
      <c r="S357" s="57"/>
      <c r="T357" s="57"/>
      <c r="U357" s="57"/>
      <c r="V357" s="57"/>
      <c r="W357" s="5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21</v>
      </c>
      <c r="B358" s="53" t="s">
        <v>41</v>
      </c>
      <c r="C358" s="53" t="s">
        <v>43</v>
      </c>
      <c r="D358" s="53" t="s">
        <v>38</v>
      </c>
      <c r="E358" s="53" t="s">
        <v>25</v>
      </c>
      <c r="F358" s="53" t="s">
        <v>55</v>
      </c>
      <c r="G358" s="53" t="s">
        <v>25</v>
      </c>
      <c r="H358" s="53" t="s">
        <v>25</v>
      </c>
      <c r="I358" s="75">
        <v>44621</v>
      </c>
      <c r="J358" s="76">
        <f ca="1">EFEITO!$J$358*EFEITO!$Y$358</f>
        <v>78061.715760727617</v>
      </c>
      <c r="K358" s="76">
        <f>EFEITO!$L$358*EFEITO!$Z$358</f>
        <v>0</v>
      </c>
      <c r="L358" s="76">
        <f>EFEITO!$N$358*EFEITO!$AA$358</f>
        <v>0</v>
      </c>
      <c r="M358" s="76">
        <f ca="1">$J$358-EFEITO!$K$358*EFEITO!$Y$358</f>
        <v>37407.174192540675</v>
      </c>
      <c r="N358" s="76">
        <f>$K$358-EFEITO!$M$358*EFEITO!$Z$358</f>
        <v>0</v>
      </c>
      <c r="O358" s="76">
        <f>$L$358-EFEITO!$O$358*EFEITO!$AA$358</f>
        <v>0</v>
      </c>
      <c r="P358" s="57"/>
      <c r="Q358" s="57"/>
      <c r="R358" s="57"/>
      <c r="S358" s="57"/>
      <c r="T358" s="57"/>
      <c r="U358" s="57"/>
      <c r="V358" s="57"/>
      <c r="W358" s="5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21</v>
      </c>
      <c r="B359" s="53" t="s">
        <v>41</v>
      </c>
      <c r="C359" s="53" t="s">
        <v>43</v>
      </c>
      <c r="D359" s="53" t="s">
        <v>38</v>
      </c>
      <c r="E359" s="53" t="s">
        <v>25</v>
      </c>
      <c r="F359" s="53" t="s">
        <v>55</v>
      </c>
      <c r="G359" s="53" t="s">
        <v>25</v>
      </c>
      <c r="H359" s="53" t="s">
        <v>25</v>
      </c>
      <c r="I359" s="75">
        <v>44652</v>
      </c>
      <c r="J359" s="76">
        <f ca="1">EFEITO!$J$359*EFEITO!$Y$359</f>
        <v>95945.561608190736</v>
      </c>
      <c r="K359" s="76">
        <f>EFEITO!$L$359*EFEITO!$Z$359</f>
        <v>0</v>
      </c>
      <c r="L359" s="76">
        <f>EFEITO!$N$359*EFEITO!$AA$359</f>
        <v>0</v>
      </c>
      <c r="M359" s="76">
        <f ca="1">$J$359-EFEITO!$K$359*EFEITO!$Y$359</f>
        <v>41448.482614738401</v>
      </c>
      <c r="N359" s="76">
        <f>$K$359-EFEITO!$M$359*EFEITO!$Z$359</f>
        <v>0</v>
      </c>
      <c r="O359" s="76">
        <f>$L$359-EFEITO!$O$359*EFEITO!$AA$359</f>
        <v>0</v>
      </c>
      <c r="P359" s="57"/>
      <c r="Q359" s="57"/>
      <c r="R359" s="57"/>
      <c r="S359" s="57"/>
      <c r="T359" s="57"/>
      <c r="U359" s="57"/>
      <c r="V359" s="57"/>
      <c r="W359" s="5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41</v>
      </c>
      <c r="C360" s="53" t="s">
        <v>43</v>
      </c>
      <c r="D360" s="53" t="s">
        <v>38</v>
      </c>
      <c r="E360" s="53" t="s">
        <v>25</v>
      </c>
      <c r="F360" s="53" t="s">
        <v>55</v>
      </c>
      <c r="G360" s="53" t="s">
        <v>25</v>
      </c>
      <c r="H360" s="53" t="s">
        <v>25</v>
      </c>
      <c r="I360" s="75">
        <v>44682</v>
      </c>
      <c r="J360" s="76">
        <f ca="1">EFEITO!$J$360*EFEITO!$Y$360</f>
        <v>98212.826425345411</v>
      </c>
      <c r="K360" s="76">
        <f>EFEITO!$L$360*EFEITO!$Z$360</f>
        <v>0</v>
      </c>
      <c r="L360" s="76">
        <f>EFEITO!$N$360*EFEITO!$AA$360</f>
        <v>0</v>
      </c>
      <c r="M360" s="76">
        <f ca="1">$J$360-EFEITO!$K$360*EFEITO!$Y$360</f>
        <v>36387.852190590471</v>
      </c>
      <c r="N360" s="76">
        <f>$K$360-EFEITO!$M$360*EFEITO!$Z$360</f>
        <v>0</v>
      </c>
      <c r="O360" s="76">
        <f>$L$360-EFEITO!$O$360*EFEITO!$AA$360</f>
        <v>0</v>
      </c>
      <c r="P360" s="57"/>
      <c r="Q360" s="57"/>
      <c r="R360" s="57"/>
      <c r="S360" s="57"/>
      <c r="T360" s="57"/>
      <c r="U360" s="57"/>
      <c r="V360" s="57"/>
      <c r="W360" s="5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21</v>
      </c>
      <c r="B361" s="53" t="s">
        <v>41</v>
      </c>
      <c r="C361" s="53" t="s">
        <v>43</v>
      </c>
      <c r="D361" s="53" t="s">
        <v>38</v>
      </c>
      <c r="E361" s="53" t="s">
        <v>25</v>
      </c>
      <c r="F361" s="53" t="s">
        <v>55</v>
      </c>
      <c r="G361" s="53" t="s">
        <v>25</v>
      </c>
      <c r="H361" s="53" t="s">
        <v>25</v>
      </c>
      <c r="I361" s="75">
        <v>44713</v>
      </c>
      <c r="J361" s="76">
        <f ca="1">EFEITO!$J$361*EFEITO!$Y$361</f>
        <v>99463.000483402677</v>
      </c>
      <c r="K361" s="76">
        <f>EFEITO!$L$361*EFEITO!$Z$361</f>
        <v>0</v>
      </c>
      <c r="L361" s="76">
        <f>EFEITO!$N$361*EFEITO!$AA$361</f>
        <v>0</v>
      </c>
      <c r="M361" s="76">
        <f ca="1">$J$361-EFEITO!$K$361*EFEITO!$Y$361</f>
        <v>36512.867477457119</v>
      </c>
      <c r="N361" s="76">
        <f>$K$361-EFEITO!$M$361*EFEITO!$Z$361</f>
        <v>0</v>
      </c>
      <c r="O361" s="76">
        <f>$L$361-EFEITO!$O$361*EFEITO!$AA$361</f>
        <v>0</v>
      </c>
      <c r="P361" s="57"/>
      <c r="Q361" s="57"/>
      <c r="R361" s="57"/>
      <c r="S361" s="57"/>
      <c r="T361" s="57"/>
      <c r="U361" s="57"/>
      <c r="V361" s="57"/>
      <c r="W361" s="5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41</v>
      </c>
      <c r="C362" s="53" t="s">
        <v>43</v>
      </c>
      <c r="D362" s="53" t="s">
        <v>38</v>
      </c>
      <c r="E362" s="53" t="s">
        <v>25</v>
      </c>
      <c r="F362" s="53" t="s">
        <v>55</v>
      </c>
      <c r="G362" s="53" t="s">
        <v>25</v>
      </c>
      <c r="H362" s="53" t="s">
        <v>25</v>
      </c>
      <c r="I362" s="75">
        <v>44743</v>
      </c>
      <c r="J362" s="76">
        <f ca="1">EFEITO!$J$362*EFEITO!$Y$362</f>
        <v>106074.09041753596</v>
      </c>
      <c r="K362" s="76">
        <f>EFEITO!$L$362*EFEITO!$Z$362</f>
        <v>0</v>
      </c>
      <c r="L362" s="76">
        <f>EFEITO!$N$362*EFEITO!$AA$362</f>
        <v>0</v>
      </c>
      <c r="M362" s="76">
        <f ca="1">$J$362-EFEITO!$K$362*EFEITO!$Y$362</f>
        <v>45855.829287500805</v>
      </c>
      <c r="N362" s="76">
        <f>$K$362-EFEITO!$M$362*EFEITO!$Z$362</f>
        <v>0</v>
      </c>
      <c r="O362" s="76">
        <f>$L$362-EFEITO!$O$362*EFEITO!$AA$362</f>
        <v>0</v>
      </c>
      <c r="P362" s="57"/>
      <c r="Q362" s="57"/>
      <c r="R362" s="57"/>
      <c r="S362" s="57"/>
      <c r="T362" s="57"/>
      <c r="U362" s="57"/>
      <c r="V362" s="57"/>
      <c r="W362" s="5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21</v>
      </c>
      <c r="B363" s="53" t="s">
        <v>41</v>
      </c>
      <c r="C363" s="53" t="s">
        <v>43</v>
      </c>
      <c r="D363" s="53" t="s">
        <v>38</v>
      </c>
      <c r="E363" s="53" t="s">
        <v>25</v>
      </c>
      <c r="F363" s="53" t="s">
        <v>55</v>
      </c>
      <c r="G363" s="53" t="s">
        <v>25</v>
      </c>
      <c r="H363" s="53" t="s">
        <v>25</v>
      </c>
      <c r="I363" s="75">
        <v>44774</v>
      </c>
      <c r="J363" s="76">
        <f ca="1">EFEITO!$J$363*EFEITO!$Y$363</f>
        <v>108743.95366016671</v>
      </c>
      <c r="K363" s="76">
        <f>EFEITO!$L$363*EFEITO!$Z$363</f>
        <v>0</v>
      </c>
      <c r="L363" s="76">
        <f>EFEITO!$N$363*EFEITO!$AA$363</f>
        <v>0</v>
      </c>
      <c r="M363" s="76">
        <f ca="1">$J$363-EFEITO!$K$363*EFEITO!$Y$363</f>
        <v>37375.296872999301</v>
      </c>
      <c r="N363" s="76">
        <f>$K$363-EFEITO!$M$363*EFEITO!$Z$363</f>
        <v>0</v>
      </c>
      <c r="O363" s="76">
        <f>$L$363-EFEITO!$O$363*EFEITO!$AA$363</f>
        <v>0</v>
      </c>
      <c r="P363" s="57"/>
      <c r="Q363" s="57"/>
      <c r="R363" s="57"/>
      <c r="S363" s="57"/>
      <c r="T363" s="57"/>
      <c r="U363" s="57"/>
      <c r="V363" s="57"/>
      <c r="W363" s="5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21</v>
      </c>
      <c r="B364" s="53" t="s">
        <v>41</v>
      </c>
      <c r="C364" s="53" t="s">
        <v>43</v>
      </c>
      <c r="D364" s="53" t="s">
        <v>38</v>
      </c>
      <c r="E364" s="53" t="s">
        <v>25</v>
      </c>
      <c r="F364" s="53" t="s">
        <v>55</v>
      </c>
      <c r="G364" s="53" t="s">
        <v>25</v>
      </c>
      <c r="H364" s="53" t="s">
        <v>25</v>
      </c>
      <c r="I364" s="75">
        <v>44805</v>
      </c>
      <c r="J364" s="76">
        <f ca="1">EFEITO!$J$364*EFEITO!$Y$364</f>
        <v>106561.44640627014</v>
      </c>
      <c r="K364" s="76">
        <f>EFEITO!$L$364*EFEITO!$Z$364</f>
        <v>0</v>
      </c>
      <c r="L364" s="76">
        <f>EFEITO!$N$364*EFEITO!$AA$364</f>
        <v>0</v>
      </c>
      <c r="M364" s="76">
        <f ca="1">$J$364-EFEITO!$K$364*EFEITO!$Y$364</f>
        <v>35261.182615834798</v>
      </c>
      <c r="N364" s="76">
        <f>$K$364-EFEITO!$M$364*EFEITO!$Z$364</f>
        <v>0</v>
      </c>
      <c r="O364" s="76">
        <f>$L$364-EFEITO!$O$364*EFEITO!$AA$364</f>
        <v>0</v>
      </c>
      <c r="P364" s="57"/>
      <c r="Q364" s="57"/>
      <c r="R364" s="57"/>
      <c r="S364" s="57"/>
      <c r="T364" s="57"/>
      <c r="U364" s="57"/>
      <c r="V364" s="57"/>
      <c r="W364" s="5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21</v>
      </c>
      <c r="B365" s="53" t="s">
        <v>41</v>
      </c>
      <c r="C365" s="53" t="s">
        <v>43</v>
      </c>
      <c r="D365" s="53" t="s">
        <v>38</v>
      </c>
      <c r="E365" s="53" t="s">
        <v>25</v>
      </c>
      <c r="F365" s="53" t="s">
        <v>55</v>
      </c>
      <c r="G365" s="53" t="s">
        <v>25</v>
      </c>
      <c r="H365" s="53" t="s">
        <v>25</v>
      </c>
      <c r="I365" s="75">
        <v>44835</v>
      </c>
      <c r="J365" s="76">
        <f ca="1">EFEITO!$J$365*EFEITO!$Y$365</f>
        <v>106434.31006138296</v>
      </c>
      <c r="K365" s="76">
        <f>EFEITO!$L$365*EFEITO!$Z$365</f>
        <v>0</v>
      </c>
      <c r="L365" s="76">
        <f>EFEITO!$N$365*EFEITO!$AA$365</f>
        <v>0</v>
      </c>
      <c r="M365" s="76">
        <f ca="1">$J$365-EFEITO!$K$365*EFEITO!$Y$365</f>
        <v>38699.515138318835</v>
      </c>
      <c r="N365" s="76">
        <f>$K$365-EFEITO!$M$365*EFEITO!$Z$365</f>
        <v>0</v>
      </c>
      <c r="O365" s="76">
        <f>$L$365-EFEITO!$O$365*EFEITO!$AA$365</f>
        <v>0</v>
      </c>
      <c r="P365" s="57"/>
      <c r="Q365" s="57"/>
      <c r="R365" s="57"/>
      <c r="S365" s="57"/>
      <c r="T365" s="57"/>
      <c r="U365" s="57"/>
      <c r="V365" s="57"/>
      <c r="W365" s="5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54</v>
      </c>
      <c r="B366" s="53" t="s">
        <v>41</v>
      </c>
      <c r="C366" s="53" t="s">
        <v>43</v>
      </c>
      <c r="D366" s="53" t="s">
        <v>38</v>
      </c>
      <c r="E366" s="53" t="s">
        <v>25</v>
      </c>
      <c r="F366" s="53" t="s">
        <v>55</v>
      </c>
      <c r="G366" s="53" t="s">
        <v>25</v>
      </c>
      <c r="H366" s="53" t="s">
        <v>25</v>
      </c>
      <c r="I366" s="75">
        <v>44866</v>
      </c>
      <c r="J366" s="76">
        <f ca="1">EFEITO!$J$366*EFEITO!$Y$366</f>
        <v>106434.31006138296</v>
      </c>
      <c r="K366" s="76">
        <f>EFEITO!$L$366*EFEITO!$Z$366</f>
        <v>0</v>
      </c>
      <c r="L366" s="76">
        <f>EFEITO!$N$366*EFEITO!$AA$366</f>
        <v>0</v>
      </c>
      <c r="M366" s="76">
        <f ca="1">$J$366-EFEITO!$K$366*EFEITO!$Y$366</f>
        <v>38699.515138318835</v>
      </c>
      <c r="N366" s="76">
        <f>$K$366-EFEITO!$M$366*EFEITO!$Z$366</f>
        <v>0</v>
      </c>
      <c r="O366" s="76">
        <f>$L$366-EFEITO!$O$366*EFEITO!$AA$366</f>
        <v>0</v>
      </c>
      <c r="P366" s="57"/>
      <c r="Q366" s="57"/>
      <c r="R366" s="57"/>
      <c r="S366" s="57"/>
      <c r="T366" s="57"/>
      <c r="U366" s="57"/>
      <c r="V366" s="57"/>
      <c r="W366" s="5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21</v>
      </c>
      <c r="B367" s="53" t="s">
        <v>41</v>
      </c>
      <c r="C367" s="53" t="s">
        <v>43</v>
      </c>
      <c r="D367" s="53" t="s">
        <v>38</v>
      </c>
      <c r="E367" s="53" t="s">
        <v>25</v>
      </c>
      <c r="F367" s="53" t="s">
        <v>55</v>
      </c>
      <c r="G367" s="53" t="s">
        <v>25</v>
      </c>
      <c r="H367" s="53" t="s">
        <v>34</v>
      </c>
      <c r="I367" s="75">
        <v>44531</v>
      </c>
      <c r="J367" s="76">
        <f>EFEITO!$J$367*EFEITO!$Y$367</f>
        <v>0</v>
      </c>
      <c r="K367" s="76">
        <f ca="1">EFEITO!$L$367*EFEITO!$Z$367</f>
        <v>118863.56853542218</v>
      </c>
      <c r="L367" s="76">
        <f>EFEITO!$N$367*EFEITO!$AA$367</f>
        <v>0</v>
      </c>
      <c r="M367" s="76">
        <f>$J$367-EFEITO!$K$367*EFEITO!$Y$367</f>
        <v>0</v>
      </c>
      <c r="N367" s="76">
        <f ca="1">$K$367-EFEITO!$M$367*EFEITO!$Z$367</f>
        <v>69842.353638395522</v>
      </c>
      <c r="O367" s="76">
        <f>$L$367-EFEITO!$O$367*EFEITO!$AA$367</f>
        <v>0</v>
      </c>
      <c r="P367" s="57"/>
      <c r="Q367" s="57"/>
      <c r="R367" s="57"/>
      <c r="S367" s="57"/>
      <c r="T367" s="57"/>
      <c r="U367" s="57"/>
      <c r="V367" s="57"/>
      <c r="W367" s="5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21</v>
      </c>
      <c r="B368" s="53" t="s">
        <v>41</v>
      </c>
      <c r="C368" s="53" t="s">
        <v>43</v>
      </c>
      <c r="D368" s="53" t="s">
        <v>38</v>
      </c>
      <c r="E368" s="53" t="s">
        <v>25</v>
      </c>
      <c r="F368" s="53" t="s">
        <v>55</v>
      </c>
      <c r="G368" s="53" t="s">
        <v>25</v>
      </c>
      <c r="H368" s="53" t="s">
        <v>34</v>
      </c>
      <c r="I368" s="75">
        <v>44562</v>
      </c>
      <c r="J368" s="76">
        <f>EFEITO!$J$368*EFEITO!$Y$368</f>
        <v>0</v>
      </c>
      <c r="K368" s="76">
        <f ca="1">EFEITO!$L$368*EFEITO!$Z$368</f>
        <v>983271.9611141904</v>
      </c>
      <c r="L368" s="76">
        <f>EFEITO!$N$368*EFEITO!$AA$368</f>
        <v>0</v>
      </c>
      <c r="M368" s="76">
        <f>$J$368-EFEITO!$K$368*EFEITO!$Y$368</f>
        <v>0</v>
      </c>
      <c r="N368" s="76">
        <f ca="1">$K$368-EFEITO!$M$368*EFEITO!$Z$368</f>
        <v>611103.52383246936</v>
      </c>
      <c r="O368" s="76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21</v>
      </c>
      <c r="B369" s="53" t="s">
        <v>41</v>
      </c>
      <c r="C369" s="53" t="s">
        <v>43</v>
      </c>
      <c r="D369" s="53" t="s">
        <v>38</v>
      </c>
      <c r="E369" s="53" t="s">
        <v>25</v>
      </c>
      <c r="F369" s="53" t="s">
        <v>55</v>
      </c>
      <c r="G369" s="53" t="s">
        <v>25</v>
      </c>
      <c r="H369" s="53" t="s">
        <v>34</v>
      </c>
      <c r="I369" s="75">
        <v>44593</v>
      </c>
      <c r="J369" s="76">
        <f>EFEITO!$J$369*EFEITO!$Y$369</f>
        <v>0</v>
      </c>
      <c r="K369" s="76">
        <f ca="1">EFEITO!$L$369*EFEITO!$Z$369</f>
        <v>953618.23141819832</v>
      </c>
      <c r="L369" s="76">
        <f>EFEITO!$N$369*EFEITO!$AA$369</f>
        <v>0</v>
      </c>
      <c r="M369" s="76">
        <f>$J$369-EFEITO!$K$369*EFEITO!$Y$369</f>
        <v>0</v>
      </c>
      <c r="N369" s="76">
        <f ca="1">$K$369-EFEITO!$M$369*EFEITO!$Z$369</f>
        <v>487108.19260841573</v>
      </c>
      <c r="O369" s="76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21</v>
      </c>
      <c r="B370" s="53" t="s">
        <v>41</v>
      </c>
      <c r="C370" s="53" t="s">
        <v>43</v>
      </c>
      <c r="D370" s="53" t="s">
        <v>38</v>
      </c>
      <c r="E370" s="53" t="s">
        <v>25</v>
      </c>
      <c r="F370" s="53" t="s">
        <v>55</v>
      </c>
      <c r="G370" s="53" t="s">
        <v>25</v>
      </c>
      <c r="H370" s="53" t="s">
        <v>34</v>
      </c>
      <c r="I370" s="75">
        <v>44621</v>
      </c>
      <c r="J370" s="76">
        <f>EFEITO!$J$370*EFEITO!$Y$370</f>
        <v>0</v>
      </c>
      <c r="K370" s="76">
        <f ca="1">EFEITO!$L$370*EFEITO!$Z$370</f>
        <v>1085369.6461072962</v>
      </c>
      <c r="L370" s="76">
        <f>EFEITO!$N$370*EFEITO!$AA$370</f>
        <v>0</v>
      </c>
      <c r="M370" s="76">
        <f>$J$370-EFEITO!$K$370*EFEITO!$Y$370</f>
        <v>0</v>
      </c>
      <c r="N370" s="76">
        <f ca="1">$K$370-EFEITO!$M$370*EFEITO!$Z$370</f>
        <v>992570.54136512242</v>
      </c>
      <c r="O370" s="76">
        <f>$L$370-EFEITO!$O$370*EFEITO!$AA$370</f>
        <v>0</v>
      </c>
      <c r="P370" s="57"/>
      <c r="Q370" s="57"/>
      <c r="R370" s="57"/>
      <c r="S370" s="57"/>
      <c r="T370" s="57"/>
      <c r="U370" s="57"/>
      <c r="V370" s="57"/>
      <c r="W370" s="5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21</v>
      </c>
      <c r="B371" s="53" t="s">
        <v>41</v>
      </c>
      <c r="C371" s="53" t="s">
        <v>43</v>
      </c>
      <c r="D371" s="53" t="s">
        <v>38</v>
      </c>
      <c r="E371" s="53" t="s">
        <v>25</v>
      </c>
      <c r="F371" s="53" t="s">
        <v>55</v>
      </c>
      <c r="G371" s="53" t="s">
        <v>25</v>
      </c>
      <c r="H371" s="53" t="s">
        <v>34</v>
      </c>
      <c r="I371" s="75">
        <v>44652</v>
      </c>
      <c r="J371" s="76">
        <f>EFEITO!$J$371*EFEITO!$Y$371</f>
        <v>0</v>
      </c>
      <c r="K371" s="76">
        <f ca="1">EFEITO!$L$371*EFEITO!$Z$371</f>
        <v>1593629.2106501528</v>
      </c>
      <c r="L371" s="76">
        <f>EFEITO!$N$371*EFEITO!$AA$371</f>
        <v>0</v>
      </c>
      <c r="M371" s="76">
        <f>$J$371-EFEITO!$K$371*EFEITO!$Y$371</f>
        <v>0</v>
      </c>
      <c r="N371" s="76">
        <f ca="1">$K$371-EFEITO!$M$371*EFEITO!$Z$371</f>
        <v>1401756.2536878744</v>
      </c>
      <c r="O371" s="76">
        <f>$L$371-EFEITO!$O$371*EFEITO!$AA$371</f>
        <v>0</v>
      </c>
      <c r="P371" s="57"/>
      <c r="Q371" s="57"/>
      <c r="R371" s="57"/>
      <c r="S371" s="57"/>
      <c r="T371" s="57"/>
      <c r="U371" s="57"/>
      <c r="V371" s="57"/>
      <c r="W371" s="5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21</v>
      </c>
      <c r="B372" s="53" t="s">
        <v>41</v>
      </c>
      <c r="C372" s="53" t="s">
        <v>43</v>
      </c>
      <c r="D372" s="53" t="s">
        <v>38</v>
      </c>
      <c r="E372" s="53" t="s">
        <v>25</v>
      </c>
      <c r="F372" s="53" t="s">
        <v>55</v>
      </c>
      <c r="G372" s="53" t="s">
        <v>25</v>
      </c>
      <c r="H372" s="53" t="s">
        <v>34</v>
      </c>
      <c r="I372" s="75">
        <v>44682</v>
      </c>
      <c r="J372" s="76">
        <f>EFEITO!$J$372*EFEITO!$Y$372</f>
        <v>0</v>
      </c>
      <c r="K372" s="76">
        <f ca="1">EFEITO!$L$372*EFEITO!$Z$372</f>
        <v>1715875.0149613768</v>
      </c>
      <c r="L372" s="76">
        <f>EFEITO!$N$372*EFEITO!$AA$372</f>
        <v>0</v>
      </c>
      <c r="M372" s="76">
        <f>$J$372-EFEITO!$K$372*EFEITO!$Y$372</f>
        <v>0</v>
      </c>
      <c r="N372" s="76">
        <f ca="1">$K$372-EFEITO!$M$372*EFEITO!$Z$372</f>
        <v>1733376.9401139829</v>
      </c>
      <c r="O372" s="76">
        <f>$L$372-EFEITO!$O$372*EFEITO!$AA$372</f>
        <v>0</v>
      </c>
      <c r="P372" s="57"/>
      <c r="Q372" s="57"/>
      <c r="R372" s="57"/>
      <c r="S372" s="57"/>
      <c r="T372" s="57"/>
      <c r="U372" s="57"/>
      <c r="V372" s="57"/>
      <c r="W372" s="5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21</v>
      </c>
      <c r="B373" s="53" t="s">
        <v>41</v>
      </c>
      <c r="C373" s="53" t="s">
        <v>43</v>
      </c>
      <c r="D373" s="53" t="s">
        <v>38</v>
      </c>
      <c r="E373" s="53" t="s">
        <v>25</v>
      </c>
      <c r="F373" s="53" t="s">
        <v>55</v>
      </c>
      <c r="G373" s="53" t="s">
        <v>25</v>
      </c>
      <c r="H373" s="53" t="s">
        <v>34</v>
      </c>
      <c r="I373" s="75">
        <v>44713</v>
      </c>
      <c r="J373" s="76">
        <f>EFEITO!$J$373*EFEITO!$Y$373</f>
        <v>0</v>
      </c>
      <c r="K373" s="76">
        <f ca="1">EFEITO!$L$373*EFEITO!$Z$373</f>
        <v>1783365.4478003078</v>
      </c>
      <c r="L373" s="76">
        <f>EFEITO!$N$373*EFEITO!$AA$373</f>
        <v>0</v>
      </c>
      <c r="M373" s="76">
        <f>$J$373-EFEITO!$K$373*EFEITO!$Y$373</f>
        <v>0</v>
      </c>
      <c r="N373" s="76">
        <f ca="1">$K$373-EFEITO!$M$373*EFEITO!$Z$373</f>
        <v>1639804.5292523829</v>
      </c>
      <c r="O373" s="76">
        <f>$L$373-EFEITO!$O$373*EFEITO!$AA$373</f>
        <v>0</v>
      </c>
      <c r="P373" s="57"/>
      <c r="Q373" s="57"/>
      <c r="R373" s="57"/>
      <c r="S373" s="57"/>
      <c r="T373" s="57"/>
      <c r="U373" s="57"/>
      <c r="V373" s="57"/>
      <c r="W373" s="5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21</v>
      </c>
      <c r="B374" s="53" t="s">
        <v>41</v>
      </c>
      <c r="C374" s="53" t="s">
        <v>43</v>
      </c>
      <c r="D374" s="53" t="s">
        <v>38</v>
      </c>
      <c r="E374" s="53" t="s">
        <v>25</v>
      </c>
      <c r="F374" s="53" t="s">
        <v>55</v>
      </c>
      <c r="G374" s="53" t="s">
        <v>25</v>
      </c>
      <c r="H374" s="53" t="s">
        <v>34</v>
      </c>
      <c r="I374" s="75">
        <v>44743</v>
      </c>
      <c r="J374" s="76">
        <f>EFEITO!$J$374*EFEITO!$Y$374</f>
        <v>0</v>
      </c>
      <c r="K374" s="76">
        <f ca="1">EFEITO!$L$374*EFEITO!$Z$374</f>
        <v>1800159.7912539351</v>
      </c>
      <c r="L374" s="76">
        <f>EFEITO!$N$374*EFEITO!$AA$374</f>
        <v>0</v>
      </c>
      <c r="M374" s="76">
        <f>$J$374-EFEITO!$K$374*EFEITO!$Y$374</f>
        <v>0</v>
      </c>
      <c r="N374" s="76">
        <f ca="1">$K$374-EFEITO!$M$374*EFEITO!$Z$374</f>
        <v>1302055.5770139713</v>
      </c>
      <c r="O374" s="76">
        <f>$L$374-EFEITO!$O$374*EFEITO!$AA$374</f>
        <v>0</v>
      </c>
      <c r="P374" s="57"/>
      <c r="Q374" s="57"/>
      <c r="R374" s="57"/>
      <c r="S374" s="57"/>
      <c r="T374" s="57"/>
      <c r="U374" s="57"/>
      <c r="V374" s="57"/>
      <c r="W374" s="5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21</v>
      </c>
      <c r="B375" s="53" t="s">
        <v>41</v>
      </c>
      <c r="C375" s="53" t="s">
        <v>43</v>
      </c>
      <c r="D375" s="53" t="s">
        <v>38</v>
      </c>
      <c r="E375" s="53" t="s">
        <v>25</v>
      </c>
      <c r="F375" s="53" t="s">
        <v>55</v>
      </c>
      <c r="G375" s="53" t="s">
        <v>25</v>
      </c>
      <c r="H375" s="53" t="s">
        <v>34</v>
      </c>
      <c r="I375" s="75">
        <v>44774</v>
      </c>
      <c r="J375" s="76">
        <f>EFEITO!$J$375*EFEITO!$Y$375</f>
        <v>0</v>
      </c>
      <c r="K375" s="76">
        <f ca="1">EFEITO!$L$375*EFEITO!$Z$375</f>
        <v>2014617.2061028653</v>
      </c>
      <c r="L375" s="76">
        <f>EFEITO!$N$375*EFEITO!$AA$375</f>
        <v>0</v>
      </c>
      <c r="M375" s="76">
        <f>$J$375-EFEITO!$K$375*EFEITO!$Y$375</f>
        <v>0</v>
      </c>
      <c r="N375" s="76">
        <f ca="1">$K$375-EFEITO!$M$375*EFEITO!$Z$375</f>
        <v>2251334.7278199522</v>
      </c>
      <c r="O375" s="76">
        <f>$L$375-EFEITO!$O$375*EFEITO!$AA$375</f>
        <v>0</v>
      </c>
      <c r="P375" s="57"/>
      <c r="Q375" s="57"/>
      <c r="R375" s="57"/>
      <c r="S375" s="57"/>
      <c r="T375" s="57"/>
      <c r="U375" s="57"/>
      <c r="V375" s="57"/>
      <c r="W375" s="5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21</v>
      </c>
      <c r="B376" s="53" t="s">
        <v>41</v>
      </c>
      <c r="C376" s="53" t="s">
        <v>43</v>
      </c>
      <c r="D376" s="53" t="s">
        <v>38</v>
      </c>
      <c r="E376" s="53" t="s">
        <v>25</v>
      </c>
      <c r="F376" s="53" t="s">
        <v>55</v>
      </c>
      <c r="G376" s="53" t="s">
        <v>25</v>
      </c>
      <c r="H376" s="53" t="s">
        <v>34</v>
      </c>
      <c r="I376" s="75">
        <v>44805</v>
      </c>
      <c r="J376" s="76">
        <f>EFEITO!$J$376*EFEITO!$Y$376</f>
        <v>0</v>
      </c>
      <c r="K376" s="76">
        <f ca="1">EFEITO!$L$376*EFEITO!$Z$376</f>
        <v>1925957.092918758</v>
      </c>
      <c r="L376" s="76">
        <f>EFEITO!$N$376*EFEITO!$AA$376</f>
        <v>0</v>
      </c>
      <c r="M376" s="76">
        <f>$J$376-EFEITO!$K$376*EFEITO!$Y$376</f>
        <v>0</v>
      </c>
      <c r="N376" s="76">
        <f ca="1">$K$376-EFEITO!$M$376*EFEITO!$Z$376</f>
        <v>1700620.1130472634</v>
      </c>
      <c r="O376" s="76">
        <f>$L$376-EFEITO!$O$376*EFEITO!$AA$376</f>
        <v>0</v>
      </c>
      <c r="P376" s="57"/>
      <c r="Q376" s="57"/>
      <c r="R376" s="57"/>
      <c r="S376" s="57"/>
      <c r="T376" s="57"/>
      <c r="U376" s="57"/>
      <c r="V376" s="57"/>
      <c r="W376" s="5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21</v>
      </c>
      <c r="B377" s="53" t="s">
        <v>41</v>
      </c>
      <c r="C377" s="53" t="s">
        <v>43</v>
      </c>
      <c r="D377" s="53" t="s">
        <v>38</v>
      </c>
      <c r="E377" s="53" t="s">
        <v>25</v>
      </c>
      <c r="F377" s="53" t="s">
        <v>55</v>
      </c>
      <c r="G377" s="53" t="s">
        <v>25</v>
      </c>
      <c r="H377" s="53" t="s">
        <v>34</v>
      </c>
      <c r="I377" s="75">
        <v>44835</v>
      </c>
      <c r="J377" s="76">
        <f>EFEITO!$J$377*EFEITO!$Y$377</f>
        <v>0</v>
      </c>
      <c r="K377" s="76">
        <f ca="1">EFEITO!$L$377*EFEITO!$Z$377</f>
        <v>2033270.4311321217</v>
      </c>
      <c r="L377" s="76">
        <f>EFEITO!$N$377*EFEITO!$AA$377</f>
        <v>0</v>
      </c>
      <c r="M377" s="76">
        <f>$J$377-EFEITO!$K$377*EFEITO!$Y$377</f>
        <v>0</v>
      </c>
      <c r="N377" s="76">
        <f ca="1">$K$377-EFEITO!$M$377*EFEITO!$Z$377</f>
        <v>2332567.8385947701</v>
      </c>
      <c r="O377" s="76">
        <f>$L$377-EFEITO!$O$377*EFEITO!$AA$377</f>
        <v>0</v>
      </c>
      <c r="P377" s="57"/>
      <c r="Q377" s="57"/>
      <c r="R377" s="57"/>
      <c r="S377" s="57"/>
      <c r="T377" s="57"/>
      <c r="U377" s="57"/>
      <c r="V377" s="57"/>
      <c r="W377" s="5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54</v>
      </c>
      <c r="B378" s="53" t="s">
        <v>41</v>
      </c>
      <c r="C378" s="53" t="s">
        <v>43</v>
      </c>
      <c r="D378" s="53" t="s">
        <v>38</v>
      </c>
      <c r="E378" s="53" t="s">
        <v>25</v>
      </c>
      <c r="F378" s="53" t="s">
        <v>55</v>
      </c>
      <c r="G378" s="53" t="s">
        <v>25</v>
      </c>
      <c r="H378" s="53" t="s">
        <v>34</v>
      </c>
      <c r="I378" s="75">
        <v>44866</v>
      </c>
      <c r="J378" s="76">
        <f>EFEITO!$J$378*EFEITO!$Y$378</f>
        <v>0</v>
      </c>
      <c r="K378" s="76">
        <f ca="1">EFEITO!$L$378*EFEITO!$Z$378</f>
        <v>2033270.4311321217</v>
      </c>
      <c r="L378" s="76">
        <f>EFEITO!$N$378*EFEITO!$AA$378</f>
        <v>0</v>
      </c>
      <c r="M378" s="76">
        <f>$J$378-EFEITO!$K$378*EFEITO!$Y$378</f>
        <v>0</v>
      </c>
      <c r="N378" s="76">
        <f ca="1">$K$378-EFEITO!$M$378*EFEITO!$Z$378</f>
        <v>2332567.8385947701</v>
      </c>
      <c r="O378" s="76">
        <f>$L$378-EFEITO!$O$378*EFEITO!$AA$378</f>
        <v>0</v>
      </c>
      <c r="P378" s="57"/>
      <c r="Q378" s="57"/>
      <c r="R378" s="57"/>
      <c r="S378" s="57"/>
      <c r="T378" s="57"/>
      <c r="U378" s="57"/>
      <c r="V378" s="57"/>
      <c r="W378" s="5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21</v>
      </c>
      <c r="B379" s="53" t="s">
        <v>41</v>
      </c>
      <c r="C379" s="53" t="s">
        <v>43</v>
      </c>
      <c r="D379" s="53" t="s">
        <v>38</v>
      </c>
      <c r="E379" s="53" t="s">
        <v>25</v>
      </c>
      <c r="F379" s="53" t="s">
        <v>25</v>
      </c>
      <c r="G379" s="53" t="s">
        <v>25</v>
      </c>
      <c r="H379" s="53" t="s">
        <v>35</v>
      </c>
      <c r="I379" s="75">
        <v>44531</v>
      </c>
      <c r="J379" s="76">
        <f>EFEITO!$J$379*EFEITO!$Y$379</f>
        <v>0</v>
      </c>
      <c r="K379" s="76">
        <f ca="1">EFEITO!$L$379*EFEITO!$Z$379</f>
        <v>241264.1811435101</v>
      </c>
      <c r="L379" s="76">
        <f>EFEITO!$N$379*EFEITO!$AA$379</f>
        <v>286633.54742086772</v>
      </c>
      <c r="M379" s="76">
        <f>$J$379-EFEITO!$K$379*EFEITO!$Y$379</f>
        <v>0</v>
      </c>
      <c r="N379" s="76">
        <f ca="1">$K$379-EFEITO!$M$379*EFEITO!$Z$379</f>
        <v>0</v>
      </c>
      <c r="O379" s="76">
        <f>$L$379-EFEITO!$O$379*EFEITO!$AA$379</f>
        <v>0</v>
      </c>
      <c r="P379" s="57"/>
      <c r="Q379" s="57"/>
      <c r="R379" s="57"/>
      <c r="S379" s="57"/>
      <c r="T379" s="57"/>
      <c r="U379" s="57"/>
      <c r="V379" s="57"/>
      <c r="W379" s="5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28</v>
      </c>
      <c r="B380" s="53" t="s">
        <v>41</v>
      </c>
      <c r="C380" s="53" t="s">
        <v>43</v>
      </c>
      <c r="D380" s="53" t="s">
        <v>38</v>
      </c>
      <c r="E380" s="53" t="s">
        <v>25</v>
      </c>
      <c r="F380" s="53" t="s">
        <v>25</v>
      </c>
      <c r="G380" s="53" t="s">
        <v>25</v>
      </c>
      <c r="H380" s="53" t="s">
        <v>35</v>
      </c>
      <c r="I380" s="75">
        <v>44531</v>
      </c>
      <c r="J380" s="76">
        <f>EFEITO!$J$380*EFEITO!$Y$380</f>
        <v>0</v>
      </c>
      <c r="K380" s="76">
        <f ca="1">EFEITO!$L$380*EFEITO!$Z$380</f>
        <v>3298.8782482005572</v>
      </c>
      <c r="L380" s="76">
        <f>EFEITO!$N$380*EFEITO!$AA$380</f>
        <v>3919.2273395478242</v>
      </c>
      <c r="M380" s="76">
        <f>$J$380-EFEITO!$K$380*EFEITO!$Y$380</f>
        <v>0</v>
      </c>
      <c r="N380" s="76">
        <f ca="1">$K$380-EFEITO!$M$380*EFEITO!$Z$380</f>
        <v>0</v>
      </c>
      <c r="O380" s="76">
        <f>$L$380-EFEITO!$O$380*EFEITO!$AA$380</f>
        <v>0</v>
      </c>
      <c r="P380" s="57"/>
      <c r="Q380" s="57"/>
      <c r="R380" s="57"/>
      <c r="S380" s="57"/>
      <c r="T380" s="57"/>
      <c r="U380" s="57"/>
      <c r="V380" s="57"/>
      <c r="W380" s="5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21</v>
      </c>
      <c r="B381" s="53" t="s">
        <v>41</v>
      </c>
      <c r="C381" s="53" t="s">
        <v>43</v>
      </c>
      <c r="D381" s="53" t="s">
        <v>38</v>
      </c>
      <c r="E381" s="53" t="s">
        <v>25</v>
      </c>
      <c r="F381" s="53" t="s">
        <v>25</v>
      </c>
      <c r="G381" s="53" t="s">
        <v>25</v>
      </c>
      <c r="H381" s="53" t="s">
        <v>35</v>
      </c>
      <c r="I381" s="75">
        <v>44562</v>
      </c>
      <c r="J381" s="76">
        <f>EFEITO!$J$381*EFEITO!$Y$381</f>
        <v>0</v>
      </c>
      <c r="K381" s="76">
        <f ca="1">EFEITO!$L$381*EFEITO!$Z$381</f>
        <v>241294.66918101133</v>
      </c>
      <c r="L381" s="76">
        <f>EFEITO!$N$381*EFEITO!$AA$381</f>
        <v>286669.7686879512</v>
      </c>
      <c r="M381" s="76">
        <f>$J$381-EFEITO!$K$381*EFEITO!$Y$381</f>
        <v>0</v>
      </c>
      <c r="N381" s="76">
        <f ca="1">$K$381-EFEITO!$M$381*EFEITO!$Z$381</f>
        <v>0</v>
      </c>
      <c r="O381" s="76">
        <f>$L$381-EFEITO!$O$381*EFEITO!$AA$381</f>
        <v>0</v>
      </c>
      <c r="P381" s="57"/>
      <c r="Q381" s="57"/>
      <c r="R381" s="57"/>
      <c r="S381" s="57"/>
      <c r="T381" s="57"/>
      <c r="U381" s="57"/>
      <c r="V381" s="57"/>
      <c r="W381" s="5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28</v>
      </c>
      <c r="B382" s="53" t="s">
        <v>41</v>
      </c>
      <c r="C382" s="53" t="s">
        <v>43</v>
      </c>
      <c r="D382" s="53" t="s">
        <v>38</v>
      </c>
      <c r="E382" s="53" t="s">
        <v>25</v>
      </c>
      <c r="F382" s="53" t="s">
        <v>25</v>
      </c>
      <c r="G382" s="53" t="s">
        <v>25</v>
      </c>
      <c r="H382" s="53" t="s">
        <v>35</v>
      </c>
      <c r="I382" s="75">
        <v>44562</v>
      </c>
      <c r="J382" s="76">
        <f>EFEITO!$J$382*EFEITO!$Y$382</f>
        <v>0</v>
      </c>
      <c r="K382" s="76">
        <f ca="1">EFEITO!$L$382*EFEITO!$Z$382</f>
        <v>3747.6694192754812</v>
      </c>
      <c r="L382" s="76">
        <f>EFEITO!$N$382*EFEITO!$AA$382</f>
        <v>4452.4130151282925</v>
      </c>
      <c r="M382" s="76">
        <f>$J$382-EFEITO!$K$382*EFEITO!$Y$382</f>
        <v>0</v>
      </c>
      <c r="N382" s="76">
        <f ca="1">$K$382-EFEITO!$M$382*EFEITO!$Z$382</f>
        <v>0</v>
      </c>
      <c r="O382" s="76">
        <f>$L$382-EFEITO!$O$382*EFEITO!$AA$382</f>
        <v>0</v>
      </c>
      <c r="P382" s="57"/>
      <c r="Q382" s="57"/>
      <c r="R382" s="57"/>
      <c r="S382" s="57"/>
      <c r="T382" s="57"/>
      <c r="U382" s="57"/>
      <c r="V382" s="57"/>
      <c r="W382" s="5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21</v>
      </c>
      <c r="B383" s="53" t="s">
        <v>41</v>
      </c>
      <c r="C383" s="53" t="s">
        <v>43</v>
      </c>
      <c r="D383" s="53" t="s">
        <v>38</v>
      </c>
      <c r="E383" s="53" t="s">
        <v>25</v>
      </c>
      <c r="F383" s="53" t="s">
        <v>25</v>
      </c>
      <c r="G383" s="53" t="s">
        <v>25</v>
      </c>
      <c r="H383" s="53" t="s">
        <v>35</v>
      </c>
      <c r="I383" s="75">
        <v>44593</v>
      </c>
      <c r="J383" s="76">
        <f>EFEITO!$J$383*EFEITO!$Y$383</f>
        <v>0</v>
      </c>
      <c r="K383" s="76">
        <f ca="1">EFEITO!$L$383*EFEITO!$Z$383</f>
        <v>201691.97880178556</v>
      </c>
      <c r="L383" s="76">
        <f>EFEITO!$N$383*EFEITO!$AA$383</f>
        <v>239619.8519659343</v>
      </c>
      <c r="M383" s="76">
        <f>$J$383-EFEITO!$K$383*EFEITO!$Y$383</f>
        <v>0</v>
      </c>
      <c r="N383" s="76">
        <f ca="1">$K$383-EFEITO!$M$383*EFEITO!$Z$383</f>
        <v>0</v>
      </c>
      <c r="O383" s="76">
        <f>$L$383-EFEITO!$O$383*EFEITO!$AA$383</f>
        <v>0</v>
      </c>
      <c r="P383" s="57"/>
      <c r="Q383" s="57"/>
      <c r="R383" s="57"/>
      <c r="S383" s="57"/>
      <c r="T383" s="57"/>
      <c r="U383" s="57"/>
      <c r="V383" s="57"/>
      <c r="W383" s="5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28</v>
      </c>
      <c r="B384" s="53" t="s">
        <v>41</v>
      </c>
      <c r="C384" s="53" t="s">
        <v>43</v>
      </c>
      <c r="D384" s="53" t="s">
        <v>38</v>
      </c>
      <c r="E384" s="53" t="s">
        <v>25</v>
      </c>
      <c r="F384" s="53" t="s">
        <v>25</v>
      </c>
      <c r="G384" s="53" t="s">
        <v>25</v>
      </c>
      <c r="H384" s="53" t="s">
        <v>35</v>
      </c>
      <c r="I384" s="75">
        <v>44593</v>
      </c>
      <c r="J384" s="76">
        <f>EFEITO!$J$384*EFEITO!$Y$384</f>
        <v>0</v>
      </c>
      <c r="K384" s="76">
        <f ca="1">EFEITO!$L$384*EFEITO!$Z$384</f>
        <v>2524.3369145378892</v>
      </c>
      <c r="L384" s="76">
        <f>EFEITO!$N$384*EFEITO!$AA$384</f>
        <v>2999.034673402477</v>
      </c>
      <c r="M384" s="76">
        <f>$J$384-EFEITO!$K$384*EFEITO!$Y$384</f>
        <v>0</v>
      </c>
      <c r="N384" s="76">
        <f ca="1">$K$384-EFEITO!$M$384*EFEITO!$Z$384</f>
        <v>0</v>
      </c>
      <c r="O384" s="76">
        <f>$L$384-EFEITO!$O$384*EFEITO!$AA$384</f>
        <v>0</v>
      </c>
      <c r="P384" s="57"/>
      <c r="Q384" s="57"/>
      <c r="R384" s="57"/>
      <c r="S384" s="57"/>
      <c r="T384" s="57"/>
      <c r="U384" s="57"/>
      <c r="V384" s="57"/>
      <c r="W384" s="5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21</v>
      </c>
      <c r="B385" s="53" t="s">
        <v>41</v>
      </c>
      <c r="C385" s="53" t="s">
        <v>43</v>
      </c>
      <c r="D385" s="53" t="s">
        <v>38</v>
      </c>
      <c r="E385" s="53" t="s">
        <v>25</v>
      </c>
      <c r="F385" s="53" t="s">
        <v>25</v>
      </c>
      <c r="G385" s="53" t="s">
        <v>25</v>
      </c>
      <c r="H385" s="53" t="s">
        <v>35</v>
      </c>
      <c r="I385" s="75">
        <v>44621</v>
      </c>
      <c r="J385" s="76">
        <f>EFEITO!$J$385*EFEITO!$Y$385</f>
        <v>0</v>
      </c>
      <c r="K385" s="76">
        <f ca="1">EFEITO!$L$385*EFEITO!$Z$385</f>
        <v>264329.8333245141</v>
      </c>
      <c r="L385" s="76">
        <f>EFEITO!$N$385*EFEITO!$AA$385</f>
        <v>314036.66079178464</v>
      </c>
      <c r="M385" s="76">
        <f>$J$385-EFEITO!$K$385*EFEITO!$Y$385</f>
        <v>0</v>
      </c>
      <c r="N385" s="76">
        <f ca="1">$K$385-EFEITO!$M$385*EFEITO!$Z$385</f>
        <v>0</v>
      </c>
      <c r="O385" s="76">
        <f>$L$385-EFEITO!$O$385*EFEITO!$AA$385</f>
        <v>0</v>
      </c>
      <c r="P385" s="57"/>
      <c r="Q385" s="57"/>
      <c r="R385" s="57"/>
      <c r="S385" s="57"/>
      <c r="T385" s="57"/>
      <c r="U385" s="57"/>
      <c r="V385" s="57"/>
      <c r="W385" s="5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28</v>
      </c>
      <c r="B386" s="53" t="s">
        <v>41</v>
      </c>
      <c r="C386" s="53" t="s">
        <v>43</v>
      </c>
      <c r="D386" s="53" t="s">
        <v>38</v>
      </c>
      <c r="E386" s="53" t="s">
        <v>25</v>
      </c>
      <c r="F386" s="53" t="s">
        <v>25</v>
      </c>
      <c r="G386" s="53" t="s">
        <v>25</v>
      </c>
      <c r="H386" s="53" t="s">
        <v>35</v>
      </c>
      <c r="I386" s="75">
        <v>44621</v>
      </c>
      <c r="J386" s="76">
        <f>EFEITO!$J$386*EFEITO!$Y$386</f>
        <v>0</v>
      </c>
      <c r="K386" s="76">
        <f ca="1">EFEITO!$L$386*EFEITO!$Z$386</f>
        <v>4012.8064596881236</v>
      </c>
      <c r="L386" s="76">
        <f>EFEITO!$N$386*EFEITO!$AA$386</f>
        <v>4767.4086770866688</v>
      </c>
      <c r="M386" s="76">
        <f>$J$386-EFEITO!$K$386*EFEITO!$Y$386</f>
        <v>0</v>
      </c>
      <c r="N386" s="76">
        <f ca="1">$K$386-EFEITO!$M$386*EFEITO!$Z$386</f>
        <v>0</v>
      </c>
      <c r="O386" s="76">
        <f>$L$386-EFEITO!$O$386*EFEITO!$AA$386</f>
        <v>0</v>
      </c>
      <c r="P386" s="57"/>
      <c r="Q386" s="57"/>
      <c r="R386" s="57"/>
      <c r="S386" s="57"/>
      <c r="T386" s="57"/>
      <c r="U386" s="57"/>
      <c r="V386" s="57"/>
      <c r="W386" s="5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21</v>
      </c>
      <c r="B387" s="53" t="s">
        <v>41</v>
      </c>
      <c r="C387" s="53" t="s">
        <v>43</v>
      </c>
      <c r="D387" s="53" t="s">
        <v>38</v>
      </c>
      <c r="E387" s="53" t="s">
        <v>25</v>
      </c>
      <c r="F387" s="53" t="s">
        <v>25</v>
      </c>
      <c r="G387" s="53" t="s">
        <v>25</v>
      </c>
      <c r="H387" s="53" t="s">
        <v>35</v>
      </c>
      <c r="I387" s="75">
        <v>44652</v>
      </c>
      <c r="J387" s="76">
        <f>EFEITO!$J$387*EFEITO!$Y$387</f>
        <v>0</v>
      </c>
      <c r="K387" s="76">
        <f ca="1">EFEITO!$L$387*EFEITO!$Z$387</f>
        <v>195338.85251104922</v>
      </c>
      <c r="L387" s="76">
        <f>EFEITO!$N$387*EFEITO!$AA$387</f>
        <v>232072.02983462776</v>
      </c>
      <c r="M387" s="76">
        <f>$J$387-EFEITO!$K$387*EFEITO!$Y$387</f>
        <v>0</v>
      </c>
      <c r="N387" s="76">
        <f ca="1">$K$387-EFEITO!$M$387*EFEITO!$Z$387</f>
        <v>0</v>
      </c>
      <c r="O387" s="76">
        <f>$L$387-EFEITO!$O$387*EFEITO!$AA$387</f>
        <v>0</v>
      </c>
      <c r="P387" s="57"/>
      <c r="Q387" s="57"/>
      <c r="R387" s="57"/>
      <c r="S387" s="57"/>
      <c r="T387" s="57"/>
      <c r="U387" s="57"/>
      <c r="V387" s="57"/>
      <c r="W387" s="5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28</v>
      </c>
      <c r="B388" s="53" t="s">
        <v>41</v>
      </c>
      <c r="C388" s="53" t="s">
        <v>43</v>
      </c>
      <c r="D388" s="53" t="s">
        <v>38</v>
      </c>
      <c r="E388" s="53" t="s">
        <v>25</v>
      </c>
      <c r="F388" s="53" t="s">
        <v>25</v>
      </c>
      <c r="G388" s="53" t="s">
        <v>25</v>
      </c>
      <c r="H388" s="53" t="s">
        <v>35</v>
      </c>
      <c r="I388" s="75">
        <v>44652</v>
      </c>
      <c r="J388" s="76">
        <f>EFEITO!$J$388*EFEITO!$Y$388</f>
        <v>0</v>
      </c>
      <c r="K388" s="76">
        <f ca="1">EFEITO!$L$388*EFEITO!$Z$388</f>
        <v>3119.9425042944204</v>
      </c>
      <c r="L388" s="76">
        <f>EFEITO!$N$388*EFEITO!$AA$388</f>
        <v>3706.642998212465</v>
      </c>
      <c r="M388" s="76">
        <f>$J$388-EFEITO!$K$388*EFEITO!$Y$388</f>
        <v>0</v>
      </c>
      <c r="N388" s="76">
        <f ca="1">$K$388-EFEITO!$M$388*EFEITO!$Z$388</f>
        <v>0</v>
      </c>
      <c r="O388" s="76">
        <f>$L$388-EFEITO!$O$388*EFEITO!$AA$388</f>
        <v>0</v>
      </c>
      <c r="P388" s="57"/>
      <c r="Q388" s="57"/>
      <c r="R388" s="57"/>
      <c r="S388" s="57"/>
      <c r="T388" s="57"/>
      <c r="U388" s="57"/>
      <c r="V388" s="57"/>
      <c r="W388" s="5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21</v>
      </c>
      <c r="B389" s="53" t="s">
        <v>41</v>
      </c>
      <c r="C389" s="53" t="s">
        <v>43</v>
      </c>
      <c r="D389" s="53" t="s">
        <v>38</v>
      </c>
      <c r="E389" s="53" t="s">
        <v>25</v>
      </c>
      <c r="F389" s="53" t="s">
        <v>25</v>
      </c>
      <c r="G389" s="53" t="s">
        <v>25</v>
      </c>
      <c r="H389" s="53" t="s">
        <v>35</v>
      </c>
      <c r="I389" s="75">
        <v>44682</v>
      </c>
      <c r="J389" s="76">
        <f>EFEITO!$J$389*EFEITO!$Y$389</f>
        <v>0</v>
      </c>
      <c r="K389" s="76">
        <f ca="1">EFEITO!$L$389*EFEITO!$Z$389</f>
        <v>223761.86990082916</v>
      </c>
      <c r="L389" s="76">
        <f>EFEITO!$N$389*EFEITO!$AA$389</f>
        <v>265839.95288157021</v>
      </c>
      <c r="M389" s="76">
        <f>$J$389-EFEITO!$K$389*EFEITO!$Y$389</f>
        <v>0</v>
      </c>
      <c r="N389" s="76">
        <f ca="1">$K$389-EFEITO!$M$389*EFEITO!$Z$389</f>
        <v>0</v>
      </c>
      <c r="O389" s="76">
        <f>$L$389-EFEITO!$O$389*EFEITO!$AA$389</f>
        <v>0</v>
      </c>
      <c r="P389" s="57"/>
      <c r="Q389" s="57"/>
      <c r="R389" s="57"/>
      <c r="S389" s="57"/>
      <c r="T389" s="57"/>
      <c r="U389" s="57"/>
      <c r="V389" s="57"/>
      <c r="W389" s="5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27</v>
      </c>
      <c r="B390" s="53" t="s">
        <v>41</v>
      </c>
      <c r="C390" s="53" t="s">
        <v>43</v>
      </c>
      <c r="D390" s="53" t="s">
        <v>38</v>
      </c>
      <c r="E390" s="53" t="s">
        <v>25</v>
      </c>
      <c r="F390" s="53" t="s">
        <v>25</v>
      </c>
      <c r="G390" s="53" t="s">
        <v>25</v>
      </c>
      <c r="H390" s="53" t="s">
        <v>35</v>
      </c>
      <c r="I390" s="75">
        <v>44682</v>
      </c>
      <c r="J390" s="76">
        <f>EFEITO!$J$390*EFEITO!$Y$390</f>
        <v>0</v>
      </c>
      <c r="K390" s="76">
        <f ca="1">EFEITO!$L$390*EFEITO!$Z$390</f>
        <v>16586.762735575019</v>
      </c>
      <c r="L390" s="76">
        <f>EFEITO!$N$390*EFEITO!$AA$390</f>
        <v>19705.878512890944</v>
      </c>
      <c r="M390" s="76">
        <f>$J$390-EFEITO!$K$390*EFEITO!$Y$390</f>
        <v>0</v>
      </c>
      <c r="N390" s="76">
        <f ca="1">$K$390-EFEITO!$M$390*EFEITO!$Z$390</f>
        <v>0</v>
      </c>
      <c r="O390" s="76">
        <f>$L$390-EFEITO!$O$390*EFEITO!$AA$390</f>
        <v>0</v>
      </c>
      <c r="P390" s="57"/>
      <c r="Q390" s="57"/>
      <c r="R390" s="57"/>
      <c r="S390" s="57"/>
      <c r="T390" s="57"/>
      <c r="U390" s="57"/>
      <c r="V390" s="57"/>
      <c r="W390" s="5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28</v>
      </c>
      <c r="B391" s="53" t="s">
        <v>41</v>
      </c>
      <c r="C391" s="53" t="s">
        <v>43</v>
      </c>
      <c r="D391" s="53" t="s">
        <v>38</v>
      </c>
      <c r="E391" s="53" t="s">
        <v>25</v>
      </c>
      <c r="F391" s="53" t="s">
        <v>25</v>
      </c>
      <c r="G391" s="53" t="s">
        <v>25</v>
      </c>
      <c r="H391" s="53" t="s">
        <v>35</v>
      </c>
      <c r="I391" s="75">
        <v>44682</v>
      </c>
      <c r="J391" s="76">
        <f>EFEITO!$J$391*EFEITO!$Y$391</f>
        <v>0</v>
      </c>
      <c r="K391" s="76">
        <f ca="1">EFEITO!$L$391*EFEITO!$Z$391</f>
        <v>5621.9578199474663</v>
      </c>
      <c r="L391" s="76">
        <f>EFEITO!$N$391*EFEITO!$AA$391</f>
        <v>6679.1585296430867</v>
      </c>
      <c r="M391" s="76">
        <f>$J$391-EFEITO!$K$391*EFEITO!$Y$391</f>
        <v>0</v>
      </c>
      <c r="N391" s="76">
        <f ca="1">$K$391-EFEITO!$M$391*EFEITO!$Z$391</f>
        <v>0</v>
      </c>
      <c r="O391" s="76">
        <f>$L$391-EFEITO!$O$391*EFEITO!$AA$391</f>
        <v>0</v>
      </c>
      <c r="P391" s="57"/>
      <c r="Q391" s="57"/>
      <c r="R391" s="57"/>
      <c r="S391" s="57"/>
      <c r="T391" s="57"/>
      <c r="U391" s="57"/>
      <c r="V391" s="57"/>
      <c r="W391" s="5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21</v>
      </c>
      <c r="B392" s="53" t="s">
        <v>41</v>
      </c>
      <c r="C392" s="53" t="s">
        <v>43</v>
      </c>
      <c r="D392" s="53" t="s">
        <v>38</v>
      </c>
      <c r="E392" s="53" t="s">
        <v>25</v>
      </c>
      <c r="F392" s="53" t="s">
        <v>25</v>
      </c>
      <c r="G392" s="53" t="s">
        <v>25</v>
      </c>
      <c r="H392" s="53" t="s">
        <v>35</v>
      </c>
      <c r="I392" s="75">
        <v>44713</v>
      </c>
      <c r="J392" s="76">
        <f>EFEITO!$J$392*EFEITO!$Y$392</f>
        <v>0</v>
      </c>
      <c r="K392" s="76">
        <f ca="1">EFEITO!$L$392*EFEITO!$Z$392</f>
        <v>221245.51794849397</v>
      </c>
      <c r="L392" s="76">
        <f>EFEITO!$N$392*EFEITO!$AA$392</f>
        <v>262850.40473049914</v>
      </c>
      <c r="M392" s="76">
        <f>$J$392-EFEITO!$K$392*EFEITO!$Y$392</f>
        <v>0</v>
      </c>
      <c r="N392" s="76">
        <f ca="1">$K$392-EFEITO!$M$392*EFEITO!$Z$392</f>
        <v>0</v>
      </c>
      <c r="O392" s="76">
        <f>$L$392-EFEITO!$O$392*EFEITO!$AA$392</f>
        <v>0</v>
      </c>
      <c r="P392" s="57"/>
      <c r="Q392" s="57"/>
      <c r="R392" s="57"/>
      <c r="S392" s="57"/>
      <c r="T392" s="57"/>
      <c r="U392" s="57"/>
      <c r="V392" s="57"/>
      <c r="W392" s="5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28</v>
      </c>
      <c r="B393" s="53" t="s">
        <v>41</v>
      </c>
      <c r="C393" s="53" t="s">
        <v>43</v>
      </c>
      <c r="D393" s="53" t="s">
        <v>38</v>
      </c>
      <c r="E393" s="53" t="s">
        <v>25</v>
      </c>
      <c r="F393" s="53" t="s">
        <v>25</v>
      </c>
      <c r="G393" s="53" t="s">
        <v>25</v>
      </c>
      <c r="H393" s="53" t="s">
        <v>35</v>
      </c>
      <c r="I393" s="75">
        <v>44713</v>
      </c>
      <c r="J393" s="76">
        <f>EFEITO!$J$393*EFEITO!$Y$393</f>
        <v>0</v>
      </c>
      <c r="K393" s="76">
        <f ca="1">EFEITO!$L$393*EFEITO!$Z$393</f>
        <v>7312.7735663708681</v>
      </c>
      <c r="L393" s="76">
        <f>EFEITO!$N$393*EFEITO!$AA$393</f>
        <v>8687.9296333160473</v>
      </c>
      <c r="M393" s="76">
        <f>$J$393-EFEITO!$K$393*EFEITO!$Y$393</f>
        <v>0</v>
      </c>
      <c r="N393" s="76">
        <f ca="1">$K$393-EFEITO!$M$393*EFEITO!$Z$393</f>
        <v>0</v>
      </c>
      <c r="O393" s="76">
        <f>$L$393-EFEITO!$O$393*EFEITO!$AA$393</f>
        <v>0</v>
      </c>
      <c r="P393" s="57"/>
      <c r="Q393" s="57"/>
      <c r="R393" s="57"/>
      <c r="S393" s="57"/>
      <c r="T393" s="57"/>
      <c r="U393" s="57"/>
      <c r="V393" s="57"/>
      <c r="W393" s="5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21</v>
      </c>
      <c r="B394" s="53" t="s">
        <v>41</v>
      </c>
      <c r="C394" s="53" t="s">
        <v>43</v>
      </c>
      <c r="D394" s="53" t="s">
        <v>38</v>
      </c>
      <c r="E394" s="53" t="s">
        <v>25</v>
      </c>
      <c r="F394" s="53" t="s">
        <v>25</v>
      </c>
      <c r="G394" s="53" t="s">
        <v>25</v>
      </c>
      <c r="H394" s="53" t="s">
        <v>35</v>
      </c>
      <c r="I394" s="75">
        <v>44743</v>
      </c>
      <c r="J394" s="76">
        <f>EFEITO!$J$394*EFEITO!$Y$394</f>
        <v>0</v>
      </c>
      <c r="K394" s="76">
        <f ca="1">EFEITO!$L$394*EFEITO!$Z$394</f>
        <v>243634.8075356459</v>
      </c>
      <c r="L394" s="76">
        <f>EFEITO!$N$394*EFEITO!$AA$394</f>
        <v>289449.96653939085</v>
      </c>
      <c r="M394" s="76">
        <f>$J$394-EFEITO!$K$394*EFEITO!$Y$394</f>
        <v>0</v>
      </c>
      <c r="N394" s="76">
        <f ca="1">$K$394-EFEITO!$M$394*EFEITO!$Z$394</f>
        <v>0</v>
      </c>
      <c r="O394" s="76">
        <f>$L$394-EFEITO!$O$394*EFEITO!$AA$394</f>
        <v>0</v>
      </c>
      <c r="P394" s="57"/>
      <c r="Q394" s="57"/>
      <c r="R394" s="57"/>
      <c r="S394" s="57"/>
      <c r="T394" s="57"/>
      <c r="U394" s="57"/>
      <c r="V394" s="57"/>
      <c r="W394" s="5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28</v>
      </c>
      <c r="B395" s="53" t="s">
        <v>41</v>
      </c>
      <c r="C395" s="53" t="s">
        <v>43</v>
      </c>
      <c r="D395" s="53" t="s">
        <v>38</v>
      </c>
      <c r="E395" s="53" t="s">
        <v>25</v>
      </c>
      <c r="F395" s="53" t="s">
        <v>25</v>
      </c>
      <c r="G395" s="53" t="s">
        <v>25</v>
      </c>
      <c r="H395" s="53" t="s">
        <v>35</v>
      </c>
      <c r="I395" s="75">
        <v>44743</v>
      </c>
      <c r="J395" s="76">
        <f>EFEITO!$J$395*EFEITO!$Y$395</f>
        <v>0</v>
      </c>
      <c r="K395" s="76">
        <f ca="1">EFEITO!$L$395*EFEITO!$Z$395</f>
        <v>5497.8279529780984</v>
      </c>
      <c r="L395" s="76">
        <f>EFEITO!$N$395*EFEITO!$AA$395</f>
        <v>6531.6862279459419</v>
      </c>
      <c r="M395" s="76">
        <f>$J$395-EFEITO!$K$395*EFEITO!$Y$395</f>
        <v>0</v>
      </c>
      <c r="N395" s="76">
        <f ca="1">$K$395-EFEITO!$M$395*EFEITO!$Z$395</f>
        <v>0</v>
      </c>
      <c r="O395" s="76">
        <f>$L$395-EFEITO!$O$395*EFEITO!$AA$395</f>
        <v>0</v>
      </c>
      <c r="P395" s="57"/>
      <c r="Q395" s="57"/>
      <c r="R395" s="57"/>
      <c r="S395" s="57"/>
      <c r="T395" s="57"/>
      <c r="U395" s="57"/>
      <c r="V395" s="57"/>
      <c r="W395" s="5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21</v>
      </c>
      <c r="B396" s="53" t="s">
        <v>41</v>
      </c>
      <c r="C396" s="53" t="s">
        <v>43</v>
      </c>
      <c r="D396" s="53" t="s">
        <v>38</v>
      </c>
      <c r="E396" s="53" t="s">
        <v>25</v>
      </c>
      <c r="F396" s="53" t="s">
        <v>25</v>
      </c>
      <c r="G396" s="53" t="s">
        <v>25</v>
      </c>
      <c r="H396" s="53" t="s">
        <v>35</v>
      </c>
      <c r="I396" s="75">
        <v>44774</v>
      </c>
      <c r="J396" s="76">
        <f>EFEITO!$J$396*EFEITO!$Y$396</f>
        <v>0</v>
      </c>
      <c r="K396" s="76">
        <f ca="1">EFEITO!$L$396*EFEITO!$Z$396</f>
        <v>250310.59888993707</v>
      </c>
      <c r="L396" s="76">
        <f>EFEITO!$N$396*EFEITO!$AA$396</f>
        <v>297381.13041399786</v>
      </c>
      <c r="M396" s="76">
        <f>$J$396-EFEITO!$K$396*EFEITO!$Y$396</f>
        <v>0</v>
      </c>
      <c r="N396" s="76">
        <f ca="1">$K$396-EFEITO!$M$396*EFEITO!$Z$396</f>
        <v>0</v>
      </c>
      <c r="O396" s="76">
        <f>$L$396-EFEITO!$O$396*EFEITO!$AA$396</f>
        <v>0</v>
      </c>
      <c r="P396" s="57"/>
      <c r="Q396" s="57"/>
      <c r="R396" s="57"/>
      <c r="S396" s="57"/>
      <c r="T396" s="57"/>
      <c r="U396" s="57"/>
      <c r="V396" s="57"/>
      <c r="W396" s="5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28</v>
      </c>
      <c r="B397" s="53" t="s">
        <v>41</v>
      </c>
      <c r="C397" s="53" t="s">
        <v>43</v>
      </c>
      <c r="D397" s="53" t="s">
        <v>38</v>
      </c>
      <c r="E397" s="53" t="s">
        <v>25</v>
      </c>
      <c r="F397" s="53" t="s">
        <v>25</v>
      </c>
      <c r="G397" s="53" t="s">
        <v>25</v>
      </c>
      <c r="H397" s="53" t="s">
        <v>35</v>
      </c>
      <c r="I397" s="75">
        <v>44774</v>
      </c>
      <c r="J397" s="76">
        <f>EFEITO!$J$397*EFEITO!$Y$397</f>
        <v>0</v>
      </c>
      <c r="K397" s="76">
        <f ca="1">EFEITO!$L$397*EFEITO!$Z$397</f>
        <v>5514.3423066246078</v>
      </c>
      <c r="L397" s="76">
        <f>EFEITO!$N$397*EFEITO!$AA$397</f>
        <v>6551.3060809495091</v>
      </c>
      <c r="M397" s="76">
        <f>$J$397-EFEITO!$K$397*EFEITO!$Y$397</f>
        <v>0</v>
      </c>
      <c r="N397" s="76">
        <f ca="1">$K$397-EFEITO!$M$397*EFEITO!$Z$397</f>
        <v>0</v>
      </c>
      <c r="O397" s="76">
        <f>$L$397-EFEITO!$O$397*EFEITO!$AA$397</f>
        <v>0</v>
      </c>
      <c r="P397" s="57"/>
      <c r="Q397" s="57"/>
      <c r="R397" s="57"/>
      <c r="S397" s="57"/>
      <c r="T397" s="57"/>
      <c r="U397" s="57"/>
      <c r="V397" s="57"/>
      <c r="W397" s="5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21</v>
      </c>
      <c r="B398" s="53" t="s">
        <v>41</v>
      </c>
      <c r="C398" s="53" t="s">
        <v>43</v>
      </c>
      <c r="D398" s="53" t="s">
        <v>38</v>
      </c>
      <c r="E398" s="53" t="s">
        <v>25</v>
      </c>
      <c r="F398" s="53" t="s">
        <v>25</v>
      </c>
      <c r="G398" s="53" t="s">
        <v>25</v>
      </c>
      <c r="H398" s="53" t="s">
        <v>35</v>
      </c>
      <c r="I398" s="75">
        <v>44805</v>
      </c>
      <c r="J398" s="76">
        <f>EFEITO!$J$398*EFEITO!$Y$398</f>
        <v>0</v>
      </c>
      <c r="K398" s="76">
        <f ca="1">EFEITO!$L$398*EFEITO!$Z$398</f>
        <v>237058.46525606111</v>
      </c>
      <c r="L398" s="76">
        <f>EFEITO!$N$398*EFEITO!$AA$398</f>
        <v>281636.95298836578</v>
      </c>
      <c r="M398" s="76">
        <f>$J$398-EFEITO!$K$398*EFEITO!$Y$398</f>
        <v>0</v>
      </c>
      <c r="N398" s="76">
        <f ca="1">$K$398-EFEITO!$M$398*EFEITO!$Z$398</f>
        <v>0</v>
      </c>
      <c r="O398" s="76">
        <f>$L$398-EFEITO!$O$398*EFEITO!$AA$398</f>
        <v>0</v>
      </c>
      <c r="P398" s="57"/>
      <c r="Q398" s="57"/>
      <c r="R398" s="57"/>
      <c r="S398" s="57"/>
      <c r="T398" s="57"/>
      <c r="U398" s="57"/>
      <c r="V398" s="57"/>
      <c r="W398" s="5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28</v>
      </c>
      <c r="B399" s="53" t="s">
        <v>41</v>
      </c>
      <c r="C399" s="53" t="s">
        <v>43</v>
      </c>
      <c r="D399" s="53" t="s">
        <v>38</v>
      </c>
      <c r="E399" s="53" t="s">
        <v>25</v>
      </c>
      <c r="F399" s="53" t="s">
        <v>25</v>
      </c>
      <c r="G399" s="53" t="s">
        <v>25</v>
      </c>
      <c r="H399" s="53" t="s">
        <v>35</v>
      </c>
      <c r="I399" s="75">
        <v>44805</v>
      </c>
      <c r="J399" s="76">
        <f>EFEITO!$J$399*EFEITO!$Y$399</f>
        <v>0</v>
      </c>
      <c r="K399" s="76">
        <f ca="1">EFEITO!$L$399*EFEITO!$Z$399</f>
        <v>4666.4845018279857</v>
      </c>
      <c r="L399" s="76">
        <f>EFEITO!$N$399*EFEITO!$AA$399</f>
        <v>5544.0098915795325</v>
      </c>
      <c r="M399" s="76">
        <f>$J$399-EFEITO!$K$399*EFEITO!$Y$399</f>
        <v>0</v>
      </c>
      <c r="N399" s="76">
        <f ca="1">$K$399-EFEITO!$M$399*EFEITO!$Z$399</f>
        <v>0</v>
      </c>
      <c r="O399" s="76">
        <f>$L$399-EFEITO!$O$399*EFEITO!$AA$399</f>
        <v>0</v>
      </c>
      <c r="P399" s="57"/>
      <c r="Q399" s="57"/>
      <c r="R399" s="57"/>
      <c r="S399" s="57"/>
      <c r="T399" s="57"/>
      <c r="U399" s="57"/>
      <c r="V399" s="57"/>
      <c r="W399" s="5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21</v>
      </c>
      <c r="B400" s="53" t="s">
        <v>41</v>
      </c>
      <c r="C400" s="53" t="s">
        <v>43</v>
      </c>
      <c r="D400" s="53" t="s">
        <v>38</v>
      </c>
      <c r="E400" s="53" t="s">
        <v>25</v>
      </c>
      <c r="F400" s="53" t="s">
        <v>25</v>
      </c>
      <c r="G400" s="53" t="s">
        <v>25</v>
      </c>
      <c r="H400" s="53" t="s">
        <v>35</v>
      </c>
      <c r="I400" s="75">
        <v>44835</v>
      </c>
      <c r="J400" s="76">
        <f>EFEITO!$J$400*EFEITO!$Y$400</f>
        <v>0</v>
      </c>
      <c r="K400" s="76">
        <f ca="1">EFEITO!$L$400*EFEITO!$Z$400</f>
        <v>223507.258492411</v>
      </c>
      <c r="L400" s="76">
        <f>EFEITO!$N$400*EFEITO!$AA$400</f>
        <v>265537.46218086686</v>
      </c>
      <c r="M400" s="76">
        <f>$J$400-EFEITO!$K$400*EFEITO!$Y$400</f>
        <v>0</v>
      </c>
      <c r="N400" s="76">
        <f ca="1">$K$400-EFEITO!$M$400*EFEITO!$Z$400</f>
        <v>0</v>
      </c>
      <c r="O400" s="76">
        <f>$L$400-EFEITO!$O$400*EFEITO!$AA$400</f>
        <v>0</v>
      </c>
      <c r="P400" s="57"/>
      <c r="Q400" s="57"/>
      <c r="R400" s="57"/>
      <c r="S400" s="57"/>
      <c r="T400" s="57"/>
      <c r="U400" s="57"/>
      <c r="V400" s="57"/>
      <c r="W400" s="5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28</v>
      </c>
      <c r="B401" s="53" t="s">
        <v>41</v>
      </c>
      <c r="C401" s="53" t="s">
        <v>43</v>
      </c>
      <c r="D401" s="53" t="s">
        <v>38</v>
      </c>
      <c r="E401" s="53" t="s">
        <v>25</v>
      </c>
      <c r="F401" s="53" t="s">
        <v>25</v>
      </c>
      <c r="G401" s="53" t="s">
        <v>25</v>
      </c>
      <c r="H401" s="53" t="s">
        <v>35</v>
      </c>
      <c r="I401" s="75">
        <v>44835</v>
      </c>
      <c r="J401" s="76">
        <f>EFEITO!$J$401*EFEITO!$Y$401</f>
        <v>0</v>
      </c>
      <c r="K401" s="76">
        <f ca="1">EFEITO!$L$401*EFEITO!$Z$401</f>
        <v>4158.8949727149393</v>
      </c>
      <c r="L401" s="76">
        <f>EFEITO!$N$401*EFEITO!$AA$401</f>
        <v>4940.9689151951525</v>
      </c>
      <c r="M401" s="76">
        <f>$J$401-EFEITO!$K$401*EFEITO!$Y$401</f>
        <v>0</v>
      </c>
      <c r="N401" s="76">
        <f ca="1">$K$401-EFEITO!$M$401*EFEITO!$Z$401</f>
        <v>0</v>
      </c>
      <c r="O401" s="76">
        <f>$L$401-EFEITO!$O$401*EFEITO!$AA$401</f>
        <v>0</v>
      </c>
      <c r="P401" s="57"/>
      <c r="Q401" s="57"/>
      <c r="R401" s="57"/>
      <c r="S401" s="57"/>
      <c r="T401" s="57"/>
      <c r="U401" s="57"/>
      <c r="V401" s="57"/>
      <c r="W401" s="5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54</v>
      </c>
      <c r="B402" s="53" t="s">
        <v>41</v>
      </c>
      <c r="C402" s="53" t="s">
        <v>43</v>
      </c>
      <c r="D402" s="53" t="s">
        <v>38</v>
      </c>
      <c r="E402" s="53" t="s">
        <v>25</v>
      </c>
      <c r="F402" s="53" t="s">
        <v>25</v>
      </c>
      <c r="G402" s="53" t="s">
        <v>25</v>
      </c>
      <c r="H402" s="53" t="s">
        <v>35</v>
      </c>
      <c r="I402" s="75">
        <v>44866</v>
      </c>
      <c r="J402" s="76">
        <f>EFEITO!$J$402*EFEITO!$Y$402</f>
        <v>0</v>
      </c>
      <c r="K402" s="76">
        <f ca="1">EFEITO!$L$402*EFEITO!$Z$402</f>
        <v>223507.258492411</v>
      </c>
      <c r="L402" s="76">
        <f>EFEITO!$N$402*EFEITO!$AA$402</f>
        <v>265537.46218086686</v>
      </c>
      <c r="M402" s="76">
        <f>$J$402-EFEITO!$K$402*EFEITO!$Y$402</f>
        <v>0</v>
      </c>
      <c r="N402" s="76">
        <f ca="1">$K$402-EFEITO!$M$402*EFEITO!$Z$402</f>
        <v>0</v>
      </c>
      <c r="O402" s="76">
        <f>$L$402-EFEITO!$O$402*EFEITO!$AA$402</f>
        <v>0</v>
      </c>
      <c r="P402" s="57"/>
      <c r="Q402" s="57"/>
      <c r="R402" s="57"/>
      <c r="S402" s="57"/>
      <c r="T402" s="57"/>
      <c r="U402" s="57"/>
      <c r="V402" s="57"/>
      <c r="W402" s="5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54</v>
      </c>
      <c r="B403" s="53" t="s">
        <v>41</v>
      </c>
      <c r="C403" s="53" t="s">
        <v>43</v>
      </c>
      <c r="D403" s="53" t="s">
        <v>38</v>
      </c>
      <c r="E403" s="53" t="s">
        <v>25</v>
      </c>
      <c r="F403" s="53" t="s">
        <v>25</v>
      </c>
      <c r="G403" s="53" t="s">
        <v>25</v>
      </c>
      <c r="H403" s="53" t="s">
        <v>35</v>
      </c>
      <c r="I403" s="75">
        <v>44866</v>
      </c>
      <c r="J403" s="76">
        <f>EFEITO!$J$403*EFEITO!$Y$403</f>
        <v>0</v>
      </c>
      <c r="K403" s="76">
        <f ca="1">EFEITO!$L$403*EFEITO!$Z$403</f>
        <v>4158.8949727149393</v>
      </c>
      <c r="L403" s="76">
        <f>EFEITO!$N$403*EFEITO!$AA$403</f>
        <v>4940.9689151951525</v>
      </c>
      <c r="M403" s="76">
        <f>$J$403-EFEITO!$K$403*EFEITO!$Y$403</f>
        <v>0</v>
      </c>
      <c r="N403" s="76">
        <f ca="1">$K$403-EFEITO!$M$403*EFEITO!$Z$403</f>
        <v>0</v>
      </c>
      <c r="O403" s="76">
        <f>$L$403-EFEITO!$O$403*EFEITO!$AA$403</f>
        <v>0</v>
      </c>
      <c r="P403" s="57"/>
      <c r="Q403" s="57"/>
      <c r="R403" s="57"/>
      <c r="S403" s="57"/>
      <c r="T403" s="57"/>
      <c r="U403" s="57"/>
      <c r="V403" s="57"/>
      <c r="W403" s="5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41</v>
      </c>
      <c r="C404" s="53" t="s">
        <v>43</v>
      </c>
      <c r="D404" s="53" t="s">
        <v>38</v>
      </c>
      <c r="E404" s="53" t="s">
        <v>25</v>
      </c>
      <c r="F404" s="53" t="s">
        <v>25</v>
      </c>
      <c r="G404" s="53" t="s">
        <v>25</v>
      </c>
      <c r="H404" s="53" t="s">
        <v>25</v>
      </c>
      <c r="I404" s="75">
        <v>44531</v>
      </c>
      <c r="J404" s="76">
        <f ca="1">EFEITO!$J$404*EFEITO!$Y$404</f>
        <v>139659.27485856562</v>
      </c>
      <c r="K404" s="76">
        <f>EFEITO!$L$404*EFEITO!$Z$404</f>
        <v>0</v>
      </c>
      <c r="L404" s="76">
        <f>EFEITO!$N$404*EFEITO!$AA$404</f>
        <v>0</v>
      </c>
      <c r="M404" s="76">
        <f ca="1">$J$404-EFEITO!$K$404*EFEITO!$Y$404</f>
        <v>0</v>
      </c>
      <c r="N404" s="76">
        <f>$K$404-EFEITO!$M$404*EFEITO!$Z$404</f>
        <v>0</v>
      </c>
      <c r="O404" s="76">
        <f>$L$404-EFEITO!$O$404*EFEITO!$AA$404</f>
        <v>0</v>
      </c>
      <c r="P404" s="57"/>
      <c r="Q404" s="57"/>
      <c r="R404" s="57"/>
      <c r="S404" s="57"/>
      <c r="T404" s="57"/>
      <c r="U404" s="57"/>
      <c r="V404" s="57"/>
      <c r="W404" s="5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28</v>
      </c>
      <c r="B405" s="53" t="s">
        <v>41</v>
      </c>
      <c r="C405" s="53" t="s">
        <v>43</v>
      </c>
      <c r="D405" s="53" t="s">
        <v>38</v>
      </c>
      <c r="E405" s="53" t="s">
        <v>25</v>
      </c>
      <c r="F405" s="53" t="s">
        <v>25</v>
      </c>
      <c r="G405" s="53" t="s">
        <v>25</v>
      </c>
      <c r="H405" s="53" t="s">
        <v>25</v>
      </c>
      <c r="I405" s="75">
        <v>44531</v>
      </c>
      <c r="J405" s="76">
        <f ca="1">EFEITO!$J$405*EFEITO!$Y$405</f>
        <v>6992.4989687948191</v>
      </c>
      <c r="K405" s="76">
        <f>EFEITO!$L$405*EFEITO!$Z$405</f>
        <v>0</v>
      </c>
      <c r="L405" s="76">
        <f>EFEITO!$N$405*EFEITO!$AA$405</f>
        <v>0</v>
      </c>
      <c r="M405" s="76">
        <f ca="1">$J$405-EFEITO!$K$405*EFEITO!$Y$405</f>
        <v>0</v>
      </c>
      <c r="N405" s="76">
        <f>$K$405-EFEITO!$M$405*EFEITO!$Z$405</f>
        <v>0</v>
      </c>
      <c r="O405" s="76">
        <f>$L$405-EFEITO!$O$405*EFEITO!$AA$405</f>
        <v>0</v>
      </c>
      <c r="P405" s="57"/>
      <c r="Q405" s="57"/>
      <c r="R405" s="57"/>
      <c r="S405" s="57"/>
      <c r="T405" s="57"/>
      <c r="U405" s="57"/>
      <c r="V405" s="57"/>
      <c r="W405" s="5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21</v>
      </c>
      <c r="B406" s="53" t="s">
        <v>41</v>
      </c>
      <c r="C406" s="53" t="s">
        <v>43</v>
      </c>
      <c r="D406" s="53" t="s">
        <v>38</v>
      </c>
      <c r="E406" s="53" t="s">
        <v>25</v>
      </c>
      <c r="F406" s="53" t="s">
        <v>25</v>
      </c>
      <c r="G406" s="53" t="s">
        <v>25</v>
      </c>
      <c r="H406" s="53" t="s">
        <v>25</v>
      </c>
      <c r="I406" s="75">
        <v>44562</v>
      </c>
      <c r="J406" s="76">
        <f ca="1">EFEITO!$J$406*EFEITO!$Y$406</f>
        <v>137964.12359340323</v>
      </c>
      <c r="K406" s="76">
        <f>EFEITO!$L$406*EFEITO!$Z$406</f>
        <v>0</v>
      </c>
      <c r="L406" s="76">
        <f>EFEITO!$N$406*EFEITO!$AA$406</f>
        <v>0</v>
      </c>
      <c r="M406" s="76">
        <f ca="1">$J$406-EFEITO!$K$406*EFEITO!$Y$406</f>
        <v>0</v>
      </c>
      <c r="N406" s="76">
        <f>$K$406-EFEITO!$M$406*EFEITO!$Z$406</f>
        <v>0</v>
      </c>
      <c r="O406" s="76">
        <f>$L$406-EFEITO!$O$406*EFEITO!$AA$406</f>
        <v>0</v>
      </c>
      <c r="P406" s="57"/>
      <c r="Q406" s="57"/>
      <c r="R406" s="57"/>
      <c r="S406" s="57"/>
      <c r="T406" s="57"/>
      <c r="U406" s="57"/>
      <c r="V406" s="57"/>
      <c r="W406" s="5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28</v>
      </c>
      <c r="B407" s="53" t="s">
        <v>41</v>
      </c>
      <c r="C407" s="53" t="s">
        <v>43</v>
      </c>
      <c r="D407" s="53" t="s">
        <v>38</v>
      </c>
      <c r="E407" s="53" t="s">
        <v>25</v>
      </c>
      <c r="F407" s="53" t="s">
        <v>25</v>
      </c>
      <c r="G407" s="53" t="s">
        <v>25</v>
      </c>
      <c r="H407" s="53" t="s">
        <v>25</v>
      </c>
      <c r="I407" s="75">
        <v>44562</v>
      </c>
      <c r="J407" s="76">
        <f ca="1">EFEITO!$J$407*EFEITO!$Y$407</f>
        <v>6992.4989687948191</v>
      </c>
      <c r="K407" s="76">
        <f>EFEITO!$L$407*EFEITO!$Z$407</f>
        <v>0</v>
      </c>
      <c r="L407" s="76">
        <f>EFEITO!$N$407*EFEITO!$AA$407</f>
        <v>0</v>
      </c>
      <c r="M407" s="76">
        <f ca="1">$J$407-EFEITO!$K$407*EFEITO!$Y$407</f>
        <v>0</v>
      </c>
      <c r="N407" s="76">
        <f>$K$407-EFEITO!$M$407*EFEITO!$Z$407</f>
        <v>0</v>
      </c>
      <c r="O407" s="76">
        <f>$L$407-EFEITO!$O$407*EFEITO!$AA$407</f>
        <v>0</v>
      </c>
      <c r="P407" s="57"/>
      <c r="Q407" s="57"/>
      <c r="R407" s="57"/>
      <c r="S407" s="57"/>
      <c r="T407" s="57"/>
      <c r="U407" s="57"/>
      <c r="V407" s="57"/>
      <c r="W407" s="5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21</v>
      </c>
      <c r="B408" s="53" t="s">
        <v>41</v>
      </c>
      <c r="C408" s="53" t="s">
        <v>43</v>
      </c>
      <c r="D408" s="53" t="s">
        <v>38</v>
      </c>
      <c r="E408" s="53" t="s">
        <v>25</v>
      </c>
      <c r="F408" s="53" t="s">
        <v>25</v>
      </c>
      <c r="G408" s="53" t="s">
        <v>25</v>
      </c>
      <c r="H408" s="53" t="s">
        <v>25</v>
      </c>
      <c r="I408" s="75">
        <v>44593</v>
      </c>
      <c r="J408" s="76">
        <f ca="1">EFEITO!$J$408*EFEITO!$Y$408</f>
        <v>136671.57075371692</v>
      </c>
      <c r="K408" s="76">
        <f>EFEITO!$L$408*EFEITO!$Z$408</f>
        <v>0</v>
      </c>
      <c r="L408" s="76">
        <f>EFEITO!$N$408*EFEITO!$AA$408</f>
        <v>0</v>
      </c>
      <c r="M408" s="76">
        <f ca="1">$J$408-EFEITO!$K$408*EFEITO!$Y$408</f>
        <v>0</v>
      </c>
      <c r="N408" s="76">
        <f>$K$408-EFEITO!$M$408*EFEITO!$Z$408</f>
        <v>0</v>
      </c>
      <c r="O408" s="76">
        <f>$L$408-EFEITO!$O$408*EFEITO!$AA$408</f>
        <v>0</v>
      </c>
      <c r="P408" s="57"/>
      <c r="Q408" s="57"/>
      <c r="R408" s="57"/>
      <c r="S408" s="57"/>
      <c r="T408" s="57"/>
      <c r="U408" s="57"/>
      <c r="V408" s="57"/>
      <c r="W408" s="5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28</v>
      </c>
      <c r="B409" s="53" t="s">
        <v>41</v>
      </c>
      <c r="C409" s="53" t="s">
        <v>43</v>
      </c>
      <c r="D409" s="53" t="s">
        <v>38</v>
      </c>
      <c r="E409" s="53" t="s">
        <v>25</v>
      </c>
      <c r="F409" s="53" t="s">
        <v>25</v>
      </c>
      <c r="G409" s="53" t="s">
        <v>25</v>
      </c>
      <c r="H409" s="53" t="s">
        <v>25</v>
      </c>
      <c r="I409" s="75">
        <v>44593</v>
      </c>
      <c r="J409" s="76">
        <f ca="1">EFEITO!$J$409*EFEITO!$Y$409</f>
        <v>6992.4989687948191</v>
      </c>
      <c r="K409" s="76">
        <f>EFEITO!$L$409*EFEITO!$Z$409</f>
        <v>0</v>
      </c>
      <c r="L409" s="76">
        <f>EFEITO!$N$409*EFEITO!$AA$409</f>
        <v>0</v>
      </c>
      <c r="M409" s="76">
        <f ca="1">$J$409-EFEITO!$K$409*EFEITO!$Y$409</f>
        <v>0</v>
      </c>
      <c r="N409" s="76">
        <f>$K$409-EFEITO!$M$409*EFEITO!$Z$409</f>
        <v>0</v>
      </c>
      <c r="O409" s="76">
        <f>$L$409-EFEITO!$O$409*EFEITO!$AA$409</f>
        <v>0</v>
      </c>
      <c r="P409" s="57"/>
      <c r="Q409" s="57"/>
      <c r="R409" s="57"/>
      <c r="S409" s="57"/>
      <c r="T409" s="57"/>
      <c r="U409" s="57"/>
      <c r="V409" s="57"/>
      <c r="W409" s="5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21</v>
      </c>
      <c r="B410" s="53" t="s">
        <v>41</v>
      </c>
      <c r="C410" s="53" t="s">
        <v>43</v>
      </c>
      <c r="D410" s="53" t="s">
        <v>38</v>
      </c>
      <c r="E410" s="53" t="s">
        <v>25</v>
      </c>
      <c r="F410" s="53" t="s">
        <v>25</v>
      </c>
      <c r="G410" s="53" t="s">
        <v>25</v>
      </c>
      <c r="H410" s="53" t="s">
        <v>25</v>
      </c>
      <c r="I410" s="75">
        <v>44621</v>
      </c>
      <c r="J410" s="76">
        <f ca="1">EFEITO!$J$410*EFEITO!$Y$410</f>
        <v>140485.66110033228</v>
      </c>
      <c r="K410" s="76">
        <f>EFEITO!$L$410*EFEITO!$Z$410</f>
        <v>0</v>
      </c>
      <c r="L410" s="76">
        <f>EFEITO!$N$410*EFEITO!$AA$410</f>
        <v>0</v>
      </c>
      <c r="M410" s="76">
        <f ca="1">$J$410-EFEITO!$K$410*EFEITO!$Y$410</f>
        <v>0</v>
      </c>
      <c r="N410" s="76">
        <f>$K$410-EFEITO!$M$410*EFEITO!$Z$410</f>
        <v>0</v>
      </c>
      <c r="O410" s="76">
        <f>$L$410-EFEITO!$O$410*EFEITO!$AA$410</f>
        <v>0</v>
      </c>
      <c r="P410" s="57"/>
      <c r="Q410" s="57"/>
      <c r="R410" s="57"/>
      <c r="S410" s="57"/>
      <c r="T410" s="57"/>
      <c r="U410" s="57"/>
      <c r="V410" s="57"/>
      <c r="W410" s="5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28</v>
      </c>
      <c r="B411" s="53" t="s">
        <v>41</v>
      </c>
      <c r="C411" s="53" t="s">
        <v>43</v>
      </c>
      <c r="D411" s="53" t="s">
        <v>38</v>
      </c>
      <c r="E411" s="53" t="s">
        <v>25</v>
      </c>
      <c r="F411" s="53" t="s">
        <v>25</v>
      </c>
      <c r="G411" s="53" t="s">
        <v>25</v>
      </c>
      <c r="H411" s="53" t="s">
        <v>25</v>
      </c>
      <c r="I411" s="75">
        <v>44621</v>
      </c>
      <c r="J411" s="76">
        <f ca="1">EFEITO!$J$411*EFEITO!$Y$411</f>
        <v>6992.4989687948191</v>
      </c>
      <c r="K411" s="76">
        <f>EFEITO!$L$411*EFEITO!$Z$411</f>
        <v>0</v>
      </c>
      <c r="L411" s="76">
        <f>EFEITO!$N$411*EFEITO!$AA$411</f>
        <v>0</v>
      </c>
      <c r="M411" s="76">
        <f ca="1">$J$411-EFEITO!$K$411*EFEITO!$Y$411</f>
        <v>0</v>
      </c>
      <c r="N411" s="76">
        <f>$K$411-EFEITO!$M$411*EFEITO!$Z$411</f>
        <v>0</v>
      </c>
      <c r="O411" s="76">
        <f>$L$411-EFEITO!$O$411*EFEITO!$AA$411</f>
        <v>0</v>
      </c>
      <c r="P411" s="57"/>
      <c r="Q411" s="57"/>
      <c r="R411" s="57"/>
      <c r="S411" s="57"/>
      <c r="T411" s="57"/>
      <c r="U411" s="57"/>
      <c r="V411" s="57"/>
      <c r="W411" s="5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21</v>
      </c>
      <c r="B412" s="53" t="s">
        <v>41</v>
      </c>
      <c r="C412" s="53" t="s">
        <v>43</v>
      </c>
      <c r="D412" s="53" t="s">
        <v>38</v>
      </c>
      <c r="E412" s="53" t="s">
        <v>25</v>
      </c>
      <c r="F412" s="53" t="s">
        <v>25</v>
      </c>
      <c r="G412" s="53" t="s">
        <v>25</v>
      </c>
      <c r="H412" s="53" t="s">
        <v>25</v>
      </c>
      <c r="I412" s="75">
        <v>44652</v>
      </c>
      <c r="J412" s="76">
        <f ca="1">EFEITO!$J$412*EFEITO!$Y$412</f>
        <v>122029.70170087686</v>
      </c>
      <c r="K412" s="76">
        <f>EFEITO!$L$412*EFEITO!$Z$412</f>
        <v>0</v>
      </c>
      <c r="L412" s="76">
        <f>EFEITO!$N$412*EFEITO!$AA$412</f>
        <v>0</v>
      </c>
      <c r="M412" s="76">
        <f ca="1">$J$412-EFEITO!$K$412*EFEITO!$Y$412</f>
        <v>0</v>
      </c>
      <c r="N412" s="76">
        <f>$K$412-EFEITO!$M$412*EFEITO!$Z$412</f>
        <v>0</v>
      </c>
      <c r="O412" s="76">
        <f>$L$412-EFEITO!$O$412*EFEITO!$AA$412</f>
        <v>0</v>
      </c>
      <c r="P412" s="57"/>
      <c r="Q412" s="57"/>
      <c r="R412" s="57"/>
      <c r="S412" s="57"/>
      <c r="T412" s="57"/>
      <c r="U412" s="57"/>
      <c r="V412" s="57"/>
      <c r="W412" s="5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28</v>
      </c>
      <c r="B413" s="53" t="s">
        <v>41</v>
      </c>
      <c r="C413" s="53" t="s">
        <v>43</v>
      </c>
      <c r="D413" s="53" t="s">
        <v>38</v>
      </c>
      <c r="E413" s="53" t="s">
        <v>25</v>
      </c>
      <c r="F413" s="53" t="s">
        <v>25</v>
      </c>
      <c r="G413" s="53" t="s">
        <v>25</v>
      </c>
      <c r="H413" s="53" t="s">
        <v>25</v>
      </c>
      <c r="I413" s="75">
        <v>44652</v>
      </c>
      <c r="J413" s="76">
        <f ca="1">EFEITO!$J$413*EFEITO!$Y$413</f>
        <v>6992.4989687948191</v>
      </c>
      <c r="K413" s="76">
        <f>EFEITO!$L$413*EFEITO!$Z$413</f>
        <v>0</v>
      </c>
      <c r="L413" s="76">
        <f>EFEITO!$N$413*EFEITO!$AA$413</f>
        <v>0</v>
      </c>
      <c r="M413" s="76">
        <f ca="1">$J$413-EFEITO!$K$413*EFEITO!$Y$413</f>
        <v>0</v>
      </c>
      <c r="N413" s="76">
        <f>$K$413-EFEITO!$M$413*EFEITO!$Z$413</f>
        <v>0</v>
      </c>
      <c r="O413" s="76">
        <f>$L$413-EFEITO!$O$413*EFEITO!$AA$413</f>
        <v>0</v>
      </c>
      <c r="P413" s="57"/>
      <c r="Q413" s="57"/>
      <c r="R413" s="57"/>
      <c r="S413" s="57"/>
      <c r="T413" s="57"/>
      <c r="U413" s="57"/>
      <c r="V413" s="57"/>
      <c r="W413" s="5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21</v>
      </c>
      <c r="B414" s="53" t="s">
        <v>41</v>
      </c>
      <c r="C414" s="53" t="s">
        <v>43</v>
      </c>
      <c r="D414" s="53" t="s">
        <v>38</v>
      </c>
      <c r="E414" s="53" t="s">
        <v>25</v>
      </c>
      <c r="F414" s="53" t="s">
        <v>25</v>
      </c>
      <c r="G414" s="53" t="s">
        <v>25</v>
      </c>
      <c r="H414" s="53" t="s">
        <v>25</v>
      </c>
      <c r="I414" s="75">
        <v>44682</v>
      </c>
      <c r="J414" s="76">
        <f ca="1">EFEITO!$J$414*EFEITO!$Y$414</f>
        <v>136947.03283430581</v>
      </c>
      <c r="K414" s="76">
        <f>EFEITO!$L$414*EFEITO!$Z$414</f>
        <v>0</v>
      </c>
      <c r="L414" s="76">
        <f>EFEITO!$N$414*EFEITO!$AA$414</f>
        <v>0</v>
      </c>
      <c r="M414" s="76">
        <f ca="1">$J$414-EFEITO!$K$414*EFEITO!$Y$414</f>
        <v>0</v>
      </c>
      <c r="N414" s="76">
        <f>$K$414-EFEITO!$M$414*EFEITO!$Z$414</f>
        <v>0</v>
      </c>
      <c r="O414" s="76">
        <f>$L$414-EFEITO!$O$414*EFEITO!$AA$414</f>
        <v>0</v>
      </c>
      <c r="P414" s="57"/>
      <c r="Q414" s="57"/>
      <c r="R414" s="57"/>
      <c r="S414" s="57"/>
      <c r="T414" s="57"/>
      <c r="U414" s="57"/>
      <c r="V414" s="57"/>
      <c r="W414" s="5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27</v>
      </c>
      <c r="B415" s="53" t="s">
        <v>41</v>
      </c>
      <c r="C415" s="53" t="s">
        <v>43</v>
      </c>
      <c r="D415" s="53" t="s">
        <v>38</v>
      </c>
      <c r="E415" s="53" t="s">
        <v>25</v>
      </c>
      <c r="F415" s="53" t="s">
        <v>25</v>
      </c>
      <c r="G415" s="53" t="s">
        <v>25</v>
      </c>
      <c r="H415" s="53" t="s">
        <v>25</v>
      </c>
      <c r="I415" s="75">
        <v>44682</v>
      </c>
      <c r="J415" s="76">
        <f ca="1">EFEITO!$J$415*EFEITO!$Y$415</f>
        <v>5085.4537954871412</v>
      </c>
      <c r="K415" s="76">
        <f>EFEITO!$L$415*EFEITO!$Z$415</f>
        <v>0</v>
      </c>
      <c r="L415" s="76">
        <f>EFEITO!$N$415*EFEITO!$AA$415</f>
        <v>0</v>
      </c>
      <c r="M415" s="76">
        <f ca="1">$J$415-EFEITO!$K$415*EFEITO!$Y$415</f>
        <v>0</v>
      </c>
      <c r="N415" s="76">
        <f>$K$415-EFEITO!$M$415*EFEITO!$Z$415</f>
        <v>0</v>
      </c>
      <c r="O415" s="76">
        <f>$L$415-EFEITO!$O$415*EFEITO!$AA$415</f>
        <v>0</v>
      </c>
      <c r="P415" s="57"/>
      <c r="Q415" s="57"/>
      <c r="R415" s="57"/>
      <c r="S415" s="57"/>
      <c r="T415" s="57"/>
      <c r="U415" s="57"/>
      <c r="V415" s="57"/>
      <c r="W415" s="5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28</v>
      </c>
      <c r="B416" s="53" t="s">
        <v>41</v>
      </c>
      <c r="C416" s="53" t="s">
        <v>43</v>
      </c>
      <c r="D416" s="53" t="s">
        <v>38</v>
      </c>
      <c r="E416" s="53" t="s">
        <v>25</v>
      </c>
      <c r="F416" s="53" t="s">
        <v>25</v>
      </c>
      <c r="G416" s="53" t="s">
        <v>25</v>
      </c>
      <c r="H416" s="53" t="s">
        <v>25</v>
      </c>
      <c r="I416" s="75">
        <v>44682</v>
      </c>
      <c r="J416" s="76">
        <f ca="1">EFEITO!$J$416*EFEITO!$Y$416</f>
        <v>6992.4989687948191</v>
      </c>
      <c r="K416" s="76">
        <f>EFEITO!$L$416*EFEITO!$Z$416</f>
        <v>0</v>
      </c>
      <c r="L416" s="76">
        <f>EFEITO!$N$416*EFEITO!$AA$416</f>
        <v>0</v>
      </c>
      <c r="M416" s="76">
        <f ca="1">$J$416-EFEITO!$K$416*EFEITO!$Y$416</f>
        <v>0</v>
      </c>
      <c r="N416" s="76">
        <f>$K$416-EFEITO!$M$416*EFEITO!$Z$416</f>
        <v>0</v>
      </c>
      <c r="O416" s="76">
        <f>$L$416-EFEITO!$O$416*EFEITO!$AA$416</f>
        <v>0</v>
      </c>
      <c r="P416" s="57"/>
      <c r="Q416" s="57"/>
      <c r="R416" s="57"/>
      <c r="S416" s="57"/>
      <c r="T416" s="57"/>
      <c r="U416" s="57"/>
      <c r="V416" s="57"/>
      <c r="W416" s="5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21</v>
      </c>
      <c r="B417" s="53" t="s">
        <v>41</v>
      </c>
      <c r="C417" s="53" t="s">
        <v>43</v>
      </c>
      <c r="D417" s="53" t="s">
        <v>38</v>
      </c>
      <c r="E417" s="53" t="s">
        <v>25</v>
      </c>
      <c r="F417" s="53" t="s">
        <v>25</v>
      </c>
      <c r="G417" s="53" t="s">
        <v>25</v>
      </c>
      <c r="H417" s="53" t="s">
        <v>25</v>
      </c>
      <c r="I417" s="75">
        <v>44713</v>
      </c>
      <c r="J417" s="76">
        <f ca="1">EFEITO!$J$417*EFEITO!$Y$417</f>
        <v>131649.68513067337</v>
      </c>
      <c r="K417" s="76">
        <f>EFEITO!$L$417*EFEITO!$Z$417</f>
        <v>0</v>
      </c>
      <c r="L417" s="76">
        <f>EFEITO!$N$417*EFEITO!$AA$417</f>
        <v>0</v>
      </c>
      <c r="M417" s="76">
        <f ca="1">$J$417-EFEITO!$K$417*EFEITO!$Y$417</f>
        <v>0</v>
      </c>
      <c r="N417" s="76">
        <f>$K$417-EFEITO!$M$417*EFEITO!$Z$417</f>
        <v>0</v>
      </c>
      <c r="O417" s="76">
        <f>$L$417-EFEITO!$O$417*EFEITO!$AA$417</f>
        <v>0</v>
      </c>
      <c r="P417" s="57"/>
      <c r="Q417" s="57"/>
      <c r="R417" s="57"/>
      <c r="S417" s="57"/>
      <c r="T417" s="57"/>
      <c r="U417" s="57"/>
      <c r="V417" s="57"/>
      <c r="W417" s="5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28</v>
      </c>
      <c r="B418" s="53" t="s">
        <v>41</v>
      </c>
      <c r="C418" s="53" t="s">
        <v>43</v>
      </c>
      <c r="D418" s="53" t="s">
        <v>38</v>
      </c>
      <c r="E418" s="53" t="s">
        <v>25</v>
      </c>
      <c r="F418" s="53" t="s">
        <v>25</v>
      </c>
      <c r="G418" s="53" t="s">
        <v>25</v>
      </c>
      <c r="H418" s="53" t="s">
        <v>25</v>
      </c>
      <c r="I418" s="75">
        <v>44713</v>
      </c>
      <c r="J418" s="76">
        <f ca="1">EFEITO!$J$418*EFEITO!$Y$418</f>
        <v>6992.4989687948191</v>
      </c>
      <c r="K418" s="76">
        <f>EFEITO!$L$418*EFEITO!$Z$418</f>
        <v>0</v>
      </c>
      <c r="L418" s="76">
        <f>EFEITO!$N$418*EFEITO!$AA$418</f>
        <v>0</v>
      </c>
      <c r="M418" s="76">
        <f ca="1">$J$418-EFEITO!$K$418*EFEITO!$Y$418</f>
        <v>0</v>
      </c>
      <c r="N418" s="76">
        <f>$K$418-EFEITO!$M$418*EFEITO!$Z$418</f>
        <v>0</v>
      </c>
      <c r="O418" s="76">
        <f>$L$418-EFEITO!$O$418*EFEITO!$AA$418</f>
        <v>0</v>
      </c>
      <c r="P418" s="57"/>
      <c r="Q418" s="57"/>
      <c r="R418" s="57"/>
      <c r="S418" s="57"/>
      <c r="T418" s="57"/>
      <c r="U418" s="57"/>
      <c r="V418" s="57"/>
      <c r="W418" s="5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21</v>
      </c>
      <c r="B419" s="53" t="s">
        <v>41</v>
      </c>
      <c r="C419" s="53" t="s">
        <v>43</v>
      </c>
      <c r="D419" s="53" t="s">
        <v>38</v>
      </c>
      <c r="E419" s="53" t="s">
        <v>25</v>
      </c>
      <c r="F419" s="53" t="s">
        <v>25</v>
      </c>
      <c r="G419" s="53" t="s">
        <v>25</v>
      </c>
      <c r="H419" s="53" t="s">
        <v>25</v>
      </c>
      <c r="I419" s="75">
        <v>44743</v>
      </c>
      <c r="J419" s="76">
        <f ca="1">EFEITO!$J$419*EFEITO!$Y$419</f>
        <v>138599.80531783914</v>
      </c>
      <c r="K419" s="76">
        <f>EFEITO!$L$419*EFEITO!$Z$419</f>
        <v>0</v>
      </c>
      <c r="L419" s="76">
        <f>EFEITO!$N$419*EFEITO!$AA$419</f>
        <v>0</v>
      </c>
      <c r="M419" s="76">
        <f ca="1">$J$419-EFEITO!$K$419*EFEITO!$Y$419</f>
        <v>0</v>
      </c>
      <c r="N419" s="76">
        <f>$K$419-EFEITO!$M$419*EFEITO!$Z$419</f>
        <v>0</v>
      </c>
      <c r="O419" s="76">
        <f>$L$419-EFEITO!$O$419*EFEITO!$AA$419</f>
        <v>0</v>
      </c>
      <c r="P419" s="57"/>
      <c r="Q419" s="57"/>
      <c r="R419" s="57"/>
      <c r="S419" s="57"/>
      <c r="T419" s="57"/>
      <c r="U419" s="57"/>
      <c r="V419" s="57"/>
      <c r="W419" s="5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28</v>
      </c>
      <c r="B420" s="53" t="s">
        <v>41</v>
      </c>
      <c r="C420" s="53" t="s">
        <v>43</v>
      </c>
      <c r="D420" s="53" t="s">
        <v>38</v>
      </c>
      <c r="E420" s="53" t="s">
        <v>25</v>
      </c>
      <c r="F420" s="53" t="s">
        <v>25</v>
      </c>
      <c r="G420" s="53" t="s">
        <v>25</v>
      </c>
      <c r="H420" s="53" t="s">
        <v>25</v>
      </c>
      <c r="I420" s="75">
        <v>44743</v>
      </c>
      <c r="J420" s="76">
        <f ca="1">EFEITO!$J$420*EFEITO!$Y$420</f>
        <v>6992.4989687948191</v>
      </c>
      <c r="K420" s="76">
        <f>EFEITO!$L$420*EFEITO!$Z$420</f>
        <v>0</v>
      </c>
      <c r="L420" s="76">
        <f>EFEITO!$N$420*EFEITO!$AA$420</f>
        <v>0</v>
      </c>
      <c r="M420" s="76">
        <f ca="1">$J$420-EFEITO!$K$420*EFEITO!$Y$420</f>
        <v>0</v>
      </c>
      <c r="N420" s="76">
        <f>$K$420-EFEITO!$M$420*EFEITO!$Z$420</f>
        <v>0</v>
      </c>
      <c r="O420" s="76">
        <f>$L$420-EFEITO!$O$420*EFEITO!$AA$420</f>
        <v>0</v>
      </c>
      <c r="P420" s="57"/>
      <c r="Q420" s="57"/>
      <c r="R420" s="57"/>
      <c r="S420" s="57"/>
      <c r="T420" s="57"/>
      <c r="U420" s="57"/>
      <c r="V420" s="57"/>
      <c r="W420" s="5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21</v>
      </c>
      <c r="B421" s="53" t="s">
        <v>41</v>
      </c>
      <c r="C421" s="53" t="s">
        <v>43</v>
      </c>
      <c r="D421" s="53" t="s">
        <v>38</v>
      </c>
      <c r="E421" s="53" t="s">
        <v>25</v>
      </c>
      <c r="F421" s="53" t="s">
        <v>25</v>
      </c>
      <c r="G421" s="53" t="s">
        <v>25</v>
      </c>
      <c r="H421" s="53" t="s">
        <v>25</v>
      </c>
      <c r="I421" s="75">
        <v>44774</v>
      </c>
      <c r="J421" s="76">
        <f ca="1">EFEITO!$J$421*EFEITO!$Y$421</f>
        <v>129340.04153188963</v>
      </c>
      <c r="K421" s="76">
        <f>EFEITO!$L$421*EFEITO!$Z$421</f>
        <v>0</v>
      </c>
      <c r="L421" s="76">
        <f>EFEITO!$N$421*EFEITO!$AA$421</f>
        <v>0</v>
      </c>
      <c r="M421" s="76">
        <f ca="1">$J$421-EFEITO!$K$421*EFEITO!$Y$421</f>
        <v>0</v>
      </c>
      <c r="N421" s="76">
        <f>$K$421-EFEITO!$M$421*EFEITO!$Z$421</f>
        <v>0</v>
      </c>
      <c r="O421" s="76">
        <f>$L$421-EFEITO!$O$421*EFEITO!$AA$421</f>
        <v>0</v>
      </c>
      <c r="P421" s="57"/>
      <c r="Q421" s="57"/>
      <c r="R421" s="57"/>
      <c r="S421" s="57"/>
      <c r="T421" s="57"/>
      <c r="U421" s="57"/>
      <c r="V421" s="57"/>
      <c r="W421" s="5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28</v>
      </c>
      <c r="B422" s="53" t="s">
        <v>41</v>
      </c>
      <c r="C422" s="53" t="s">
        <v>43</v>
      </c>
      <c r="D422" s="53" t="s">
        <v>38</v>
      </c>
      <c r="E422" s="53" t="s">
        <v>25</v>
      </c>
      <c r="F422" s="53" t="s">
        <v>25</v>
      </c>
      <c r="G422" s="53" t="s">
        <v>25</v>
      </c>
      <c r="H422" s="53" t="s">
        <v>25</v>
      </c>
      <c r="I422" s="75">
        <v>44774</v>
      </c>
      <c r="J422" s="76">
        <f ca="1">EFEITO!$J$422*EFEITO!$Y$422</f>
        <v>6992.4989687948191</v>
      </c>
      <c r="K422" s="76">
        <f>EFEITO!$L$422*EFEITO!$Z$422</f>
        <v>0</v>
      </c>
      <c r="L422" s="76">
        <f>EFEITO!$N$422*EFEITO!$AA$422</f>
        <v>0</v>
      </c>
      <c r="M422" s="76">
        <f ca="1">$J$422-EFEITO!$K$422*EFEITO!$Y$422</f>
        <v>0</v>
      </c>
      <c r="N422" s="76">
        <f>$K$422-EFEITO!$M$422*EFEITO!$Z$422</f>
        <v>0</v>
      </c>
      <c r="O422" s="76">
        <f>$L$422-EFEITO!$O$422*EFEITO!$AA$422</f>
        <v>0</v>
      </c>
      <c r="P422" s="57"/>
      <c r="Q422" s="57"/>
      <c r="R422" s="57"/>
      <c r="S422" s="57"/>
      <c r="T422" s="57"/>
      <c r="U422" s="57"/>
      <c r="V422" s="57"/>
      <c r="W422" s="5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21</v>
      </c>
      <c r="B423" s="53" t="s">
        <v>41</v>
      </c>
      <c r="C423" s="53" t="s">
        <v>43</v>
      </c>
      <c r="D423" s="53" t="s">
        <v>38</v>
      </c>
      <c r="E423" s="53" t="s">
        <v>25</v>
      </c>
      <c r="F423" s="53" t="s">
        <v>25</v>
      </c>
      <c r="G423" s="53" t="s">
        <v>25</v>
      </c>
      <c r="H423" s="53" t="s">
        <v>25</v>
      </c>
      <c r="I423" s="75">
        <v>44805</v>
      </c>
      <c r="J423" s="76">
        <f ca="1">EFEITO!$J$423*EFEITO!$Y$423</f>
        <v>148897.84925370058</v>
      </c>
      <c r="K423" s="76">
        <f>EFEITO!$L$423*EFEITO!$Z$423</f>
        <v>0</v>
      </c>
      <c r="L423" s="76">
        <f>EFEITO!$N$423*EFEITO!$AA$423</f>
        <v>0</v>
      </c>
      <c r="M423" s="76">
        <f ca="1">$J$423-EFEITO!$K$423*EFEITO!$Y$423</f>
        <v>0</v>
      </c>
      <c r="N423" s="76">
        <f>$K$423-EFEITO!$M$423*EFEITO!$Z$423</f>
        <v>0</v>
      </c>
      <c r="O423" s="76">
        <f>$L$423-EFEITO!$O$423*EFEITO!$AA$423</f>
        <v>0</v>
      </c>
      <c r="P423" s="57"/>
      <c r="Q423" s="57"/>
      <c r="R423" s="57"/>
      <c r="S423" s="57"/>
      <c r="T423" s="57"/>
      <c r="U423" s="57"/>
      <c r="V423" s="57"/>
      <c r="W423" s="5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28</v>
      </c>
      <c r="B424" s="53" t="s">
        <v>41</v>
      </c>
      <c r="C424" s="53" t="s">
        <v>43</v>
      </c>
      <c r="D424" s="53" t="s">
        <v>38</v>
      </c>
      <c r="E424" s="53" t="s">
        <v>25</v>
      </c>
      <c r="F424" s="53" t="s">
        <v>25</v>
      </c>
      <c r="G424" s="53" t="s">
        <v>25</v>
      </c>
      <c r="H424" s="53" t="s">
        <v>25</v>
      </c>
      <c r="I424" s="75">
        <v>44805</v>
      </c>
      <c r="J424" s="76">
        <f ca="1">EFEITO!$J$424*EFEITO!$Y$424</f>
        <v>7289.1504401982356</v>
      </c>
      <c r="K424" s="76">
        <f>EFEITO!$L$424*EFEITO!$Z$424</f>
        <v>0</v>
      </c>
      <c r="L424" s="76">
        <f>EFEITO!$N$424*EFEITO!$AA$424</f>
        <v>0</v>
      </c>
      <c r="M424" s="76">
        <f ca="1">$J$424-EFEITO!$K$424*EFEITO!$Y$424</f>
        <v>0</v>
      </c>
      <c r="N424" s="76">
        <f>$K$424-EFEITO!$M$424*EFEITO!$Z$424</f>
        <v>0</v>
      </c>
      <c r="O424" s="76">
        <f>$L$424-EFEITO!$O$424*EFEITO!$AA$424</f>
        <v>0</v>
      </c>
      <c r="P424" s="57"/>
      <c r="Q424" s="57"/>
      <c r="R424" s="57"/>
      <c r="S424" s="57"/>
      <c r="T424" s="57"/>
      <c r="U424" s="57"/>
      <c r="V424" s="57"/>
      <c r="W424" s="5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21</v>
      </c>
      <c r="B425" s="53" t="s">
        <v>41</v>
      </c>
      <c r="C425" s="53" t="s">
        <v>43</v>
      </c>
      <c r="D425" s="53" t="s">
        <v>38</v>
      </c>
      <c r="E425" s="53" t="s">
        <v>25</v>
      </c>
      <c r="F425" s="53" t="s">
        <v>25</v>
      </c>
      <c r="G425" s="53" t="s">
        <v>25</v>
      </c>
      <c r="H425" s="53" t="s">
        <v>25</v>
      </c>
      <c r="I425" s="75">
        <v>44835</v>
      </c>
      <c r="J425" s="76">
        <f ca="1">EFEITO!$J$425*EFEITO!$Y$425</f>
        <v>146715.34199980402</v>
      </c>
      <c r="K425" s="76">
        <f>EFEITO!$L$425*EFEITO!$Z$425</f>
        <v>0</v>
      </c>
      <c r="L425" s="76">
        <f>EFEITO!$N$425*EFEITO!$AA$425</f>
        <v>0</v>
      </c>
      <c r="M425" s="76">
        <f ca="1">$J$425-EFEITO!$K$425*EFEITO!$Y$425</f>
        <v>0</v>
      </c>
      <c r="N425" s="76">
        <f>$K$425-EFEITO!$M$425*EFEITO!$Z$425</f>
        <v>0</v>
      </c>
      <c r="O425" s="76">
        <f>$L$425-EFEITO!$O$425*EFEITO!$AA$425</f>
        <v>0</v>
      </c>
      <c r="P425" s="57"/>
      <c r="Q425" s="57"/>
      <c r="R425" s="57"/>
      <c r="S425" s="57"/>
      <c r="T425" s="57"/>
      <c r="U425" s="57"/>
      <c r="V425" s="57"/>
      <c r="W425" s="5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27</v>
      </c>
      <c r="B426" s="53" t="s">
        <v>41</v>
      </c>
      <c r="C426" s="53" t="s">
        <v>43</v>
      </c>
      <c r="D426" s="53" t="s">
        <v>38</v>
      </c>
      <c r="E426" s="53" t="s">
        <v>25</v>
      </c>
      <c r="F426" s="53" t="s">
        <v>25</v>
      </c>
      <c r="G426" s="53" t="s">
        <v>25</v>
      </c>
      <c r="H426" s="53" t="s">
        <v>25</v>
      </c>
      <c r="I426" s="75">
        <v>44835</v>
      </c>
      <c r="J426" s="76">
        <f ca="1">EFEITO!$J$426*EFEITO!$Y$426</f>
        <v>-15150.414432388776</v>
      </c>
      <c r="K426" s="76">
        <f>EFEITO!$L$426*EFEITO!$Z$426</f>
        <v>0</v>
      </c>
      <c r="L426" s="76">
        <f>EFEITO!$N$426*EFEITO!$AA$426</f>
        <v>0</v>
      </c>
      <c r="M426" s="76">
        <f ca="1">$J$426-EFEITO!$K$426*EFEITO!$Y$426</f>
        <v>0</v>
      </c>
      <c r="N426" s="76">
        <f>$K$426-EFEITO!$M$426*EFEITO!$Z$426</f>
        <v>0</v>
      </c>
      <c r="O426" s="76">
        <f>$L$426-EFEITO!$O$426*EFEITO!$AA$426</f>
        <v>0</v>
      </c>
      <c r="P426" s="57"/>
      <c r="Q426" s="57"/>
      <c r="R426" s="57"/>
      <c r="S426" s="57"/>
      <c r="T426" s="57"/>
      <c r="U426" s="57"/>
      <c r="V426" s="57"/>
      <c r="W426" s="5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28</v>
      </c>
      <c r="B427" s="53" t="s">
        <v>41</v>
      </c>
      <c r="C427" s="53" t="s">
        <v>43</v>
      </c>
      <c r="D427" s="53" t="s">
        <v>38</v>
      </c>
      <c r="E427" s="53" t="s">
        <v>25</v>
      </c>
      <c r="F427" s="53" t="s">
        <v>25</v>
      </c>
      <c r="G427" s="53" t="s">
        <v>25</v>
      </c>
      <c r="H427" s="53" t="s">
        <v>25</v>
      </c>
      <c r="I427" s="75">
        <v>44835</v>
      </c>
      <c r="J427" s="76">
        <f ca="1">EFEITO!$J$427*EFEITO!$Y$427</f>
        <v>6992.4989687948191</v>
      </c>
      <c r="K427" s="76">
        <f>EFEITO!$L$427*EFEITO!$Z$427</f>
        <v>0</v>
      </c>
      <c r="L427" s="76">
        <f>EFEITO!$N$427*EFEITO!$AA$427</f>
        <v>0</v>
      </c>
      <c r="M427" s="76">
        <f ca="1">$J$427-EFEITO!$K$427*EFEITO!$Y$427</f>
        <v>0</v>
      </c>
      <c r="N427" s="76">
        <f>$K$427-EFEITO!$M$427*EFEITO!$Z$427</f>
        <v>0</v>
      </c>
      <c r="O427" s="76">
        <f>$L$427-EFEITO!$O$427*EFEITO!$AA$427</f>
        <v>0</v>
      </c>
      <c r="P427" s="57"/>
      <c r="Q427" s="57"/>
      <c r="R427" s="57"/>
      <c r="S427" s="57"/>
      <c r="T427" s="57"/>
      <c r="U427" s="57"/>
      <c r="V427" s="57"/>
      <c r="W427" s="5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54</v>
      </c>
      <c r="B428" s="53" t="s">
        <v>41</v>
      </c>
      <c r="C428" s="53" t="s">
        <v>43</v>
      </c>
      <c r="D428" s="53" t="s">
        <v>38</v>
      </c>
      <c r="E428" s="53" t="s">
        <v>25</v>
      </c>
      <c r="F428" s="53" t="s">
        <v>25</v>
      </c>
      <c r="G428" s="53" t="s">
        <v>25</v>
      </c>
      <c r="H428" s="53" t="s">
        <v>25</v>
      </c>
      <c r="I428" s="75">
        <v>44866</v>
      </c>
      <c r="J428" s="76">
        <f ca="1">EFEITO!$J$428*EFEITO!$Y$428</f>
        <v>146715.34199980402</v>
      </c>
      <c r="K428" s="76">
        <f>EFEITO!$L$428*EFEITO!$Z$428</f>
        <v>0</v>
      </c>
      <c r="L428" s="76">
        <f>EFEITO!$N$428*EFEITO!$AA$428</f>
        <v>0</v>
      </c>
      <c r="M428" s="76">
        <f ca="1">$J$428-EFEITO!$K$428*EFEITO!$Y$428</f>
        <v>0</v>
      </c>
      <c r="N428" s="76">
        <f>$K$428-EFEITO!$M$428*EFEITO!$Z$428</f>
        <v>0</v>
      </c>
      <c r="O428" s="76">
        <f>$L$428-EFEITO!$O$428*EFEITO!$AA$428</f>
        <v>0</v>
      </c>
      <c r="P428" s="57"/>
      <c r="Q428" s="57"/>
      <c r="R428" s="57"/>
      <c r="S428" s="57"/>
      <c r="T428" s="57"/>
      <c r="U428" s="57"/>
      <c r="V428" s="57"/>
      <c r="W428" s="5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54</v>
      </c>
      <c r="B429" s="53" t="s">
        <v>41</v>
      </c>
      <c r="C429" s="53" t="s">
        <v>43</v>
      </c>
      <c r="D429" s="53" t="s">
        <v>38</v>
      </c>
      <c r="E429" s="53" t="s">
        <v>25</v>
      </c>
      <c r="F429" s="53" t="s">
        <v>25</v>
      </c>
      <c r="G429" s="53" t="s">
        <v>25</v>
      </c>
      <c r="H429" s="53" t="s">
        <v>25</v>
      </c>
      <c r="I429" s="75">
        <v>44866</v>
      </c>
      <c r="J429" s="76">
        <f ca="1">EFEITO!$J$429*EFEITO!$Y$429</f>
        <v>-15150.414432388776</v>
      </c>
      <c r="K429" s="76">
        <f>EFEITO!$L$429*EFEITO!$Z$429</f>
        <v>0</v>
      </c>
      <c r="L429" s="76">
        <f>EFEITO!$N$429*EFEITO!$AA$429</f>
        <v>0</v>
      </c>
      <c r="M429" s="76">
        <f ca="1">$J$429-EFEITO!$K$429*EFEITO!$Y$429</f>
        <v>0</v>
      </c>
      <c r="N429" s="76">
        <f>$K$429-EFEITO!$M$429*EFEITO!$Z$429</f>
        <v>0</v>
      </c>
      <c r="O429" s="76">
        <f>$L$429-EFEITO!$O$429*EFEITO!$AA$429</f>
        <v>0</v>
      </c>
      <c r="P429" s="57"/>
      <c r="Q429" s="57"/>
      <c r="R429" s="57"/>
      <c r="S429" s="57"/>
      <c r="T429" s="57"/>
      <c r="U429" s="57"/>
      <c r="V429" s="57"/>
      <c r="W429" s="5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54</v>
      </c>
      <c r="B430" s="53" t="s">
        <v>41</v>
      </c>
      <c r="C430" s="53" t="s">
        <v>43</v>
      </c>
      <c r="D430" s="53" t="s">
        <v>38</v>
      </c>
      <c r="E430" s="53" t="s">
        <v>25</v>
      </c>
      <c r="F430" s="53" t="s">
        <v>25</v>
      </c>
      <c r="G430" s="53" t="s">
        <v>25</v>
      </c>
      <c r="H430" s="53" t="s">
        <v>25</v>
      </c>
      <c r="I430" s="75">
        <v>44866</v>
      </c>
      <c r="J430" s="76">
        <f ca="1">EFEITO!$J$430*EFEITO!$Y$430</f>
        <v>6992.4989687948191</v>
      </c>
      <c r="K430" s="76">
        <f>EFEITO!$L$430*EFEITO!$Z$430</f>
        <v>0</v>
      </c>
      <c r="L430" s="76">
        <f>EFEITO!$N$430*EFEITO!$AA$430</f>
        <v>0</v>
      </c>
      <c r="M430" s="76">
        <f ca="1">$J$430-EFEITO!$K$430*EFEITO!$Y$430</f>
        <v>0</v>
      </c>
      <c r="N430" s="76">
        <f>$K$430-EFEITO!$M$430*EFEITO!$Z$430</f>
        <v>0</v>
      </c>
      <c r="O430" s="76">
        <f>$L$430-EFEITO!$O$430*EFEITO!$AA$430</f>
        <v>0</v>
      </c>
      <c r="P430" s="57"/>
      <c r="Q430" s="57"/>
      <c r="R430" s="57"/>
      <c r="S430" s="57"/>
      <c r="T430" s="57"/>
      <c r="U430" s="57"/>
      <c r="V430" s="57"/>
      <c r="W430" s="5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21</v>
      </c>
      <c r="B431" s="53" t="s">
        <v>41</v>
      </c>
      <c r="C431" s="53" t="s">
        <v>43</v>
      </c>
      <c r="D431" s="53" t="s">
        <v>38</v>
      </c>
      <c r="E431" s="53" t="s">
        <v>25</v>
      </c>
      <c r="F431" s="53" t="s">
        <v>25</v>
      </c>
      <c r="G431" s="53" t="s">
        <v>25</v>
      </c>
      <c r="H431" s="53" t="s">
        <v>34</v>
      </c>
      <c r="I431" s="75">
        <v>44531</v>
      </c>
      <c r="J431" s="76">
        <f>EFEITO!$J$431*EFEITO!$Y$431</f>
        <v>0</v>
      </c>
      <c r="K431" s="76">
        <f ca="1">EFEITO!$L$431*EFEITO!$Z$431</f>
        <v>165073.47716407067</v>
      </c>
      <c r="L431" s="76">
        <f>EFEITO!$N$431*EFEITO!$AA$431</f>
        <v>35499.438582020601</v>
      </c>
      <c r="M431" s="76">
        <f>$J$431-EFEITO!$K$431*EFEITO!$Y$431</f>
        <v>0</v>
      </c>
      <c r="N431" s="76">
        <f ca="1">$K$431-EFEITO!$M$431*EFEITO!$Z$431</f>
        <v>0</v>
      </c>
      <c r="O431" s="76">
        <f>$L$431-EFEITO!$O$431*EFEITO!$AA$431</f>
        <v>0</v>
      </c>
      <c r="P431" s="57"/>
      <c r="Q431" s="57"/>
      <c r="R431" s="57"/>
      <c r="S431" s="57"/>
      <c r="T431" s="57"/>
      <c r="U431" s="57"/>
      <c r="V431" s="57"/>
      <c r="W431" s="5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28</v>
      </c>
      <c r="B432" s="53" t="s">
        <v>41</v>
      </c>
      <c r="C432" s="53" t="s">
        <v>43</v>
      </c>
      <c r="D432" s="53" t="s">
        <v>38</v>
      </c>
      <c r="E432" s="53" t="s">
        <v>25</v>
      </c>
      <c r="F432" s="53" t="s">
        <v>25</v>
      </c>
      <c r="G432" s="53" t="s">
        <v>25</v>
      </c>
      <c r="H432" s="53" t="s">
        <v>34</v>
      </c>
      <c r="I432" s="75">
        <v>44531</v>
      </c>
      <c r="J432" s="76">
        <f>EFEITO!$J$432*EFEITO!$Y$432</f>
        <v>0</v>
      </c>
      <c r="K432" s="76">
        <f ca="1">EFEITO!$L$432*EFEITO!$Z$432</f>
        <v>1396.0335443079553</v>
      </c>
      <c r="L432" s="76">
        <f>EFEITO!$N$432*EFEITO!$AA$432</f>
        <v>300.22028926756929</v>
      </c>
      <c r="M432" s="76">
        <f>$J$432-EFEITO!$K$432*EFEITO!$Y$432</f>
        <v>0</v>
      </c>
      <c r="N432" s="76">
        <f ca="1">$K$432-EFEITO!$M$432*EFEITO!$Z$432</f>
        <v>0</v>
      </c>
      <c r="O432" s="76">
        <f>$L$432-EFEITO!$O$432*EFEITO!$AA$432</f>
        <v>0</v>
      </c>
      <c r="P432" s="57"/>
      <c r="Q432" s="57"/>
      <c r="R432" s="57"/>
      <c r="S432" s="57"/>
      <c r="T432" s="57"/>
      <c r="U432" s="57"/>
      <c r="V432" s="57"/>
      <c r="W432" s="5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21</v>
      </c>
      <c r="B433" s="53" t="s">
        <v>41</v>
      </c>
      <c r="C433" s="53" t="s">
        <v>43</v>
      </c>
      <c r="D433" s="53" t="s">
        <v>38</v>
      </c>
      <c r="E433" s="53" t="s">
        <v>25</v>
      </c>
      <c r="F433" s="53" t="s">
        <v>25</v>
      </c>
      <c r="G433" s="53" t="s">
        <v>25</v>
      </c>
      <c r="H433" s="53" t="s">
        <v>34</v>
      </c>
      <c r="I433" s="75">
        <v>44562</v>
      </c>
      <c r="J433" s="76">
        <f>EFEITO!$J$433*EFEITO!$Y$433</f>
        <v>0</v>
      </c>
      <c r="K433" s="76">
        <f ca="1">EFEITO!$L$433*EFEITO!$Z$433</f>
        <v>150278.81695255818</v>
      </c>
      <c r="L433" s="76">
        <f>EFEITO!$N$433*EFEITO!$AA$433</f>
        <v>32317.812190286932</v>
      </c>
      <c r="M433" s="76">
        <f>$J$433-EFEITO!$K$433*EFEITO!$Y$433</f>
        <v>0</v>
      </c>
      <c r="N433" s="76">
        <f ca="1">$K$433-EFEITO!$M$433*EFEITO!$Z$433</f>
        <v>0</v>
      </c>
      <c r="O433" s="76">
        <f>$L$433-EFEITO!$O$433*EFEITO!$AA$433</f>
        <v>0</v>
      </c>
      <c r="P433" s="57"/>
      <c r="Q433" s="57"/>
      <c r="R433" s="57"/>
      <c r="S433" s="57"/>
      <c r="T433" s="57"/>
      <c r="U433" s="57"/>
      <c r="V433" s="57"/>
      <c r="W433" s="5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28</v>
      </c>
      <c r="B434" s="53" t="s">
        <v>41</v>
      </c>
      <c r="C434" s="53" t="s">
        <v>43</v>
      </c>
      <c r="D434" s="53" t="s">
        <v>38</v>
      </c>
      <c r="E434" s="53" t="s">
        <v>25</v>
      </c>
      <c r="F434" s="53" t="s">
        <v>25</v>
      </c>
      <c r="G434" s="53" t="s">
        <v>25</v>
      </c>
      <c r="H434" s="53" t="s">
        <v>34</v>
      </c>
      <c r="I434" s="75">
        <v>44562</v>
      </c>
      <c r="J434" s="76">
        <f>EFEITO!$J$434*EFEITO!$Y$434</f>
        <v>0</v>
      </c>
      <c r="K434" s="76">
        <f ca="1">EFEITO!$L$434*EFEITO!$Z$434</f>
        <v>885.25303077897149</v>
      </c>
      <c r="L434" s="76">
        <f>EFEITO!$N$434*EFEITO!$AA$434</f>
        <v>190.37574137031484</v>
      </c>
      <c r="M434" s="76">
        <f>$J$434-EFEITO!$K$434*EFEITO!$Y$434</f>
        <v>0</v>
      </c>
      <c r="N434" s="76">
        <f ca="1">$K$434-EFEITO!$M$434*EFEITO!$Z$434</f>
        <v>0</v>
      </c>
      <c r="O434" s="76">
        <f>$L$434-EFEITO!$O$434*EFEITO!$AA$434</f>
        <v>0</v>
      </c>
      <c r="P434" s="57"/>
      <c r="Q434" s="57"/>
      <c r="R434" s="57"/>
      <c r="S434" s="57"/>
      <c r="T434" s="57"/>
      <c r="U434" s="57"/>
      <c r="V434" s="57"/>
      <c r="W434" s="5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21</v>
      </c>
      <c r="B435" s="53" t="s">
        <v>41</v>
      </c>
      <c r="C435" s="53" t="s">
        <v>43</v>
      </c>
      <c r="D435" s="53" t="s">
        <v>38</v>
      </c>
      <c r="E435" s="53" t="s">
        <v>25</v>
      </c>
      <c r="F435" s="53" t="s">
        <v>25</v>
      </c>
      <c r="G435" s="53" t="s">
        <v>25</v>
      </c>
      <c r="H435" s="53" t="s">
        <v>34</v>
      </c>
      <c r="I435" s="75">
        <v>44593</v>
      </c>
      <c r="J435" s="76">
        <f>EFEITO!$J$435*EFEITO!$Y$435</f>
        <v>0</v>
      </c>
      <c r="K435" s="76">
        <f ca="1">EFEITO!$L$435*EFEITO!$Z$435</f>
        <v>111818.99154091541</v>
      </c>
      <c r="L435" s="76">
        <f>EFEITO!$N$435*EFEITO!$AA$435</f>
        <v>24046.936495829734</v>
      </c>
      <c r="M435" s="76">
        <f>$J$435-EFEITO!$K$435*EFEITO!$Y$435</f>
        <v>0</v>
      </c>
      <c r="N435" s="76">
        <f ca="1">$K$435-EFEITO!$M$435*EFEITO!$Z$435</f>
        <v>0</v>
      </c>
      <c r="O435" s="76">
        <f>$L$435-EFEITO!$O$435*EFEITO!$AA$435</f>
        <v>0</v>
      </c>
      <c r="P435" s="57"/>
      <c r="Q435" s="57"/>
      <c r="R435" s="57"/>
      <c r="S435" s="57"/>
      <c r="T435" s="57"/>
      <c r="U435" s="57"/>
      <c r="V435" s="57"/>
      <c r="W435" s="5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28</v>
      </c>
      <c r="B436" s="53" t="s">
        <v>41</v>
      </c>
      <c r="C436" s="53" t="s">
        <v>43</v>
      </c>
      <c r="D436" s="53" t="s">
        <v>38</v>
      </c>
      <c r="E436" s="53" t="s">
        <v>25</v>
      </c>
      <c r="F436" s="53" t="s">
        <v>25</v>
      </c>
      <c r="G436" s="53" t="s">
        <v>25</v>
      </c>
      <c r="H436" s="53" t="s">
        <v>34</v>
      </c>
      <c r="I436" s="75">
        <v>44593</v>
      </c>
      <c r="J436" s="76">
        <f>EFEITO!$J$436*EFEITO!$Y$436</f>
        <v>0</v>
      </c>
      <c r="K436" s="76">
        <f ca="1">EFEITO!$L$436*EFEITO!$Z$436</f>
        <v>515.27418373598334</v>
      </c>
      <c r="L436" s="76">
        <f>EFEITO!$N$436*EFEITO!$AA$436</f>
        <v>110.81092221893114</v>
      </c>
      <c r="M436" s="76">
        <f>$J$436-EFEITO!$K$436*EFEITO!$Y$436</f>
        <v>0</v>
      </c>
      <c r="N436" s="76">
        <f ca="1">$K$436-EFEITO!$M$436*EFEITO!$Z$436</f>
        <v>0</v>
      </c>
      <c r="O436" s="76">
        <f>$L$436-EFEITO!$O$436*EFEITO!$AA$436</f>
        <v>0</v>
      </c>
      <c r="P436" s="57"/>
      <c r="Q436" s="57"/>
      <c r="R436" s="57"/>
      <c r="S436" s="57"/>
      <c r="T436" s="57"/>
      <c r="U436" s="57"/>
      <c r="V436" s="57"/>
      <c r="W436" s="5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21</v>
      </c>
      <c r="B437" s="53" t="s">
        <v>41</v>
      </c>
      <c r="C437" s="53" t="s">
        <v>43</v>
      </c>
      <c r="D437" s="53" t="s">
        <v>38</v>
      </c>
      <c r="E437" s="53" t="s">
        <v>25</v>
      </c>
      <c r="F437" s="53" t="s">
        <v>25</v>
      </c>
      <c r="G437" s="53" t="s">
        <v>25</v>
      </c>
      <c r="H437" s="53" t="s">
        <v>34</v>
      </c>
      <c r="I437" s="75">
        <v>44621</v>
      </c>
      <c r="J437" s="76">
        <f>EFEITO!$J$437*EFEITO!$Y$437</f>
        <v>0</v>
      </c>
      <c r="K437" s="76">
        <f ca="1">EFEITO!$L$437*EFEITO!$Z$437</f>
        <v>160723.60440369483</v>
      </c>
      <c r="L437" s="76">
        <f>EFEITO!$N$437*EFEITO!$AA$437</f>
        <v>34563.988238637532</v>
      </c>
      <c r="M437" s="76">
        <f>$J$437-EFEITO!$K$437*EFEITO!$Y$437</f>
        <v>0</v>
      </c>
      <c r="N437" s="76">
        <f ca="1">$K$437-EFEITO!$M$437*EFEITO!$Z$437</f>
        <v>0</v>
      </c>
      <c r="O437" s="76">
        <f>$L$437-EFEITO!$O$437*EFEITO!$AA$437</f>
        <v>0</v>
      </c>
      <c r="P437" s="57"/>
      <c r="Q437" s="57"/>
      <c r="R437" s="57"/>
      <c r="S437" s="57"/>
      <c r="T437" s="57"/>
      <c r="U437" s="57"/>
      <c r="V437" s="57"/>
      <c r="W437" s="5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28</v>
      </c>
      <c r="B438" s="53" t="s">
        <v>41</v>
      </c>
      <c r="C438" s="53" t="s">
        <v>43</v>
      </c>
      <c r="D438" s="53" t="s">
        <v>38</v>
      </c>
      <c r="E438" s="53" t="s">
        <v>25</v>
      </c>
      <c r="F438" s="53" t="s">
        <v>25</v>
      </c>
      <c r="G438" s="53" t="s">
        <v>25</v>
      </c>
      <c r="H438" s="53" t="s">
        <v>34</v>
      </c>
      <c r="I438" s="75">
        <v>44621</v>
      </c>
      <c r="J438" s="76">
        <f>EFEITO!$J$438*EFEITO!$Y$438</f>
        <v>0</v>
      </c>
      <c r="K438" s="76">
        <f ca="1">EFEITO!$L$438*EFEITO!$Z$438</f>
        <v>880.75936057197168</v>
      </c>
      <c r="L438" s="76">
        <f>EFEITO!$N$438*EFEITO!$AA$438</f>
        <v>189.4093670486381</v>
      </c>
      <c r="M438" s="76">
        <f>$J$438-EFEITO!$K$438*EFEITO!$Y$438</f>
        <v>0</v>
      </c>
      <c r="N438" s="76">
        <f ca="1">$K$438-EFEITO!$M$438*EFEITO!$Z$438</f>
        <v>0</v>
      </c>
      <c r="O438" s="76">
        <f>$L$438-EFEITO!$O$438*EFEITO!$AA$438</f>
        <v>0</v>
      </c>
      <c r="P438" s="57"/>
      <c r="Q438" s="57"/>
      <c r="R438" s="57"/>
      <c r="S438" s="57"/>
      <c r="T438" s="57"/>
      <c r="U438" s="57"/>
      <c r="V438" s="57"/>
      <c r="W438" s="5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21</v>
      </c>
      <c r="B439" s="53" t="s">
        <v>41</v>
      </c>
      <c r="C439" s="53" t="s">
        <v>43</v>
      </c>
      <c r="D439" s="53" t="s">
        <v>38</v>
      </c>
      <c r="E439" s="53" t="s">
        <v>25</v>
      </c>
      <c r="F439" s="53" t="s">
        <v>25</v>
      </c>
      <c r="G439" s="53" t="s">
        <v>25</v>
      </c>
      <c r="H439" s="53" t="s">
        <v>34</v>
      </c>
      <c r="I439" s="75">
        <v>44652</v>
      </c>
      <c r="J439" s="76">
        <f>EFEITO!$J$439*EFEITO!$Y$439</f>
        <v>0</v>
      </c>
      <c r="K439" s="76">
        <f ca="1">EFEITO!$L$439*EFEITO!$Z$439</f>
        <v>111188.37982186643</v>
      </c>
      <c r="L439" s="76">
        <f>EFEITO!$N$439*EFEITO!$AA$439</f>
        <v>23911.321966021103</v>
      </c>
      <c r="M439" s="76">
        <f>$J$439-EFEITO!$K$439*EFEITO!$Y$439</f>
        <v>0</v>
      </c>
      <c r="N439" s="76">
        <f ca="1">$K$439-EFEITO!$M$439*EFEITO!$Z$439</f>
        <v>0</v>
      </c>
      <c r="O439" s="76">
        <f>$L$439-EFEITO!$O$439*EFEITO!$AA$439</f>
        <v>0</v>
      </c>
      <c r="P439" s="57"/>
      <c r="Q439" s="57"/>
      <c r="R439" s="57"/>
      <c r="S439" s="57"/>
      <c r="T439" s="57"/>
      <c r="U439" s="57"/>
      <c r="V439" s="57"/>
      <c r="W439" s="5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28</v>
      </c>
      <c r="B440" s="53" t="s">
        <v>41</v>
      </c>
      <c r="C440" s="53" t="s">
        <v>43</v>
      </c>
      <c r="D440" s="53" t="s">
        <v>38</v>
      </c>
      <c r="E440" s="53" t="s">
        <v>25</v>
      </c>
      <c r="F440" s="53" t="s">
        <v>25</v>
      </c>
      <c r="G440" s="53" t="s">
        <v>25</v>
      </c>
      <c r="H440" s="53" t="s">
        <v>34</v>
      </c>
      <c r="I440" s="75">
        <v>44652</v>
      </c>
      <c r="J440" s="76">
        <f>EFEITO!$J$440*EFEITO!$Y$440</f>
        <v>0</v>
      </c>
      <c r="K440" s="76">
        <f ca="1">EFEITO!$L$440*EFEITO!$Z$440</f>
        <v>952.65808388396943</v>
      </c>
      <c r="L440" s="76">
        <f>EFEITO!$N$440*EFEITO!$AA$440</f>
        <v>204.87135619546572</v>
      </c>
      <c r="M440" s="76">
        <f>$J$440-EFEITO!$K$440*EFEITO!$Y$440</f>
        <v>0</v>
      </c>
      <c r="N440" s="76">
        <f ca="1">$K$440-EFEITO!$M$440*EFEITO!$Z$440</f>
        <v>0</v>
      </c>
      <c r="O440" s="76">
        <f>$L$440-EFEITO!$O$440*EFEITO!$AA$440</f>
        <v>0</v>
      </c>
      <c r="P440" s="57"/>
      <c r="Q440" s="57"/>
      <c r="R440" s="57"/>
      <c r="S440" s="57"/>
      <c r="T440" s="57"/>
      <c r="U440" s="57"/>
      <c r="V440" s="57"/>
      <c r="W440" s="5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21</v>
      </c>
      <c r="B441" s="53" t="s">
        <v>41</v>
      </c>
      <c r="C441" s="53" t="s">
        <v>43</v>
      </c>
      <c r="D441" s="53" t="s">
        <v>38</v>
      </c>
      <c r="E441" s="53" t="s">
        <v>25</v>
      </c>
      <c r="F441" s="53" t="s">
        <v>25</v>
      </c>
      <c r="G441" s="53" t="s">
        <v>25</v>
      </c>
      <c r="H441" s="53" t="s">
        <v>34</v>
      </c>
      <c r="I441" s="75">
        <v>44682</v>
      </c>
      <c r="J441" s="76">
        <f>EFEITO!$J$441*EFEITO!$Y$441</f>
        <v>0</v>
      </c>
      <c r="K441" s="76">
        <f ca="1">EFEITO!$L$441*EFEITO!$Z$441</f>
        <v>116842.91483234124</v>
      </c>
      <c r="L441" s="76">
        <f>EFEITO!$N$441*EFEITO!$AA$441</f>
        <v>25127.342987464312</v>
      </c>
      <c r="M441" s="76">
        <f>$J$441-EFEITO!$K$441*EFEITO!$Y$441</f>
        <v>0</v>
      </c>
      <c r="N441" s="76">
        <f ca="1">$K$441-EFEITO!$M$441*EFEITO!$Z$441</f>
        <v>0</v>
      </c>
      <c r="O441" s="76">
        <f>$L$441-EFEITO!$O$441*EFEITO!$AA$441</f>
        <v>0</v>
      </c>
      <c r="P441" s="57"/>
      <c r="Q441" s="57"/>
      <c r="R441" s="57"/>
      <c r="S441" s="57"/>
      <c r="T441" s="57"/>
      <c r="U441" s="57"/>
      <c r="V441" s="57"/>
      <c r="W441" s="5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27</v>
      </c>
      <c r="B442" s="53" t="s">
        <v>41</v>
      </c>
      <c r="C442" s="53" t="s">
        <v>43</v>
      </c>
      <c r="D442" s="53" t="s">
        <v>38</v>
      </c>
      <c r="E442" s="53" t="s">
        <v>25</v>
      </c>
      <c r="F442" s="53" t="s">
        <v>25</v>
      </c>
      <c r="G442" s="53" t="s">
        <v>25</v>
      </c>
      <c r="H442" s="53" t="s">
        <v>34</v>
      </c>
      <c r="I442" s="75">
        <v>44682</v>
      </c>
      <c r="J442" s="76">
        <f>EFEITO!$J$442*EFEITO!$Y$442</f>
        <v>0</v>
      </c>
      <c r="K442" s="76">
        <f ca="1">EFEITO!$L$442*EFEITO!$Z$442</f>
        <v>12598.753370358594</v>
      </c>
      <c r="L442" s="76">
        <f>EFEITO!$N$442*EFEITO!$AA$442</f>
        <v>2709.391473207645</v>
      </c>
      <c r="M442" s="76">
        <f>$J$442-EFEITO!$K$442*EFEITO!$Y$442</f>
        <v>0</v>
      </c>
      <c r="N442" s="76">
        <f ca="1">$K$442-EFEITO!$M$442*EFEITO!$Z$442</f>
        <v>0</v>
      </c>
      <c r="O442" s="76">
        <f>$L$442-EFEITO!$O$442*EFEITO!$AA$442</f>
        <v>0</v>
      </c>
      <c r="P442" s="57"/>
      <c r="Q442" s="57"/>
      <c r="R442" s="57"/>
      <c r="S442" s="57"/>
      <c r="T442" s="57"/>
      <c r="U442" s="57"/>
      <c r="V442" s="57"/>
      <c r="W442" s="5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28</v>
      </c>
      <c r="B443" s="53" t="s">
        <v>41</v>
      </c>
      <c r="C443" s="53" t="s">
        <v>43</v>
      </c>
      <c r="D443" s="53" t="s">
        <v>38</v>
      </c>
      <c r="E443" s="53" t="s">
        <v>25</v>
      </c>
      <c r="F443" s="53" t="s">
        <v>25</v>
      </c>
      <c r="G443" s="53" t="s">
        <v>25</v>
      </c>
      <c r="H443" s="53" t="s">
        <v>34</v>
      </c>
      <c r="I443" s="75">
        <v>44682</v>
      </c>
      <c r="J443" s="76">
        <f>EFEITO!$J$443*EFEITO!$Y$443</f>
        <v>0</v>
      </c>
      <c r="K443" s="76">
        <f ca="1">EFEITO!$L$443*EFEITO!$Z$443</f>
        <v>1181.835264440962</v>
      </c>
      <c r="L443" s="76">
        <f>EFEITO!$N$443*EFEITO!$AA$443</f>
        <v>254.15644660097871</v>
      </c>
      <c r="M443" s="76">
        <f>$J$443-EFEITO!$K$443*EFEITO!$Y$443</f>
        <v>0</v>
      </c>
      <c r="N443" s="76">
        <f ca="1">$K$443-EFEITO!$M$443*EFEITO!$Z$443</f>
        <v>0</v>
      </c>
      <c r="O443" s="76">
        <f>$L$443-EFEITO!$O$443*EFEITO!$AA$443</f>
        <v>0</v>
      </c>
      <c r="P443" s="57"/>
      <c r="Q443" s="57"/>
      <c r="R443" s="57"/>
      <c r="S443" s="57"/>
      <c r="T443" s="57"/>
      <c r="U443" s="57"/>
      <c r="V443" s="57"/>
      <c r="W443" s="5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21</v>
      </c>
      <c r="B444" s="53" t="s">
        <v>41</v>
      </c>
      <c r="C444" s="53" t="s">
        <v>43</v>
      </c>
      <c r="D444" s="53" t="s">
        <v>38</v>
      </c>
      <c r="E444" s="53" t="s">
        <v>25</v>
      </c>
      <c r="F444" s="53" t="s">
        <v>25</v>
      </c>
      <c r="G444" s="53" t="s">
        <v>25</v>
      </c>
      <c r="H444" s="53" t="s">
        <v>34</v>
      </c>
      <c r="I444" s="75">
        <v>44713</v>
      </c>
      <c r="J444" s="76">
        <f>EFEITO!$J$444*EFEITO!$Y$444</f>
        <v>0</v>
      </c>
      <c r="K444" s="76">
        <f ca="1">EFEITO!$L$444*EFEITO!$Z$444</f>
        <v>486192.64804634935</v>
      </c>
      <c r="L444" s="76">
        <f>EFEITO!$N$444*EFEITO!$AA$444</f>
        <v>104556.86973381326</v>
      </c>
      <c r="M444" s="76">
        <f>$J$444-EFEITO!$K$444*EFEITO!$Y$444</f>
        <v>0</v>
      </c>
      <c r="N444" s="76">
        <f ca="1">$K$444-EFEITO!$M$444*EFEITO!$Z$444</f>
        <v>0</v>
      </c>
      <c r="O444" s="76">
        <f>$L$444-EFEITO!$O$444*EFEITO!$AA$444</f>
        <v>0</v>
      </c>
      <c r="P444" s="57"/>
      <c r="Q444" s="57"/>
      <c r="R444" s="57"/>
      <c r="S444" s="57"/>
      <c r="T444" s="57"/>
      <c r="U444" s="57"/>
      <c r="V444" s="57"/>
      <c r="W444" s="5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28</v>
      </c>
      <c r="B445" s="53" t="s">
        <v>41</v>
      </c>
      <c r="C445" s="53" t="s">
        <v>43</v>
      </c>
      <c r="D445" s="53" t="s">
        <v>38</v>
      </c>
      <c r="E445" s="53" t="s">
        <v>25</v>
      </c>
      <c r="F445" s="53" t="s">
        <v>25</v>
      </c>
      <c r="G445" s="53" t="s">
        <v>25</v>
      </c>
      <c r="H445" s="53" t="s">
        <v>34</v>
      </c>
      <c r="I445" s="75">
        <v>44713</v>
      </c>
      <c r="J445" s="76">
        <f>EFEITO!$J$445*EFEITO!$Y$445</f>
        <v>0</v>
      </c>
      <c r="K445" s="76">
        <f ca="1">EFEITO!$L$445*EFEITO!$Z$445</f>
        <v>1027.552587333967</v>
      </c>
      <c r="L445" s="76">
        <f>EFEITO!$N$445*EFEITO!$AA$445</f>
        <v>220.97759489007782</v>
      </c>
      <c r="M445" s="76">
        <f>$J$445-EFEITO!$K$445*EFEITO!$Y$445</f>
        <v>0</v>
      </c>
      <c r="N445" s="76">
        <f ca="1">$K$445-EFEITO!$M$445*EFEITO!$Z$445</f>
        <v>0</v>
      </c>
      <c r="O445" s="76">
        <f>$L$445-EFEITO!$O$445*EFEITO!$AA$445</f>
        <v>0</v>
      </c>
      <c r="P445" s="57"/>
      <c r="Q445" s="57"/>
      <c r="R445" s="57"/>
      <c r="S445" s="57"/>
      <c r="T445" s="57"/>
      <c r="U445" s="57"/>
      <c r="V445" s="57"/>
      <c r="W445" s="5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21</v>
      </c>
      <c r="B446" s="53" t="s">
        <v>41</v>
      </c>
      <c r="C446" s="53" t="s">
        <v>43</v>
      </c>
      <c r="D446" s="53" t="s">
        <v>38</v>
      </c>
      <c r="E446" s="53" t="s">
        <v>25</v>
      </c>
      <c r="F446" s="53" t="s">
        <v>25</v>
      </c>
      <c r="G446" s="53" t="s">
        <v>25</v>
      </c>
      <c r="H446" s="53" t="s">
        <v>34</v>
      </c>
      <c r="I446" s="75">
        <v>44743</v>
      </c>
      <c r="J446" s="76">
        <f>EFEITO!$J$446*EFEITO!$Y$446</f>
        <v>0</v>
      </c>
      <c r="K446" s="76">
        <f ca="1">EFEITO!$L$446*EFEITO!$Z$446</f>
        <v>122907.87172172205</v>
      </c>
      <c r="L446" s="76">
        <f>EFEITO!$N$446*EFEITO!$AA$446</f>
        <v>26431.626196954003</v>
      </c>
      <c r="M446" s="76">
        <f>$J$446-EFEITO!$K$446*EFEITO!$Y$446</f>
        <v>0</v>
      </c>
      <c r="N446" s="76">
        <f ca="1">$K$446-EFEITO!$M$446*EFEITO!$Z$446</f>
        <v>0</v>
      </c>
      <c r="O446" s="76">
        <f>$L$446-EFEITO!$O$446*EFEITO!$AA$446</f>
        <v>0</v>
      </c>
      <c r="P446" s="57"/>
      <c r="Q446" s="57"/>
      <c r="R446" s="57"/>
      <c r="S446" s="57"/>
      <c r="T446" s="57"/>
      <c r="U446" s="57"/>
      <c r="V446" s="57"/>
      <c r="W446" s="5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28</v>
      </c>
      <c r="B447" s="53" t="s">
        <v>41</v>
      </c>
      <c r="C447" s="53" t="s">
        <v>43</v>
      </c>
      <c r="D447" s="53" t="s">
        <v>38</v>
      </c>
      <c r="E447" s="53" t="s">
        <v>25</v>
      </c>
      <c r="F447" s="53" t="s">
        <v>25</v>
      </c>
      <c r="G447" s="53" t="s">
        <v>25</v>
      </c>
      <c r="H447" s="53" t="s">
        <v>34</v>
      </c>
      <c r="I447" s="75">
        <v>44743</v>
      </c>
      <c r="J447" s="76">
        <f>EFEITO!$J$447*EFEITO!$Y$447</f>
        <v>0</v>
      </c>
      <c r="K447" s="76">
        <f ca="1">EFEITO!$L$447*EFEITO!$Z$447</f>
        <v>973.62854484996876</v>
      </c>
      <c r="L447" s="76">
        <f>EFEITO!$N$447*EFEITO!$AA$447</f>
        <v>209.3811030299571</v>
      </c>
      <c r="M447" s="76">
        <f>$J$447-EFEITO!$K$447*EFEITO!$Y$447</f>
        <v>0</v>
      </c>
      <c r="N447" s="76">
        <f ca="1">$K$447-EFEITO!$M$447*EFEITO!$Z$447</f>
        <v>0</v>
      </c>
      <c r="O447" s="76">
        <f>$L$447-EFEITO!$O$447*EFEITO!$AA$447</f>
        <v>0</v>
      </c>
      <c r="P447" s="57"/>
      <c r="Q447" s="57"/>
      <c r="R447" s="57"/>
      <c r="S447" s="57"/>
      <c r="T447" s="57"/>
      <c r="U447" s="57"/>
      <c r="V447" s="57"/>
      <c r="W447" s="5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21</v>
      </c>
      <c r="B448" s="53" t="s">
        <v>41</v>
      </c>
      <c r="C448" s="53" t="s">
        <v>43</v>
      </c>
      <c r="D448" s="53" t="s">
        <v>38</v>
      </c>
      <c r="E448" s="53" t="s">
        <v>25</v>
      </c>
      <c r="F448" s="53" t="s">
        <v>25</v>
      </c>
      <c r="G448" s="53" t="s">
        <v>25</v>
      </c>
      <c r="H448" s="53" t="s">
        <v>34</v>
      </c>
      <c r="I448" s="75">
        <v>44774</v>
      </c>
      <c r="J448" s="76">
        <f>EFEITO!$J$448*EFEITO!$Y$448</f>
        <v>0</v>
      </c>
      <c r="K448" s="76">
        <f ca="1">EFEITO!$L$448*EFEITO!$Z$448</f>
        <v>150352.21356593916</v>
      </c>
      <c r="L448" s="76">
        <f>EFEITO!$N$448*EFEITO!$AA$448</f>
        <v>32333.596304207655</v>
      </c>
      <c r="M448" s="76">
        <f>$J$448-EFEITO!$K$448*EFEITO!$Y$448</f>
        <v>0</v>
      </c>
      <c r="N448" s="76">
        <f ca="1">$K$448-EFEITO!$M$448*EFEITO!$Z$448</f>
        <v>0</v>
      </c>
      <c r="O448" s="76">
        <f>$L$448-EFEITO!$O$448*EFEITO!$AA$448</f>
        <v>0</v>
      </c>
      <c r="P448" s="57"/>
      <c r="Q448" s="57"/>
      <c r="R448" s="57"/>
      <c r="S448" s="57"/>
      <c r="T448" s="57"/>
      <c r="U448" s="57"/>
      <c r="V448" s="57"/>
      <c r="W448" s="5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28</v>
      </c>
      <c r="B449" s="53" t="s">
        <v>41</v>
      </c>
      <c r="C449" s="53" t="s">
        <v>43</v>
      </c>
      <c r="D449" s="53" t="s">
        <v>38</v>
      </c>
      <c r="E449" s="53" t="s">
        <v>25</v>
      </c>
      <c r="F449" s="53" t="s">
        <v>25</v>
      </c>
      <c r="G449" s="53" t="s">
        <v>25</v>
      </c>
      <c r="H449" s="53" t="s">
        <v>34</v>
      </c>
      <c r="I449" s="75">
        <v>44774</v>
      </c>
      <c r="J449" s="76">
        <f>EFEITO!$J$449*EFEITO!$Y$449</f>
        <v>0</v>
      </c>
      <c r="K449" s="76">
        <f ca="1">EFEITO!$L$449*EFEITO!$Z$449</f>
        <v>1168.3542538199624</v>
      </c>
      <c r="L449" s="76">
        <f>EFEITO!$N$449*EFEITO!$AA$449</f>
        <v>251.25732363594855</v>
      </c>
      <c r="M449" s="76">
        <f>$J$449-EFEITO!$K$449*EFEITO!$Y$449</f>
        <v>0</v>
      </c>
      <c r="N449" s="76">
        <f ca="1">$K$449-EFEITO!$M$449*EFEITO!$Z$449</f>
        <v>0</v>
      </c>
      <c r="O449" s="76">
        <f>$L$449-EFEITO!$O$449*EFEITO!$AA$449</f>
        <v>0</v>
      </c>
      <c r="P449" s="57"/>
      <c r="Q449" s="57"/>
      <c r="R449" s="57"/>
      <c r="S449" s="57"/>
      <c r="T449" s="57"/>
      <c r="U449" s="57"/>
      <c r="V449" s="57"/>
      <c r="W449" s="5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21</v>
      </c>
      <c r="B450" s="53" t="s">
        <v>41</v>
      </c>
      <c r="C450" s="53" t="s">
        <v>43</v>
      </c>
      <c r="D450" s="53" t="s">
        <v>38</v>
      </c>
      <c r="E450" s="53" t="s">
        <v>25</v>
      </c>
      <c r="F450" s="53" t="s">
        <v>25</v>
      </c>
      <c r="G450" s="53" t="s">
        <v>25</v>
      </c>
      <c r="H450" s="53" t="s">
        <v>34</v>
      </c>
      <c r="I450" s="75">
        <v>44805</v>
      </c>
      <c r="J450" s="76">
        <f>EFEITO!$J$450*EFEITO!$Y$450</f>
        <v>0</v>
      </c>
      <c r="K450" s="76">
        <f ca="1">EFEITO!$L$450*EFEITO!$Z$450</f>
        <v>139353.20678927252</v>
      </c>
      <c r="L450" s="76">
        <f>EFEITO!$N$450*EFEITO!$AA$450</f>
        <v>29968.234089516922</v>
      </c>
      <c r="M450" s="76">
        <f>$J$450-EFEITO!$K$450*EFEITO!$Y$450</f>
        <v>0</v>
      </c>
      <c r="N450" s="76">
        <f ca="1">$K$450-EFEITO!$M$450*EFEITO!$Z$450</f>
        <v>0</v>
      </c>
      <c r="O450" s="76">
        <f>$L$450-EFEITO!$O$450*EFEITO!$AA$450</f>
        <v>0</v>
      </c>
      <c r="P450" s="57"/>
      <c r="Q450" s="57"/>
      <c r="R450" s="57"/>
      <c r="S450" s="57"/>
      <c r="T450" s="57"/>
      <c r="U450" s="57"/>
      <c r="V450" s="57"/>
      <c r="W450" s="5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28</v>
      </c>
      <c r="B451" s="53" t="s">
        <v>41</v>
      </c>
      <c r="C451" s="53" t="s">
        <v>43</v>
      </c>
      <c r="D451" s="53" t="s">
        <v>38</v>
      </c>
      <c r="E451" s="53" t="s">
        <v>25</v>
      </c>
      <c r="F451" s="53" t="s">
        <v>25</v>
      </c>
      <c r="G451" s="53" t="s">
        <v>25</v>
      </c>
      <c r="H451" s="53" t="s">
        <v>34</v>
      </c>
      <c r="I451" s="75">
        <v>44805</v>
      </c>
      <c r="J451" s="76">
        <f>EFEITO!$J$451*EFEITO!$Y$451</f>
        <v>0</v>
      </c>
      <c r="K451" s="76">
        <f ca="1">EFEITO!$L$451*EFEITO!$Z$451</f>
        <v>988.60744553996824</v>
      </c>
      <c r="L451" s="76">
        <f>EFEITO!$N$451*EFEITO!$AA$451</f>
        <v>212.60235076887955</v>
      </c>
      <c r="M451" s="76">
        <f>$J$451-EFEITO!$K$451*EFEITO!$Y$451</f>
        <v>0</v>
      </c>
      <c r="N451" s="76">
        <f ca="1">$K$451-EFEITO!$M$451*EFEITO!$Z$451</f>
        <v>0</v>
      </c>
      <c r="O451" s="76">
        <f>$L$451-EFEITO!$O$451*EFEITO!$AA$451</f>
        <v>0</v>
      </c>
      <c r="P451" s="57"/>
      <c r="Q451" s="57"/>
      <c r="R451" s="57"/>
      <c r="S451" s="57"/>
      <c r="T451" s="57"/>
      <c r="U451" s="57"/>
      <c r="V451" s="57"/>
      <c r="W451" s="5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21</v>
      </c>
      <c r="B452" s="53" t="s">
        <v>41</v>
      </c>
      <c r="C452" s="53" t="s">
        <v>43</v>
      </c>
      <c r="D452" s="53" t="s">
        <v>38</v>
      </c>
      <c r="E452" s="53" t="s">
        <v>25</v>
      </c>
      <c r="F452" s="53" t="s">
        <v>25</v>
      </c>
      <c r="G452" s="53" t="s">
        <v>25</v>
      </c>
      <c r="H452" s="53" t="s">
        <v>34</v>
      </c>
      <c r="I452" s="75">
        <v>44835</v>
      </c>
      <c r="J452" s="76">
        <f>EFEITO!$J$452*EFEITO!$Y$452</f>
        <v>0</v>
      </c>
      <c r="K452" s="76">
        <f ca="1">EFEITO!$L$452*EFEITO!$Z$452</f>
        <v>124488.14574451699</v>
      </c>
      <c r="L452" s="76">
        <f>EFEITO!$N$452*EFEITO!$AA$452</f>
        <v>26771.467833410316</v>
      </c>
      <c r="M452" s="76">
        <f>$J$452-EFEITO!$K$452*EFEITO!$Y$452</f>
        <v>0</v>
      </c>
      <c r="N452" s="76">
        <f ca="1">$K$452-EFEITO!$M$452*EFEITO!$Z$452</f>
        <v>0</v>
      </c>
      <c r="O452" s="76">
        <f>$L$452-EFEITO!$O$452*EFEITO!$AA$452</f>
        <v>0</v>
      </c>
      <c r="P452" s="57"/>
      <c r="Q452" s="57"/>
      <c r="R452" s="57"/>
      <c r="S452" s="57"/>
      <c r="T452" s="57"/>
      <c r="U452" s="57"/>
      <c r="V452" s="57"/>
      <c r="W452" s="5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27</v>
      </c>
      <c r="B453" s="53" t="s">
        <v>41</v>
      </c>
      <c r="C453" s="53" t="s">
        <v>43</v>
      </c>
      <c r="D453" s="53" t="s">
        <v>38</v>
      </c>
      <c r="E453" s="53" t="s">
        <v>25</v>
      </c>
      <c r="F453" s="53" t="s">
        <v>25</v>
      </c>
      <c r="G453" s="53" t="s">
        <v>25</v>
      </c>
      <c r="H453" s="53" t="s">
        <v>34</v>
      </c>
      <c r="I453" s="75">
        <v>44835</v>
      </c>
      <c r="J453" s="76">
        <f>EFEITO!$J$453*EFEITO!$Y$453</f>
        <v>0</v>
      </c>
      <c r="K453" s="76">
        <f ca="1">EFEITO!$L$453*EFEITO!$Z$453</f>
        <v>-5266.5814826038304</v>
      </c>
      <c r="L453" s="76">
        <f>EFEITO!$N$453*EFEITO!$AA$453</f>
        <v>-1132.5907050051219</v>
      </c>
      <c r="M453" s="76">
        <f>$J$453-EFEITO!$K$453*EFEITO!$Y$453</f>
        <v>0</v>
      </c>
      <c r="N453" s="76">
        <f ca="1">$K$453-EFEITO!$M$453*EFEITO!$Z$453</f>
        <v>0</v>
      </c>
      <c r="O453" s="76">
        <f>$L$453-EFEITO!$O$453*EFEITO!$AA$453</f>
        <v>0</v>
      </c>
      <c r="P453" s="57"/>
      <c r="Q453" s="57"/>
      <c r="R453" s="57"/>
      <c r="S453" s="57"/>
      <c r="T453" s="57"/>
      <c r="U453" s="57"/>
      <c r="V453" s="57"/>
      <c r="W453" s="5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28</v>
      </c>
      <c r="B454" s="53" t="s">
        <v>41</v>
      </c>
      <c r="C454" s="53" t="s">
        <v>43</v>
      </c>
      <c r="D454" s="53" t="s">
        <v>38</v>
      </c>
      <c r="E454" s="53" t="s">
        <v>25</v>
      </c>
      <c r="F454" s="53" t="s">
        <v>25</v>
      </c>
      <c r="G454" s="53" t="s">
        <v>25</v>
      </c>
      <c r="H454" s="53" t="s">
        <v>34</v>
      </c>
      <c r="I454" s="75">
        <v>44835</v>
      </c>
      <c r="J454" s="76">
        <f>EFEITO!$J$454*EFEITO!$Y$454</f>
        <v>0</v>
      </c>
      <c r="K454" s="76">
        <f ca="1">EFEITO!$L$454*EFEITO!$Z$454</f>
        <v>909.2192718829707</v>
      </c>
      <c r="L454" s="76">
        <f>EFEITO!$N$454*EFEITO!$AA$454</f>
        <v>195.52973775259071</v>
      </c>
      <c r="M454" s="76">
        <f>$J$454-EFEITO!$K$454*EFEITO!$Y$454</f>
        <v>0</v>
      </c>
      <c r="N454" s="76">
        <f ca="1">$K$454-EFEITO!$M$454*EFEITO!$Z$454</f>
        <v>0</v>
      </c>
      <c r="O454" s="76">
        <f>$L$454-EFEITO!$O$454*EFEITO!$AA$454</f>
        <v>0</v>
      </c>
      <c r="P454" s="57"/>
      <c r="Q454" s="57"/>
      <c r="R454" s="57"/>
      <c r="S454" s="57"/>
      <c r="T454" s="57"/>
      <c r="U454" s="57"/>
      <c r="V454" s="57"/>
      <c r="W454" s="5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54</v>
      </c>
      <c r="B455" s="53" t="s">
        <v>41</v>
      </c>
      <c r="C455" s="53" t="s">
        <v>43</v>
      </c>
      <c r="D455" s="53" t="s">
        <v>38</v>
      </c>
      <c r="E455" s="53" t="s">
        <v>25</v>
      </c>
      <c r="F455" s="53" t="s">
        <v>25</v>
      </c>
      <c r="G455" s="53" t="s">
        <v>25</v>
      </c>
      <c r="H455" s="53" t="s">
        <v>34</v>
      </c>
      <c r="I455" s="75">
        <v>44866</v>
      </c>
      <c r="J455" s="76">
        <f>EFEITO!$J$455*EFEITO!$Y$455</f>
        <v>0</v>
      </c>
      <c r="K455" s="76">
        <f ca="1">EFEITO!$L$455*EFEITO!$Z$455</f>
        <v>124488.14574451699</v>
      </c>
      <c r="L455" s="76">
        <f>EFEITO!$N$455*EFEITO!$AA$455</f>
        <v>26771.467833410316</v>
      </c>
      <c r="M455" s="76">
        <f>$J$455-EFEITO!$K$455*EFEITO!$Y$455</f>
        <v>0</v>
      </c>
      <c r="N455" s="76">
        <f ca="1">$K$455-EFEITO!$M$455*EFEITO!$Z$455</f>
        <v>0</v>
      </c>
      <c r="O455" s="76">
        <f>$L$455-EFEITO!$O$455*EFEITO!$AA$455</f>
        <v>0</v>
      </c>
      <c r="P455" s="57"/>
      <c r="Q455" s="57"/>
      <c r="R455" s="57"/>
      <c r="S455" s="57"/>
      <c r="T455" s="57"/>
      <c r="U455" s="57"/>
      <c r="V455" s="57"/>
      <c r="W455" s="5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54</v>
      </c>
      <c r="B456" s="53" t="s">
        <v>41</v>
      </c>
      <c r="C456" s="53" t="s">
        <v>43</v>
      </c>
      <c r="D456" s="53" t="s">
        <v>38</v>
      </c>
      <c r="E456" s="53" t="s">
        <v>25</v>
      </c>
      <c r="F456" s="53" t="s">
        <v>25</v>
      </c>
      <c r="G456" s="53" t="s">
        <v>25</v>
      </c>
      <c r="H456" s="53" t="s">
        <v>34</v>
      </c>
      <c r="I456" s="75">
        <v>44866</v>
      </c>
      <c r="J456" s="76">
        <f>EFEITO!$J$456*EFEITO!$Y$456</f>
        <v>0</v>
      </c>
      <c r="K456" s="76">
        <f ca="1">EFEITO!$L$456*EFEITO!$Z$456</f>
        <v>-5266.5814826038304</v>
      </c>
      <c r="L456" s="76">
        <f>EFEITO!$N$456*EFEITO!$AA$456</f>
        <v>-1132.5907050051219</v>
      </c>
      <c r="M456" s="76">
        <f>$J$456-EFEITO!$K$456*EFEITO!$Y$456</f>
        <v>0</v>
      </c>
      <c r="N456" s="76">
        <f ca="1">$K$456-EFEITO!$M$456*EFEITO!$Z$456</f>
        <v>0</v>
      </c>
      <c r="O456" s="76">
        <f>$L$456-EFEITO!$O$456*EFEITO!$AA$456</f>
        <v>0</v>
      </c>
      <c r="P456" s="57"/>
      <c r="Q456" s="57"/>
      <c r="R456" s="57"/>
      <c r="S456" s="57"/>
      <c r="T456" s="57"/>
      <c r="U456" s="57"/>
      <c r="V456" s="57"/>
      <c r="W456" s="5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54</v>
      </c>
      <c r="B457" s="53" t="s">
        <v>41</v>
      </c>
      <c r="C457" s="53" t="s">
        <v>43</v>
      </c>
      <c r="D457" s="53" t="s">
        <v>38</v>
      </c>
      <c r="E457" s="53" t="s">
        <v>25</v>
      </c>
      <c r="F457" s="53" t="s">
        <v>25</v>
      </c>
      <c r="G457" s="53" t="s">
        <v>25</v>
      </c>
      <c r="H457" s="53" t="s">
        <v>34</v>
      </c>
      <c r="I457" s="75">
        <v>44866</v>
      </c>
      <c r="J457" s="76">
        <f>EFEITO!$J$457*EFEITO!$Y$457</f>
        <v>0</v>
      </c>
      <c r="K457" s="76">
        <f ca="1">EFEITO!$L$457*EFEITO!$Z$457</f>
        <v>909.2192718829707</v>
      </c>
      <c r="L457" s="76">
        <f>EFEITO!$N$457*EFEITO!$AA$457</f>
        <v>195.52973775259071</v>
      </c>
      <c r="M457" s="76">
        <f>$J$457-EFEITO!$K$457*EFEITO!$Y$457</f>
        <v>0</v>
      </c>
      <c r="N457" s="76">
        <f ca="1">$K$457-EFEITO!$M$457*EFEITO!$Z$457</f>
        <v>0</v>
      </c>
      <c r="O457" s="76">
        <f>$L$457-EFEITO!$O$457*EFEITO!$AA$457</f>
        <v>0</v>
      </c>
      <c r="P457" s="57"/>
      <c r="Q457" s="57"/>
      <c r="R457" s="57"/>
      <c r="S457" s="57"/>
      <c r="T457" s="57"/>
      <c r="U457" s="57"/>
      <c r="V457" s="57"/>
      <c r="W457" s="5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21</v>
      </c>
      <c r="B458" s="53" t="s">
        <v>41</v>
      </c>
      <c r="C458" s="53" t="s">
        <v>43</v>
      </c>
      <c r="D458" s="53" t="s">
        <v>47</v>
      </c>
      <c r="E458" s="53" t="s">
        <v>25</v>
      </c>
      <c r="F458" s="53" t="s">
        <v>25</v>
      </c>
      <c r="G458" s="53" t="s">
        <v>25</v>
      </c>
      <c r="H458" s="53" t="s">
        <v>35</v>
      </c>
      <c r="I458" s="75">
        <v>44531</v>
      </c>
      <c r="J458" s="76">
        <f>EFEITO!$J$458*EFEITO!$Y$458</f>
        <v>0</v>
      </c>
      <c r="K458" s="76">
        <f ca="1">EFEITO!$L$458*EFEITO!$Z$458</f>
        <v>751347.92208642059</v>
      </c>
      <c r="L458" s="76">
        <f>EFEITO!$N$458*EFEITO!$AA$458</f>
        <v>892637.76841712743</v>
      </c>
      <c r="M458" s="76">
        <f>$J$458-EFEITO!$K$458*EFEITO!$Y$458</f>
        <v>0</v>
      </c>
      <c r="N458" s="76">
        <f ca="1">$K$458-EFEITO!$M$458*EFEITO!$Z$458</f>
        <v>0</v>
      </c>
      <c r="O458" s="76">
        <f>$L$458-EFEITO!$O$458*EFEITO!$AA$458</f>
        <v>0</v>
      </c>
      <c r="P458" s="57"/>
      <c r="Q458" s="57"/>
      <c r="R458" s="57"/>
      <c r="S458" s="57"/>
      <c r="T458" s="57"/>
      <c r="U458" s="57"/>
      <c r="V458" s="57"/>
      <c r="W458" s="5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27</v>
      </c>
      <c r="B459" s="53" t="s">
        <v>41</v>
      </c>
      <c r="C459" s="53" t="s">
        <v>43</v>
      </c>
      <c r="D459" s="53" t="s">
        <v>47</v>
      </c>
      <c r="E459" s="53" t="s">
        <v>25</v>
      </c>
      <c r="F459" s="53" t="s">
        <v>25</v>
      </c>
      <c r="G459" s="53" t="s">
        <v>25</v>
      </c>
      <c r="H459" s="53" t="s">
        <v>35</v>
      </c>
      <c r="I459" s="75">
        <v>44531</v>
      </c>
      <c r="J459" s="76">
        <f>EFEITO!$J$459*EFEITO!$Y$459</f>
        <v>0</v>
      </c>
      <c r="K459" s="76">
        <f ca="1">EFEITO!$L$459*EFEITO!$Z$459</f>
        <v>1391.3796638218544</v>
      </c>
      <c r="L459" s="76">
        <f>EFEITO!$N$459*EFEITO!$AA$459</f>
        <v>1653.0265162456355</v>
      </c>
      <c r="M459" s="76">
        <f>$J$459-EFEITO!$K$459*EFEITO!$Y$459</f>
        <v>0</v>
      </c>
      <c r="N459" s="76">
        <f ca="1">$K$459-EFEITO!$M$459*EFEITO!$Z$459</f>
        <v>0</v>
      </c>
      <c r="O459" s="76">
        <f>$L$459-EFEITO!$O$459*EFEITO!$AA$459</f>
        <v>0</v>
      </c>
      <c r="P459" s="57"/>
      <c r="Q459" s="57"/>
      <c r="R459" s="57"/>
      <c r="S459" s="57"/>
      <c r="T459" s="57"/>
      <c r="U459" s="57"/>
      <c r="V459" s="57"/>
      <c r="W459" s="5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28</v>
      </c>
      <c r="B460" s="53" t="s">
        <v>41</v>
      </c>
      <c r="C460" s="53" t="s">
        <v>43</v>
      </c>
      <c r="D460" s="53" t="s">
        <v>47</v>
      </c>
      <c r="E460" s="53" t="s">
        <v>25</v>
      </c>
      <c r="F460" s="53" t="s">
        <v>25</v>
      </c>
      <c r="G460" s="53" t="s">
        <v>25</v>
      </c>
      <c r="H460" s="53" t="s">
        <v>35</v>
      </c>
      <c r="I460" s="75">
        <v>44531</v>
      </c>
      <c r="J460" s="76">
        <f>EFEITO!$J$460*EFEITO!$Y$460</f>
        <v>0</v>
      </c>
      <c r="K460" s="76">
        <f ca="1">EFEITO!$L$460*EFEITO!$Z$460</f>
        <v>11664.033537605588</v>
      </c>
      <c r="L460" s="76">
        <f>EFEITO!$N$460*EFEITO!$AA$460</f>
        <v>13857.437495585722</v>
      </c>
      <c r="M460" s="76">
        <f>$J$460-EFEITO!$K$460*EFEITO!$Y$460</f>
        <v>0</v>
      </c>
      <c r="N460" s="76">
        <f ca="1">$K$460-EFEITO!$M$460*EFEITO!$Z$460</f>
        <v>0</v>
      </c>
      <c r="O460" s="76">
        <f>$L$460-EFEITO!$O$460*EFEITO!$AA$460</f>
        <v>0</v>
      </c>
      <c r="P460" s="57"/>
      <c r="Q460" s="57"/>
      <c r="R460" s="57"/>
      <c r="S460" s="57"/>
      <c r="T460" s="57"/>
      <c r="U460" s="57"/>
      <c r="V460" s="57"/>
      <c r="W460" s="5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21</v>
      </c>
      <c r="B461" s="53" t="s">
        <v>41</v>
      </c>
      <c r="C461" s="53" t="s">
        <v>43</v>
      </c>
      <c r="D461" s="53" t="s">
        <v>47</v>
      </c>
      <c r="E461" s="53" t="s">
        <v>25</v>
      </c>
      <c r="F461" s="53" t="s">
        <v>25</v>
      </c>
      <c r="G461" s="53" t="s">
        <v>25</v>
      </c>
      <c r="H461" s="53" t="s">
        <v>35</v>
      </c>
      <c r="I461" s="75">
        <v>44562</v>
      </c>
      <c r="J461" s="76">
        <f>EFEITO!$J$461*EFEITO!$Y$461</f>
        <v>0</v>
      </c>
      <c r="K461" s="76">
        <f ca="1">EFEITO!$L$461*EFEITO!$Z$461</f>
        <v>645539.73236757913</v>
      </c>
      <c r="L461" s="76">
        <f>EFEITO!$N$461*EFEITO!$AA$461</f>
        <v>766932.50781214877</v>
      </c>
      <c r="M461" s="76">
        <f>$J$461-EFEITO!$K$461*EFEITO!$Y$461</f>
        <v>0</v>
      </c>
      <c r="N461" s="76">
        <f ca="1">$K$461-EFEITO!$M$461*EFEITO!$Z$461</f>
        <v>0</v>
      </c>
      <c r="O461" s="76">
        <f>$L$461-EFEITO!$O$461*EFEITO!$AA$461</f>
        <v>0</v>
      </c>
      <c r="P461" s="57"/>
      <c r="Q461" s="57"/>
      <c r="R461" s="57"/>
      <c r="S461" s="57"/>
      <c r="T461" s="57"/>
      <c r="U461" s="57"/>
      <c r="V461" s="57"/>
      <c r="W461" s="5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28</v>
      </c>
      <c r="B462" s="53" t="s">
        <v>41</v>
      </c>
      <c r="C462" s="53" t="s">
        <v>43</v>
      </c>
      <c r="D462" s="53" t="s">
        <v>47</v>
      </c>
      <c r="E462" s="53" t="s">
        <v>25</v>
      </c>
      <c r="F462" s="53" t="s">
        <v>25</v>
      </c>
      <c r="G462" s="53" t="s">
        <v>25</v>
      </c>
      <c r="H462" s="53" t="s">
        <v>35</v>
      </c>
      <c r="I462" s="75">
        <v>44562</v>
      </c>
      <c r="J462" s="76">
        <f>EFEITO!$J$462*EFEITO!$Y$462</f>
        <v>0</v>
      </c>
      <c r="K462" s="76">
        <f ca="1">EFEITO!$L$462*EFEITO!$Z$462</f>
        <v>11764.208517966834</v>
      </c>
      <c r="L462" s="76">
        <f>EFEITO!$N$462*EFEITO!$AA$462</f>
        <v>13976.450230288683</v>
      </c>
      <c r="M462" s="76">
        <f>$J$462-EFEITO!$K$462*EFEITO!$Y$462</f>
        <v>0</v>
      </c>
      <c r="N462" s="76">
        <f ca="1">$K$462-EFEITO!$M$462*EFEITO!$Z$462</f>
        <v>0</v>
      </c>
      <c r="O462" s="76">
        <f>$L$462-EFEITO!$O$462*EFEITO!$AA$462</f>
        <v>0</v>
      </c>
      <c r="P462" s="57"/>
      <c r="Q462" s="57"/>
      <c r="R462" s="57"/>
      <c r="S462" s="57"/>
      <c r="T462" s="57"/>
      <c r="U462" s="57"/>
      <c r="V462" s="57"/>
      <c r="W462" s="5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21</v>
      </c>
      <c r="B463" s="53" t="s">
        <v>41</v>
      </c>
      <c r="C463" s="53" t="s">
        <v>43</v>
      </c>
      <c r="D463" s="53" t="s">
        <v>47</v>
      </c>
      <c r="E463" s="53" t="s">
        <v>25</v>
      </c>
      <c r="F463" s="53" t="s">
        <v>25</v>
      </c>
      <c r="G463" s="53" t="s">
        <v>25</v>
      </c>
      <c r="H463" s="53" t="s">
        <v>35</v>
      </c>
      <c r="I463" s="75">
        <v>44593</v>
      </c>
      <c r="J463" s="76">
        <f>EFEITO!$J$463*EFEITO!$Y$463</f>
        <v>0</v>
      </c>
      <c r="K463" s="76">
        <f ca="1">EFEITO!$L$463*EFEITO!$Z$463</f>
        <v>598609.38735605916</v>
      </c>
      <c r="L463" s="76">
        <f>EFEITO!$N$463*EFEITO!$AA$463</f>
        <v>711176.98202883452</v>
      </c>
      <c r="M463" s="76">
        <f>$J$463-EFEITO!$K$463*EFEITO!$Y$463</f>
        <v>0</v>
      </c>
      <c r="N463" s="76">
        <f ca="1">$K$463-EFEITO!$M$463*EFEITO!$Z$463</f>
        <v>0</v>
      </c>
      <c r="O463" s="76">
        <f>$L$463-EFEITO!$O$463*EFEITO!$AA$463</f>
        <v>0</v>
      </c>
      <c r="P463" s="57"/>
      <c r="Q463" s="57"/>
      <c r="R463" s="57"/>
      <c r="S463" s="57"/>
      <c r="T463" s="57"/>
      <c r="U463" s="57"/>
      <c r="V463" s="57"/>
      <c r="W463" s="5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28</v>
      </c>
      <c r="B464" s="53" t="s">
        <v>41</v>
      </c>
      <c r="C464" s="53" t="s">
        <v>43</v>
      </c>
      <c r="D464" s="53" t="s">
        <v>47</v>
      </c>
      <c r="E464" s="53" t="s">
        <v>25</v>
      </c>
      <c r="F464" s="53" t="s">
        <v>25</v>
      </c>
      <c r="G464" s="53" t="s">
        <v>25</v>
      </c>
      <c r="H464" s="53" t="s">
        <v>35</v>
      </c>
      <c r="I464" s="75">
        <v>44593</v>
      </c>
      <c r="J464" s="76">
        <f>EFEITO!$J$464*EFEITO!$Y$464</f>
        <v>0</v>
      </c>
      <c r="K464" s="76">
        <f ca="1">EFEITO!$L$464*EFEITO!$Z$464</f>
        <v>10145.438907781501</v>
      </c>
      <c r="L464" s="76">
        <f>EFEITO!$N$464*EFEITO!$AA$464</f>
        <v>12053.27343037854</v>
      </c>
      <c r="M464" s="76">
        <f>$J$464-EFEITO!$K$464*EFEITO!$Y$464</f>
        <v>0</v>
      </c>
      <c r="N464" s="76">
        <f ca="1">$K$464-EFEITO!$M$464*EFEITO!$Z$464</f>
        <v>0</v>
      </c>
      <c r="O464" s="76">
        <f>$L$464-EFEITO!$O$464*EFEITO!$AA$464</f>
        <v>0</v>
      </c>
      <c r="P464" s="57"/>
      <c r="Q464" s="57"/>
      <c r="R464" s="57"/>
      <c r="S464" s="57"/>
      <c r="T464" s="57"/>
      <c r="U464" s="57"/>
      <c r="V464" s="57"/>
      <c r="W464" s="5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21</v>
      </c>
      <c r="B465" s="53" t="s">
        <v>41</v>
      </c>
      <c r="C465" s="53" t="s">
        <v>43</v>
      </c>
      <c r="D465" s="53" t="s">
        <v>47</v>
      </c>
      <c r="E465" s="53" t="s">
        <v>25</v>
      </c>
      <c r="F465" s="53" t="s">
        <v>25</v>
      </c>
      <c r="G465" s="53" t="s">
        <v>25</v>
      </c>
      <c r="H465" s="53" t="s">
        <v>35</v>
      </c>
      <c r="I465" s="75">
        <v>44621</v>
      </c>
      <c r="J465" s="76">
        <f>EFEITO!$J$465*EFEITO!$Y$465</f>
        <v>0</v>
      </c>
      <c r="K465" s="76">
        <f ca="1">EFEITO!$L$465*EFEITO!$Z$465</f>
        <v>757653.13860394061</v>
      </c>
      <c r="L465" s="76">
        <f>EFEITO!$N$465*EFEITO!$AA$465</f>
        <v>900128.6714144455</v>
      </c>
      <c r="M465" s="76">
        <f>$J$465-EFEITO!$K$465*EFEITO!$Y$465</f>
        <v>0</v>
      </c>
      <c r="N465" s="76">
        <f ca="1">$K$465-EFEITO!$M$465*EFEITO!$Z$465</f>
        <v>0</v>
      </c>
      <c r="O465" s="76">
        <f>$L$465-EFEITO!$O$465*EFEITO!$AA$465</f>
        <v>0</v>
      </c>
      <c r="P465" s="57"/>
      <c r="Q465" s="57"/>
      <c r="R465" s="57"/>
      <c r="S465" s="57"/>
      <c r="T465" s="57"/>
      <c r="U465" s="57"/>
      <c r="V465" s="57"/>
      <c r="W465" s="5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28</v>
      </c>
      <c r="B466" s="53" t="s">
        <v>41</v>
      </c>
      <c r="C466" s="53" t="s">
        <v>43</v>
      </c>
      <c r="D466" s="53" t="s">
        <v>47</v>
      </c>
      <c r="E466" s="53" t="s">
        <v>25</v>
      </c>
      <c r="F466" s="53" t="s">
        <v>25</v>
      </c>
      <c r="G466" s="53" t="s">
        <v>25</v>
      </c>
      <c r="H466" s="53" t="s">
        <v>35</v>
      </c>
      <c r="I466" s="75">
        <v>44621</v>
      </c>
      <c r="J466" s="76">
        <f>EFEITO!$J$466*EFEITO!$Y$466</f>
        <v>0</v>
      </c>
      <c r="K466" s="76">
        <f ca="1">EFEITO!$L$466*EFEITO!$Z$466</f>
        <v>15499.537541110858</v>
      </c>
      <c r="L466" s="76">
        <f>EFEITO!$N$466*EFEITO!$AA$466</f>
        <v>18414.202256359364</v>
      </c>
      <c r="M466" s="76">
        <f>$J$466-EFEITO!$K$466*EFEITO!$Y$466</f>
        <v>0</v>
      </c>
      <c r="N466" s="76">
        <f ca="1">$K$466-EFEITO!$M$466*EFEITO!$Z$466</f>
        <v>0</v>
      </c>
      <c r="O466" s="76">
        <f>$L$466-EFEITO!$O$466*EFEITO!$AA$466</f>
        <v>0</v>
      </c>
      <c r="P466" s="57"/>
      <c r="Q466" s="57"/>
      <c r="R466" s="57"/>
      <c r="S466" s="57"/>
      <c r="T466" s="57"/>
      <c r="U466" s="57"/>
      <c r="V466" s="57"/>
      <c r="W466" s="5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21</v>
      </c>
      <c r="B467" s="53" t="s">
        <v>41</v>
      </c>
      <c r="C467" s="53" t="s">
        <v>43</v>
      </c>
      <c r="D467" s="53" t="s">
        <v>47</v>
      </c>
      <c r="E467" s="53" t="s">
        <v>25</v>
      </c>
      <c r="F467" s="53" t="s">
        <v>25</v>
      </c>
      <c r="G467" s="53" t="s">
        <v>25</v>
      </c>
      <c r="H467" s="53" t="s">
        <v>35</v>
      </c>
      <c r="I467" s="75">
        <v>44652</v>
      </c>
      <c r="J467" s="76">
        <f>EFEITO!$J$467*EFEITO!$Y$467</f>
        <v>0</v>
      </c>
      <c r="K467" s="76">
        <f ca="1">EFEITO!$L$467*EFEITO!$Z$467</f>
        <v>755513.3502100287</v>
      </c>
      <c r="L467" s="76">
        <f>EFEITO!$N$467*EFEITO!$AA$467</f>
        <v>897586.49903241196</v>
      </c>
      <c r="M467" s="76">
        <f>$J$467-EFEITO!$K$467*EFEITO!$Y$467</f>
        <v>0</v>
      </c>
      <c r="N467" s="76">
        <f ca="1">$K$467-EFEITO!$M$467*EFEITO!$Z$467</f>
        <v>0</v>
      </c>
      <c r="O467" s="76">
        <f>$L$467-EFEITO!$O$467*EFEITO!$AA$467</f>
        <v>0</v>
      </c>
      <c r="P467" s="57"/>
      <c r="Q467" s="57"/>
      <c r="R467" s="57"/>
      <c r="S467" s="57"/>
      <c r="T467" s="57"/>
      <c r="U467" s="57"/>
      <c r="V467" s="57"/>
      <c r="W467" s="5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28</v>
      </c>
      <c r="B468" s="53" t="s">
        <v>41</v>
      </c>
      <c r="C468" s="53" t="s">
        <v>43</v>
      </c>
      <c r="D468" s="53" t="s">
        <v>47</v>
      </c>
      <c r="E468" s="53" t="s">
        <v>25</v>
      </c>
      <c r="F468" s="53" t="s">
        <v>25</v>
      </c>
      <c r="G468" s="53" t="s">
        <v>25</v>
      </c>
      <c r="H468" s="53" t="s">
        <v>35</v>
      </c>
      <c r="I468" s="75">
        <v>44652</v>
      </c>
      <c r="J468" s="76">
        <f>EFEITO!$J$468*EFEITO!$Y$468</f>
        <v>0</v>
      </c>
      <c r="K468" s="76">
        <f ca="1">EFEITO!$L$468*EFEITO!$Z$468</f>
        <v>14019.234434577029</v>
      </c>
      <c r="L468" s="76">
        <f>EFEITO!$N$468*EFEITO!$AA$468</f>
        <v>16655.530377786828</v>
      </c>
      <c r="M468" s="76">
        <f>$J$468-EFEITO!$K$468*EFEITO!$Y$468</f>
        <v>0</v>
      </c>
      <c r="N468" s="76">
        <f ca="1">$K$468-EFEITO!$M$468*EFEITO!$Z$468</f>
        <v>0</v>
      </c>
      <c r="O468" s="76">
        <f>$L$468-EFEITO!$O$468*EFEITO!$AA$468</f>
        <v>0</v>
      </c>
      <c r="P468" s="57"/>
      <c r="Q468" s="57"/>
      <c r="R468" s="57"/>
      <c r="S468" s="57"/>
      <c r="T468" s="57"/>
      <c r="U468" s="57"/>
      <c r="V468" s="57"/>
      <c r="W468" s="5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21</v>
      </c>
      <c r="B469" s="53" t="s">
        <v>41</v>
      </c>
      <c r="C469" s="53" t="s">
        <v>43</v>
      </c>
      <c r="D469" s="53" t="s">
        <v>47</v>
      </c>
      <c r="E469" s="53" t="s">
        <v>25</v>
      </c>
      <c r="F469" s="53" t="s">
        <v>25</v>
      </c>
      <c r="G469" s="53" t="s">
        <v>25</v>
      </c>
      <c r="H469" s="53" t="s">
        <v>35</v>
      </c>
      <c r="I469" s="75">
        <v>44682</v>
      </c>
      <c r="J469" s="76">
        <f>EFEITO!$J$469*EFEITO!$Y$469</f>
        <v>0</v>
      </c>
      <c r="K469" s="76">
        <f ca="1">EFEITO!$L$469*EFEITO!$Z$469</f>
        <v>812059.94890698697</v>
      </c>
      <c r="L469" s="76">
        <f>EFEITO!$N$469*EFEITO!$AA$469</f>
        <v>964766.60053886939</v>
      </c>
      <c r="M469" s="76">
        <f>$J$469-EFEITO!$K$469*EFEITO!$Y$469</f>
        <v>0</v>
      </c>
      <c r="N469" s="76">
        <f ca="1">$K$469-EFEITO!$M$469*EFEITO!$Z$469</f>
        <v>0</v>
      </c>
      <c r="O469" s="76">
        <f>$L$469-EFEITO!$O$469*EFEITO!$AA$469</f>
        <v>0</v>
      </c>
      <c r="P469" s="57"/>
      <c r="Q469" s="57"/>
      <c r="R469" s="57"/>
      <c r="S469" s="57"/>
      <c r="T469" s="57"/>
      <c r="U469" s="57"/>
      <c r="V469" s="57"/>
      <c r="W469" s="5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27</v>
      </c>
      <c r="B470" s="53" t="s">
        <v>41</v>
      </c>
      <c r="C470" s="53" t="s">
        <v>43</v>
      </c>
      <c r="D470" s="53" t="s">
        <v>47</v>
      </c>
      <c r="E470" s="53" t="s">
        <v>25</v>
      </c>
      <c r="F470" s="53" t="s">
        <v>25</v>
      </c>
      <c r="G470" s="53" t="s">
        <v>25</v>
      </c>
      <c r="H470" s="53" t="s">
        <v>35</v>
      </c>
      <c r="I470" s="75">
        <v>44682</v>
      </c>
      <c r="J470" s="76">
        <f>EFEITO!$J$470*EFEITO!$Y$470</f>
        <v>0</v>
      </c>
      <c r="K470" s="76">
        <f ca="1">EFEITO!$L$470*EFEITO!$Z$470</f>
        <v>-16586.762735575019</v>
      </c>
      <c r="L470" s="76">
        <f>EFEITO!$N$470*EFEITO!$AA$470</f>
        <v>-19705.878512890944</v>
      </c>
      <c r="M470" s="76">
        <f>$J$470-EFEITO!$K$470*EFEITO!$Y$470</f>
        <v>0</v>
      </c>
      <c r="N470" s="76">
        <f ca="1">$K$470-EFEITO!$M$470*EFEITO!$Z$470</f>
        <v>0</v>
      </c>
      <c r="O470" s="76">
        <f>$L$470-EFEITO!$O$470*EFEITO!$AA$470</f>
        <v>0</v>
      </c>
      <c r="P470" s="57"/>
      <c r="Q470" s="57"/>
      <c r="R470" s="57"/>
      <c r="S470" s="57"/>
      <c r="T470" s="57"/>
      <c r="U470" s="57"/>
      <c r="V470" s="57"/>
      <c r="W470" s="5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28</v>
      </c>
      <c r="B471" s="53" t="s">
        <v>41</v>
      </c>
      <c r="C471" s="53" t="s">
        <v>43</v>
      </c>
      <c r="D471" s="53" t="s">
        <v>47</v>
      </c>
      <c r="E471" s="53" t="s">
        <v>25</v>
      </c>
      <c r="F471" s="53" t="s">
        <v>25</v>
      </c>
      <c r="G471" s="53" t="s">
        <v>25</v>
      </c>
      <c r="H471" s="53" t="s">
        <v>35</v>
      </c>
      <c r="I471" s="75">
        <v>44682</v>
      </c>
      <c r="J471" s="76">
        <f>EFEITO!$J$471*EFEITO!$Y$471</f>
        <v>0</v>
      </c>
      <c r="K471" s="76">
        <f ca="1">EFEITO!$L$471*EFEITO!$Z$471</f>
        <v>20443.499479482944</v>
      </c>
      <c r="L471" s="76">
        <f>EFEITO!$N$471*EFEITO!$AA$471</f>
        <v>24287.868798954885</v>
      </c>
      <c r="M471" s="76">
        <f>$J$471-EFEITO!$K$471*EFEITO!$Y$471</f>
        <v>0</v>
      </c>
      <c r="N471" s="76">
        <f ca="1">$K$471-EFEITO!$M$471*EFEITO!$Z$471</f>
        <v>0</v>
      </c>
      <c r="O471" s="76">
        <f>$L$471-EFEITO!$O$471*EFEITO!$AA$471</f>
        <v>0</v>
      </c>
      <c r="P471" s="57"/>
      <c r="Q471" s="57"/>
      <c r="R471" s="57"/>
      <c r="S471" s="57"/>
      <c r="T471" s="57"/>
      <c r="U471" s="57"/>
      <c r="V471" s="57"/>
      <c r="W471" s="5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21</v>
      </c>
      <c r="B472" s="53" t="s">
        <v>41</v>
      </c>
      <c r="C472" s="53" t="s">
        <v>43</v>
      </c>
      <c r="D472" s="53" t="s">
        <v>47</v>
      </c>
      <c r="E472" s="53" t="s">
        <v>25</v>
      </c>
      <c r="F472" s="53" t="s">
        <v>25</v>
      </c>
      <c r="G472" s="53" t="s">
        <v>25</v>
      </c>
      <c r="H472" s="53" t="s">
        <v>35</v>
      </c>
      <c r="I472" s="75">
        <v>44713</v>
      </c>
      <c r="J472" s="76">
        <f>EFEITO!$J$472*EFEITO!$Y$472</f>
        <v>0</v>
      </c>
      <c r="K472" s="76">
        <f ca="1">EFEITO!$L$472*EFEITO!$Z$472</f>
        <v>799740.96699234564</v>
      </c>
      <c r="L472" s="76">
        <f>EFEITO!$N$472*EFEITO!$AA$472</f>
        <v>950131.05260932911</v>
      </c>
      <c r="M472" s="76">
        <f>$J$472-EFEITO!$K$472*EFEITO!$Y$472</f>
        <v>0</v>
      </c>
      <c r="N472" s="76">
        <f ca="1">$K$472-EFEITO!$M$472*EFEITO!$Z$472</f>
        <v>0</v>
      </c>
      <c r="O472" s="76">
        <f>$L$472-EFEITO!$O$472*EFEITO!$AA$472</f>
        <v>0</v>
      </c>
      <c r="P472" s="57"/>
      <c r="Q472" s="57"/>
      <c r="R472" s="57"/>
      <c r="S472" s="57"/>
      <c r="T472" s="57"/>
      <c r="U472" s="57"/>
      <c r="V472" s="57"/>
      <c r="W472" s="5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28</v>
      </c>
      <c r="B473" s="53" t="s">
        <v>41</v>
      </c>
      <c r="C473" s="53" t="s">
        <v>43</v>
      </c>
      <c r="D473" s="53" t="s">
        <v>47</v>
      </c>
      <c r="E473" s="53" t="s">
        <v>25</v>
      </c>
      <c r="F473" s="53" t="s">
        <v>25</v>
      </c>
      <c r="G473" s="53" t="s">
        <v>25</v>
      </c>
      <c r="H473" s="53" t="s">
        <v>35</v>
      </c>
      <c r="I473" s="75">
        <v>44713</v>
      </c>
      <c r="J473" s="76">
        <f>EFEITO!$J$473*EFEITO!$Y$473</f>
        <v>0</v>
      </c>
      <c r="K473" s="76">
        <f ca="1">EFEITO!$L$473*EFEITO!$Z$473</f>
        <v>15684.280530255328</v>
      </c>
      <c r="L473" s="76">
        <f>EFEITO!$N$473*EFEITO!$AA$473</f>
        <v>18633.68588666301</v>
      </c>
      <c r="M473" s="76">
        <f>$J$473-EFEITO!$K$473*EFEITO!$Y$473</f>
        <v>0</v>
      </c>
      <c r="N473" s="76">
        <f ca="1">$K$473-EFEITO!$M$473*EFEITO!$Z$473</f>
        <v>0</v>
      </c>
      <c r="O473" s="76">
        <f>$L$473-EFEITO!$O$473*EFEITO!$AA$473</f>
        <v>0</v>
      </c>
      <c r="P473" s="57"/>
      <c r="Q473" s="57"/>
      <c r="R473" s="57"/>
      <c r="S473" s="57"/>
      <c r="T473" s="57"/>
      <c r="U473" s="57"/>
      <c r="V473" s="57"/>
      <c r="W473" s="5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21</v>
      </c>
      <c r="B474" s="53" t="s">
        <v>41</v>
      </c>
      <c r="C474" s="53" t="s">
        <v>43</v>
      </c>
      <c r="D474" s="53" t="s">
        <v>47</v>
      </c>
      <c r="E474" s="53" t="s">
        <v>25</v>
      </c>
      <c r="F474" s="53" t="s">
        <v>25</v>
      </c>
      <c r="G474" s="53" t="s">
        <v>25</v>
      </c>
      <c r="H474" s="53" t="s">
        <v>35</v>
      </c>
      <c r="I474" s="75">
        <v>44743</v>
      </c>
      <c r="J474" s="76">
        <f>EFEITO!$J$474*EFEITO!$Y$474</f>
        <v>0</v>
      </c>
      <c r="K474" s="76">
        <f ca="1">EFEITO!$L$474*EFEITO!$Z$474</f>
        <v>660402.46917302394</v>
      </c>
      <c r="L474" s="76">
        <f>EFEITO!$N$474*EFEITO!$AA$474</f>
        <v>784590.15991257934</v>
      </c>
      <c r="M474" s="76">
        <f>$J$474-EFEITO!$K$474*EFEITO!$Y$474</f>
        <v>0</v>
      </c>
      <c r="N474" s="76">
        <f ca="1">$K$474-EFEITO!$M$474*EFEITO!$Z$474</f>
        <v>0</v>
      </c>
      <c r="O474" s="76">
        <f>$L$474-EFEITO!$O$474*EFEITO!$AA$474</f>
        <v>0</v>
      </c>
      <c r="P474" s="57"/>
      <c r="Q474" s="57"/>
      <c r="R474" s="57"/>
      <c r="S474" s="57"/>
      <c r="T474" s="57"/>
      <c r="U474" s="57"/>
      <c r="V474" s="57"/>
      <c r="W474" s="5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27</v>
      </c>
      <c r="B475" s="53" t="s">
        <v>41</v>
      </c>
      <c r="C475" s="53" t="s">
        <v>43</v>
      </c>
      <c r="D475" s="53" t="s">
        <v>47</v>
      </c>
      <c r="E475" s="53" t="s">
        <v>25</v>
      </c>
      <c r="F475" s="53" t="s">
        <v>25</v>
      </c>
      <c r="G475" s="53" t="s">
        <v>25</v>
      </c>
      <c r="H475" s="53" t="s">
        <v>35</v>
      </c>
      <c r="I475" s="75">
        <v>44743</v>
      </c>
      <c r="J475" s="76">
        <f>EFEITO!$J$475*EFEITO!$Y$475</f>
        <v>0</v>
      </c>
      <c r="K475" s="76">
        <f ca="1">EFEITO!$L$475*EFEITO!$Z$475</f>
        <v>5626.8576831173104</v>
      </c>
      <c r="L475" s="76">
        <f>EFEITO!$N$475*EFEITO!$AA$475</f>
        <v>6684.9798047100794</v>
      </c>
      <c r="M475" s="76">
        <f>$J$475-EFEITO!$K$475*EFEITO!$Y$475</f>
        <v>0</v>
      </c>
      <c r="N475" s="76">
        <f ca="1">$K$475-EFEITO!$M$475*EFEITO!$Z$475</f>
        <v>0</v>
      </c>
      <c r="O475" s="76">
        <f>$L$475-EFEITO!$O$475*EFEITO!$AA$475</f>
        <v>0</v>
      </c>
      <c r="P475" s="57"/>
      <c r="Q475" s="57"/>
      <c r="R475" s="57"/>
      <c r="S475" s="57"/>
      <c r="T475" s="57"/>
      <c r="U475" s="57"/>
      <c r="V475" s="57"/>
      <c r="W475" s="5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28</v>
      </c>
      <c r="B476" s="53" t="s">
        <v>41</v>
      </c>
      <c r="C476" s="53" t="s">
        <v>43</v>
      </c>
      <c r="D476" s="53" t="s">
        <v>47</v>
      </c>
      <c r="E476" s="53" t="s">
        <v>25</v>
      </c>
      <c r="F476" s="53" t="s">
        <v>25</v>
      </c>
      <c r="G476" s="53" t="s">
        <v>25</v>
      </c>
      <c r="H476" s="53" t="s">
        <v>35</v>
      </c>
      <c r="I476" s="75">
        <v>44743</v>
      </c>
      <c r="J476" s="76">
        <f>EFEITO!$J$476*EFEITO!$Y$476</f>
        <v>0</v>
      </c>
      <c r="K476" s="76">
        <f ca="1">EFEITO!$L$476*EFEITO!$Z$476</f>
        <v>20839.662490585473</v>
      </c>
      <c r="L476" s="76">
        <f>EFEITO!$N$476*EFEITO!$AA$476</f>
        <v>24758.529668260249</v>
      </c>
      <c r="M476" s="76">
        <f>$J$476-EFEITO!$K$476*EFEITO!$Y$476</f>
        <v>0</v>
      </c>
      <c r="N476" s="76">
        <f ca="1">$K$476-EFEITO!$M$476*EFEITO!$Z$476</f>
        <v>0</v>
      </c>
      <c r="O476" s="76">
        <f>$L$476-EFEITO!$O$476*EFEITO!$AA$476</f>
        <v>0</v>
      </c>
      <c r="P476" s="57"/>
      <c r="Q476" s="57"/>
      <c r="R476" s="57"/>
      <c r="S476" s="57"/>
      <c r="T476" s="57"/>
      <c r="U476" s="57"/>
      <c r="V476" s="57"/>
      <c r="W476" s="5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41</v>
      </c>
      <c r="C477" s="53" t="s">
        <v>43</v>
      </c>
      <c r="D477" s="53" t="s">
        <v>47</v>
      </c>
      <c r="E477" s="53" t="s">
        <v>25</v>
      </c>
      <c r="F477" s="53" t="s">
        <v>25</v>
      </c>
      <c r="G477" s="53" t="s">
        <v>25</v>
      </c>
      <c r="H477" s="53" t="s">
        <v>35</v>
      </c>
      <c r="I477" s="75">
        <v>44774</v>
      </c>
      <c r="J477" s="76">
        <f>EFEITO!$J$477*EFEITO!$Y$477</f>
        <v>0</v>
      </c>
      <c r="K477" s="76">
        <f ca="1">EFEITO!$L$477*EFEITO!$Z$477</f>
        <v>793560.78772386338</v>
      </c>
      <c r="L477" s="76">
        <f>EFEITO!$N$477*EFEITO!$AA$477</f>
        <v>942788.6999276093</v>
      </c>
      <c r="M477" s="76">
        <f>$J$477-EFEITO!$K$477*EFEITO!$Y$477</f>
        <v>0</v>
      </c>
      <c r="N477" s="76">
        <f ca="1">$K$477-EFEITO!$M$477*EFEITO!$Z$477</f>
        <v>0</v>
      </c>
      <c r="O477" s="76">
        <f>$L$477-EFEITO!$O$477*EFEITO!$AA$477</f>
        <v>0</v>
      </c>
      <c r="P477" s="57"/>
      <c r="Q477" s="57"/>
      <c r="R477" s="57"/>
      <c r="S477" s="57"/>
      <c r="T477" s="57"/>
      <c r="U477" s="57"/>
      <c r="V477" s="57"/>
      <c r="W477" s="5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27</v>
      </c>
      <c r="B478" s="53" t="s">
        <v>41</v>
      </c>
      <c r="C478" s="53" t="s">
        <v>43</v>
      </c>
      <c r="D478" s="53" t="s">
        <v>47</v>
      </c>
      <c r="E478" s="53" t="s">
        <v>25</v>
      </c>
      <c r="F478" s="53" t="s">
        <v>25</v>
      </c>
      <c r="G478" s="53" t="s">
        <v>25</v>
      </c>
      <c r="H478" s="53" t="s">
        <v>35</v>
      </c>
      <c r="I478" s="75">
        <v>44774</v>
      </c>
      <c r="J478" s="76">
        <f>EFEITO!$J$478*EFEITO!$Y$478</f>
        <v>0</v>
      </c>
      <c r="K478" s="76">
        <f ca="1">EFEITO!$L$478*EFEITO!$Z$478</f>
        <v>0.18147641369790721</v>
      </c>
      <c r="L478" s="76">
        <f>EFEITO!$N$478*EFEITO!$AA$478</f>
        <v>0.21560278025898469</v>
      </c>
      <c r="M478" s="76">
        <f>$J$478-EFEITO!$K$478*EFEITO!$Y$478</f>
        <v>0</v>
      </c>
      <c r="N478" s="76">
        <f ca="1">$K$478-EFEITO!$M$478*EFEITO!$Z$478</f>
        <v>0</v>
      </c>
      <c r="O478" s="76">
        <f>$L$478-EFEITO!$O$478*EFEITO!$AA$478</f>
        <v>0</v>
      </c>
      <c r="P478" s="57"/>
      <c r="Q478" s="57"/>
      <c r="R478" s="57"/>
      <c r="S478" s="57"/>
      <c r="T478" s="57"/>
      <c r="U478" s="57"/>
      <c r="V478" s="57"/>
      <c r="W478" s="5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28</v>
      </c>
      <c r="B479" s="53" t="s">
        <v>41</v>
      </c>
      <c r="C479" s="53" t="s">
        <v>43</v>
      </c>
      <c r="D479" s="53" t="s">
        <v>47</v>
      </c>
      <c r="E479" s="53" t="s">
        <v>25</v>
      </c>
      <c r="F479" s="53" t="s">
        <v>25</v>
      </c>
      <c r="G479" s="53" t="s">
        <v>25</v>
      </c>
      <c r="H479" s="53" t="s">
        <v>35</v>
      </c>
      <c r="I479" s="75">
        <v>44774</v>
      </c>
      <c r="J479" s="76">
        <f>EFEITO!$J$479*EFEITO!$Y$479</f>
        <v>0</v>
      </c>
      <c r="K479" s="76">
        <f ca="1">EFEITO!$L$479*EFEITO!$Z$479</f>
        <v>25393.087186679666</v>
      </c>
      <c r="L479" s="76">
        <f>EFEITO!$N$479*EFEITO!$AA$479</f>
        <v>30168.219027738436</v>
      </c>
      <c r="M479" s="76">
        <f>$J$479-EFEITO!$K$479*EFEITO!$Y$479</f>
        <v>0</v>
      </c>
      <c r="N479" s="76">
        <f ca="1">$K$479-EFEITO!$M$479*EFEITO!$Z$479</f>
        <v>0</v>
      </c>
      <c r="O479" s="76">
        <f>$L$479-EFEITO!$O$479*EFEITO!$AA$479</f>
        <v>0</v>
      </c>
      <c r="P479" s="57"/>
      <c r="Q479" s="57"/>
      <c r="R479" s="57"/>
      <c r="S479" s="57"/>
      <c r="T479" s="57"/>
      <c r="U479" s="57"/>
      <c r="V479" s="57"/>
      <c r="W479" s="5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21</v>
      </c>
      <c r="B480" s="53" t="s">
        <v>41</v>
      </c>
      <c r="C480" s="53" t="s">
        <v>43</v>
      </c>
      <c r="D480" s="53" t="s">
        <v>47</v>
      </c>
      <c r="E480" s="53" t="s">
        <v>25</v>
      </c>
      <c r="F480" s="53" t="s">
        <v>25</v>
      </c>
      <c r="G480" s="53" t="s">
        <v>25</v>
      </c>
      <c r="H480" s="53" t="s">
        <v>35</v>
      </c>
      <c r="I480" s="75">
        <v>44805</v>
      </c>
      <c r="J480" s="76">
        <f>EFEITO!$J$480*EFEITO!$Y$480</f>
        <v>0</v>
      </c>
      <c r="K480" s="76">
        <f ca="1">EFEITO!$L$480*EFEITO!$Z$480</f>
        <v>867781.37435086083</v>
      </c>
      <c r="L480" s="76">
        <f>EFEITO!$N$480*EFEITO!$AA$480</f>
        <v>1030966.3562034894</v>
      </c>
      <c r="M480" s="76">
        <f>$J$480-EFEITO!$K$480*EFEITO!$Y$480</f>
        <v>0</v>
      </c>
      <c r="N480" s="76">
        <f ca="1">$K$480-EFEITO!$M$480*EFEITO!$Z$480</f>
        <v>0</v>
      </c>
      <c r="O480" s="76">
        <f>$L$480-EFEITO!$O$480*EFEITO!$AA$480</f>
        <v>0</v>
      </c>
      <c r="P480" s="57"/>
      <c r="Q480" s="57"/>
      <c r="R480" s="57"/>
      <c r="S480" s="57"/>
      <c r="T480" s="57"/>
      <c r="U480" s="57"/>
      <c r="V480" s="57"/>
      <c r="W480" s="5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27</v>
      </c>
      <c r="B481" s="53" t="s">
        <v>41</v>
      </c>
      <c r="C481" s="53" t="s">
        <v>43</v>
      </c>
      <c r="D481" s="53" t="s">
        <v>47</v>
      </c>
      <c r="E481" s="53" t="s">
        <v>25</v>
      </c>
      <c r="F481" s="53" t="s">
        <v>25</v>
      </c>
      <c r="G481" s="53" t="s">
        <v>25</v>
      </c>
      <c r="H481" s="53" t="s">
        <v>35</v>
      </c>
      <c r="I481" s="75">
        <v>44805</v>
      </c>
      <c r="J481" s="76">
        <f>EFEITO!$J$481*EFEITO!$Y$481</f>
        <v>0</v>
      </c>
      <c r="K481" s="76">
        <f ca="1">EFEITO!$L$481*EFEITO!$Z$481</f>
        <v>98682.881287820579</v>
      </c>
      <c r="L481" s="76">
        <f>EFEITO!$N$481*EFEITO!$AA$481</f>
        <v>117240.04864367019</v>
      </c>
      <c r="M481" s="76">
        <f>$J$481-EFEITO!$K$481*EFEITO!$Y$481</f>
        <v>0</v>
      </c>
      <c r="N481" s="76">
        <f ca="1">$K$481-EFEITO!$M$481*EFEITO!$Z$481</f>
        <v>0</v>
      </c>
      <c r="O481" s="76">
        <f>$L$481-EFEITO!$O$481*EFEITO!$AA$481</f>
        <v>0</v>
      </c>
      <c r="P481" s="57"/>
      <c r="Q481" s="57"/>
      <c r="R481" s="57"/>
      <c r="S481" s="57"/>
      <c r="T481" s="57"/>
      <c r="U481" s="57"/>
      <c r="V481" s="57"/>
      <c r="W481" s="5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28</v>
      </c>
      <c r="B482" s="53" t="s">
        <v>41</v>
      </c>
      <c r="C482" s="53" t="s">
        <v>43</v>
      </c>
      <c r="D482" s="53" t="s">
        <v>47</v>
      </c>
      <c r="E482" s="53" t="s">
        <v>25</v>
      </c>
      <c r="F482" s="53" t="s">
        <v>25</v>
      </c>
      <c r="G482" s="53" t="s">
        <v>25</v>
      </c>
      <c r="H482" s="53" t="s">
        <v>35</v>
      </c>
      <c r="I482" s="75">
        <v>44805</v>
      </c>
      <c r="J482" s="76">
        <f>EFEITO!$J$482*EFEITO!$Y$482</f>
        <v>0</v>
      </c>
      <c r="K482" s="76">
        <f ca="1">EFEITO!$L$482*EFEITO!$Z$482</f>
        <v>16223.44695535181</v>
      </c>
      <c r="L482" s="76">
        <f>EFEITO!$N$482*EFEITO!$AA$482</f>
        <v>19274.241746812455</v>
      </c>
      <c r="M482" s="76">
        <f>$J$482-EFEITO!$K$482*EFEITO!$Y$482</f>
        <v>0</v>
      </c>
      <c r="N482" s="76">
        <f ca="1">$K$482-EFEITO!$M$482*EFEITO!$Z$482</f>
        <v>0</v>
      </c>
      <c r="O482" s="76">
        <f>$L$482-EFEITO!$O$482*EFEITO!$AA$482</f>
        <v>0</v>
      </c>
      <c r="P482" s="57"/>
      <c r="Q482" s="57"/>
      <c r="R482" s="57"/>
      <c r="S482" s="57"/>
      <c r="T482" s="57"/>
      <c r="U482" s="57"/>
      <c r="V482" s="57"/>
      <c r="W482" s="5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21</v>
      </c>
      <c r="B483" s="53" t="s">
        <v>41</v>
      </c>
      <c r="C483" s="53" t="s">
        <v>43</v>
      </c>
      <c r="D483" s="53" t="s">
        <v>47</v>
      </c>
      <c r="E483" s="53" t="s">
        <v>25</v>
      </c>
      <c r="F483" s="53" t="s">
        <v>25</v>
      </c>
      <c r="G483" s="53" t="s">
        <v>25</v>
      </c>
      <c r="H483" s="53" t="s">
        <v>35</v>
      </c>
      <c r="I483" s="75">
        <v>44835</v>
      </c>
      <c r="J483" s="76">
        <f>EFEITO!$J$483*EFEITO!$Y$483</f>
        <v>0</v>
      </c>
      <c r="K483" s="76">
        <f ca="1">EFEITO!$L$483*EFEITO!$Z$483</f>
        <v>927292.93469481566</v>
      </c>
      <c r="L483" s="76">
        <f>EFEITO!$N$483*EFEITO!$AA$483</f>
        <v>1101668.9759338184</v>
      </c>
      <c r="M483" s="76">
        <f>$J$483-EFEITO!$K$483*EFEITO!$Y$483</f>
        <v>0</v>
      </c>
      <c r="N483" s="76">
        <f ca="1">$K$483-EFEITO!$M$483*EFEITO!$Z$483</f>
        <v>0</v>
      </c>
      <c r="O483" s="76">
        <f>$L$483-EFEITO!$O$483*EFEITO!$AA$483</f>
        <v>0</v>
      </c>
      <c r="P483" s="57"/>
      <c r="Q483" s="57"/>
      <c r="R483" s="57"/>
      <c r="S483" s="57"/>
      <c r="T483" s="57"/>
      <c r="U483" s="57"/>
      <c r="V483" s="57"/>
      <c r="W483" s="5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28</v>
      </c>
      <c r="B484" s="53" t="s">
        <v>41</v>
      </c>
      <c r="C484" s="53" t="s">
        <v>43</v>
      </c>
      <c r="D484" s="53" t="s">
        <v>47</v>
      </c>
      <c r="E484" s="53" t="s">
        <v>25</v>
      </c>
      <c r="F484" s="53" t="s">
        <v>25</v>
      </c>
      <c r="G484" s="53" t="s">
        <v>25</v>
      </c>
      <c r="H484" s="53" t="s">
        <v>35</v>
      </c>
      <c r="I484" s="75">
        <v>44835</v>
      </c>
      <c r="J484" s="76">
        <f>EFEITO!$J$484*EFEITO!$Y$484</f>
        <v>0</v>
      </c>
      <c r="K484" s="76">
        <f ca="1">EFEITO!$L$484*EFEITO!$Z$484</f>
        <v>18675.919210065327</v>
      </c>
      <c r="L484" s="76">
        <f>EFEITO!$N$484*EFEITO!$AA$484</f>
        <v>22187.897719232373</v>
      </c>
      <c r="M484" s="76">
        <f>$J$484-EFEITO!$K$484*EFEITO!$Y$484</f>
        <v>0</v>
      </c>
      <c r="N484" s="76">
        <f ca="1">$K$484-EFEITO!$M$484*EFEITO!$Z$484</f>
        <v>0</v>
      </c>
      <c r="O484" s="76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28</v>
      </c>
      <c r="B485" s="53" t="s">
        <v>41</v>
      </c>
      <c r="C485" s="53" t="s">
        <v>43</v>
      </c>
      <c r="D485" s="53" t="s">
        <v>47</v>
      </c>
      <c r="E485" s="53" t="s">
        <v>25</v>
      </c>
      <c r="F485" s="53" t="s">
        <v>25</v>
      </c>
      <c r="G485" s="53" t="s">
        <v>25</v>
      </c>
      <c r="H485" s="53" t="s">
        <v>35</v>
      </c>
      <c r="I485" s="75">
        <v>44835</v>
      </c>
      <c r="J485" s="76">
        <f>EFEITO!$J$485*EFEITO!$Y$485</f>
        <v>0</v>
      </c>
      <c r="K485" s="76">
        <f ca="1">EFEITO!$L$485*EFEITO!$Z$485</f>
        <v>3336.8068186634196</v>
      </c>
      <c r="L485" s="76">
        <f>EFEITO!$N$485*EFEITO!$AA$485</f>
        <v>3964.2883206219517</v>
      </c>
      <c r="M485" s="76">
        <f>$J$485-EFEITO!$K$485*EFEITO!$Y$485</f>
        <v>0</v>
      </c>
      <c r="N485" s="76">
        <f ca="1">$K$485-EFEITO!$M$485*EFEITO!$Z$485</f>
        <v>0</v>
      </c>
      <c r="O485" s="76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54</v>
      </c>
      <c r="B486" s="53" t="s">
        <v>41</v>
      </c>
      <c r="C486" s="53" t="s">
        <v>43</v>
      </c>
      <c r="D486" s="53" t="s">
        <v>47</v>
      </c>
      <c r="E486" s="53" t="s">
        <v>25</v>
      </c>
      <c r="F486" s="53" t="s">
        <v>25</v>
      </c>
      <c r="G486" s="53" t="s">
        <v>25</v>
      </c>
      <c r="H486" s="53" t="s">
        <v>35</v>
      </c>
      <c r="I486" s="75">
        <v>44866</v>
      </c>
      <c r="J486" s="76">
        <f>EFEITO!$J$486*EFEITO!$Y$486</f>
        <v>0</v>
      </c>
      <c r="K486" s="76">
        <f ca="1">EFEITO!$L$486*EFEITO!$Z$486</f>
        <v>927292.93469481566</v>
      </c>
      <c r="L486" s="76">
        <f>EFEITO!$N$486*EFEITO!$AA$486</f>
        <v>1101668.9759338184</v>
      </c>
      <c r="M486" s="76">
        <f>$J$486-EFEITO!$K$486*EFEITO!$Y$486</f>
        <v>0</v>
      </c>
      <c r="N486" s="76">
        <f ca="1">$K$486-EFEITO!$M$486*EFEITO!$Z$486</f>
        <v>0</v>
      </c>
      <c r="O486" s="76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54</v>
      </c>
      <c r="B487" s="53" t="s">
        <v>41</v>
      </c>
      <c r="C487" s="53" t="s">
        <v>43</v>
      </c>
      <c r="D487" s="53" t="s">
        <v>47</v>
      </c>
      <c r="E487" s="53" t="s">
        <v>25</v>
      </c>
      <c r="F487" s="53" t="s">
        <v>25</v>
      </c>
      <c r="G487" s="53" t="s">
        <v>25</v>
      </c>
      <c r="H487" s="53" t="s">
        <v>35</v>
      </c>
      <c r="I487" s="75">
        <v>44866</v>
      </c>
      <c r="J487" s="76">
        <f>EFEITO!$J$487*EFEITO!$Y$487</f>
        <v>0</v>
      </c>
      <c r="K487" s="76">
        <f ca="1">EFEITO!$L$487*EFEITO!$Z$487</f>
        <v>18675.919210065327</v>
      </c>
      <c r="L487" s="76">
        <f>EFEITO!$N$487*EFEITO!$AA$487</f>
        <v>22187.897719232373</v>
      </c>
      <c r="M487" s="76">
        <f>$J$487-EFEITO!$K$487*EFEITO!$Y$487</f>
        <v>0</v>
      </c>
      <c r="N487" s="76">
        <f ca="1">$K$487-EFEITO!$M$487*EFEITO!$Z$487</f>
        <v>0</v>
      </c>
      <c r="O487" s="76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54</v>
      </c>
      <c r="B488" s="53" t="s">
        <v>41</v>
      </c>
      <c r="C488" s="53" t="s">
        <v>43</v>
      </c>
      <c r="D488" s="53" t="s">
        <v>47</v>
      </c>
      <c r="E488" s="53" t="s">
        <v>25</v>
      </c>
      <c r="F488" s="53" t="s">
        <v>25</v>
      </c>
      <c r="G488" s="53" t="s">
        <v>25</v>
      </c>
      <c r="H488" s="53" t="s">
        <v>35</v>
      </c>
      <c r="I488" s="75">
        <v>44866</v>
      </c>
      <c r="J488" s="76">
        <f>EFEITO!$J$488*EFEITO!$Y$488</f>
        <v>0</v>
      </c>
      <c r="K488" s="76">
        <f ca="1">EFEITO!$L$488*EFEITO!$Z$488</f>
        <v>3336.8068186634196</v>
      </c>
      <c r="L488" s="76">
        <f>EFEITO!$N$488*EFEITO!$AA$488</f>
        <v>3964.2883206219517</v>
      </c>
      <c r="M488" s="76">
        <f>$J$488-EFEITO!$K$488*EFEITO!$Y$488</f>
        <v>0</v>
      </c>
      <c r="N488" s="76">
        <f ca="1">$K$488-EFEITO!$M$488*EFEITO!$Z$488</f>
        <v>0</v>
      </c>
      <c r="O488" s="76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21</v>
      </c>
      <c r="B489" s="53" t="s">
        <v>41</v>
      </c>
      <c r="C489" s="53" t="s">
        <v>43</v>
      </c>
      <c r="D489" s="53" t="s">
        <v>47</v>
      </c>
      <c r="E489" s="53" t="s">
        <v>25</v>
      </c>
      <c r="F489" s="53" t="s">
        <v>25</v>
      </c>
      <c r="G489" s="53" t="s">
        <v>25</v>
      </c>
      <c r="H489" s="53" t="s">
        <v>25</v>
      </c>
      <c r="I489" s="75">
        <v>44531</v>
      </c>
      <c r="J489" s="76">
        <f ca="1">EFEITO!$J$489*EFEITO!$Y$489</f>
        <v>605084.24409971165</v>
      </c>
      <c r="K489" s="76">
        <f>EFEITO!$L$489*EFEITO!$Z$489</f>
        <v>0</v>
      </c>
      <c r="L489" s="76">
        <f>EFEITO!$N$489*EFEITO!$AA$489</f>
        <v>0</v>
      </c>
      <c r="M489" s="76">
        <f ca="1">$J$489-EFEITO!$K$489*EFEITO!$Y$489</f>
        <v>0</v>
      </c>
      <c r="N489" s="76">
        <f>$K$489-EFEITO!$M$489*EFEITO!$Z$489</f>
        <v>0</v>
      </c>
      <c r="O489" s="76">
        <f>$L$489-EFEITO!$O$489*EFEITO!$AA$489</f>
        <v>0</v>
      </c>
      <c r="P489" s="57"/>
      <c r="Q489" s="57"/>
      <c r="R489" s="57"/>
      <c r="S489" s="57"/>
      <c r="T489" s="57"/>
      <c r="U489" s="57"/>
      <c r="V489" s="57"/>
      <c r="W489" s="5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27</v>
      </c>
      <c r="B490" s="53" t="s">
        <v>41</v>
      </c>
      <c r="C490" s="53" t="s">
        <v>43</v>
      </c>
      <c r="D490" s="53" t="s">
        <v>47</v>
      </c>
      <c r="E490" s="53" t="s">
        <v>25</v>
      </c>
      <c r="F490" s="53" t="s">
        <v>25</v>
      </c>
      <c r="G490" s="53" t="s">
        <v>25</v>
      </c>
      <c r="H490" s="53" t="s">
        <v>25</v>
      </c>
      <c r="I490" s="75">
        <v>44531</v>
      </c>
      <c r="J490" s="76">
        <f ca="1">EFEITO!$J$490*EFEITO!$Y$490</f>
        <v>-23499.034413313497</v>
      </c>
      <c r="K490" s="76">
        <f>EFEITO!$L$490*EFEITO!$Z$490</f>
        <v>0</v>
      </c>
      <c r="L490" s="76">
        <f>EFEITO!$N$490*EFEITO!$AA$490</f>
        <v>0</v>
      </c>
      <c r="M490" s="76">
        <f ca="1">$J$490-EFEITO!$K$490*EFEITO!$Y$490</f>
        <v>0</v>
      </c>
      <c r="N490" s="76">
        <f>$K$490-EFEITO!$M$490*EFEITO!$Z$490</f>
        <v>0</v>
      </c>
      <c r="O490" s="76">
        <f>$L$490-EFEITO!$O$490*EFEITO!$AA$490</f>
        <v>0</v>
      </c>
      <c r="P490" s="57"/>
      <c r="Q490" s="57"/>
      <c r="R490" s="57"/>
      <c r="S490" s="57"/>
      <c r="T490" s="57"/>
      <c r="U490" s="57"/>
      <c r="V490" s="57"/>
      <c r="W490" s="5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28</v>
      </c>
      <c r="B491" s="53" t="s">
        <v>41</v>
      </c>
      <c r="C491" s="53" t="s">
        <v>43</v>
      </c>
      <c r="D491" s="53" t="s">
        <v>47</v>
      </c>
      <c r="E491" s="53" t="s">
        <v>25</v>
      </c>
      <c r="F491" s="53" t="s">
        <v>25</v>
      </c>
      <c r="G491" s="53" t="s">
        <v>25</v>
      </c>
      <c r="H491" s="53" t="s">
        <v>25</v>
      </c>
      <c r="I491" s="75">
        <v>44531</v>
      </c>
      <c r="J491" s="76">
        <f ca="1">EFEITO!$J$491*EFEITO!$Y$491</f>
        <v>47782.076286764597</v>
      </c>
      <c r="K491" s="76">
        <f>EFEITO!$L$491*EFEITO!$Z$491</f>
        <v>0</v>
      </c>
      <c r="L491" s="76">
        <f>EFEITO!$N$491*EFEITO!$AA$491</f>
        <v>0</v>
      </c>
      <c r="M491" s="76">
        <f ca="1">$J$491-EFEITO!$K$491*EFEITO!$Y$491</f>
        <v>0</v>
      </c>
      <c r="N491" s="76">
        <f>$K$491-EFEITO!$M$491*EFEITO!$Z$491</f>
        <v>0</v>
      </c>
      <c r="O491" s="76">
        <f>$L$491-EFEITO!$O$491*EFEITO!$AA$491</f>
        <v>0</v>
      </c>
      <c r="P491" s="57"/>
      <c r="Q491" s="57"/>
      <c r="R491" s="57"/>
      <c r="S491" s="57"/>
      <c r="T491" s="57"/>
      <c r="U491" s="57"/>
      <c r="V491" s="57"/>
      <c r="W491" s="5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21</v>
      </c>
      <c r="B492" s="53" t="s">
        <v>41</v>
      </c>
      <c r="C492" s="53" t="s">
        <v>43</v>
      </c>
      <c r="D492" s="53" t="s">
        <v>47</v>
      </c>
      <c r="E492" s="53" t="s">
        <v>25</v>
      </c>
      <c r="F492" s="53" t="s">
        <v>25</v>
      </c>
      <c r="G492" s="53" t="s">
        <v>25</v>
      </c>
      <c r="H492" s="53" t="s">
        <v>25</v>
      </c>
      <c r="I492" s="75">
        <v>44562</v>
      </c>
      <c r="J492" s="76">
        <f ca="1">EFEITO!$J$492*EFEITO!$Y$492</f>
        <v>570460.77950877009</v>
      </c>
      <c r="K492" s="76">
        <f>EFEITO!$L$492*EFEITO!$Z$492</f>
        <v>0</v>
      </c>
      <c r="L492" s="76">
        <f>EFEITO!$N$492*EFEITO!$AA$492</f>
        <v>0</v>
      </c>
      <c r="M492" s="76">
        <f ca="1">$J$492-EFEITO!$K$492*EFEITO!$Y$492</f>
        <v>0</v>
      </c>
      <c r="N492" s="76">
        <f>$K$492-EFEITO!$M$492*EFEITO!$Z$492</f>
        <v>0</v>
      </c>
      <c r="O492" s="76">
        <f>$L$492-EFEITO!$O$492*EFEITO!$AA$492</f>
        <v>0</v>
      </c>
      <c r="P492" s="57"/>
      <c r="Q492" s="57"/>
      <c r="R492" s="57"/>
      <c r="S492" s="57"/>
      <c r="T492" s="57"/>
      <c r="U492" s="57"/>
      <c r="V492" s="57"/>
      <c r="W492" s="5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28</v>
      </c>
      <c r="B493" s="53" t="s">
        <v>41</v>
      </c>
      <c r="C493" s="53" t="s">
        <v>43</v>
      </c>
      <c r="D493" s="53" t="s">
        <v>47</v>
      </c>
      <c r="E493" s="53" t="s">
        <v>25</v>
      </c>
      <c r="F493" s="53" t="s">
        <v>25</v>
      </c>
      <c r="G493" s="53" t="s">
        <v>25</v>
      </c>
      <c r="H493" s="53" t="s">
        <v>25</v>
      </c>
      <c r="I493" s="75">
        <v>44562</v>
      </c>
      <c r="J493" s="76">
        <f ca="1">EFEITO!$J$493*EFEITO!$Y$493</f>
        <v>47782.076286764597</v>
      </c>
      <c r="K493" s="76">
        <f>EFEITO!$L$493*EFEITO!$Z$493</f>
        <v>0</v>
      </c>
      <c r="L493" s="76">
        <f>EFEITO!$N$493*EFEITO!$AA$493</f>
        <v>0</v>
      </c>
      <c r="M493" s="76">
        <f ca="1">$J$493-EFEITO!$K$493*EFEITO!$Y$493</f>
        <v>0</v>
      </c>
      <c r="N493" s="76">
        <f>$K$493-EFEITO!$M$493*EFEITO!$Z$493</f>
        <v>0</v>
      </c>
      <c r="O493" s="76">
        <f>$L$493-EFEITO!$O$493*EFEITO!$AA$493</f>
        <v>0</v>
      </c>
      <c r="P493" s="57"/>
      <c r="Q493" s="57"/>
      <c r="R493" s="57"/>
      <c r="S493" s="57"/>
      <c r="T493" s="57"/>
      <c r="U493" s="57"/>
      <c r="V493" s="57"/>
      <c r="W493" s="5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21</v>
      </c>
      <c r="B494" s="53" t="s">
        <v>41</v>
      </c>
      <c r="C494" s="53" t="s">
        <v>43</v>
      </c>
      <c r="D494" s="53" t="s">
        <v>47</v>
      </c>
      <c r="E494" s="53" t="s">
        <v>25</v>
      </c>
      <c r="F494" s="53" t="s">
        <v>25</v>
      </c>
      <c r="G494" s="53" t="s">
        <v>25</v>
      </c>
      <c r="H494" s="53" t="s">
        <v>25</v>
      </c>
      <c r="I494" s="75">
        <v>44593</v>
      </c>
      <c r="J494" s="76">
        <f ca="1">EFEITO!$J$494*EFEITO!$Y$494</f>
        <v>563256.3866318299</v>
      </c>
      <c r="K494" s="76">
        <f>EFEITO!$L$494*EFEITO!$Z$494</f>
        <v>0</v>
      </c>
      <c r="L494" s="76">
        <f>EFEITO!$N$494*EFEITO!$AA$494</f>
        <v>0</v>
      </c>
      <c r="M494" s="76">
        <f ca="1">$J$494-EFEITO!$K$494*EFEITO!$Y$494</f>
        <v>0</v>
      </c>
      <c r="N494" s="76">
        <f>$K$494-EFEITO!$M$494*EFEITO!$Z$494</f>
        <v>0</v>
      </c>
      <c r="O494" s="76">
        <f>$L$494-EFEITO!$O$494*EFEITO!$AA$494</f>
        <v>0</v>
      </c>
      <c r="P494" s="57"/>
      <c r="Q494" s="57"/>
      <c r="R494" s="57"/>
      <c r="S494" s="57"/>
      <c r="T494" s="57"/>
      <c r="U494" s="57"/>
      <c r="V494" s="57"/>
      <c r="W494" s="5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28</v>
      </c>
      <c r="B495" s="53" t="s">
        <v>41</v>
      </c>
      <c r="C495" s="53" t="s">
        <v>43</v>
      </c>
      <c r="D495" s="53" t="s">
        <v>47</v>
      </c>
      <c r="E495" s="53" t="s">
        <v>25</v>
      </c>
      <c r="F495" s="53" t="s">
        <v>25</v>
      </c>
      <c r="G495" s="53" t="s">
        <v>25</v>
      </c>
      <c r="H495" s="53" t="s">
        <v>25</v>
      </c>
      <c r="I495" s="75">
        <v>44593</v>
      </c>
      <c r="J495" s="76">
        <f ca="1">EFEITO!$J$495*EFEITO!$Y$495</f>
        <v>47782.076286764597</v>
      </c>
      <c r="K495" s="76">
        <f>EFEITO!$L$495*EFEITO!$Z$495</f>
        <v>0</v>
      </c>
      <c r="L495" s="76">
        <f>EFEITO!$N$495*EFEITO!$AA$495</f>
        <v>0</v>
      </c>
      <c r="M495" s="76">
        <f ca="1">$J$495-EFEITO!$K$495*EFEITO!$Y$495</f>
        <v>0</v>
      </c>
      <c r="N495" s="76">
        <f>$K$495-EFEITO!$M$495*EFEITO!$Z$495</f>
        <v>0</v>
      </c>
      <c r="O495" s="76">
        <f>$L$495-EFEITO!$O$495*EFEITO!$AA$495</f>
        <v>0</v>
      </c>
      <c r="P495" s="57"/>
      <c r="Q495" s="57"/>
      <c r="R495" s="57"/>
      <c r="S495" s="57"/>
      <c r="T495" s="57"/>
      <c r="U495" s="57"/>
      <c r="V495" s="57"/>
      <c r="W495" s="5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21</v>
      </c>
      <c r="B496" s="53" t="s">
        <v>41</v>
      </c>
      <c r="C496" s="53" t="s">
        <v>43</v>
      </c>
      <c r="D496" s="53" t="s">
        <v>47</v>
      </c>
      <c r="E496" s="53" t="s">
        <v>25</v>
      </c>
      <c r="F496" s="53" t="s">
        <v>25</v>
      </c>
      <c r="G496" s="53" t="s">
        <v>25</v>
      </c>
      <c r="H496" s="53" t="s">
        <v>25</v>
      </c>
      <c r="I496" s="75">
        <v>44621</v>
      </c>
      <c r="J496" s="76">
        <f ca="1">EFEITO!$J$496*EFEITO!$Y$496</f>
        <v>580758.82344463153</v>
      </c>
      <c r="K496" s="76">
        <f>EFEITO!$L$496*EFEITO!$Z$496</f>
        <v>0</v>
      </c>
      <c r="L496" s="76">
        <f>EFEITO!$N$496*EFEITO!$AA$496</f>
        <v>0</v>
      </c>
      <c r="M496" s="76">
        <f ca="1">$J$496-EFEITO!$K$496*EFEITO!$Y$496</f>
        <v>0</v>
      </c>
      <c r="N496" s="76">
        <f>$K$496-EFEITO!$M$496*EFEITO!$Z$496</f>
        <v>0</v>
      </c>
      <c r="O496" s="76">
        <f>$L$496-EFEITO!$O$496*EFEITO!$AA$496</f>
        <v>0</v>
      </c>
      <c r="P496" s="57"/>
      <c r="Q496" s="57"/>
      <c r="R496" s="57"/>
      <c r="S496" s="57"/>
      <c r="T496" s="57"/>
      <c r="U496" s="57"/>
      <c r="V496" s="57"/>
      <c r="W496" s="5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28</v>
      </c>
      <c r="B497" s="53" t="s">
        <v>41</v>
      </c>
      <c r="C497" s="53" t="s">
        <v>43</v>
      </c>
      <c r="D497" s="53" t="s">
        <v>47</v>
      </c>
      <c r="E497" s="53" t="s">
        <v>25</v>
      </c>
      <c r="F497" s="53" t="s">
        <v>25</v>
      </c>
      <c r="G497" s="53" t="s">
        <v>25</v>
      </c>
      <c r="H497" s="53" t="s">
        <v>25</v>
      </c>
      <c r="I497" s="75">
        <v>44621</v>
      </c>
      <c r="J497" s="76">
        <f ca="1">EFEITO!$J$497*EFEITO!$Y$497</f>
        <v>57274.923371673925</v>
      </c>
      <c r="K497" s="76">
        <f>EFEITO!$L$497*EFEITO!$Z$497</f>
        <v>0</v>
      </c>
      <c r="L497" s="76">
        <f>EFEITO!$N$497*EFEITO!$AA$497</f>
        <v>0</v>
      </c>
      <c r="M497" s="76">
        <f ca="1">$J$497-EFEITO!$K$497*EFEITO!$Y$497</f>
        <v>0</v>
      </c>
      <c r="N497" s="76">
        <f>$K$497-EFEITO!$M$497*EFEITO!$Z$497</f>
        <v>0</v>
      </c>
      <c r="O497" s="76">
        <f>$L$497-EFEITO!$O$497*EFEITO!$AA$497</f>
        <v>0</v>
      </c>
      <c r="P497" s="57"/>
      <c r="Q497" s="57"/>
      <c r="R497" s="57"/>
      <c r="S497" s="57"/>
      <c r="T497" s="57"/>
      <c r="U497" s="57"/>
      <c r="V497" s="57"/>
      <c r="W497" s="5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21</v>
      </c>
      <c r="B498" s="53" t="s">
        <v>41</v>
      </c>
      <c r="C498" s="53" t="s">
        <v>43</v>
      </c>
      <c r="D498" s="53" t="s">
        <v>47</v>
      </c>
      <c r="E498" s="53" t="s">
        <v>25</v>
      </c>
      <c r="F498" s="53" t="s">
        <v>25</v>
      </c>
      <c r="G498" s="53" t="s">
        <v>25</v>
      </c>
      <c r="H498" s="53" t="s">
        <v>25</v>
      </c>
      <c r="I498" s="75">
        <v>44652</v>
      </c>
      <c r="J498" s="76">
        <f ca="1">EFEITO!$J$498*EFEITO!$Y$498</f>
        <v>583598.20181377849</v>
      </c>
      <c r="K498" s="76">
        <f>EFEITO!$L$498*EFEITO!$Z$498</f>
        <v>0</v>
      </c>
      <c r="L498" s="76">
        <f>EFEITO!$N$498*EFEITO!$AA$498</f>
        <v>0</v>
      </c>
      <c r="M498" s="76">
        <f ca="1">$J$498-EFEITO!$K$498*EFEITO!$Y$498</f>
        <v>0</v>
      </c>
      <c r="N498" s="76">
        <f>$K$498-EFEITO!$M$498*EFEITO!$Z$498</f>
        <v>0</v>
      </c>
      <c r="O498" s="76">
        <f>$L$498-EFEITO!$O$498*EFEITO!$AA$498</f>
        <v>0</v>
      </c>
      <c r="P498" s="57"/>
      <c r="Q498" s="57"/>
      <c r="R498" s="57"/>
      <c r="S498" s="57"/>
      <c r="T498" s="57"/>
      <c r="U498" s="57"/>
      <c r="V498" s="57"/>
      <c r="W498" s="5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28</v>
      </c>
      <c r="B499" s="53" t="s">
        <v>41</v>
      </c>
      <c r="C499" s="53" t="s">
        <v>43</v>
      </c>
      <c r="D499" s="53" t="s">
        <v>47</v>
      </c>
      <c r="E499" s="53" t="s">
        <v>25</v>
      </c>
      <c r="F499" s="53" t="s">
        <v>25</v>
      </c>
      <c r="G499" s="53" t="s">
        <v>25</v>
      </c>
      <c r="H499" s="53" t="s">
        <v>25</v>
      </c>
      <c r="I499" s="75">
        <v>44652</v>
      </c>
      <c r="J499" s="76">
        <f ca="1">EFEITO!$J$499*EFEITO!$Y$499</f>
        <v>51405.462116049188</v>
      </c>
      <c r="K499" s="76">
        <f>EFEITO!$L$499*EFEITO!$Z$499</f>
        <v>0</v>
      </c>
      <c r="L499" s="76">
        <f>EFEITO!$N$499*EFEITO!$AA$499</f>
        <v>0</v>
      </c>
      <c r="M499" s="76">
        <f ca="1">$J$499-EFEITO!$K$499*EFEITO!$Y$499</f>
        <v>0</v>
      </c>
      <c r="N499" s="76">
        <f>$K$499-EFEITO!$M$499*EFEITO!$Z$499</f>
        <v>0</v>
      </c>
      <c r="O499" s="76">
        <f>$L$499-EFEITO!$O$499*EFEITO!$AA$499</f>
        <v>0</v>
      </c>
      <c r="P499" s="57"/>
      <c r="Q499" s="57"/>
      <c r="R499" s="57"/>
      <c r="S499" s="57"/>
      <c r="T499" s="57"/>
      <c r="U499" s="57"/>
      <c r="V499" s="57"/>
      <c r="W499" s="5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28</v>
      </c>
      <c r="B500" s="53" t="s">
        <v>41</v>
      </c>
      <c r="C500" s="53" t="s">
        <v>43</v>
      </c>
      <c r="D500" s="53" t="s">
        <v>47</v>
      </c>
      <c r="E500" s="53" t="s">
        <v>25</v>
      </c>
      <c r="F500" s="53" t="s">
        <v>25</v>
      </c>
      <c r="G500" s="53" t="s">
        <v>25</v>
      </c>
      <c r="H500" s="53" t="s">
        <v>25</v>
      </c>
      <c r="I500" s="75">
        <v>44652</v>
      </c>
      <c r="J500" s="76">
        <f ca="1">EFEITO!$J$500*EFEITO!$Y$500</f>
        <v>-6102.5445545845696</v>
      </c>
      <c r="K500" s="76">
        <f>EFEITO!$L$500*EFEITO!$Z$500</f>
        <v>0</v>
      </c>
      <c r="L500" s="76">
        <f>EFEITO!$N$500*EFEITO!$AA$500</f>
        <v>0</v>
      </c>
      <c r="M500" s="76">
        <f ca="1">$J$500-EFEITO!$K$500*EFEITO!$Y$500</f>
        <v>0</v>
      </c>
      <c r="N500" s="76">
        <f>$K$500-EFEITO!$M$500*EFEITO!$Z$500</f>
        <v>0</v>
      </c>
      <c r="O500" s="76">
        <f>$L$500-EFEITO!$O$500*EFEITO!$AA$500</f>
        <v>0</v>
      </c>
      <c r="P500" s="57"/>
      <c r="Q500" s="57"/>
      <c r="R500" s="57"/>
      <c r="S500" s="57"/>
      <c r="T500" s="57"/>
      <c r="U500" s="57"/>
      <c r="V500" s="57"/>
      <c r="W500" s="5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41</v>
      </c>
      <c r="C501" s="53" t="s">
        <v>43</v>
      </c>
      <c r="D501" s="53" t="s">
        <v>47</v>
      </c>
      <c r="E501" s="53" t="s">
        <v>25</v>
      </c>
      <c r="F501" s="53" t="s">
        <v>25</v>
      </c>
      <c r="G501" s="53" t="s">
        <v>25</v>
      </c>
      <c r="H501" s="53" t="s">
        <v>25</v>
      </c>
      <c r="I501" s="75">
        <v>44682</v>
      </c>
      <c r="J501" s="76">
        <f ca="1">EFEITO!$J$501*EFEITO!$Y$501</f>
        <v>573321.34726873157</v>
      </c>
      <c r="K501" s="76">
        <f>EFEITO!$L$501*EFEITO!$Z$501</f>
        <v>0</v>
      </c>
      <c r="L501" s="76">
        <f>EFEITO!$N$501*EFEITO!$AA$501</f>
        <v>0</v>
      </c>
      <c r="M501" s="76">
        <f ca="1">$J$501-EFEITO!$K$501*EFEITO!$Y$501</f>
        <v>0</v>
      </c>
      <c r="N501" s="76">
        <f>$K$501-EFEITO!$M$501*EFEITO!$Z$501</f>
        <v>0</v>
      </c>
      <c r="O501" s="76">
        <f>$L$501-EFEITO!$O$501*EFEITO!$AA$501</f>
        <v>0</v>
      </c>
      <c r="P501" s="57"/>
      <c r="Q501" s="57"/>
      <c r="R501" s="57"/>
      <c r="S501" s="57"/>
      <c r="T501" s="57"/>
      <c r="U501" s="57"/>
      <c r="V501" s="57"/>
      <c r="W501" s="5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27</v>
      </c>
      <c r="B502" s="53" t="s">
        <v>41</v>
      </c>
      <c r="C502" s="53" t="s">
        <v>43</v>
      </c>
      <c r="D502" s="53" t="s">
        <v>47</v>
      </c>
      <c r="E502" s="53" t="s">
        <v>25</v>
      </c>
      <c r="F502" s="53" t="s">
        <v>25</v>
      </c>
      <c r="G502" s="53" t="s">
        <v>25</v>
      </c>
      <c r="H502" s="53" t="s">
        <v>25</v>
      </c>
      <c r="I502" s="75">
        <v>44682</v>
      </c>
      <c r="J502" s="76">
        <f ca="1">EFEITO!$J$502*EFEITO!$Y$502</f>
        <v>-5085.4537954871412</v>
      </c>
      <c r="K502" s="76">
        <f>EFEITO!$L$502*EFEITO!$Z$502</f>
        <v>0</v>
      </c>
      <c r="L502" s="76">
        <f>EFEITO!$N$502*EFEITO!$AA$502</f>
        <v>0</v>
      </c>
      <c r="M502" s="76">
        <f ca="1">$J$502-EFEITO!$K$502*EFEITO!$Y$502</f>
        <v>0</v>
      </c>
      <c r="N502" s="76">
        <f>$K$502-EFEITO!$M$502*EFEITO!$Z$502</f>
        <v>0</v>
      </c>
      <c r="O502" s="76">
        <f>$L$502-EFEITO!$O$502*EFEITO!$AA$502</f>
        <v>0</v>
      </c>
      <c r="P502" s="57"/>
      <c r="Q502" s="57"/>
      <c r="R502" s="57"/>
      <c r="S502" s="57"/>
      <c r="T502" s="57"/>
      <c r="U502" s="57"/>
      <c r="V502" s="57"/>
      <c r="W502" s="5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28</v>
      </c>
      <c r="B503" s="53" t="s">
        <v>41</v>
      </c>
      <c r="C503" s="53" t="s">
        <v>43</v>
      </c>
      <c r="D503" s="53" t="s">
        <v>47</v>
      </c>
      <c r="E503" s="53" t="s">
        <v>25</v>
      </c>
      <c r="F503" s="53" t="s">
        <v>25</v>
      </c>
      <c r="G503" s="53" t="s">
        <v>25</v>
      </c>
      <c r="H503" s="53" t="s">
        <v>25</v>
      </c>
      <c r="I503" s="75">
        <v>44682</v>
      </c>
      <c r="J503" s="76">
        <f ca="1">EFEITO!$J$503*EFEITO!$Y$503</f>
        <v>51172.37881708936</v>
      </c>
      <c r="K503" s="76">
        <f>EFEITO!$L$503*EFEITO!$Z$503</f>
        <v>0</v>
      </c>
      <c r="L503" s="76">
        <f>EFEITO!$N$503*EFEITO!$AA$503</f>
        <v>0</v>
      </c>
      <c r="M503" s="76">
        <f ca="1">$J$503-EFEITO!$K$503*EFEITO!$Y$503</f>
        <v>0</v>
      </c>
      <c r="N503" s="76">
        <f>$K$503-EFEITO!$M$503*EFEITO!$Z$503</f>
        <v>0</v>
      </c>
      <c r="O503" s="76">
        <f>$L$503-EFEITO!$O$503*EFEITO!$AA$503</f>
        <v>0</v>
      </c>
      <c r="P503" s="57"/>
      <c r="Q503" s="57"/>
      <c r="R503" s="57"/>
      <c r="S503" s="57"/>
      <c r="T503" s="57"/>
      <c r="U503" s="57"/>
      <c r="V503" s="57"/>
      <c r="W503" s="5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21</v>
      </c>
      <c r="B504" s="53" t="s">
        <v>41</v>
      </c>
      <c r="C504" s="53" t="s">
        <v>43</v>
      </c>
      <c r="D504" s="53" t="s">
        <v>47</v>
      </c>
      <c r="E504" s="53" t="s">
        <v>25</v>
      </c>
      <c r="F504" s="53" t="s">
        <v>25</v>
      </c>
      <c r="G504" s="53" t="s">
        <v>25</v>
      </c>
      <c r="H504" s="53" t="s">
        <v>25</v>
      </c>
      <c r="I504" s="75">
        <v>44713</v>
      </c>
      <c r="J504" s="76">
        <f ca="1">EFEITO!$J$504*EFEITO!$Y$504</f>
        <v>576054.77868380595</v>
      </c>
      <c r="K504" s="76">
        <f>EFEITO!$L$504*EFEITO!$Z$504</f>
        <v>0</v>
      </c>
      <c r="L504" s="76">
        <f>EFEITO!$N$504*EFEITO!$AA$504</f>
        <v>0</v>
      </c>
      <c r="M504" s="76">
        <f ca="1">$J$504-EFEITO!$K$504*EFEITO!$Y$504</f>
        <v>0</v>
      </c>
      <c r="N504" s="76">
        <f>$K$504-EFEITO!$M$504*EFEITO!$Z$504</f>
        <v>0</v>
      </c>
      <c r="O504" s="76">
        <f>$L$504-EFEITO!$O$504*EFEITO!$AA$504</f>
        <v>0</v>
      </c>
      <c r="P504" s="57"/>
      <c r="Q504" s="57"/>
      <c r="R504" s="57"/>
      <c r="S504" s="57"/>
      <c r="T504" s="57"/>
      <c r="U504" s="57"/>
      <c r="V504" s="57"/>
      <c r="W504" s="5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28</v>
      </c>
      <c r="B505" s="53" t="s">
        <v>41</v>
      </c>
      <c r="C505" s="53" t="s">
        <v>43</v>
      </c>
      <c r="D505" s="53" t="s">
        <v>47</v>
      </c>
      <c r="E505" s="53" t="s">
        <v>25</v>
      </c>
      <c r="F505" s="53" t="s">
        <v>25</v>
      </c>
      <c r="G505" s="53" t="s">
        <v>25</v>
      </c>
      <c r="H505" s="53" t="s">
        <v>25</v>
      </c>
      <c r="I505" s="75">
        <v>44713</v>
      </c>
      <c r="J505" s="76">
        <f ca="1">EFEITO!$J$505*EFEITO!$Y$505</f>
        <v>51257.136380347474</v>
      </c>
      <c r="K505" s="76">
        <f>EFEITO!$L$505*EFEITO!$Z$505</f>
        <v>0</v>
      </c>
      <c r="L505" s="76">
        <f>EFEITO!$N$505*EFEITO!$AA$505</f>
        <v>0</v>
      </c>
      <c r="M505" s="76">
        <f ca="1">$J$505-EFEITO!$K$505*EFEITO!$Y$505</f>
        <v>0</v>
      </c>
      <c r="N505" s="76">
        <f>$K$505-EFEITO!$M$505*EFEITO!$Z$505</f>
        <v>0</v>
      </c>
      <c r="O505" s="76">
        <f>$L$505-EFEITO!$O$505*EFEITO!$AA$505</f>
        <v>0</v>
      </c>
      <c r="P505" s="57"/>
      <c r="Q505" s="57"/>
      <c r="R505" s="57"/>
      <c r="S505" s="57"/>
      <c r="T505" s="57"/>
      <c r="U505" s="57"/>
      <c r="V505" s="57"/>
      <c r="W505" s="5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21</v>
      </c>
      <c r="B506" s="53" t="s">
        <v>41</v>
      </c>
      <c r="C506" s="53" t="s">
        <v>43</v>
      </c>
      <c r="D506" s="53" t="s">
        <v>47</v>
      </c>
      <c r="E506" s="53" t="s">
        <v>25</v>
      </c>
      <c r="F506" s="53" t="s">
        <v>25</v>
      </c>
      <c r="G506" s="53" t="s">
        <v>25</v>
      </c>
      <c r="H506" s="53" t="s">
        <v>25</v>
      </c>
      <c r="I506" s="75">
        <v>44743</v>
      </c>
      <c r="J506" s="76">
        <f ca="1">EFEITO!$J$506*EFEITO!$Y$506</f>
        <v>624493.72608582093</v>
      </c>
      <c r="K506" s="76">
        <f>EFEITO!$L$506*EFEITO!$Z$506</f>
        <v>0</v>
      </c>
      <c r="L506" s="76">
        <f>EFEITO!$N$506*EFEITO!$AA$506</f>
        <v>0</v>
      </c>
      <c r="M506" s="76">
        <f ca="1">$J$506-EFEITO!$K$506*EFEITO!$Y$506</f>
        <v>0</v>
      </c>
      <c r="N506" s="76">
        <f>$K$506-EFEITO!$M$506*EFEITO!$Z$506</f>
        <v>0</v>
      </c>
      <c r="O506" s="76">
        <f>$L$506-EFEITO!$O$506*EFEITO!$AA$506</f>
        <v>0</v>
      </c>
      <c r="P506" s="57"/>
      <c r="Q506" s="57"/>
      <c r="R506" s="57"/>
      <c r="S506" s="57"/>
      <c r="T506" s="57"/>
      <c r="U506" s="57"/>
      <c r="V506" s="57"/>
      <c r="W506" s="5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27</v>
      </c>
      <c r="B507" s="53" t="s">
        <v>41</v>
      </c>
      <c r="C507" s="53" t="s">
        <v>43</v>
      </c>
      <c r="D507" s="53" t="s">
        <v>47</v>
      </c>
      <c r="E507" s="53" t="s">
        <v>25</v>
      </c>
      <c r="F507" s="53" t="s">
        <v>25</v>
      </c>
      <c r="G507" s="53" t="s">
        <v>25</v>
      </c>
      <c r="H507" s="53" t="s">
        <v>25</v>
      </c>
      <c r="I507" s="75">
        <v>44743</v>
      </c>
      <c r="J507" s="76">
        <f ca="1">EFEITO!$J$507*EFEITO!$Y$507</f>
        <v>7988.4003370777173</v>
      </c>
      <c r="K507" s="76">
        <f>EFEITO!$L$507*EFEITO!$Z$507</f>
        <v>0</v>
      </c>
      <c r="L507" s="76">
        <f>EFEITO!$N$507*EFEITO!$AA$507</f>
        <v>0</v>
      </c>
      <c r="M507" s="76">
        <f ca="1">$J$507-EFEITO!$K$507*EFEITO!$Y$507</f>
        <v>0</v>
      </c>
      <c r="N507" s="76">
        <f>$K$507-EFEITO!$M$507*EFEITO!$Z$507</f>
        <v>0</v>
      </c>
      <c r="O507" s="76">
        <f>$L$507-EFEITO!$O$507*EFEITO!$AA$507</f>
        <v>0</v>
      </c>
      <c r="P507" s="57"/>
      <c r="Q507" s="57"/>
      <c r="R507" s="57"/>
      <c r="S507" s="57"/>
      <c r="T507" s="57"/>
      <c r="U507" s="57"/>
      <c r="V507" s="57"/>
      <c r="W507" s="5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28</v>
      </c>
      <c r="B508" s="53" t="s">
        <v>41</v>
      </c>
      <c r="C508" s="53" t="s">
        <v>43</v>
      </c>
      <c r="D508" s="53" t="s">
        <v>47</v>
      </c>
      <c r="E508" s="53" t="s">
        <v>25</v>
      </c>
      <c r="F508" s="53" t="s">
        <v>25</v>
      </c>
      <c r="G508" s="53" t="s">
        <v>25</v>
      </c>
      <c r="H508" s="53" t="s">
        <v>25</v>
      </c>
      <c r="I508" s="75">
        <v>44743</v>
      </c>
      <c r="J508" s="76">
        <f ca="1">EFEITO!$J$508*EFEITO!$Y$508</f>
        <v>51172.37881708936</v>
      </c>
      <c r="K508" s="76">
        <f>EFEITO!$L$508*EFEITO!$Z$508</f>
        <v>0</v>
      </c>
      <c r="L508" s="76">
        <f>EFEITO!$N$508*EFEITO!$AA$508</f>
        <v>0</v>
      </c>
      <c r="M508" s="76">
        <f ca="1">$J$508-EFEITO!$K$508*EFEITO!$Y$508</f>
        <v>0</v>
      </c>
      <c r="N508" s="76">
        <f>$K$508-EFEITO!$M$508*EFEITO!$Z$508</f>
        <v>0</v>
      </c>
      <c r="O508" s="76">
        <f>$L$508-EFEITO!$O$508*EFEITO!$AA$508</f>
        <v>0</v>
      </c>
      <c r="P508" s="57"/>
      <c r="Q508" s="57"/>
      <c r="R508" s="57"/>
      <c r="S508" s="57"/>
      <c r="T508" s="57"/>
      <c r="U508" s="57"/>
      <c r="V508" s="57"/>
      <c r="W508" s="5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21</v>
      </c>
      <c r="B509" s="53" t="s">
        <v>41</v>
      </c>
      <c r="C509" s="53" t="s">
        <v>43</v>
      </c>
      <c r="D509" s="53" t="s">
        <v>47</v>
      </c>
      <c r="E509" s="53" t="s">
        <v>25</v>
      </c>
      <c r="F509" s="53" t="s">
        <v>25</v>
      </c>
      <c r="G509" s="53" t="s">
        <v>25</v>
      </c>
      <c r="H509" s="53" t="s">
        <v>25</v>
      </c>
      <c r="I509" s="75">
        <v>44774</v>
      </c>
      <c r="J509" s="76">
        <f ca="1">EFEITO!$J$509*EFEITO!$Y$509</f>
        <v>507528.28878961672</v>
      </c>
      <c r="K509" s="76">
        <f>EFEITO!$L$509*EFEITO!$Z$509</f>
        <v>0</v>
      </c>
      <c r="L509" s="76">
        <f>EFEITO!$N$509*EFEITO!$AA$509</f>
        <v>0</v>
      </c>
      <c r="M509" s="76">
        <f ca="1">$J$509-EFEITO!$K$509*EFEITO!$Y$509</f>
        <v>0</v>
      </c>
      <c r="N509" s="76">
        <f>$K$509-EFEITO!$M$509*EFEITO!$Z$509</f>
        <v>0</v>
      </c>
      <c r="O509" s="76">
        <f>$L$509-EFEITO!$O$509*EFEITO!$AA$509</f>
        <v>0</v>
      </c>
      <c r="P509" s="57"/>
      <c r="Q509" s="57"/>
      <c r="R509" s="57"/>
      <c r="S509" s="57"/>
      <c r="T509" s="57"/>
      <c r="U509" s="57"/>
      <c r="V509" s="57"/>
      <c r="W509" s="5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27</v>
      </c>
      <c r="B510" s="53" t="s">
        <v>41</v>
      </c>
      <c r="C510" s="53" t="s">
        <v>43</v>
      </c>
      <c r="D510" s="53" t="s">
        <v>47</v>
      </c>
      <c r="E510" s="53" t="s">
        <v>25</v>
      </c>
      <c r="F510" s="53" t="s">
        <v>25</v>
      </c>
      <c r="G510" s="53" t="s">
        <v>25</v>
      </c>
      <c r="H510" s="53" t="s">
        <v>25</v>
      </c>
      <c r="I510" s="75">
        <v>44774</v>
      </c>
      <c r="J510" s="76">
        <f ca="1">EFEITO!$J$510*EFEITO!$Y$510</f>
        <v>-75836.829725201998</v>
      </c>
      <c r="K510" s="76">
        <f>EFEITO!$L$510*EFEITO!$Z$510</f>
        <v>0</v>
      </c>
      <c r="L510" s="76">
        <f>EFEITO!$N$510*EFEITO!$AA$510</f>
        <v>0</v>
      </c>
      <c r="M510" s="76">
        <f ca="1">$J$510-EFEITO!$K$510*EFEITO!$Y$510</f>
        <v>0</v>
      </c>
      <c r="N510" s="76">
        <f>$K$510-EFEITO!$M$510*EFEITO!$Z$510</f>
        <v>0</v>
      </c>
      <c r="O510" s="76">
        <f>$L$510-EFEITO!$O$510*EFEITO!$AA$510</f>
        <v>0</v>
      </c>
      <c r="P510" s="57"/>
      <c r="Q510" s="57"/>
      <c r="R510" s="57"/>
      <c r="S510" s="57"/>
      <c r="T510" s="57"/>
      <c r="U510" s="57"/>
      <c r="V510" s="57"/>
      <c r="W510" s="5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28</v>
      </c>
      <c r="B511" s="53" t="s">
        <v>41</v>
      </c>
      <c r="C511" s="53" t="s">
        <v>43</v>
      </c>
      <c r="D511" s="53" t="s">
        <v>47</v>
      </c>
      <c r="E511" s="53" t="s">
        <v>25</v>
      </c>
      <c r="F511" s="53" t="s">
        <v>25</v>
      </c>
      <c r="G511" s="53" t="s">
        <v>25</v>
      </c>
      <c r="H511" s="53" t="s">
        <v>25</v>
      </c>
      <c r="I511" s="75">
        <v>44774</v>
      </c>
      <c r="J511" s="76">
        <f ca="1">EFEITO!$J$511*EFEITO!$Y$511</f>
        <v>51829.249932339779</v>
      </c>
      <c r="K511" s="76">
        <f>EFEITO!$L$511*EFEITO!$Z$511</f>
        <v>0</v>
      </c>
      <c r="L511" s="76">
        <f>EFEITO!$N$511*EFEITO!$AA$511</f>
        <v>0</v>
      </c>
      <c r="M511" s="76">
        <f ca="1">$J$511-EFEITO!$K$511*EFEITO!$Y$511</f>
        <v>0</v>
      </c>
      <c r="N511" s="76">
        <f>$K$511-EFEITO!$M$511*EFEITO!$Z$511</f>
        <v>0</v>
      </c>
      <c r="O511" s="76">
        <f>$L$511-EFEITO!$O$511*EFEITO!$AA$511</f>
        <v>0</v>
      </c>
      <c r="P511" s="57"/>
      <c r="Q511" s="57"/>
      <c r="R511" s="57"/>
      <c r="S511" s="57"/>
      <c r="T511" s="57"/>
      <c r="U511" s="57"/>
      <c r="V511" s="57"/>
      <c r="W511" s="5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21</v>
      </c>
      <c r="B512" s="53" t="s">
        <v>41</v>
      </c>
      <c r="C512" s="53" t="s">
        <v>43</v>
      </c>
      <c r="D512" s="53" t="s">
        <v>47</v>
      </c>
      <c r="E512" s="53" t="s">
        <v>25</v>
      </c>
      <c r="F512" s="53" t="s">
        <v>25</v>
      </c>
      <c r="G512" s="53" t="s">
        <v>25</v>
      </c>
      <c r="H512" s="53" t="s">
        <v>25</v>
      </c>
      <c r="I512" s="75">
        <v>44805</v>
      </c>
      <c r="J512" s="76">
        <f ca="1">EFEITO!$J$512*EFEITO!$Y$512</f>
        <v>563934.44713789492</v>
      </c>
      <c r="K512" s="76">
        <f>EFEITO!$L$512*EFEITO!$Z$512</f>
        <v>0</v>
      </c>
      <c r="L512" s="76">
        <f>EFEITO!$N$512*EFEITO!$AA$512</f>
        <v>0</v>
      </c>
      <c r="M512" s="76">
        <f ca="1">$J$512-EFEITO!$K$512*EFEITO!$Y$512</f>
        <v>0</v>
      </c>
      <c r="N512" s="76">
        <f>$K$512-EFEITO!$M$512*EFEITO!$Z$512</f>
        <v>0</v>
      </c>
      <c r="O512" s="76">
        <f>$L$512-EFEITO!$O$512*EFEITO!$AA$512</f>
        <v>0</v>
      </c>
      <c r="P512" s="57"/>
      <c r="Q512" s="57"/>
      <c r="R512" s="57"/>
      <c r="S512" s="57"/>
      <c r="T512" s="57"/>
      <c r="U512" s="57"/>
      <c r="V512" s="57"/>
      <c r="W512" s="5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27</v>
      </c>
      <c r="B513" s="53" t="s">
        <v>41</v>
      </c>
      <c r="C513" s="53" t="s">
        <v>43</v>
      </c>
      <c r="D513" s="53" t="s">
        <v>47</v>
      </c>
      <c r="E513" s="53" t="s">
        <v>25</v>
      </c>
      <c r="F513" s="53" t="s">
        <v>25</v>
      </c>
      <c r="G513" s="53" t="s">
        <v>25</v>
      </c>
      <c r="H513" s="53" t="s">
        <v>25</v>
      </c>
      <c r="I513" s="75">
        <v>44805</v>
      </c>
      <c r="J513" s="76">
        <f ca="1">EFEITO!$J$513*EFEITO!$Y$513</f>
        <v>62296.808994717481</v>
      </c>
      <c r="K513" s="76">
        <f>EFEITO!$L$513*EFEITO!$Z$513</f>
        <v>0</v>
      </c>
      <c r="L513" s="76">
        <f>EFEITO!$N$513*EFEITO!$AA$513</f>
        <v>0</v>
      </c>
      <c r="M513" s="76">
        <f ca="1">$J$513-EFEITO!$K$513*EFEITO!$Y$513</f>
        <v>0</v>
      </c>
      <c r="N513" s="76">
        <f>$K$513-EFEITO!$M$513*EFEITO!$Z$513</f>
        <v>0</v>
      </c>
      <c r="O513" s="76">
        <f>$L$513-EFEITO!$O$513*EFEITO!$AA$513</f>
        <v>0</v>
      </c>
      <c r="P513" s="57"/>
      <c r="Q513" s="57"/>
      <c r="R513" s="57"/>
      <c r="S513" s="57"/>
      <c r="T513" s="57"/>
      <c r="U513" s="57"/>
      <c r="V513" s="57"/>
      <c r="W513" s="5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28</v>
      </c>
      <c r="B514" s="53" t="s">
        <v>41</v>
      </c>
      <c r="C514" s="53" t="s">
        <v>43</v>
      </c>
      <c r="D514" s="53" t="s">
        <v>47</v>
      </c>
      <c r="E514" s="53" t="s">
        <v>25</v>
      </c>
      <c r="F514" s="53" t="s">
        <v>25</v>
      </c>
      <c r="G514" s="53" t="s">
        <v>25</v>
      </c>
      <c r="H514" s="53" t="s">
        <v>25</v>
      </c>
      <c r="I514" s="75">
        <v>44805</v>
      </c>
      <c r="J514" s="76">
        <f ca="1">EFEITO!$J$514*EFEITO!$Y$514</f>
        <v>52825.151300622681</v>
      </c>
      <c r="K514" s="76">
        <f>EFEITO!$L$514*EFEITO!$Z$514</f>
        <v>0</v>
      </c>
      <c r="L514" s="76">
        <f>EFEITO!$N$514*EFEITO!$AA$514</f>
        <v>0</v>
      </c>
      <c r="M514" s="76">
        <f ca="1">$J$514-EFEITO!$K$514*EFEITO!$Y$514</f>
        <v>0</v>
      </c>
      <c r="N514" s="76">
        <f>$K$514-EFEITO!$M$514*EFEITO!$Z$514</f>
        <v>0</v>
      </c>
      <c r="O514" s="76">
        <f>$L$514-EFEITO!$O$514*EFEITO!$AA$514</f>
        <v>0</v>
      </c>
      <c r="P514" s="57"/>
      <c r="Q514" s="57"/>
      <c r="R514" s="57"/>
      <c r="S514" s="57"/>
      <c r="T514" s="57"/>
      <c r="U514" s="57"/>
      <c r="V514" s="57"/>
      <c r="W514" s="5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21</v>
      </c>
      <c r="B515" s="53" t="s">
        <v>41</v>
      </c>
      <c r="C515" s="53" t="s">
        <v>43</v>
      </c>
      <c r="D515" s="53" t="s">
        <v>47</v>
      </c>
      <c r="E515" s="53" t="s">
        <v>25</v>
      </c>
      <c r="F515" s="53" t="s">
        <v>25</v>
      </c>
      <c r="G515" s="53" t="s">
        <v>25</v>
      </c>
      <c r="H515" s="53" t="s">
        <v>25</v>
      </c>
      <c r="I515" s="75">
        <v>44835</v>
      </c>
      <c r="J515" s="76">
        <f ca="1">EFEITO!$J$515*EFEITO!$Y$515</f>
        <v>562324.05343599059</v>
      </c>
      <c r="K515" s="76">
        <f>EFEITO!$L$515*EFEITO!$Z$515</f>
        <v>0</v>
      </c>
      <c r="L515" s="76">
        <f>EFEITO!$N$515*EFEITO!$AA$515</f>
        <v>0</v>
      </c>
      <c r="M515" s="76">
        <f ca="1">$J$515-EFEITO!$K$515*EFEITO!$Y$515</f>
        <v>0</v>
      </c>
      <c r="N515" s="76">
        <f>$K$515-EFEITO!$M$515*EFEITO!$Z$515</f>
        <v>0</v>
      </c>
      <c r="O515" s="76">
        <f>$L$515-EFEITO!$O$515*EFEITO!$AA$515</f>
        <v>0</v>
      </c>
      <c r="P515" s="57"/>
      <c r="Q515" s="57"/>
      <c r="R515" s="57"/>
      <c r="S515" s="57"/>
      <c r="T515" s="57"/>
      <c r="U515" s="57"/>
      <c r="V515" s="57"/>
      <c r="W515" s="5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28</v>
      </c>
      <c r="B516" s="53" t="s">
        <v>41</v>
      </c>
      <c r="C516" s="53" t="s">
        <v>43</v>
      </c>
      <c r="D516" s="53" t="s">
        <v>47</v>
      </c>
      <c r="E516" s="53" t="s">
        <v>25</v>
      </c>
      <c r="F516" s="53" t="s">
        <v>25</v>
      </c>
      <c r="G516" s="53" t="s">
        <v>25</v>
      </c>
      <c r="H516" s="53" t="s">
        <v>25</v>
      </c>
      <c r="I516" s="75">
        <v>44835</v>
      </c>
      <c r="J516" s="76">
        <f ca="1">EFEITO!$J$516*EFEITO!$Y$516</f>
        <v>59012.453418465368</v>
      </c>
      <c r="K516" s="76">
        <f>EFEITO!$L$516*EFEITO!$Z$516</f>
        <v>0</v>
      </c>
      <c r="L516" s="76">
        <f>EFEITO!$N$516*EFEITO!$AA$516</f>
        <v>0</v>
      </c>
      <c r="M516" s="76">
        <f ca="1">$J$516-EFEITO!$K$516*EFEITO!$Y$516</f>
        <v>0</v>
      </c>
      <c r="N516" s="76">
        <f>$K$516-EFEITO!$M$516*EFEITO!$Z$516</f>
        <v>0</v>
      </c>
      <c r="O516" s="76">
        <f>$L$516-EFEITO!$O$516*EFEITO!$AA$516</f>
        <v>0</v>
      </c>
      <c r="P516" s="57"/>
      <c r="Q516" s="57"/>
      <c r="R516" s="57"/>
      <c r="S516" s="57"/>
      <c r="T516" s="57"/>
      <c r="U516" s="57"/>
      <c r="V516" s="57"/>
      <c r="W516" s="5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28</v>
      </c>
      <c r="B517" s="53" t="s">
        <v>41</v>
      </c>
      <c r="C517" s="53" t="s">
        <v>43</v>
      </c>
      <c r="D517" s="53" t="s">
        <v>47</v>
      </c>
      <c r="E517" s="53" t="s">
        <v>25</v>
      </c>
      <c r="F517" s="53" t="s">
        <v>25</v>
      </c>
      <c r="G517" s="53" t="s">
        <v>25</v>
      </c>
      <c r="H517" s="53" t="s">
        <v>25</v>
      </c>
      <c r="I517" s="75">
        <v>44835</v>
      </c>
      <c r="J517" s="76">
        <f ca="1">EFEITO!$J$517*EFEITO!$Y$517</f>
        <v>9959.0136828289851</v>
      </c>
      <c r="K517" s="76">
        <f>EFEITO!$L$517*EFEITO!$Z$517</f>
        <v>0</v>
      </c>
      <c r="L517" s="76">
        <f>EFEITO!$N$517*EFEITO!$AA$517</f>
        <v>0</v>
      </c>
      <c r="M517" s="76">
        <f ca="1">$J$517-EFEITO!$K$517*EFEITO!$Y$517</f>
        <v>0</v>
      </c>
      <c r="N517" s="76">
        <f>$K$517-EFEITO!$M$517*EFEITO!$Z$517</f>
        <v>0</v>
      </c>
      <c r="O517" s="76">
        <f>$L$517-EFEITO!$O$517*EFEITO!$AA$517</f>
        <v>0</v>
      </c>
      <c r="P517" s="57"/>
      <c r="Q517" s="57"/>
      <c r="R517" s="57"/>
      <c r="S517" s="57"/>
      <c r="T517" s="57"/>
      <c r="U517" s="57"/>
      <c r="V517" s="57"/>
      <c r="W517" s="5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54</v>
      </c>
      <c r="B518" s="53" t="s">
        <v>41</v>
      </c>
      <c r="C518" s="53" t="s">
        <v>43</v>
      </c>
      <c r="D518" s="53" t="s">
        <v>47</v>
      </c>
      <c r="E518" s="53" t="s">
        <v>25</v>
      </c>
      <c r="F518" s="53" t="s">
        <v>25</v>
      </c>
      <c r="G518" s="53" t="s">
        <v>25</v>
      </c>
      <c r="H518" s="53" t="s">
        <v>25</v>
      </c>
      <c r="I518" s="75">
        <v>44866</v>
      </c>
      <c r="J518" s="76">
        <f ca="1">EFEITO!$J$518*EFEITO!$Y$518</f>
        <v>562324.05343599059</v>
      </c>
      <c r="K518" s="76">
        <f>EFEITO!$L$518*EFEITO!$Z$518</f>
        <v>0</v>
      </c>
      <c r="L518" s="76">
        <f>EFEITO!$N$518*EFEITO!$AA$518</f>
        <v>0</v>
      </c>
      <c r="M518" s="76">
        <f ca="1">$J$518-EFEITO!$K$518*EFEITO!$Y$518</f>
        <v>0</v>
      </c>
      <c r="N518" s="76">
        <f>$K$518-EFEITO!$M$518*EFEITO!$Z$518</f>
        <v>0</v>
      </c>
      <c r="O518" s="76">
        <f>$L$518-EFEITO!$O$518*EFEITO!$AA$518</f>
        <v>0</v>
      </c>
      <c r="P518" s="57"/>
      <c r="Q518" s="57"/>
      <c r="R518" s="57"/>
      <c r="S518" s="57"/>
      <c r="T518" s="57"/>
      <c r="U518" s="57"/>
      <c r="V518" s="57"/>
      <c r="W518" s="5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54</v>
      </c>
      <c r="B519" s="53" t="s">
        <v>41</v>
      </c>
      <c r="C519" s="53" t="s">
        <v>43</v>
      </c>
      <c r="D519" s="53" t="s">
        <v>47</v>
      </c>
      <c r="E519" s="53" t="s">
        <v>25</v>
      </c>
      <c r="F519" s="53" t="s">
        <v>25</v>
      </c>
      <c r="G519" s="53" t="s">
        <v>25</v>
      </c>
      <c r="H519" s="53" t="s">
        <v>25</v>
      </c>
      <c r="I519" s="75">
        <v>44866</v>
      </c>
      <c r="J519" s="76">
        <f ca="1">EFEITO!$J$519*EFEITO!$Y$519</f>
        <v>59012.453418465368</v>
      </c>
      <c r="K519" s="76">
        <f>EFEITO!$L$519*EFEITO!$Z$519</f>
        <v>0</v>
      </c>
      <c r="L519" s="76">
        <f>EFEITO!$N$519*EFEITO!$AA$519</f>
        <v>0</v>
      </c>
      <c r="M519" s="76">
        <f ca="1">$J$519-EFEITO!$K$519*EFEITO!$Y$519</f>
        <v>0</v>
      </c>
      <c r="N519" s="76">
        <f>$K$519-EFEITO!$M$519*EFEITO!$Z$519</f>
        <v>0</v>
      </c>
      <c r="O519" s="76">
        <f>$L$519-EFEITO!$O$519*EFEITO!$AA$519</f>
        <v>0</v>
      </c>
      <c r="P519" s="57"/>
      <c r="Q519" s="57"/>
      <c r="R519" s="57"/>
      <c r="S519" s="57"/>
      <c r="T519" s="57"/>
      <c r="U519" s="57"/>
      <c r="V519" s="57"/>
      <c r="W519" s="5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54</v>
      </c>
      <c r="B520" s="53" t="s">
        <v>41</v>
      </c>
      <c r="C520" s="53" t="s">
        <v>43</v>
      </c>
      <c r="D520" s="53" t="s">
        <v>47</v>
      </c>
      <c r="E520" s="53" t="s">
        <v>25</v>
      </c>
      <c r="F520" s="53" t="s">
        <v>25</v>
      </c>
      <c r="G520" s="53" t="s">
        <v>25</v>
      </c>
      <c r="H520" s="53" t="s">
        <v>25</v>
      </c>
      <c r="I520" s="75">
        <v>44866</v>
      </c>
      <c r="J520" s="76">
        <f ca="1">EFEITO!$J$520*EFEITO!$Y$520</f>
        <v>9959.0136828289851</v>
      </c>
      <c r="K520" s="76">
        <f>EFEITO!$L$520*EFEITO!$Z$520</f>
        <v>0</v>
      </c>
      <c r="L520" s="76">
        <f>EFEITO!$N$520*EFEITO!$AA$520</f>
        <v>0</v>
      </c>
      <c r="M520" s="76">
        <f ca="1">$J$520-EFEITO!$K$520*EFEITO!$Y$520</f>
        <v>0</v>
      </c>
      <c r="N520" s="76">
        <f>$K$520-EFEITO!$M$520*EFEITO!$Z$520</f>
        <v>0</v>
      </c>
      <c r="O520" s="76">
        <f>$L$520-EFEITO!$O$520*EFEITO!$AA$520</f>
        <v>0</v>
      </c>
      <c r="P520" s="57"/>
      <c r="Q520" s="57"/>
      <c r="R520" s="57"/>
      <c r="S520" s="57"/>
      <c r="T520" s="57"/>
      <c r="U520" s="57"/>
      <c r="V520" s="57"/>
      <c r="W520" s="5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41</v>
      </c>
      <c r="C521" s="53" t="s">
        <v>43</v>
      </c>
      <c r="D521" s="53" t="s">
        <v>47</v>
      </c>
      <c r="E521" s="53" t="s">
        <v>25</v>
      </c>
      <c r="F521" s="53" t="s">
        <v>25</v>
      </c>
      <c r="G521" s="53" t="s">
        <v>25</v>
      </c>
      <c r="H521" s="53" t="s">
        <v>34</v>
      </c>
      <c r="I521" s="75">
        <v>44531</v>
      </c>
      <c r="J521" s="76">
        <f>EFEITO!$J$521*EFEITO!$Y$521</f>
        <v>0</v>
      </c>
      <c r="K521" s="76">
        <f ca="1">EFEITO!$L$521*EFEITO!$Z$521</f>
        <v>520948.19131735526</v>
      </c>
      <c r="L521" s="76">
        <f>EFEITO!$N$521*EFEITO!$AA$521</f>
        <v>112031.13086243496</v>
      </c>
      <c r="M521" s="76">
        <f>$J$521-EFEITO!$K$521*EFEITO!$Y$521</f>
        <v>0</v>
      </c>
      <c r="N521" s="76">
        <f ca="1">$K$521-EFEITO!$M$521*EFEITO!$Z$521</f>
        <v>0</v>
      </c>
      <c r="O521" s="76">
        <f>$L$521-EFEITO!$O$521*EFEITO!$AA$521</f>
        <v>0</v>
      </c>
      <c r="P521" s="57"/>
      <c r="Q521" s="57"/>
      <c r="R521" s="57"/>
      <c r="S521" s="57"/>
      <c r="T521" s="57"/>
      <c r="U521" s="57"/>
      <c r="V521" s="57"/>
      <c r="W521" s="5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27</v>
      </c>
      <c r="B522" s="53" t="s">
        <v>41</v>
      </c>
      <c r="C522" s="53" t="s">
        <v>43</v>
      </c>
      <c r="D522" s="53" t="s">
        <v>47</v>
      </c>
      <c r="E522" s="53" t="s">
        <v>25</v>
      </c>
      <c r="F522" s="53" t="s">
        <v>25</v>
      </c>
      <c r="G522" s="53" t="s">
        <v>25</v>
      </c>
      <c r="H522" s="53" t="s">
        <v>34</v>
      </c>
      <c r="I522" s="75">
        <v>44531</v>
      </c>
      <c r="J522" s="76">
        <f>EFEITO!$J$522*EFEITO!$Y$522</f>
        <v>0</v>
      </c>
      <c r="K522" s="76">
        <f ca="1">EFEITO!$L$522*EFEITO!$Z$522</f>
        <v>491.30794263198425</v>
      </c>
      <c r="L522" s="76">
        <f>EFEITO!$N$522*EFEITO!$AA$522</f>
        <v>105.65692583665529</v>
      </c>
      <c r="M522" s="76">
        <f>$J$522-EFEITO!$K$522*EFEITO!$Y$522</f>
        <v>0</v>
      </c>
      <c r="N522" s="76">
        <f ca="1">$K$522-EFEITO!$M$522*EFEITO!$Z$522</f>
        <v>0</v>
      </c>
      <c r="O522" s="76">
        <f>$L$522-EFEITO!$O$522*EFEITO!$AA$522</f>
        <v>0</v>
      </c>
      <c r="P522" s="57"/>
      <c r="Q522" s="57"/>
      <c r="R522" s="57"/>
      <c r="S522" s="57"/>
      <c r="T522" s="57"/>
      <c r="U522" s="57"/>
      <c r="V522" s="57"/>
      <c r="W522" s="5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28</v>
      </c>
      <c r="B523" s="53" t="s">
        <v>41</v>
      </c>
      <c r="C523" s="53" t="s">
        <v>43</v>
      </c>
      <c r="D523" s="53" t="s">
        <v>47</v>
      </c>
      <c r="E523" s="53" t="s">
        <v>25</v>
      </c>
      <c r="F523" s="53" t="s">
        <v>25</v>
      </c>
      <c r="G523" s="53" t="s">
        <v>25</v>
      </c>
      <c r="H523" s="53" t="s">
        <v>34</v>
      </c>
      <c r="I523" s="75">
        <v>44531</v>
      </c>
      <c r="J523" s="76">
        <f>EFEITO!$J$523*EFEITO!$Y$523</f>
        <v>0</v>
      </c>
      <c r="K523" s="76">
        <f ca="1">EFEITO!$L$523*EFEITO!$Z$523</f>
        <v>12998.690018781583</v>
      </c>
      <c r="L523" s="76">
        <f>EFEITO!$N$523*EFEITO!$AA$523</f>
        <v>2795.3987878368739</v>
      </c>
      <c r="M523" s="76">
        <f>$J$523-EFEITO!$K$523*EFEITO!$Y$523</f>
        <v>0</v>
      </c>
      <c r="N523" s="76">
        <f ca="1">$K$523-EFEITO!$M$523*EFEITO!$Z$523</f>
        <v>0</v>
      </c>
      <c r="O523" s="76">
        <f>$L$523-EFEITO!$O$523*EFEITO!$AA$523</f>
        <v>0</v>
      </c>
      <c r="P523" s="57"/>
      <c r="Q523" s="57"/>
      <c r="R523" s="57"/>
      <c r="S523" s="57"/>
      <c r="T523" s="57"/>
      <c r="U523" s="57"/>
      <c r="V523" s="57"/>
      <c r="W523" s="5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21</v>
      </c>
      <c r="B524" s="53" t="s">
        <v>41</v>
      </c>
      <c r="C524" s="53" t="s">
        <v>43</v>
      </c>
      <c r="D524" s="53" t="s">
        <v>47</v>
      </c>
      <c r="E524" s="53" t="s">
        <v>25</v>
      </c>
      <c r="F524" s="53" t="s">
        <v>25</v>
      </c>
      <c r="G524" s="53" t="s">
        <v>25</v>
      </c>
      <c r="H524" s="53" t="s">
        <v>34</v>
      </c>
      <c r="I524" s="75">
        <v>44562</v>
      </c>
      <c r="J524" s="76">
        <f>EFEITO!$J$524*EFEITO!$Y$524</f>
        <v>0</v>
      </c>
      <c r="K524" s="76">
        <f ca="1">EFEITO!$L$524*EFEITO!$Z$524</f>
        <v>435417.17048738903</v>
      </c>
      <c r="L524" s="76">
        <f>EFEITO!$N$524*EFEITO!$AA$524</f>
        <v>93637.484148414063</v>
      </c>
      <c r="M524" s="76">
        <f>$J$524-EFEITO!$K$524*EFEITO!$Y$524</f>
        <v>0</v>
      </c>
      <c r="N524" s="76">
        <f ca="1">$K$524-EFEITO!$M$524*EFEITO!$Z$524</f>
        <v>0</v>
      </c>
      <c r="O524" s="76">
        <f>$L$524-EFEITO!$O$524*EFEITO!$AA$524</f>
        <v>0</v>
      </c>
      <c r="P524" s="57"/>
      <c r="Q524" s="57"/>
      <c r="R524" s="57"/>
      <c r="S524" s="57"/>
      <c r="T524" s="57"/>
      <c r="U524" s="57"/>
      <c r="V524" s="57"/>
      <c r="W524" s="5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28</v>
      </c>
      <c r="B525" s="53" t="s">
        <v>41</v>
      </c>
      <c r="C525" s="53" t="s">
        <v>43</v>
      </c>
      <c r="D525" s="53" t="s">
        <v>47</v>
      </c>
      <c r="E525" s="53" t="s">
        <v>25</v>
      </c>
      <c r="F525" s="53" t="s">
        <v>25</v>
      </c>
      <c r="G525" s="53" t="s">
        <v>25</v>
      </c>
      <c r="H525" s="53" t="s">
        <v>34</v>
      </c>
      <c r="I525" s="75">
        <v>44562</v>
      </c>
      <c r="J525" s="76">
        <f>EFEITO!$J$525*EFEITO!$Y$525</f>
        <v>0</v>
      </c>
      <c r="K525" s="76">
        <f ca="1">EFEITO!$L$525*EFEITO!$Z$525</f>
        <v>11635.610055991625</v>
      </c>
      <c r="L525" s="76">
        <f>EFEITO!$N$525*EFEITO!$AA$525</f>
        <v>2502.2652435949335</v>
      </c>
      <c r="M525" s="76">
        <f>$J$525-EFEITO!$K$525*EFEITO!$Y$525</f>
        <v>0</v>
      </c>
      <c r="N525" s="76">
        <f ca="1">$K$525-EFEITO!$M$525*EFEITO!$Z$525</f>
        <v>0</v>
      </c>
      <c r="O525" s="76">
        <f>$L$525-EFEITO!$O$525*EFEITO!$AA$525</f>
        <v>0</v>
      </c>
      <c r="P525" s="57"/>
      <c r="Q525" s="57"/>
      <c r="R525" s="57"/>
      <c r="S525" s="57"/>
      <c r="T525" s="57"/>
      <c r="U525" s="57"/>
      <c r="V525" s="57"/>
      <c r="W525" s="5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21</v>
      </c>
      <c r="B526" s="53" t="s">
        <v>41</v>
      </c>
      <c r="C526" s="53" t="s">
        <v>43</v>
      </c>
      <c r="D526" s="53" t="s">
        <v>47</v>
      </c>
      <c r="E526" s="53" t="s">
        <v>25</v>
      </c>
      <c r="F526" s="53" t="s">
        <v>25</v>
      </c>
      <c r="G526" s="53" t="s">
        <v>25</v>
      </c>
      <c r="H526" s="53" t="s">
        <v>34</v>
      </c>
      <c r="I526" s="75">
        <v>44593</v>
      </c>
      <c r="J526" s="76">
        <f>EFEITO!$J$526*EFEITO!$Y$526</f>
        <v>0</v>
      </c>
      <c r="K526" s="76">
        <f ca="1">EFEITO!$L$526*EFEITO!$Z$526</f>
        <v>407905.4235900669</v>
      </c>
      <c r="L526" s="76">
        <f>EFEITO!$N$526*EFEITO!$AA$526</f>
        <v>87721.018426335257</v>
      </c>
      <c r="M526" s="76">
        <f>$J$526-EFEITO!$K$526*EFEITO!$Y$526</f>
        <v>0</v>
      </c>
      <c r="N526" s="76">
        <f ca="1">$K$526-EFEITO!$M$526*EFEITO!$Z$526</f>
        <v>0</v>
      </c>
      <c r="O526" s="76">
        <f>$L$526-EFEITO!$O$526*EFEITO!$AA$526</f>
        <v>0</v>
      </c>
      <c r="P526" s="57"/>
      <c r="Q526" s="57"/>
      <c r="R526" s="57"/>
      <c r="S526" s="57"/>
      <c r="T526" s="57"/>
      <c r="U526" s="57"/>
      <c r="V526" s="57"/>
      <c r="W526" s="5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28</v>
      </c>
      <c r="B527" s="53" t="s">
        <v>41</v>
      </c>
      <c r="C527" s="53" t="s">
        <v>43</v>
      </c>
      <c r="D527" s="53" t="s">
        <v>47</v>
      </c>
      <c r="E527" s="53" t="s">
        <v>25</v>
      </c>
      <c r="F527" s="53" t="s">
        <v>25</v>
      </c>
      <c r="G527" s="53" t="s">
        <v>25</v>
      </c>
      <c r="H527" s="53" t="s">
        <v>34</v>
      </c>
      <c r="I527" s="75">
        <v>44593</v>
      </c>
      <c r="J527" s="76">
        <f>EFEITO!$J$527*EFEITO!$Y$527</f>
        <v>0</v>
      </c>
      <c r="K527" s="76">
        <f ca="1">EFEITO!$L$527*EFEITO!$Z$527</f>
        <v>11518.774630609631</v>
      </c>
      <c r="L527" s="76">
        <f>EFEITO!$N$527*EFEITO!$AA$527</f>
        <v>2477.1395112313389</v>
      </c>
      <c r="M527" s="76">
        <f>$J$527-EFEITO!$K$527*EFEITO!$Y$527</f>
        <v>0</v>
      </c>
      <c r="N527" s="76">
        <f ca="1">$K$527-EFEITO!$M$527*EFEITO!$Z$527</f>
        <v>0</v>
      </c>
      <c r="O527" s="76">
        <f>$L$527-EFEITO!$O$527*EFEITO!$AA$527</f>
        <v>0</v>
      </c>
      <c r="P527" s="57"/>
      <c r="Q527" s="57"/>
      <c r="R527" s="57"/>
      <c r="S527" s="57"/>
      <c r="T527" s="57"/>
      <c r="U527" s="57"/>
      <c r="V527" s="57"/>
      <c r="W527" s="5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21</v>
      </c>
      <c r="B528" s="53" t="s">
        <v>41</v>
      </c>
      <c r="C528" s="53" t="s">
        <v>43</v>
      </c>
      <c r="D528" s="53" t="s">
        <v>47</v>
      </c>
      <c r="E528" s="53" t="s">
        <v>25</v>
      </c>
      <c r="F528" s="53" t="s">
        <v>25</v>
      </c>
      <c r="G528" s="53" t="s">
        <v>25</v>
      </c>
      <c r="H528" s="53" t="s">
        <v>34</v>
      </c>
      <c r="I528" s="75">
        <v>44621</v>
      </c>
      <c r="J528" s="76">
        <f>EFEITO!$J$528*EFEITO!$Y$528</f>
        <v>0</v>
      </c>
      <c r="K528" s="76">
        <f ca="1">EFEITO!$L$528*EFEITO!$Z$528</f>
        <v>491779.77800371917</v>
      </c>
      <c r="L528" s="76">
        <f>EFEITO!$N$528*EFEITO!$AA$528</f>
        <v>105758.39514043134</v>
      </c>
      <c r="M528" s="76">
        <f>$J$528-EFEITO!$K$528*EFEITO!$Y$528</f>
        <v>0</v>
      </c>
      <c r="N528" s="76">
        <f ca="1">$K$528-EFEITO!$M$528*EFEITO!$Z$528</f>
        <v>0</v>
      </c>
      <c r="O528" s="76">
        <f>$L$528-EFEITO!$O$528*EFEITO!$AA$528</f>
        <v>0</v>
      </c>
      <c r="P528" s="57"/>
      <c r="Q528" s="57"/>
      <c r="R528" s="57"/>
      <c r="S528" s="57"/>
      <c r="T528" s="57"/>
      <c r="U528" s="57"/>
      <c r="V528" s="57"/>
      <c r="W528" s="5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28</v>
      </c>
      <c r="B529" s="53" t="s">
        <v>41</v>
      </c>
      <c r="C529" s="53" t="s">
        <v>43</v>
      </c>
      <c r="D529" s="53" t="s">
        <v>47</v>
      </c>
      <c r="E529" s="53" t="s">
        <v>25</v>
      </c>
      <c r="F529" s="53" t="s">
        <v>25</v>
      </c>
      <c r="G529" s="53" t="s">
        <v>25</v>
      </c>
      <c r="H529" s="53" t="s">
        <v>34</v>
      </c>
      <c r="I529" s="75">
        <v>44621</v>
      </c>
      <c r="J529" s="76">
        <f>EFEITO!$J$529*EFEITO!$Y$529</f>
        <v>0</v>
      </c>
      <c r="K529" s="76">
        <f ca="1">EFEITO!$L$529*EFEITO!$Z$529</f>
        <v>16036.411078713483</v>
      </c>
      <c r="L529" s="76">
        <f>EFEITO!$N$529*EFEITO!$AA$529</f>
        <v>3448.6678292903393</v>
      </c>
      <c r="M529" s="76">
        <f>$J$529-EFEITO!$K$529*EFEITO!$Y$529</f>
        <v>0</v>
      </c>
      <c r="N529" s="76">
        <f ca="1">$K$529-EFEITO!$M$529*EFEITO!$Z$529</f>
        <v>0</v>
      </c>
      <c r="O529" s="76">
        <f>$L$529-EFEITO!$O$529*EFEITO!$AA$529</f>
        <v>0</v>
      </c>
      <c r="P529" s="57"/>
      <c r="Q529" s="57"/>
      <c r="R529" s="57"/>
      <c r="S529" s="57"/>
      <c r="T529" s="57"/>
      <c r="U529" s="57"/>
      <c r="V529" s="57"/>
      <c r="W529" s="5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21</v>
      </c>
      <c r="B530" s="53" t="s">
        <v>41</v>
      </c>
      <c r="C530" s="53" t="s">
        <v>43</v>
      </c>
      <c r="D530" s="53" t="s">
        <v>47</v>
      </c>
      <c r="E530" s="53" t="s">
        <v>25</v>
      </c>
      <c r="F530" s="53" t="s">
        <v>25</v>
      </c>
      <c r="G530" s="53" t="s">
        <v>25</v>
      </c>
      <c r="H530" s="53" t="s">
        <v>34</v>
      </c>
      <c r="I530" s="75">
        <v>44652</v>
      </c>
      <c r="J530" s="76">
        <f>EFEITO!$J$530*EFEITO!$Y$530</f>
        <v>0</v>
      </c>
      <c r="K530" s="76">
        <f ca="1">EFEITO!$L$530*EFEITO!$Z$530</f>
        <v>467819.52845999599</v>
      </c>
      <c r="L530" s="76">
        <f>EFEITO!$N$530*EFEITO!$AA$530</f>
        <v>100605.68725725105</v>
      </c>
      <c r="M530" s="76">
        <f>$J$530-EFEITO!$K$530*EFEITO!$Y$530</f>
        <v>0</v>
      </c>
      <c r="N530" s="76">
        <f ca="1">$K$530-EFEITO!$M$530*EFEITO!$Z$530</f>
        <v>0</v>
      </c>
      <c r="O530" s="76">
        <f>$L$530-EFEITO!$O$530*EFEITO!$AA$530</f>
        <v>0</v>
      </c>
      <c r="P530" s="57"/>
      <c r="Q530" s="57"/>
      <c r="R530" s="57"/>
      <c r="S530" s="57"/>
      <c r="T530" s="57"/>
      <c r="U530" s="57"/>
      <c r="V530" s="57"/>
      <c r="W530" s="5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28</v>
      </c>
      <c r="B531" s="53" t="s">
        <v>41</v>
      </c>
      <c r="C531" s="53" t="s">
        <v>43</v>
      </c>
      <c r="D531" s="53" t="s">
        <v>47</v>
      </c>
      <c r="E531" s="53" t="s">
        <v>25</v>
      </c>
      <c r="F531" s="53" t="s">
        <v>25</v>
      </c>
      <c r="G531" s="53" t="s">
        <v>25</v>
      </c>
      <c r="H531" s="53" t="s">
        <v>34</v>
      </c>
      <c r="I531" s="75">
        <v>44652</v>
      </c>
      <c r="J531" s="76">
        <f>EFEITO!$J$531*EFEITO!$Y$531</f>
        <v>0</v>
      </c>
      <c r="K531" s="76">
        <f ca="1">EFEITO!$L$531*EFEITO!$Z$531</f>
        <v>14104.132889703547</v>
      </c>
      <c r="L531" s="76">
        <f>EFEITO!$N$531*EFEITO!$AA$531</f>
        <v>3033.1268709693481</v>
      </c>
      <c r="M531" s="76">
        <f>$J$531-EFEITO!$K$531*EFEITO!$Y$531</f>
        <v>0</v>
      </c>
      <c r="N531" s="76">
        <f ca="1">$K$531-EFEITO!$M$531*EFEITO!$Z$531</f>
        <v>0</v>
      </c>
      <c r="O531" s="76">
        <f>$L$531-EFEITO!$O$531*EFEITO!$AA$531</f>
        <v>0</v>
      </c>
      <c r="P531" s="57"/>
      <c r="Q531" s="57"/>
      <c r="R531" s="57"/>
      <c r="S531" s="57"/>
      <c r="T531" s="57"/>
      <c r="U531" s="57"/>
      <c r="V531" s="57"/>
      <c r="W531" s="5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21</v>
      </c>
      <c r="B532" s="53" t="s">
        <v>41</v>
      </c>
      <c r="C532" s="53" t="s">
        <v>43</v>
      </c>
      <c r="D532" s="53" t="s">
        <v>47</v>
      </c>
      <c r="E532" s="53" t="s">
        <v>25</v>
      </c>
      <c r="F532" s="53" t="s">
        <v>25</v>
      </c>
      <c r="G532" s="53" t="s">
        <v>25</v>
      </c>
      <c r="H532" s="53" t="s">
        <v>34</v>
      </c>
      <c r="I532" s="75">
        <v>44682</v>
      </c>
      <c r="J532" s="76">
        <f>EFEITO!$J$532*EFEITO!$Y$532</f>
        <v>0</v>
      </c>
      <c r="K532" s="76">
        <f ca="1">EFEITO!$L$532*EFEITO!$Z$532</f>
        <v>546367.38578828436</v>
      </c>
      <c r="L532" s="76">
        <f>EFEITO!$N$532*EFEITO!$AA$532</f>
        <v>117497.5882753863</v>
      </c>
      <c r="M532" s="76">
        <f>$J$532-EFEITO!$K$532*EFEITO!$Y$532</f>
        <v>0</v>
      </c>
      <c r="N532" s="76">
        <f ca="1">$K$532-EFEITO!$M$532*EFEITO!$Z$532</f>
        <v>0</v>
      </c>
      <c r="O532" s="76">
        <f>$L$532-EFEITO!$O$532*EFEITO!$AA$532</f>
        <v>0</v>
      </c>
      <c r="P532" s="57"/>
      <c r="Q532" s="57"/>
      <c r="R532" s="57"/>
      <c r="S532" s="57"/>
      <c r="T532" s="57"/>
      <c r="U532" s="57"/>
      <c r="V532" s="57"/>
      <c r="W532" s="5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27</v>
      </c>
      <c r="B533" s="53" t="s">
        <v>41</v>
      </c>
      <c r="C533" s="53" t="s">
        <v>43</v>
      </c>
      <c r="D533" s="53" t="s">
        <v>47</v>
      </c>
      <c r="E533" s="53" t="s">
        <v>25</v>
      </c>
      <c r="F533" s="53" t="s">
        <v>25</v>
      </c>
      <c r="G533" s="53" t="s">
        <v>25</v>
      </c>
      <c r="H533" s="53" t="s">
        <v>34</v>
      </c>
      <c r="I533" s="75">
        <v>44682</v>
      </c>
      <c r="J533" s="76">
        <f>EFEITO!$J$533*EFEITO!$Y$533</f>
        <v>0</v>
      </c>
      <c r="K533" s="76">
        <f ca="1">EFEITO!$L$533*EFEITO!$Z$533</f>
        <v>-12598.753370358594</v>
      </c>
      <c r="L533" s="76">
        <f>EFEITO!$N$533*EFEITO!$AA$533</f>
        <v>-2709.391473207645</v>
      </c>
      <c r="M533" s="76">
        <f>$J$533-EFEITO!$K$533*EFEITO!$Y$533</f>
        <v>0</v>
      </c>
      <c r="N533" s="76">
        <f ca="1">$K$533-EFEITO!$M$533*EFEITO!$Z$533</f>
        <v>0</v>
      </c>
      <c r="O533" s="76">
        <f>$L$533-EFEITO!$O$533*EFEITO!$AA$533</f>
        <v>0</v>
      </c>
      <c r="P533" s="57"/>
      <c r="Q533" s="57"/>
      <c r="R533" s="57"/>
      <c r="S533" s="57"/>
      <c r="T533" s="57"/>
      <c r="U533" s="57"/>
      <c r="V533" s="57"/>
      <c r="W533" s="5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28</v>
      </c>
      <c r="B534" s="53" t="s">
        <v>41</v>
      </c>
      <c r="C534" s="53" t="s">
        <v>43</v>
      </c>
      <c r="D534" s="53" t="s">
        <v>47</v>
      </c>
      <c r="E534" s="53" t="s">
        <v>25</v>
      </c>
      <c r="F534" s="53" t="s">
        <v>25</v>
      </c>
      <c r="G534" s="53" t="s">
        <v>25</v>
      </c>
      <c r="H534" s="53" t="s">
        <v>34</v>
      </c>
      <c r="I534" s="75">
        <v>44682</v>
      </c>
      <c r="J534" s="76">
        <f>EFEITO!$J$534*EFEITO!$Y$534</f>
        <v>0</v>
      </c>
      <c r="K534" s="76">
        <f ca="1">EFEITO!$L$534*EFEITO!$Z$534</f>
        <v>19770.651020730365</v>
      </c>
      <c r="L534" s="76">
        <f>EFEITO!$N$534*EFEITO!$AA$534</f>
        <v>4251.7248906036984</v>
      </c>
      <c r="M534" s="76">
        <f>$J$534-EFEITO!$K$534*EFEITO!$Y$534</f>
        <v>0</v>
      </c>
      <c r="N534" s="76">
        <f ca="1">$K$534-EFEITO!$M$534*EFEITO!$Z$534</f>
        <v>0</v>
      </c>
      <c r="O534" s="76">
        <f>$L$534-EFEITO!$O$534*EFEITO!$AA$534</f>
        <v>0</v>
      </c>
      <c r="P534" s="57"/>
      <c r="Q534" s="57"/>
      <c r="R534" s="57"/>
      <c r="S534" s="57"/>
      <c r="T534" s="57"/>
      <c r="U534" s="57"/>
      <c r="V534" s="57"/>
      <c r="W534" s="5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41</v>
      </c>
      <c r="C535" s="53" t="s">
        <v>43</v>
      </c>
      <c r="D535" s="53" t="s">
        <v>47</v>
      </c>
      <c r="E535" s="53" t="s">
        <v>25</v>
      </c>
      <c r="F535" s="53" t="s">
        <v>25</v>
      </c>
      <c r="G535" s="53" t="s">
        <v>25</v>
      </c>
      <c r="H535" s="53" t="s">
        <v>34</v>
      </c>
      <c r="I535" s="75">
        <v>44713</v>
      </c>
      <c r="J535" s="76">
        <f>EFEITO!$J$535*EFEITO!$Y$535</f>
        <v>0</v>
      </c>
      <c r="K535" s="76">
        <f ca="1">EFEITO!$L$535*EFEITO!$Z$535</f>
        <v>556329.85263720306</v>
      </c>
      <c r="L535" s="76">
        <f>EFEITO!$N$535*EFEITO!$AA$535</f>
        <v>119640.0401465436</v>
      </c>
      <c r="M535" s="76">
        <f>$J$535-EFEITO!$K$535*EFEITO!$Y$535</f>
        <v>0</v>
      </c>
      <c r="N535" s="76">
        <f ca="1">$K$535-EFEITO!$M$535*EFEITO!$Z$535</f>
        <v>0</v>
      </c>
      <c r="O535" s="76">
        <f>$L$535-EFEITO!$O$535*EFEITO!$AA$535</f>
        <v>0</v>
      </c>
      <c r="P535" s="57"/>
      <c r="Q535" s="57"/>
      <c r="R535" s="57"/>
      <c r="S535" s="57"/>
      <c r="T535" s="57"/>
      <c r="U535" s="57"/>
      <c r="V535" s="57"/>
      <c r="W535" s="5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28</v>
      </c>
      <c r="B536" s="53" t="s">
        <v>41</v>
      </c>
      <c r="C536" s="53" t="s">
        <v>43</v>
      </c>
      <c r="D536" s="53" t="s">
        <v>47</v>
      </c>
      <c r="E536" s="53" t="s">
        <v>25</v>
      </c>
      <c r="F536" s="53" t="s">
        <v>25</v>
      </c>
      <c r="G536" s="53" t="s">
        <v>25</v>
      </c>
      <c r="H536" s="53" t="s">
        <v>34</v>
      </c>
      <c r="I536" s="75">
        <v>44713</v>
      </c>
      <c r="J536" s="76">
        <f>EFEITO!$J$536*EFEITO!$Y$536</f>
        <v>0</v>
      </c>
      <c r="K536" s="76">
        <f ca="1">EFEITO!$L$536*EFEITO!$Z$536</f>
        <v>13999.28058487355</v>
      </c>
      <c r="L536" s="76">
        <f>EFEITO!$N$536*EFEITO!$AA$536</f>
        <v>3010.5781367968912</v>
      </c>
      <c r="M536" s="76">
        <f>$J$536-EFEITO!$K$536*EFEITO!$Y$536</f>
        <v>0</v>
      </c>
      <c r="N536" s="76">
        <f ca="1">$K$536-EFEITO!$M$536*EFEITO!$Z$536</f>
        <v>0</v>
      </c>
      <c r="O536" s="76">
        <f>$L$536-EFEITO!$O$536*EFEITO!$AA$536</f>
        <v>0</v>
      </c>
      <c r="P536" s="57"/>
      <c r="Q536" s="57"/>
      <c r="R536" s="57"/>
      <c r="S536" s="57"/>
      <c r="T536" s="57"/>
      <c r="U536" s="57"/>
      <c r="V536" s="57"/>
      <c r="W536" s="5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21</v>
      </c>
      <c r="B537" s="53" t="s">
        <v>41</v>
      </c>
      <c r="C537" s="53" t="s">
        <v>43</v>
      </c>
      <c r="D537" s="53" t="s">
        <v>47</v>
      </c>
      <c r="E537" s="53" t="s">
        <v>25</v>
      </c>
      <c r="F537" s="53" t="s">
        <v>25</v>
      </c>
      <c r="G537" s="53" t="s">
        <v>25</v>
      </c>
      <c r="H537" s="53" t="s">
        <v>34</v>
      </c>
      <c r="I537" s="75">
        <v>44743</v>
      </c>
      <c r="J537" s="76">
        <f>EFEITO!$J$537*EFEITO!$Y$537</f>
        <v>0</v>
      </c>
      <c r="K537" s="76">
        <f ca="1">EFEITO!$L$537*EFEITO!$Z$537</f>
        <v>570092.4665911746</v>
      </c>
      <c r="L537" s="76">
        <f>EFEITO!$N$537*EFEITO!$AA$537</f>
        <v>122599.7225690655</v>
      </c>
      <c r="M537" s="76">
        <f>$J$537-EFEITO!$K$537*EFEITO!$Y$537</f>
        <v>0</v>
      </c>
      <c r="N537" s="76">
        <f ca="1">$K$537-EFEITO!$M$537*EFEITO!$Z$537</f>
        <v>0</v>
      </c>
      <c r="O537" s="76">
        <f>$L$537-EFEITO!$O$537*EFEITO!$AA$537</f>
        <v>0</v>
      </c>
      <c r="P537" s="57"/>
      <c r="Q537" s="57"/>
      <c r="R537" s="57"/>
      <c r="S537" s="57"/>
      <c r="T537" s="57"/>
      <c r="U537" s="57"/>
      <c r="V537" s="57"/>
      <c r="W537" s="5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27</v>
      </c>
      <c r="B538" s="53" t="s">
        <v>41</v>
      </c>
      <c r="C538" s="53" t="s">
        <v>43</v>
      </c>
      <c r="D538" s="53" t="s">
        <v>47</v>
      </c>
      <c r="E538" s="53" t="s">
        <v>25</v>
      </c>
      <c r="F538" s="53" t="s">
        <v>25</v>
      </c>
      <c r="G538" s="53" t="s">
        <v>25</v>
      </c>
      <c r="H538" s="53" t="s">
        <v>34</v>
      </c>
      <c r="I538" s="75">
        <v>44743</v>
      </c>
      <c r="J538" s="76">
        <f>EFEITO!$J$538*EFEITO!$Y$538</f>
        <v>0</v>
      </c>
      <c r="K538" s="76">
        <f ca="1">EFEITO!$L$538*EFEITO!$Z$538</f>
        <v>3921.4762006418737</v>
      </c>
      <c r="L538" s="76">
        <f>EFEITO!$N$538*EFEITO!$AA$538</f>
        <v>843.32265804988879</v>
      </c>
      <c r="M538" s="76">
        <f>$J$538-EFEITO!$K$538*EFEITO!$Y$538</f>
        <v>0</v>
      </c>
      <c r="N538" s="76">
        <f ca="1">$K$538-EFEITO!$M$538*EFEITO!$Z$538</f>
        <v>0</v>
      </c>
      <c r="O538" s="76">
        <f>$L$538-EFEITO!$O$538*EFEITO!$AA$538</f>
        <v>0</v>
      </c>
      <c r="P538" s="57"/>
      <c r="Q538" s="57"/>
      <c r="R538" s="57"/>
      <c r="S538" s="57"/>
      <c r="T538" s="57"/>
      <c r="U538" s="57"/>
      <c r="V538" s="57"/>
      <c r="W538" s="5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28</v>
      </c>
      <c r="B539" s="53" t="s">
        <v>41</v>
      </c>
      <c r="C539" s="53" t="s">
        <v>43</v>
      </c>
      <c r="D539" s="53" t="s">
        <v>47</v>
      </c>
      <c r="E539" s="53" t="s">
        <v>25</v>
      </c>
      <c r="F539" s="53" t="s">
        <v>25</v>
      </c>
      <c r="G539" s="53" t="s">
        <v>25</v>
      </c>
      <c r="H539" s="53" t="s">
        <v>34</v>
      </c>
      <c r="I539" s="75">
        <v>44743</v>
      </c>
      <c r="J539" s="76">
        <f>EFEITO!$J$539*EFEITO!$Y$539</f>
        <v>0</v>
      </c>
      <c r="K539" s="76">
        <f ca="1">EFEITO!$L$539*EFEITO!$Z$539</f>
        <v>15238.03567193651</v>
      </c>
      <c r="L539" s="76">
        <f>EFEITO!$N$539*EFEITO!$AA$539</f>
        <v>3276.975324805775</v>
      </c>
      <c r="M539" s="76">
        <f>$J$539-EFEITO!$K$539*EFEITO!$Y$539</f>
        <v>0</v>
      </c>
      <c r="N539" s="76">
        <f ca="1">$K$539-EFEITO!$M$539*EFEITO!$Z$539</f>
        <v>0</v>
      </c>
      <c r="O539" s="76">
        <f>$L$539-EFEITO!$O$539*EFEITO!$AA$539</f>
        <v>0</v>
      </c>
      <c r="P539" s="57"/>
      <c r="Q539" s="57"/>
      <c r="R539" s="57"/>
      <c r="S539" s="57"/>
      <c r="T539" s="57"/>
      <c r="U539" s="57"/>
      <c r="V539" s="57"/>
      <c r="W539" s="5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41</v>
      </c>
      <c r="C540" s="53" t="s">
        <v>43</v>
      </c>
      <c r="D540" s="53" t="s">
        <v>47</v>
      </c>
      <c r="E540" s="53" t="s">
        <v>25</v>
      </c>
      <c r="F540" s="53" t="s">
        <v>25</v>
      </c>
      <c r="G540" s="53" t="s">
        <v>25</v>
      </c>
      <c r="H540" s="53" t="s">
        <v>34</v>
      </c>
      <c r="I540" s="75">
        <v>44774</v>
      </c>
      <c r="J540" s="76">
        <f>EFEITO!$J$540*EFEITO!$Y$540</f>
        <v>0</v>
      </c>
      <c r="K540" s="76">
        <f ca="1">EFEITO!$L$540*EFEITO!$Z$540</f>
        <v>561759.70413732796</v>
      </c>
      <c r="L540" s="76">
        <f>EFEITO!$N$540*EFEITO!$AA$540</f>
        <v>120807.74245190297</v>
      </c>
      <c r="M540" s="76">
        <f>$J$540-EFEITO!$K$540*EFEITO!$Y$540</f>
        <v>0</v>
      </c>
      <c r="N540" s="76">
        <f ca="1">$K$540-EFEITO!$M$540*EFEITO!$Z$540</f>
        <v>0</v>
      </c>
      <c r="O540" s="76">
        <f>$L$540-EFEITO!$O$540*EFEITO!$AA$540</f>
        <v>0</v>
      </c>
      <c r="P540" s="57"/>
      <c r="Q540" s="57"/>
      <c r="R540" s="57"/>
      <c r="S540" s="57"/>
      <c r="T540" s="57"/>
      <c r="U540" s="57"/>
      <c r="V540" s="57"/>
      <c r="W540" s="5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27</v>
      </c>
      <c r="B541" s="53" t="s">
        <v>41</v>
      </c>
      <c r="C541" s="53" t="s">
        <v>43</v>
      </c>
      <c r="D541" s="53" t="s">
        <v>47</v>
      </c>
      <c r="E541" s="53" t="s">
        <v>25</v>
      </c>
      <c r="F541" s="53" t="s">
        <v>25</v>
      </c>
      <c r="G541" s="53" t="s">
        <v>25</v>
      </c>
      <c r="H541" s="53" t="s">
        <v>34</v>
      </c>
      <c r="I541" s="75">
        <v>44774</v>
      </c>
      <c r="J541" s="76">
        <f>EFEITO!$J$541*EFEITO!$Y$541</f>
        <v>0</v>
      </c>
      <c r="K541" s="76">
        <f ca="1">EFEITO!$L$541*EFEITO!$Z$541</f>
        <v>2.9957801379999038</v>
      </c>
      <c r="L541" s="76">
        <f>EFEITO!$N$541*EFEITO!$AA$541</f>
        <v>0.6442495477844834</v>
      </c>
      <c r="M541" s="76">
        <f>$J$541-EFEITO!$K$541*EFEITO!$Y$541</f>
        <v>0</v>
      </c>
      <c r="N541" s="76">
        <f ca="1">$K$541-EFEITO!$M$541*EFEITO!$Z$541</f>
        <v>0</v>
      </c>
      <c r="O541" s="76">
        <f>$L$541-EFEITO!$O$541*EFEITO!$AA$541</f>
        <v>0</v>
      </c>
      <c r="P541" s="57"/>
      <c r="Q541" s="57"/>
      <c r="R541" s="57"/>
      <c r="S541" s="57"/>
      <c r="T541" s="57"/>
      <c r="U541" s="57"/>
      <c r="V541" s="57"/>
      <c r="W541" s="5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28</v>
      </c>
      <c r="B542" s="53" t="s">
        <v>41</v>
      </c>
      <c r="C542" s="53" t="s">
        <v>43</v>
      </c>
      <c r="D542" s="53" t="s">
        <v>47</v>
      </c>
      <c r="E542" s="53" t="s">
        <v>25</v>
      </c>
      <c r="F542" s="53" t="s">
        <v>25</v>
      </c>
      <c r="G542" s="53" t="s">
        <v>25</v>
      </c>
      <c r="H542" s="53" t="s">
        <v>34</v>
      </c>
      <c r="I542" s="75">
        <v>44774</v>
      </c>
      <c r="J542" s="76">
        <f>EFEITO!$J$542*EFEITO!$Y$542</f>
        <v>0</v>
      </c>
      <c r="K542" s="76">
        <f ca="1">EFEITO!$L$542*EFEITO!$Z$542</f>
        <v>23756.536494339234</v>
      </c>
      <c r="L542" s="76">
        <f>EFEITO!$N$542*EFEITO!$AA$542</f>
        <v>5108.8989139309533</v>
      </c>
      <c r="M542" s="76">
        <f>$J$542-EFEITO!$K$542*EFEITO!$Y$542</f>
        <v>0</v>
      </c>
      <c r="N542" s="76">
        <f ca="1">$K$542-EFEITO!$M$542*EFEITO!$Z$542</f>
        <v>0</v>
      </c>
      <c r="O542" s="76">
        <f>$L$542-EFEITO!$O$542*EFEITO!$AA$542</f>
        <v>0</v>
      </c>
      <c r="P542" s="57"/>
      <c r="Q542" s="57"/>
      <c r="R542" s="57"/>
      <c r="S542" s="57"/>
      <c r="T542" s="57"/>
      <c r="U542" s="57"/>
      <c r="V542" s="57"/>
      <c r="W542" s="5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41</v>
      </c>
      <c r="C543" s="53" t="s">
        <v>43</v>
      </c>
      <c r="D543" s="53" t="s">
        <v>47</v>
      </c>
      <c r="E543" s="53" t="s">
        <v>25</v>
      </c>
      <c r="F543" s="53" t="s">
        <v>25</v>
      </c>
      <c r="G543" s="53" t="s">
        <v>25</v>
      </c>
      <c r="H543" s="53" t="s">
        <v>34</v>
      </c>
      <c r="I543" s="75">
        <v>44805</v>
      </c>
      <c r="J543" s="76">
        <f>EFEITO!$J$543*EFEITO!$Y$543</f>
        <v>0</v>
      </c>
      <c r="K543" s="76">
        <f ca="1">EFEITO!$L$543*EFEITO!$Z$543</f>
        <v>581783.49857971922</v>
      </c>
      <c r="L543" s="76">
        <f>EFEITO!$N$543*EFEITO!$AA$543</f>
        <v>125113.90642929445</v>
      </c>
      <c r="M543" s="76">
        <f>$J$543-EFEITO!$K$543*EFEITO!$Y$543</f>
        <v>0</v>
      </c>
      <c r="N543" s="76">
        <f ca="1">$K$543-EFEITO!$M$543*EFEITO!$Z$543</f>
        <v>0</v>
      </c>
      <c r="O543" s="76">
        <f>$L$543-EFEITO!$O$543*EFEITO!$AA$543</f>
        <v>0</v>
      </c>
      <c r="P543" s="57"/>
      <c r="Q543" s="57"/>
      <c r="R543" s="57"/>
      <c r="S543" s="57"/>
      <c r="T543" s="57"/>
      <c r="U543" s="57"/>
      <c r="V543" s="57"/>
      <c r="W543" s="5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27</v>
      </c>
      <c r="B544" s="53" t="s">
        <v>41</v>
      </c>
      <c r="C544" s="53" t="s">
        <v>43</v>
      </c>
      <c r="D544" s="53" t="s">
        <v>47</v>
      </c>
      <c r="E544" s="53" t="s">
        <v>25</v>
      </c>
      <c r="F544" s="53" t="s">
        <v>25</v>
      </c>
      <c r="G544" s="53" t="s">
        <v>25</v>
      </c>
      <c r="H544" s="53" t="s">
        <v>34</v>
      </c>
      <c r="I544" s="75">
        <v>44805</v>
      </c>
      <c r="J544" s="76">
        <f>EFEITO!$J$544*EFEITO!$Y$544</f>
        <v>0</v>
      </c>
      <c r="K544" s="76">
        <f ca="1">EFEITO!$L$544*EFEITO!$Z$544</f>
        <v>45902.841164503523</v>
      </c>
      <c r="L544" s="76">
        <f>EFEITO!$N$544*EFEITO!$AA$544</f>
        <v>9871.5136959277461</v>
      </c>
      <c r="M544" s="76">
        <f>$J$544-EFEITO!$K$544*EFEITO!$Y$544</f>
        <v>0</v>
      </c>
      <c r="N544" s="76">
        <f ca="1">$K$544-EFEITO!$M$544*EFEITO!$Z$544</f>
        <v>0</v>
      </c>
      <c r="O544" s="76">
        <f>$L$544-EFEITO!$O$544*EFEITO!$AA$544</f>
        <v>0</v>
      </c>
      <c r="P544" s="57"/>
      <c r="Q544" s="57"/>
      <c r="R544" s="57"/>
      <c r="S544" s="57"/>
      <c r="T544" s="57"/>
      <c r="U544" s="57"/>
      <c r="V544" s="57"/>
      <c r="W544" s="5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28</v>
      </c>
      <c r="B545" s="53" t="s">
        <v>41</v>
      </c>
      <c r="C545" s="53" t="s">
        <v>43</v>
      </c>
      <c r="D545" s="53" t="s">
        <v>47</v>
      </c>
      <c r="E545" s="53" t="s">
        <v>25</v>
      </c>
      <c r="F545" s="53" t="s">
        <v>25</v>
      </c>
      <c r="G545" s="53" t="s">
        <v>25</v>
      </c>
      <c r="H545" s="53" t="s">
        <v>34</v>
      </c>
      <c r="I545" s="75">
        <v>44805</v>
      </c>
      <c r="J545" s="76">
        <f>EFEITO!$J$545*EFEITO!$Y$545</f>
        <v>0</v>
      </c>
      <c r="K545" s="76">
        <f ca="1">EFEITO!$L$545*EFEITO!$Z$545</f>
        <v>15089.744555105515</v>
      </c>
      <c r="L545" s="76">
        <f>EFEITO!$N$545*EFEITO!$AA$545</f>
        <v>3245.0849721904428</v>
      </c>
      <c r="M545" s="76">
        <f>$J$545-EFEITO!$K$545*EFEITO!$Y$545</f>
        <v>0</v>
      </c>
      <c r="N545" s="76">
        <f ca="1">$K$545-EFEITO!$M$545*EFEITO!$Z$545</f>
        <v>0</v>
      </c>
      <c r="O545" s="76">
        <f>$L$545-EFEITO!$O$545*EFEITO!$AA$545</f>
        <v>0</v>
      </c>
      <c r="P545" s="57"/>
      <c r="Q545" s="57"/>
      <c r="R545" s="57"/>
      <c r="S545" s="57"/>
      <c r="T545" s="57"/>
      <c r="U545" s="57"/>
      <c r="V545" s="57"/>
      <c r="W545" s="5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21</v>
      </c>
      <c r="B546" s="53" t="s">
        <v>41</v>
      </c>
      <c r="C546" s="53" t="s">
        <v>43</v>
      </c>
      <c r="D546" s="53" t="s">
        <v>47</v>
      </c>
      <c r="E546" s="53" t="s">
        <v>25</v>
      </c>
      <c r="F546" s="53" t="s">
        <v>25</v>
      </c>
      <c r="G546" s="53" t="s">
        <v>25</v>
      </c>
      <c r="H546" s="53" t="s">
        <v>34</v>
      </c>
      <c r="I546" s="75">
        <v>44835</v>
      </c>
      <c r="J546" s="76">
        <f>EFEITO!$J$546*EFEITO!$Y$546</f>
        <v>0</v>
      </c>
      <c r="K546" s="76">
        <f ca="1">EFEITO!$L$546*EFEITO!$Z$546</f>
        <v>565056.56017919688</v>
      </c>
      <c r="L546" s="76">
        <f>EFEITO!$N$546*EFEITO!$AA$546</f>
        <v>121516.73907923981</v>
      </c>
      <c r="M546" s="76">
        <f>$J$546-EFEITO!$K$546*EFEITO!$Y$546</f>
        <v>0</v>
      </c>
      <c r="N546" s="76">
        <f ca="1">$K$546-EFEITO!$M$546*EFEITO!$Z$546</f>
        <v>0</v>
      </c>
      <c r="O546" s="76">
        <f>$L$546-EFEITO!$O$546*EFEITO!$AA$546</f>
        <v>0</v>
      </c>
      <c r="P546" s="57"/>
      <c r="Q546" s="57"/>
      <c r="R546" s="57"/>
      <c r="S546" s="57"/>
      <c r="T546" s="57"/>
      <c r="U546" s="57"/>
      <c r="V546" s="57"/>
      <c r="W546" s="5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28</v>
      </c>
      <c r="B547" s="53" t="s">
        <v>41</v>
      </c>
      <c r="C547" s="53" t="s">
        <v>43</v>
      </c>
      <c r="D547" s="53" t="s">
        <v>47</v>
      </c>
      <c r="E547" s="53" t="s">
        <v>25</v>
      </c>
      <c r="F547" s="53" t="s">
        <v>25</v>
      </c>
      <c r="G547" s="53" t="s">
        <v>25</v>
      </c>
      <c r="H547" s="53" t="s">
        <v>34</v>
      </c>
      <c r="I547" s="75">
        <v>44835</v>
      </c>
      <c r="J547" s="76">
        <f>EFEITO!$J$547*EFEITO!$Y$547</f>
        <v>0</v>
      </c>
      <c r="K547" s="76">
        <f ca="1">EFEITO!$L$547*EFEITO!$Z$547</f>
        <v>16526.221131276467</v>
      </c>
      <c r="L547" s="76">
        <f>EFEITO!$N$547*EFEITO!$AA$547</f>
        <v>3554.0026303531026</v>
      </c>
      <c r="M547" s="76">
        <f>$J$547-EFEITO!$K$547*EFEITO!$Y$547</f>
        <v>0</v>
      </c>
      <c r="N547" s="76">
        <f ca="1">$K$547-EFEITO!$M$547*EFEITO!$Z$547</f>
        <v>0</v>
      </c>
      <c r="O547" s="76">
        <f>$L$547-EFEITO!$O$547*EFEITO!$AA$547</f>
        <v>0</v>
      </c>
      <c r="P547" s="57"/>
      <c r="Q547" s="57"/>
      <c r="R547" s="57"/>
      <c r="S547" s="57"/>
      <c r="T547" s="57"/>
      <c r="U547" s="57"/>
      <c r="V547" s="57"/>
      <c r="W547" s="5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28</v>
      </c>
      <c r="B548" s="53" t="s">
        <v>41</v>
      </c>
      <c r="C548" s="53" t="s">
        <v>43</v>
      </c>
      <c r="D548" s="53" t="s">
        <v>47</v>
      </c>
      <c r="E548" s="53" t="s">
        <v>25</v>
      </c>
      <c r="F548" s="53" t="s">
        <v>25</v>
      </c>
      <c r="G548" s="53" t="s">
        <v>25</v>
      </c>
      <c r="H548" s="53" t="s">
        <v>34</v>
      </c>
      <c r="I548" s="75">
        <v>44835</v>
      </c>
      <c r="J548" s="76">
        <f>EFEITO!$J$548*EFEITO!$Y$548</f>
        <v>0</v>
      </c>
      <c r="K548" s="76">
        <f ca="1">EFEITO!$L$548*EFEITO!$Z$548</f>
        <v>11709.006669372624</v>
      </c>
      <c r="L548" s="76">
        <f>EFEITO!$N$548*EFEITO!$AA$548</f>
        <v>2518.0493575156534</v>
      </c>
      <c r="M548" s="76">
        <f>$J$548-EFEITO!$K$548*EFEITO!$Y$548</f>
        <v>0</v>
      </c>
      <c r="N548" s="76">
        <f ca="1">$K$548-EFEITO!$M$548*EFEITO!$Z$548</f>
        <v>0</v>
      </c>
      <c r="O548" s="76">
        <f>$L$548-EFEITO!$O$548*EFEITO!$AA$548</f>
        <v>0</v>
      </c>
      <c r="P548" s="57"/>
      <c r="Q548" s="57"/>
      <c r="R548" s="57"/>
      <c r="S548" s="57"/>
      <c r="T548" s="57"/>
      <c r="U548" s="57"/>
      <c r="V548" s="57"/>
      <c r="W548" s="5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54</v>
      </c>
      <c r="B549" s="53" t="s">
        <v>41</v>
      </c>
      <c r="C549" s="53" t="s">
        <v>43</v>
      </c>
      <c r="D549" s="53" t="s">
        <v>47</v>
      </c>
      <c r="E549" s="53" t="s">
        <v>25</v>
      </c>
      <c r="F549" s="53" t="s">
        <v>25</v>
      </c>
      <c r="G549" s="53" t="s">
        <v>25</v>
      </c>
      <c r="H549" s="53" t="s">
        <v>34</v>
      </c>
      <c r="I549" s="75">
        <v>44866</v>
      </c>
      <c r="J549" s="76">
        <f>EFEITO!$J$549*EFEITO!$Y$549</f>
        <v>0</v>
      </c>
      <c r="K549" s="76">
        <f ca="1">EFEITO!$L$549*EFEITO!$Z$549</f>
        <v>565056.56017919688</v>
      </c>
      <c r="L549" s="76">
        <f>EFEITO!$N$549*EFEITO!$AA$549</f>
        <v>121516.73907923981</v>
      </c>
      <c r="M549" s="76">
        <f>$J$549-EFEITO!$K$549*EFEITO!$Y$549</f>
        <v>0</v>
      </c>
      <c r="N549" s="76">
        <f ca="1">$K$549-EFEITO!$M$549*EFEITO!$Z$549</f>
        <v>0</v>
      </c>
      <c r="O549" s="76">
        <f>$L$549-EFEITO!$O$549*EFEITO!$AA$549</f>
        <v>0</v>
      </c>
      <c r="P549" s="57"/>
      <c r="Q549" s="57"/>
      <c r="R549" s="57"/>
      <c r="S549" s="57"/>
      <c r="T549" s="57"/>
      <c r="U549" s="57"/>
      <c r="V549" s="57"/>
      <c r="W549" s="5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54</v>
      </c>
      <c r="B550" s="53" t="s">
        <v>41</v>
      </c>
      <c r="C550" s="53" t="s">
        <v>43</v>
      </c>
      <c r="D550" s="53" t="s">
        <v>47</v>
      </c>
      <c r="E550" s="53" t="s">
        <v>25</v>
      </c>
      <c r="F550" s="53" t="s">
        <v>25</v>
      </c>
      <c r="G550" s="53" t="s">
        <v>25</v>
      </c>
      <c r="H550" s="53" t="s">
        <v>34</v>
      </c>
      <c r="I550" s="75">
        <v>44866</v>
      </c>
      <c r="J550" s="76">
        <f>EFEITO!$J$550*EFEITO!$Y$550</f>
        <v>0</v>
      </c>
      <c r="K550" s="76">
        <f ca="1">EFEITO!$L$550*EFEITO!$Z$550</f>
        <v>16526.221131276467</v>
      </c>
      <c r="L550" s="76">
        <f>EFEITO!$N$550*EFEITO!$AA$550</f>
        <v>3554.0026303531026</v>
      </c>
      <c r="M550" s="76">
        <f>$J$550-EFEITO!$K$550*EFEITO!$Y$550</f>
        <v>0</v>
      </c>
      <c r="N550" s="76">
        <f ca="1">$K$550-EFEITO!$M$550*EFEITO!$Z$550</f>
        <v>0</v>
      </c>
      <c r="O550" s="76">
        <f>$L$550-EFEITO!$O$550*EFEITO!$AA$550</f>
        <v>0</v>
      </c>
      <c r="P550" s="57"/>
      <c r="Q550" s="57"/>
      <c r="R550" s="57"/>
      <c r="S550" s="57"/>
      <c r="T550" s="57"/>
      <c r="U550" s="57"/>
      <c r="V550" s="57"/>
      <c r="W550" s="5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54</v>
      </c>
      <c r="B551" s="53" t="s">
        <v>41</v>
      </c>
      <c r="C551" s="53" t="s">
        <v>43</v>
      </c>
      <c r="D551" s="53" t="s">
        <v>47</v>
      </c>
      <c r="E551" s="53" t="s">
        <v>25</v>
      </c>
      <c r="F551" s="53" t="s">
        <v>25</v>
      </c>
      <c r="G551" s="53" t="s">
        <v>25</v>
      </c>
      <c r="H551" s="53" t="s">
        <v>34</v>
      </c>
      <c r="I551" s="75">
        <v>44866</v>
      </c>
      <c r="J551" s="76">
        <f>EFEITO!$J$551*EFEITO!$Y$551</f>
        <v>0</v>
      </c>
      <c r="K551" s="76">
        <f ca="1">EFEITO!$L$551*EFEITO!$Z$551</f>
        <v>11709.006669372624</v>
      </c>
      <c r="L551" s="76">
        <f>EFEITO!$N$551*EFEITO!$AA$551</f>
        <v>2518.0493575156534</v>
      </c>
      <c r="M551" s="76">
        <f>$J$551-EFEITO!$K$551*EFEITO!$Y$551</f>
        <v>0</v>
      </c>
      <c r="N551" s="76">
        <f ca="1">$K$551-EFEITO!$M$551*EFEITO!$Z$551</f>
        <v>0</v>
      </c>
      <c r="O551" s="76">
        <f>$L$551-EFEITO!$O$551*EFEITO!$AA$551</f>
        <v>0</v>
      </c>
      <c r="P551" s="57"/>
      <c r="Q551" s="57"/>
      <c r="R551" s="57"/>
      <c r="S551" s="57"/>
      <c r="T551" s="57"/>
      <c r="U551" s="57"/>
      <c r="V551" s="57"/>
      <c r="W551" s="5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21</v>
      </c>
      <c r="B552" s="53" t="s">
        <v>41</v>
      </c>
      <c r="C552" s="53" t="s">
        <v>43</v>
      </c>
      <c r="D552" s="53" t="s">
        <v>51</v>
      </c>
      <c r="E552" s="53" t="s">
        <v>52</v>
      </c>
      <c r="F552" s="53" t="s">
        <v>25</v>
      </c>
      <c r="G552" s="53" t="s">
        <v>25</v>
      </c>
      <c r="H552" s="53" t="s">
        <v>35</v>
      </c>
      <c r="I552" s="75">
        <v>44531</v>
      </c>
      <c r="J552" s="76">
        <f>EFEITO!$J$552*EFEITO!$Y$488</f>
        <v>0</v>
      </c>
      <c r="K552" s="76">
        <f ca="1">EFEITO!$L$552*EFEITO!$Z$488</f>
        <v>96866.665339531915</v>
      </c>
      <c r="L552" s="76">
        <f>EFEITO!$N$552*EFEITO!$AA$488</f>
        <v>115082.29601883826</v>
      </c>
      <c r="M552" s="76">
        <f>$J$552-EFEITO!$K$552*EFEITO!$Y$552</f>
        <v>0</v>
      </c>
      <c r="N552" s="76">
        <f ca="1">$K$552-EFEITO!$M$552*EFEITO!$Z$552</f>
        <v>2905.9999601859454</v>
      </c>
      <c r="O552" s="76">
        <f>$L$552-EFEITO!$O$552*EFEITO!$AA$552</f>
        <v>3452.4688805651531</v>
      </c>
      <c r="P552" s="57"/>
      <c r="Q552" s="57"/>
      <c r="R552" s="57"/>
      <c r="S552" s="57"/>
      <c r="T552" s="57"/>
      <c r="U552" s="57"/>
      <c r="V552" s="57"/>
      <c r="W552" s="5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21</v>
      </c>
      <c r="B553" s="53" t="s">
        <v>41</v>
      </c>
      <c r="C553" s="53" t="s">
        <v>43</v>
      </c>
      <c r="D553" s="53" t="s">
        <v>51</v>
      </c>
      <c r="E553" s="53" t="s">
        <v>52</v>
      </c>
      <c r="F553" s="53" t="s">
        <v>25</v>
      </c>
      <c r="G553" s="53" t="s">
        <v>25</v>
      </c>
      <c r="H553" s="53" t="s">
        <v>35</v>
      </c>
      <c r="I553" s="75">
        <v>44562</v>
      </c>
      <c r="J553" s="76">
        <f>EFEITO!$J$553*EFEITO!$Y$488</f>
        <v>0</v>
      </c>
      <c r="K553" s="76">
        <f ca="1">EFEITO!$L$553*EFEITO!$Z$488</f>
        <v>98201.605838693722</v>
      </c>
      <c r="L553" s="76">
        <f>EFEITO!$N$553*EFEITO!$AA$488</f>
        <v>116668.27007042334</v>
      </c>
      <c r="M553" s="76">
        <f>$J$553-EFEITO!$K$553*EFEITO!$Y$553</f>
        <v>0</v>
      </c>
      <c r="N553" s="76">
        <f ca="1">$K$553-EFEITO!$M$553*EFEITO!$Z$553</f>
        <v>2946.0481751608022</v>
      </c>
      <c r="O553" s="76">
        <f>$L$553-EFEITO!$O$553*EFEITO!$AA$553</f>
        <v>3500.0481021126907</v>
      </c>
      <c r="P553" s="57"/>
      <c r="Q553" s="57"/>
      <c r="R553" s="57"/>
      <c r="S553" s="57"/>
      <c r="T553" s="57"/>
      <c r="U553" s="57"/>
      <c r="V553" s="57"/>
      <c r="W553" s="5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21</v>
      </c>
      <c r="B554" s="53" t="s">
        <v>41</v>
      </c>
      <c r="C554" s="53" t="s">
        <v>43</v>
      </c>
      <c r="D554" s="53" t="s">
        <v>51</v>
      </c>
      <c r="E554" s="53" t="s">
        <v>52</v>
      </c>
      <c r="F554" s="53" t="s">
        <v>25</v>
      </c>
      <c r="G554" s="53" t="s">
        <v>25</v>
      </c>
      <c r="H554" s="53" t="s">
        <v>35</v>
      </c>
      <c r="I554" s="75">
        <v>44593</v>
      </c>
      <c r="J554" s="76">
        <f>EFEITO!$J$554*EFEITO!$Y$488</f>
        <v>0</v>
      </c>
      <c r="K554" s="76">
        <f ca="1">EFEITO!$L$554*EFEITO!$Z$488</f>
        <v>82444.916219372928</v>
      </c>
      <c r="L554" s="76">
        <f>EFEITO!$N$554*EFEITO!$AA$488</f>
        <v>97948.558674437008</v>
      </c>
      <c r="M554" s="76">
        <f>$J$554-EFEITO!$K$554*EFEITO!$Y$554</f>
        <v>0</v>
      </c>
      <c r="N554" s="76">
        <f ca="1">$K$554-EFEITO!$M$554*EFEITO!$Z$554</f>
        <v>2473.3474865811731</v>
      </c>
      <c r="O554" s="76">
        <f>$L$554-EFEITO!$O$554*EFEITO!$AA$554</f>
        <v>2938.4567602331226</v>
      </c>
      <c r="P554" s="57"/>
      <c r="Q554" s="57"/>
      <c r="R554" s="57"/>
      <c r="S554" s="57"/>
      <c r="T554" s="57"/>
      <c r="U554" s="57"/>
      <c r="V554" s="57"/>
      <c r="W554" s="5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41</v>
      </c>
      <c r="C555" s="53" t="s">
        <v>43</v>
      </c>
      <c r="D555" s="53" t="s">
        <v>51</v>
      </c>
      <c r="E555" s="53" t="s">
        <v>52</v>
      </c>
      <c r="F555" s="53" t="s">
        <v>25</v>
      </c>
      <c r="G555" s="53" t="s">
        <v>25</v>
      </c>
      <c r="H555" s="53" t="s">
        <v>35</v>
      </c>
      <c r="I555" s="75">
        <v>44621</v>
      </c>
      <c r="J555" s="76">
        <f>EFEITO!$J$555*EFEITO!$Y$488</f>
        <v>0</v>
      </c>
      <c r="K555" s="76">
        <f ca="1">EFEITO!$L$555*EFEITO!$Z$488</f>
        <v>104349.11935271033</v>
      </c>
      <c r="L555" s="76">
        <f>EFEITO!$N$555*EFEITO!$AA$488</f>
        <v>123971.81425169646</v>
      </c>
      <c r="M555" s="76">
        <f>$J$555-EFEITO!$K$555*EFEITO!$Y$555</f>
        <v>0</v>
      </c>
      <c r="N555" s="76">
        <f ca="1">$K$555-EFEITO!$M$555*EFEITO!$Z$555</f>
        <v>3130.4735805813107</v>
      </c>
      <c r="O555" s="76">
        <f>$L$555-EFEITO!$O$555*EFEITO!$AA$555</f>
        <v>3719.1544275508932</v>
      </c>
      <c r="P555" s="57"/>
      <c r="Q555" s="57"/>
      <c r="R555" s="57"/>
      <c r="S555" s="57"/>
      <c r="T555" s="57"/>
      <c r="U555" s="57"/>
      <c r="V555" s="57"/>
      <c r="W555" s="5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27</v>
      </c>
      <c r="B556" s="53" t="s">
        <v>41</v>
      </c>
      <c r="C556" s="53" t="s">
        <v>43</v>
      </c>
      <c r="D556" s="53" t="s">
        <v>51</v>
      </c>
      <c r="E556" s="53" t="s">
        <v>52</v>
      </c>
      <c r="F556" s="53" t="s">
        <v>25</v>
      </c>
      <c r="G556" s="53" t="s">
        <v>25</v>
      </c>
      <c r="H556" s="53" t="s">
        <v>35</v>
      </c>
      <c r="I556" s="75">
        <v>44621</v>
      </c>
      <c r="J556" s="76">
        <f>EFEITO!$J$556*EFEITO!$Y$488</f>
        <v>0</v>
      </c>
      <c r="K556" s="76">
        <f ca="1">EFEITO!$L$556*EFEITO!$Z$488</f>
        <v>1821.2972878721964</v>
      </c>
      <c r="L556" s="76">
        <f>EFEITO!$N$556*EFEITO!$AA$488</f>
        <v>2163.7895026791703</v>
      </c>
      <c r="M556" s="76">
        <f>$J$556-EFEITO!$K$556*EFEITO!$Y$556</f>
        <v>0</v>
      </c>
      <c r="N556" s="76">
        <f ca="1">$K$556-EFEITO!$M$556*EFEITO!$Z$556</f>
        <v>54.638918636165727</v>
      </c>
      <c r="O556" s="76">
        <f>$L$556-EFEITO!$O$556*EFEITO!$AA$556</f>
        <v>64.913685080375217</v>
      </c>
      <c r="P556" s="57"/>
      <c r="Q556" s="57"/>
      <c r="R556" s="57"/>
      <c r="S556" s="57"/>
      <c r="T556" s="57"/>
      <c r="U556" s="57"/>
      <c r="V556" s="57"/>
      <c r="W556" s="5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21</v>
      </c>
      <c r="B557" s="53" t="s">
        <v>41</v>
      </c>
      <c r="C557" s="53" t="s">
        <v>43</v>
      </c>
      <c r="D557" s="53" t="s">
        <v>51</v>
      </c>
      <c r="E557" s="53" t="s">
        <v>52</v>
      </c>
      <c r="F557" s="53" t="s">
        <v>25</v>
      </c>
      <c r="G557" s="53" t="s">
        <v>25</v>
      </c>
      <c r="H557" s="53" t="s">
        <v>35</v>
      </c>
      <c r="I557" s="75">
        <v>44652</v>
      </c>
      <c r="J557" s="76">
        <f>EFEITO!$J$557*EFEITO!$Y$488</f>
        <v>0</v>
      </c>
      <c r="K557" s="76">
        <f ca="1">EFEITO!$L$557*EFEITO!$Z$488</f>
        <v>92453.521911226213</v>
      </c>
      <c r="L557" s="76">
        <f>EFEITO!$N$557*EFEITO!$AA$488</f>
        <v>109839.26760850027</v>
      </c>
      <c r="M557" s="76">
        <f>$J$557-EFEITO!$K$557*EFEITO!$Y$557</f>
        <v>0</v>
      </c>
      <c r="N557" s="76">
        <f ca="1">$K$557-EFEITO!$M$557*EFEITO!$Z$557</f>
        <v>2773.6056573367823</v>
      </c>
      <c r="O557" s="76">
        <f>$L$557-EFEITO!$O$557*EFEITO!$AA$557</f>
        <v>3295.1780282550171</v>
      </c>
      <c r="P557" s="57"/>
      <c r="Q557" s="57"/>
      <c r="R557" s="57"/>
      <c r="S557" s="57"/>
      <c r="T557" s="57"/>
      <c r="U557" s="57"/>
      <c r="V557" s="57"/>
      <c r="W557" s="5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41</v>
      </c>
      <c r="C558" s="53" t="s">
        <v>43</v>
      </c>
      <c r="D558" s="53" t="s">
        <v>51</v>
      </c>
      <c r="E558" s="53" t="s">
        <v>52</v>
      </c>
      <c r="F558" s="53" t="s">
        <v>25</v>
      </c>
      <c r="G558" s="53" t="s">
        <v>25</v>
      </c>
      <c r="H558" s="53" t="s">
        <v>35</v>
      </c>
      <c r="I558" s="75">
        <v>44682</v>
      </c>
      <c r="J558" s="76">
        <f>EFEITO!$J$558*EFEITO!$Y$488</f>
        <v>0</v>
      </c>
      <c r="K558" s="76">
        <f ca="1">EFEITO!$L$558*EFEITO!$Z$488</f>
        <v>91235.089269658463</v>
      </c>
      <c r="L558" s="76">
        <f>EFEITO!$N$558*EFEITO!$AA$488</f>
        <v>108391.71054184144</v>
      </c>
      <c r="M558" s="76">
        <f>$J$558-EFEITO!$K$558*EFEITO!$Y$558</f>
        <v>0</v>
      </c>
      <c r="N558" s="76">
        <f ca="1">$K$558-EFEITO!$M$558*EFEITO!$Z$558</f>
        <v>2737.052678089749</v>
      </c>
      <c r="O558" s="76">
        <f>$L$558-EFEITO!$O$558*EFEITO!$AA$558</f>
        <v>3251.751316255235</v>
      </c>
      <c r="P558" s="57"/>
      <c r="Q558" s="57"/>
      <c r="R558" s="57"/>
      <c r="S558" s="57"/>
      <c r="T558" s="57"/>
      <c r="U558" s="57"/>
      <c r="V558" s="57"/>
      <c r="W558" s="5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21</v>
      </c>
      <c r="B559" s="53" t="s">
        <v>41</v>
      </c>
      <c r="C559" s="53" t="s">
        <v>43</v>
      </c>
      <c r="D559" s="53" t="s">
        <v>51</v>
      </c>
      <c r="E559" s="53" t="s">
        <v>52</v>
      </c>
      <c r="F559" s="53" t="s">
        <v>25</v>
      </c>
      <c r="G559" s="53" t="s">
        <v>25</v>
      </c>
      <c r="H559" s="53" t="s">
        <v>35</v>
      </c>
      <c r="I559" s="75">
        <v>44713</v>
      </c>
      <c r="J559" s="76">
        <f>EFEITO!$J$559*EFEITO!$Y$488</f>
        <v>0</v>
      </c>
      <c r="K559" s="76">
        <f ca="1">EFEITO!$L$559*EFEITO!$Z$488</f>
        <v>87969.78415799202</v>
      </c>
      <c r="L559" s="76">
        <f>EFEITO!$N$559*EFEITO!$AA$488</f>
        <v>104512.36971664154</v>
      </c>
      <c r="M559" s="76">
        <f>$J$559-EFEITO!$K$559*EFEITO!$Y$559</f>
        <v>0</v>
      </c>
      <c r="N559" s="76">
        <f ca="1">$K$559-EFEITO!$M$559*EFEITO!$Z$559</f>
        <v>2639.0935247397574</v>
      </c>
      <c r="O559" s="76">
        <f>$L$559-EFEITO!$O$559*EFEITO!$AA$559</f>
        <v>3135.3710914992407</v>
      </c>
      <c r="P559" s="57"/>
      <c r="Q559" s="57"/>
      <c r="R559" s="57"/>
      <c r="S559" s="57"/>
      <c r="T559" s="57"/>
      <c r="U559" s="57"/>
      <c r="V559" s="57"/>
      <c r="W559" s="5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21</v>
      </c>
      <c r="B560" s="53" t="s">
        <v>41</v>
      </c>
      <c r="C560" s="53" t="s">
        <v>43</v>
      </c>
      <c r="D560" s="53" t="s">
        <v>51</v>
      </c>
      <c r="E560" s="53" t="s">
        <v>52</v>
      </c>
      <c r="F560" s="53" t="s">
        <v>25</v>
      </c>
      <c r="G560" s="53" t="s">
        <v>25</v>
      </c>
      <c r="H560" s="53" t="s">
        <v>35</v>
      </c>
      <c r="I560" s="75">
        <v>44743</v>
      </c>
      <c r="J560" s="76">
        <f>EFEITO!$J$560*EFEITO!$Y$488</f>
        <v>0</v>
      </c>
      <c r="K560" s="76">
        <f ca="1">EFEITO!$L$560*EFEITO!$Z$488</f>
        <v>2139.6069174983254</v>
      </c>
      <c r="L560" s="76">
        <f>EFEITO!$N$560*EFEITO!$AA$488</f>
        <v>2541.9567792534294</v>
      </c>
      <c r="M560" s="76">
        <f>$J$560-EFEITO!$K$560*EFEITO!$Y$560</f>
        <v>0</v>
      </c>
      <c r="N560" s="76">
        <f ca="1">$K$560-EFEITO!$M$560*EFEITO!$Z$560</f>
        <v>64.188207524949576</v>
      </c>
      <c r="O560" s="76">
        <f>$L$560-EFEITO!$O$560*EFEITO!$AA$560</f>
        <v>76.258703377603069</v>
      </c>
      <c r="P560" s="57"/>
      <c r="Q560" s="57"/>
      <c r="R560" s="57"/>
      <c r="S560" s="57"/>
      <c r="T560" s="57"/>
      <c r="U560" s="57"/>
      <c r="V560" s="57"/>
      <c r="W560" s="5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27</v>
      </c>
      <c r="B561" s="53" t="s">
        <v>41</v>
      </c>
      <c r="C561" s="53" t="s">
        <v>43</v>
      </c>
      <c r="D561" s="53" t="s">
        <v>51</v>
      </c>
      <c r="E561" s="53" t="s">
        <v>52</v>
      </c>
      <c r="F561" s="53" t="s">
        <v>25</v>
      </c>
      <c r="G561" s="53" t="s">
        <v>25</v>
      </c>
      <c r="H561" s="53" t="s">
        <v>35</v>
      </c>
      <c r="I561" s="75">
        <v>44743</v>
      </c>
      <c r="J561" s="76">
        <f>EFEITO!$J$561*EFEITO!$Y$488</f>
        <v>0</v>
      </c>
      <c r="K561" s="76">
        <f ca="1">EFEITO!$L$561*EFEITO!$Z$488</f>
        <v>32426.024123128358</v>
      </c>
      <c r="L561" s="76">
        <f>EFEITO!$N$561*EFEITO!$AA$488</f>
        <v>38523.689173895124</v>
      </c>
      <c r="M561" s="76">
        <f>$J$561-EFEITO!$K$561*EFEITO!$Y$561</f>
        <v>0</v>
      </c>
      <c r="N561" s="76">
        <f ca="1">$K$561-EFEITO!$M$561*EFEITO!$Z$561</f>
        <v>972.78072369384972</v>
      </c>
      <c r="O561" s="76">
        <f>$L$561-EFEITO!$O$561*EFEITO!$AA$561</f>
        <v>1155.7106752168474</v>
      </c>
      <c r="P561" s="57"/>
      <c r="Q561" s="57"/>
      <c r="R561" s="57"/>
      <c r="S561" s="57"/>
      <c r="T561" s="57"/>
      <c r="U561" s="57"/>
      <c r="V561" s="57"/>
      <c r="W561" s="5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21</v>
      </c>
      <c r="B562" s="53" t="s">
        <v>41</v>
      </c>
      <c r="C562" s="53" t="s">
        <v>43</v>
      </c>
      <c r="D562" s="53" t="s">
        <v>51</v>
      </c>
      <c r="E562" s="53" t="s">
        <v>52</v>
      </c>
      <c r="F562" s="53" t="s">
        <v>25</v>
      </c>
      <c r="G562" s="53" t="s">
        <v>25</v>
      </c>
      <c r="H562" s="53" t="s">
        <v>35</v>
      </c>
      <c r="I562" s="75">
        <v>44774</v>
      </c>
      <c r="J562" s="76">
        <f>EFEITO!$J$562*EFEITO!$Y$488</f>
        <v>0</v>
      </c>
      <c r="K562" s="76">
        <f ca="1">EFEITO!$L$562*EFEITO!$Z$488</f>
        <v>108763.53311591192</v>
      </c>
      <c r="L562" s="76">
        <f>EFEITO!$N$562*EFEITO!$AA$488</f>
        <v>129216.35188149626</v>
      </c>
      <c r="M562" s="76">
        <f>$J$562-EFEITO!$K$562*EFEITO!$Y$562</f>
        <v>0</v>
      </c>
      <c r="N562" s="76">
        <f ca="1">$K$562-EFEITO!$M$562*EFEITO!$Z$562</f>
        <v>3262.9059934773541</v>
      </c>
      <c r="O562" s="76">
        <f>$L$562-EFEITO!$O$562*EFEITO!$AA$562</f>
        <v>3876.4905564448854</v>
      </c>
      <c r="P562" s="57"/>
      <c r="Q562" s="57"/>
      <c r="R562" s="57"/>
      <c r="S562" s="57"/>
      <c r="T562" s="57"/>
      <c r="U562" s="57"/>
      <c r="V562" s="57"/>
      <c r="W562" s="5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27</v>
      </c>
      <c r="B563" s="53" t="s">
        <v>41</v>
      </c>
      <c r="C563" s="53" t="s">
        <v>43</v>
      </c>
      <c r="D563" s="53" t="s">
        <v>51</v>
      </c>
      <c r="E563" s="53" t="s">
        <v>52</v>
      </c>
      <c r="F563" s="53" t="s">
        <v>25</v>
      </c>
      <c r="G563" s="53" t="s">
        <v>25</v>
      </c>
      <c r="H563" s="53" t="s">
        <v>35</v>
      </c>
      <c r="I563" s="75">
        <v>44774</v>
      </c>
      <c r="J563" s="76">
        <f>EFEITO!$J$563*EFEITO!$Y$488</f>
        <v>0</v>
      </c>
      <c r="K563" s="76">
        <f ca="1">EFEITO!$L$563*EFEITO!$Z$488</f>
        <v>61455.898640314081</v>
      </c>
      <c r="L563" s="76">
        <f>EFEITO!$N$563*EFEITO!$AA$488</f>
        <v>73012.587918023608</v>
      </c>
      <c r="M563" s="76">
        <f>$J$563-EFEITO!$K$563*EFEITO!$Y$563</f>
        <v>0</v>
      </c>
      <c r="N563" s="76">
        <f ca="1">$K$563-EFEITO!$M$563*EFEITO!$Z$563</f>
        <v>1843.6769592094206</v>
      </c>
      <c r="O563" s="76">
        <f>$L$563-EFEITO!$O$563*EFEITO!$AA$563</f>
        <v>2190.3776375407033</v>
      </c>
      <c r="P563" s="57"/>
      <c r="Q563" s="57"/>
      <c r="R563" s="57"/>
      <c r="S563" s="57"/>
      <c r="T563" s="57"/>
      <c r="U563" s="57"/>
      <c r="V563" s="57"/>
      <c r="W563" s="5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21</v>
      </c>
      <c r="B564" s="53" t="s">
        <v>41</v>
      </c>
      <c r="C564" s="53" t="s">
        <v>43</v>
      </c>
      <c r="D564" s="53" t="s">
        <v>51</v>
      </c>
      <c r="E564" s="53" t="s">
        <v>52</v>
      </c>
      <c r="F564" s="53" t="s">
        <v>25</v>
      </c>
      <c r="G564" s="53" t="s">
        <v>25</v>
      </c>
      <c r="H564" s="53" t="s">
        <v>35</v>
      </c>
      <c r="I564" s="75">
        <v>44805</v>
      </c>
      <c r="J564" s="76">
        <f>EFEITO!$J$564*EFEITO!$Y$488</f>
        <v>0</v>
      </c>
      <c r="K564" s="76">
        <f ca="1">EFEITO!$L$564*EFEITO!$Z$488</f>
        <v>99345.814627059037</v>
      </c>
      <c r="L564" s="76">
        <f>EFEITO!$N$564*EFEITO!$AA$488</f>
        <v>118027.64559995626</v>
      </c>
      <c r="M564" s="76">
        <f>$J$564-EFEITO!$K$564*EFEITO!$Y$564</f>
        <v>0</v>
      </c>
      <c r="N564" s="76">
        <f ca="1">$K$564-EFEITO!$M$564*EFEITO!$Z$564</f>
        <v>2980.374438811763</v>
      </c>
      <c r="O564" s="76">
        <f>$L$564-EFEITO!$O$564*EFEITO!$AA$564</f>
        <v>3540.8293679986964</v>
      </c>
      <c r="P564" s="57"/>
      <c r="Q564" s="57"/>
      <c r="R564" s="57"/>
      <c r="S564" s="57"/>
      <c r="T564" s="57"/>
      <c r="U564" s="57"/>
      <c r="V564" s="57"/>
      <c r="W564" s="5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21</v>
      </c>
      <c r="B565" s="53" t="s">
        <v>41</v>
      </c>
      <c r="C565" s="53" t="s">
        <v>43</v>
      </c>
      <c r="D565" s="53" t="s">
        <v>51</v>
      </c>
      <c r="E565" s="53" t="s">
        <v>52</v>
      </c>
      <c r="F565" s="53" t="s">
        <v>25</v>
      </c>
      <c r="G565" s="53" t="s">
        <v>25</v>
      </c>
      <c r="H565" s="53" t="s">
        <v>35</v>
      </c>
      <c r="I565" s="75">
        <v>44835</v>
      </c>
      <c r="J565" s="76">
        <f>EFEITO!$J$565*EFEITO!$Y$488</f>
        <v>0</v>
      </c>
      <c r="K565" s="76">
        <f ca="1">EFEITO!$L$565*EFEITO!$Z$488</f>
        <v>113013.52924830321</v>
      </c>
      <c r="L565" s="76">
        <f>EFEITO!$N$565*EFEITO!$AA$488</f>
        <v>134265.55339238144</v>
      </c>
      <c r="M565" s="76">
        <f>$J$565-EFEITO!$K$565*EFEITO!$Y$565</f>
        <v>0</v>
      </c>
      <c r="N565" s="76">
        <f ca="1">$K$565-EFEITO!$M$565*EFEITO!$Z$565</f>
        <v>3390.4058774490841</v>
      </c>
      <c r="O565" s="76">
        <f>$L$565-EFEITO!$O$565*EFEITO!$AA$565</f>
        <v>4027.966601771448</v>
      </c>
      <c r="P565" s="57"/>
      <c r="Q565" s="57"/>
      <c r="R565" s="57"/>
      <c r="S565" s="57"/>
      <c r="T565" s="57"/>
      <c r="U565" s="57"/>
      <c r="V565" s="57"/>
      <c r="W565" s="5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54</v>
      </c>
      <c r="B566" s="53" t="s">
        <v>41</v>
      </c>
      <c r="C566" s="53" t="s">
        <v>43</v>
      </c>
      <c r="D566" s="53" t="s">
        <v>51</v>
      </c>
      <c r="E566" s="53" t="s">
        <v>52</v>
      </c>
      <c r="F566" s="53" t="s">
        <v>25</v>
      </c>
      <c r="G566" s="53" t="s">
        <v>25</v>
      </c>
      <c r="H566" s="53" t="s">
        <v>35</v>
      </c>
      <c r="I566" s="75">
        <v>44866</v>
      </c>
      <c r="J566" s="76">
        <f>EFEITO!$J$566*EFEITO!$Y$488</f>
        <v>0</v>
      </c>
      <c r="K566" s="76">
        <f ca="1">EFEITO!$L$566*EFEITO!$Z$488</f>
        <v>113013.52924830321</v>
      </c>
      <c r="L566" s="76">
        <f>EFEITO!$N$566*EFEITO!$AA$488</f>
        <v>134265.55339238144</v>
      </c>
      <c r="M566" s="76">
        <f>$J$566-EFEITO!$K$566*EFEITO!$Y$566</f>
        <v>0</v>
      </c>
      <c r="N566" s="76">
        <f ca="1">$K$566-EFEITO!$M$566*EFEITO!$Z$566</f>
        <v>3390.4058774490841</v>
      </c>
      <c r="O566" s="76">
        <f>$L$566-EFEITO!$O$566*EFEITO!$AA$566</f>
        <v>4027.966601771448</v>
      </c>
      <c r="P566" s="57"/>
      <c r="Q566" s="57"/>
      <c r="R566" s="57"/>
      <c r="S566" s="57"/>
      <c r="T566" s="57"/>
      <c r="U566" s="57"/>
      <c r="V566" s="57"/>
      <c r="W566" s="5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21</v>
      </c>
      <c r="B567" s="53" t="s">
        <v>41</v>
      </c>
      <c r="C567" s="53" t="s">
        <v>43</v>
      </c>
      <c r="D567" s="53" t="s">
        <v>51</v>
      </c>
      <c r="E567" s="53" t="s">
        <v>52</v>
      </c>
      <c r="F567" s="53" t="s">
        <v>25</v>
      </c>
      <c r="G567" s="53" t="s">
        <v>25</v>
      </c>
      <c r="H567" s="53" t="s">
        <v>25</v>
      </c>
      <c r="I567" s="75">
        <v>44531</v>
      </c>
      <c r="J567" s="76">
        <f ca="1">EFEITO!$J$567*EFEITO!$Y$520</f>
        <v>32928.313325779236</v>
      </c>
      <c r="K567" s="76">
        <f>EFEITO!$L$567*EFEITO!$Z$520</f>
        <v>0</v>
      </c>
      <c r="L567" s="76">
        <f>EFEITO!$N$567*EFEITO!$AA$520</f>
        <v>0</v>
      </c>
      <c r="M567" s="76">
        <f ca="1">$J$567-EFEITO!$K$567*EFEITO!$Y$567</f>
        <v>987.8493997733749</v>
      </c>
      <c r="N567" s="76">
        <f>$K$567-EFEITO!$M$567*EFEITO!$Z$567</f>
        <v>0</v>
      </c>
      <c r="O567" s="76">
        <f>$L$567-EFEITO!$O$567*EFEITO!$AA$567</f>
        <v>0</v>
      </c>
      <c r="P567" s="57"/>
      <c r="Q567" s="57"/>
      <c r="R567" s="57"/>
      <c r="S567" s="57"/>
      <c r="T567" s="57"/>
      <c r="U567" s="57"/>
      <c r="V567" s="57"/>
      <c r="W567" s="5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21</v>
      </c>
      <c r="B568" s="53" t="s">
        <v>41</v>
      </c>
      <c r="C568" s="53" t="s">
        <v>43</v>
      </c>
      <c r="D568" s="53" t="s">
        <v>51</v>
      </c>
      <c r="E568" s="53" t="s">
        <v>52</v>
      </c>
      <c r="F568" s="53" t="s">
        <v>25</v>
      </c>
      <c r="G568" s="53" t="s">
        <v>25</v>
      </c>
      <c r="H568" s="53" t="s">
        <v>25</v>
      </c>
      <c r="I568" s="75">
        <v>44562</v>
      </c>
      <c r="J568" s="76">
        <f ca="1">EFEITO!$J$568*EFEITO!$Y$520</f>
        <v>32674.040636004884</v>
      </c>
      <c r="K568" s="76">
        <f>EFEITO!$L$568*EFEITO!$Z$520</f>
        <v>0</v>
      </c>
      <c r="L568" s="76">
        <f>EFEITO!$N$568*EFEITO!$AA$520</f>
        <v>0</v>
      </c>
      <c r="M568" s="76">
        <f ca="1">$J$568-EFEITO!$K$568*EFEITO!$Y$568</f>
        <v>980.22121908015106</v>
      </c>
      <c r="N568" s="76">
        <f>$K$568-EFEITO!$M$568*EFEITO!$Z$568</f>
        <v>0</v>
      </c>
      <c r="O568" s="76">
        <f>$L$568-EFEITO!$O$568*EFEITO!$AA$568</f>
        <v>0</v>
      </c>
      <c r="P568" s="57"/>
      <c r="Q568" s="57"/>
      <c r="R568" s="57"/>
      <c r="S568" s="57"/>
      <c r="T568" s="57"/>
      <c r="U568" s="57"/>
      <c r="V568" s="57"/>
      <c r="W568" s="5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21</v>
      </c>
      <c r="B569" s="53" t="s">
        <v>41</v>
      </c>
      <c r="C569" s="53" t="s">
        <v>43</v>
      </c>
      <c r="D569" s="53" t="s">
        <v>51</v>
      </c>
      <c r="E569" s="53" t="s">
        <v>52</v>
      </c>
      <c r="F569" s="53" t="s">
        <v>25</v>
      </c>
      <c r="G569" s="53" t="s">
        <v>25</v>
      </c>
      <c r="H569" s="53" t="s">
        <v>25</v>
      </c>
      <c r="I569" s="75">
        <v>44593</v>
      </c>
      <c r="J569" s="76">
        <f ca="1">EFEITO!$J$569*EFEITO!$Y$520</f>
        <v>31932.411957496341</v>
      </c>
      <c r="K569" s="76">
        <f>EFEITO!$L$569*EFEITO!$Z$520</f>
        <v>0</v>
      </c>
      <c r="L569" s="76">
        <f>EFEITO!$N$569*EFEITO!$AA$520</f>
        <v>0</v>
      </c>
      <c r="M569" s="76">
        <f ca="1">$J$569-EFEITO!$K$569*EFEITO!$Y$569</f>
        <v>957.97235872489182</v>
      </c>
      <c r="N569" s="76">
        <f>$K$569-EFEITO!$M$569*EFEITO!$Z$569</f>
        <v>0</v>
      </c>
      <c r="O569" s="76">
        <f>$L$569-EFEITO!$O$569*EFEITO!$AA$569</f>
        <v>0</v>
      </c>
      <c r="P569" s="57"/>
      <c r="Q569" s="57"/>
      <c r="R569" s="57"/>
      <c r="S569" s="57"/>
      <c r="T569" s="57"/>
      <c r="U569" s="57"/>
      <c r="V569" s="57"/>
      <c r="W569" s="5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41</v>
      </c>
      <c r="C570" s="53" t="s">
        <v>43</v>
      </c>
      <c r="D570" s="53" t="s">
        <v>51</v>
      </c>
      <c r="E570" s="53" t="s">
        <v>52</v>
      </c>
      <c r="F570" s="53" t="s">
        <v>25</v>
      </c>
      <c r="G570" s="53" t="s">
        <v>25</v>
      </c>
      <c r="H570" s="53" t="s">
        <v>25</v>
      </c>
      <c r="I570" s="75">
        <v>44621</v>
      </c>
      <c r="J570" s="76">
        <f ca="1">EFEITO!$J$570*EFEITO!$Y$520</f>
        <v>32716.419417633941</v>
      </c>
      <c r="K570" s="76">
        <f>EFEITO!$L$570*EFEITO!$Z$520</f>
        <v>0</v>
      </c>
      <c r="L570" s="76">
        <f>EFEITO!$N$570*EFEITO!$AA$520</f>
        <v>0</v>
      </c>
      <c r="M570" s="76">
        <f ca="1">$J$570-EFEITO!$K$570*EFEITO!$Y$570</f>
        <v>981.49258252901927</v>
      </c>
      <c r="N570" s="76">
        <f>$K$570-EFEITO!$M$570*EFEITO!$Z$570</f>
        <v>0</v>
      </c>
      <c r="O570" s="76">
        <f>$L$570-EFEITO!$O$570*EFEITO!$AA$570</f>
        <v>0</v>
      </c>
      <c r="P570" s="57"/>
      <c r="Q570" s="57"/>
      <c r="R570" s="57"/>
      <c r="S570" s="57"/>
      <c r="T570" s="57"/>
      <c r="U570" s="57"/>
      <c r="V570" s="57"/>
      <c r="W570" s="5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21</v>
      </c>
      <c r="B571" s="53" t="s">
        <v>41</v>
      </c>
      <c r="C571" s="53" t="s">
        <v>43</v>
      </c>
      <c r="D571" s="53" t="s">
        <v>51</v>
      </c>
      <c r="E571" s="53" t="s">
        <v>52</v>
      </c>
      <c r="F571" s="53" t="s">
        <v>25</v>
      </c>
      <c r="G571" s="53" t="s">
        <v>25</v>
      </c>
      <c r="H571" s="53" t="s">
        <v>25</v>
      </c>
      <c r="I571" s="75">
        <v>44652</v>
      </c>
      <c r="J571" s="76">
        <f ca="1">EFEITO!$J$571*EFEITO!$Y$520</f>
        <v>32695.230026819412</v>
      </c>
      <c r="K571" s="76">
        <f>EFEITO!$L$571*EFEITO!$Z$520</f>
        <v>0</v>
      </c>
      <c r="L571" s="76">
        <f>EFEITO!$N$571*EFEITO!$AA$520</f>
        <v>0</v>
      </c>
      <c r="M571" s="76">
        <f ca="1">$J$571-EFEITO!$K$571*EFEITO!$Y$571</f>
        <v>980.85690080458517</v>
      </c>
      <c r="N571" s="76">
        <f>$K$571-EFEITO!$M$571*EFEITO!$Z$571</f>
        <v>0</v>
      </c>
      <c r="O571" s="76">
        <f>$L$571-EFEITO!$O$571*EFEITO!$AA$571</f>
        <v>0</v>
      </c>
      <c r="P571" s="57"/>
      <c r="Q571" s="57"/>
      <c r="R571" s="57"/>
      <c r="S571" s="57"/>
      <c r="T571" s="57"/>
      <c r="U571" s="57"/>
      <c r="V571" s="57"/>
      <c r="W571" s="5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21</v>
      </c>
      <c r="B572" s="53" t="s">
        <v>41</v>
      </c>
      <c r="C572" s="53" t="s">
        <v>43</v>
      </c>
      <c r="D572" s="53" t="s">
        <v>51</v>
      </c>
      <c r="E572" s="53" t="s">
        <v>52</v>
      </c>
      <c r="F572" s="53" t="s">
        <v>25</v>
      </c>
      <c r="G572" s="53" t="s">
        <v>25</v>
      </c>
      <c r="H572" s="53" t="s">
        <v>25</v>
      </c>
      <c r="I572" s="75">
        <v>44682</v>
      </c>
      <c r="J572" s="76">
        <f ca="1">EFEITO!$J$572*EFEITO!$Y$520</f>
        <v>32695.230026819412</v>
      </c>
      <c r="K572" s="76">
        <f>EFEITO!$L$572*EFEITO!$Z$520</f>
        <v>0</v>
      </c>
      <c r="L572" s="76">
        <f>EFEITO!$N$572*EFEITO!$AA$520</f>
        <v>0</v>
      </c>
      <c r="M572" s="76">
        <f ca="1">$J$572-EFEITO!$K$572*EFEITO!$Y$572</f>
        <v>980.85690080458517</v>
      </c>
      <c r="N572" s="76">
        <f>$K$572-EFEITO!$M$572*EFEITO!$Z$572</f>
        <v>0</v>
      </c>
      <c r="O572" s="76">
        <f>$L$572-EFEITO!$O$572*EFEITO!$AA$572</f>
        <v>0</v>
      </c>
      <c r="P572" s="57"/>
      <c r="Q572" s="57"/>
      <c r="R572" s="57"/>
      <c r="S572" s="57"/>
      <c r="T572" s="57"/>
      <c r="U572" s="57"/>
      <c r="V572" s="57"/>
      <c r="W572" s="5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21</v>
      </c>
      <c r="B573" s="53" t="s">
        <v>41</v>
      </c>
      <c r="C573" s="53" t="s">
        <v>43</v>
      </c>
      <c r="D573" s="53" t="s">
        <v>51</v>
      </c>
      <c r="E573" s="53" t="s">
        <v>52</v>
      </c>
      <c r="F573" s="53" t="s">
        <v>25</v>
      </c>
      <c r="G573" s="53" t="s">
        <v>25</v>
      </c>
      <c r="H573" s="53" t="s">
        <v>25</v>
      </c>
      <c r="I573" s="75">
        <v>44713</v>
      </c>
      <c r="J573" s="76">
        <f ca="1">EFEITO!$J$573*EFEITO!$Y$520</f>
        <v>34432.760073610851</v>
      </c>
      <c r="K573" s="76">
        <f>EFEITO!$L$573*EFEITO!$Z$520</f>
        <v>0</v>
      </c>
      <c r="L573" s="76">
        <f>EFEITO!$N$573*EFEITO!$AA$520</f>
        <v>0</v>
      </c>
      <c r="M573" s="76">
        <f ca="1">$J$573-EFEITO!$K$573*EFEITO!$Y$573</f>
        <v>1032.9828022083238</v>
      </c>
      <c r="N573" s="76">
        <f>$K$573-EFEITO!$M$573*EFEITO!$Z$573</f>
        <v>0</v>
      </c>
      <c r="O573" s="76">
        <f>$L$573-EFEITO!$O$573*EFEITO!$AA$573</f>
        <v>0</v>
      </c>
      <c r="P573" s="57"/>
      <c r="Q573" s="57"/>
      <c r="R573" s="57"/>
      <c r="S573" s="57"/>
      <c r="T573" s="57"/>
      <c r="U573" s="57"/>
      <c r="V573" s="57"/>
      <c r="W573" s="5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21</v>
      </c>
      <c r="B574" s="53" t="s">
        <v>41</v>
      </c>
      <c r="C574" s="53" t="s">
        <v>43</v>
      </c>
      <c r="D574" s="53" t="s">
        <v>51</v>
      </c>
      <c r="E574" s="53" t="s">
        <v>52</v>
      </c>
      <c r="F574" s="53" t="s">
        <v>25</v>
      </c>
      <c r="G574" s="53" t="s">
        <v>25</v>
      </c>
      <c r="H574" s="53" t="s">
        <v>25</v>
      </c>
      <c r="I574" s="75">
        <v>44743</v>
      </c>
      <c r="J574" s="76">
        <f ca="1">EFEITO!$J$574*EFEITO!$Y$520</f>
        <v>2352.0223804128027</v>
      </c>
      <c r="K574" s="76">
        <f>EFEITO!$L$574*EFEITO!$Z$520</f>
        <v>0</v>
      </c>
      <c r="L574" s="76">
        <f>EFEITO!$N$574*EFEITO!$AA$520</f>
        <v>0</v>
      </c>
      <c r="M574" s="76">
        <f ca="1">$J$574-EFEITO!$K$574*EFEITO!$Y$574</f>
        <v>70.560671412384181</v>
      </c>
      <c r="N574" s="76">
        <f>$K$574-EFEITO!$M$574*EFEITO!$Z$574</f>
        <v>0</v>
      </c>
      <c r="O574" s="76">
        <f>$L$574-EFEITO!$O$574*EFEITO!$AA$574</f>
        <v>0</v>
      </c>
      <c r="P574" s="57"/>
      <c r="Q574" s="57"/>
      <c r="R574" s="57"/>
      <c r="S574" s="57"/>
      <c r="T574" s="57"/>
      <c r="U574" s="57"/>
      <c r="V574" s="57"/>
      <c r="W574" s="5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27</v>
      </c>
      <c r="B575" s="53" t="s">
        <v>41</v>
      </c>
      <c r="C575" s="53" t="s">
        <v>43</v>
      </c>
      <c r="D575" s="53" t="s">
        <v>51</v>
      </c>
      <c r="E575" s="53" t="s">
        <v>52</v>
      </c>
      <c r="F575" s="53" t="s">
        <v>25</v>
      </c>
      <c r="G575" s="53" t="s">
        <v>25</v>
      </c>
      <c r="H575" s="53" t="s">
        <v>25</v>
      </c>
      <c r="I575" s="75">
        <v>44743</v>
      </c>
      <c r="J575" s="76">
        <f ca="1">EFEITO!$J$575*EFEITO!$Y$520</f>
        <v>31911.222566681812</v>
      </c>
      <c r="K575" s="76">
        <f>EFEITO!$L$575*EFEITO!$Z$520</f>
        <v>0</v>
      </c>
      <c r="L575" s="76">
        <f>EFEITO!$N$575*EFEITO!$AA$520</f>
        <v>0</v>
      </c>
      <c r="M575" s="76">
        <f ca="1">$J$575-EFEITO!$K$575*EFEITO!$Y$575</f>
        <v>957.33667700045771</v>
      </c>
      <c r="N575" s="76">
        <f>$K$575-EFEITO!$M$575*EFEITO!$Z$575</f>
        <v>0</v>
      </c>
      <c r="O575" s="76">
        <f>$L$575-EFEITO!$O$575*EFEITO!$AA$575</f>
        <v>0</v>
      </c>
      <c r="P575" s="57"/>
      <c r="Q575" s="57"/>
      <c r="R575" s="57"/>
      <c r="S575" s="57"/>
      <c r="T575" s="57"/>
      <c r="U575" s="57"/>
      <c r="V575" s="57"/>
      <c r="W575" s="5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21</v>
      </c>
      <c r="B576" s="53" t="s">
        <v>41</v>
      </c>
      <c r="C576" s="53" t="s">
        <v>43</v>
      </c>
      <c r="D576" s="53" t="s">
        <v>51</v>
      </c>
      <c r="E576" s="53" t="s">
        <v>52</v>
      </c>
      <c r="F576" s="53" t="s">
        <v>25</v>
      </c>
      <c r="G576" s="53" t="s">
        <v>25</v>
      </c>
      <c r="H576" s="53" t="s">
        <v>25</v>
      </c>
      <c r="I576" s="75">
        <v>44774</v>
      </c>
      <c r="J576" s="76">
        <f ca="1">EFEITO!$J$576*EFEITO!$Y$520</f>
        <v>33415.669314513427</v>
      </c>
      <c r="K576" s="76">
        <f>EFEITO!$L$576*EFEITO!$Z$520</f>
        <v>0</v>
      </c>
      <c r="L576" s="76">
        <f>EFEITO!$N$576*EFEITO!$AA$520</f>
        <v>0</v>
      </c>
      <c r="M576" s="76">
        <f ca="1">$J$576-EFEITO!$K$576*EFEITO!$Y$576</f>
        <v>1002.4700794354067</v>
      </c>
      <c r="N576" s="76">
        <f>$K$576-EFEITO!$M$576*EFEITO!$Z$576</f>
        <v>0</v>
      </c>
      <c r="O576" s="76">
        <f>$L$576-EFEITO!$O$576*EFEITO!$AA$576</f>
        <v>0</v>
      </c>
      <c r="P576" s="57"/>
      <c r="Q576" s="57"/>
      <c r="R576" s="57"/>
      <c r="S576" s="57"/>
      <c r="T576" s="57"/>
      <c r="U576" s="57"/>
      <c r="V576" s="57"/>
      <c r="W576" s="5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27</v>
      </c>
      <c r="B577" s="53" t="s">
        <v>41</v>
      </c>
      <c r="C577" s="53" t="s">
        <v>43</v>
      </c>
      <c r="D577" s="53" t="s">
        <v>51</v>
      </c>
      <c r="E577" s="53" t="s">
        <v>52</v>
      </c>
      <c r="F577" s="53" t="s">
        <v>25</v>
      </c>
      <c r="G577" s="53" t="s">
        <v>25</v>
      </c>
      <c r="H577" s="53" t="s">
        <v>25</v>
      </c>
      <c r="I577" s="75">
        <v>44774</v>
      </c>
      <c r="J577" s="76">
        <f ca="1">EFEITO!$J$577*EFEITO!$Y$520</f>
        <v>4259.0675537204806</v>
      </c>
      <c r="K577" s="76">
        <f>EFEITO!$L$577*EFEITO!$Z$520</f>
        <v>0</v>
      </c>
      <c r="L577" s="76">
        <f>EFEITO!$N$577*EFEITO!$AA$520</f>
        <v>0</v>
      </c>
      <c r="M577" s="76">
        <f ca="1">$J$577-EFEITO!$K$577*EFEITO!$Y$577</f>
        <v>127.77202661161482</v>
      </c>
      <c r="N577" s="76">
        <f>$K$577-EFEITO!$M$577*EFEITO!$Z$577</f>
        <v>0</v>
      </c>
      <c r="O577" s="76">
        <f>$L$577-EFEITO!$O$577*EFEITO!$AA$577</f>
        <v>0</v>
      </c>
      <c r="P577" s="57"/>
      <c r="Q577" s="57"/>
      <c r="R577" s="57"/>
      <c r="S577" s="57"/>
      <c r="T577" s="57"/>
      <c r="U577" s="57"/>
      <c r="V577" s="57"/>
      <c r="W577" s="5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21</v>
      </c>
      <c r="B578" s="53" t="s">
        <v>41</v>
      </c>
      <c r="C578" s="53" t="s">
        <v>43</v>
      </c>
      <c r="D578" s="53" t="s">
        <v>51</v>
      </c>
      <c r="E578" s="53" t="s">
        <v>52</v>
      </c>
      <c r="F578" s="53" t="s">
        <v>25</v>
      </c>
      <c r="G578" s="53" t="s">
        <v>25</v>
      </c>
      <c r="H578" s="53" t="s">
        <v>25</v>
      </c>
      <c r="I578" s="75">
        <v>44805</v>
      </c>
      <c r="J578" s="76">
        <f ca="1">EFEITO!$J$578*EFEITO!$Y$520</f>
        <v>34623.464590941621</v>
      </c>
      <c r="K578" s="76">
        <f>EFEITO!$L$578*EFEITO!$Z$520</f>
        <v>0</v>
      </c>
      <c r="L578" s="76">
        <f>EFEITO!$N$578*EFEITO!$AA$520</f>
        <v>0</v>
      </c>
      <c r="M578" s="76">
        <f ca="1">$J$578-EFEITO!$K$578*EFEITO!$Y$578</f>
        <v>1038.7039377282563</v>
      </c>
      <c r="N578" s="76">
        <f>$K$578-EFEITO!$M$578*EFEITO!$Z$578</f>
        <v>0</v>
      </c>
      <c r="O578" s="76">
        <f>$L$578-EFEITO!$O$578*EFEITO!$AA$578</f>
        <v>0</v>
      </c>
      <c r="P578" s="57"/>
      <c r="Q578" s="57"/>
      <c r="R578" s="57"/>
      <c r="S578" s="57"/>
      <c r="T578" s="57"/>
      <c r="U578" s="57"/>
      <c r="V578" s="57"/>
      <c r="W578" s="5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21</v>
      </c>
      <c r="B579" s="53" t="s">
        <v>41</v>
      </c>
      <c r="C579" s="53" t="s">
        <v>43</v>
      </c>
      <c r="D579" s="53" t="s">
        <v>51</v>
      </c>
      <c r="E579" s="53" t="s">
        <v>52</v>
      </c>
      <c r="F579" s="53" t="s">
        <v>25</v>
      </c>
      <c r="G579" s="53" t="s">
        <v>25</v>
      </c>
      <c r="H579" s="53" t="s">
        <v>25</v>
      </c>
      <c r="I579" s="75">
        <v>44835</v>
      </c>
      <c r="J579" s="76">
        <f ca="1">EFEITO!$J$579*EFEITO!$Y$520</f>
        <v>35513.419005151867</v>
      </c>
      <c r="K579" s="76">
        <f>EFEITO!$L$579*EFEITO!$Z$520</f>
        <v>0</v>
      </c>
      <c r="L579" s="76">
        <f>EFEITO!$N$579*EFEITO!$AA$520</f>
        <v>0</v>
      </c>
      <c r="M579" s="76">
        <f ca="1">$J$579-EFEITO!$K$579*EFEITO!$Y$579</f>
        <v>1065.4025701545543</v>
      </c>
      <c r="N579" s="76">
        <f>$K$579-EFEITO!$M$579*EFEITO!$Z$579</f>
        <v>0</v>
      </c>
      <c r="O579" s="76">
        <f>$L$579-EFEITO!$O$579*EFEITO!$AA$579</f>
        <v>0</v>
      </c>
      <c r="P579" s="57"/>
      <c r="Q579" s="57"/>
      <c r="R579" s="57"/>
      <c r="S579" s="57"/>
      <c r="T579" s="57"/>
      <c r="U579" s="57"/>
      <c r="V579" s="57"/>
      <c r="W579" s="5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54</v>
      </c>
      <c r="B580" s="53" t="s">
        <v>41</v>
      </c>
      <c r="C580" s="53" t="s">
        <v>43</v>
      </c>
      <c r="D580" s="53" t="s">
        <v>51</v>
      </c>
      <c r="E580" s="53" t="s">
        <v>52</v>
      </c>
      <c r="F580" s="53" t="s">
        <v>25</v>
      </c>
      <c r="G580" s="53" t="s">
        <v>25</v>
      </c>
      <c r="H580" s="53" t="s">
        <v>25</v>
      </c>
      <c r="I580" s="75">
        <v>44866</v>
      </c>
      <c r="J580" s="76">
        <f ca="1">EFEITO!$J$580*EFEITO!$Y$520</f>
        <v>35513.419005151867</v>
      </c>
      <c r="K580" s="76">
        <f>EFEITO!$L$580*EFEITO!$Z$520</f>
        <v>0</v>
      </c>
      <c r="L580" s="76">
        <f>EFEITO!$N$580*EFEITO!$AA$520</f>
        <v>0</v>
      </c>
      <c r="M580" s="76">
        <f ca="1">$J$580-EFEITO!$K$580*EFEITO!$Y$580</f>
        <v>1065.4025701545543</v>
      </c>
      <c r="N580" s="76">
        <f>$K$580-EFEITO!$M$580*EFEITO!$Z$580</f>
        <v>0</v>
      </c>
      <c r="O580" s="76">
        <f>$L$580-EFEITO!$O$580*EFEITO!$AA$580</f>
        <v>0</v>
      </c>
      <c r="P580" s="57"/>
      <c r="Q580" s="57"/>
      <c r="R580" s="57"/>
      <c r="S580" s="57"/>
      <c r="T580" s="57"/>
      <c r="U580" s="57"/>
      <c r="V580" s="57"/>
      <c r="W580" s="5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21</v>
      </c>
      <c r="B581" s="53" t="s">
        <v>41</v>
      </c>
      <c r="C581" s="53" t="s">
        <v>43</v>
      </c>
      <c r="D581" s="53" t="s">
        <v>51</v>
      </c>
      <c r="E581" s="53" t="s">
        <v>52</v>
      </c>
      <c r="F581" s="53" t="s">
        <v>25</v>
      </c>
      <c r="G581" s="53" t="s">
        <v>25</v>
      </c>
      <c r="H581" s="53" t="s">
        <v>34</v>
      </c>
      <c r="I581" s="75">
        <v>44531</v>
      </c>
      <c r="J581" s="76">
        <f>EFEITO!$J$581*EFEITO!$Y$551</f>
        <v>0</v>
      </c>
      <c r="K581" s="76">
        <f ca="1">EFEITO!$L$581*EFEITO!$Z$551</f>
        <v>81023.869612345399</v>
      </c>
      <c r="L581" s="76">
        <f>EFEITO!$N$581*EFEITO!$AA$551</f>
        <v>17424.373269379139</v>
      </c>
      <c r="M581" s="76">
        <f>$J$581-EFEITO!$K$581*EFEITO!$Y$581</f>
        <v>0</v>
      </c>
      <c r="N581" s="76">
        <f ca="1">$K$581-EFEITO!$M$581*EFEITO!$Z$581</f>
        <v>2430.7160883703618</v>
      </c>
      <c r="O581" s="76">
        <f>$L$581-EFEITO!$O$581*EFEITO!$AA$581</f>
        <v>522.73119808137562</v>
      </c>
      <c r="P581" s="57"/>
      <c r="Q581" s="57"/>
      <c r="R581" s="57"/>
      <c r="S581" s="57"/>
      <c r="T581" s="57"/>
      <c r="U581" s="57"/>
      <c r="V581" s="57"/>
      <c r="W581" s="5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21</v>
      </c>
      <c r="B582" s="53" t="s">
        <v>41</v>
      </c>
      <c r="C582" s="53" t="s">
        <v>43</v>
      </c>
      <c r="D582" s="53" t="s">
        <v>51</v>
      </c>
      <c r="E582" s="53" t="s">
        <v>52</v>
      </c>
      <c r="F582" s="53" t="s">
        <v>25</v>
      </c>
      <c r="G582" s="53" t="s">
        <v>25</v>
      </c>
      <c r="H582" s="53" t="s">
        <v>34</v>
      </c>
      <c r="I582" s="75">
        <v>44562</v>
      </c>
      <c r="J582" s="76">
        <f>EFEITO!$J$582*EFEITO!$Y$551</f>
        <v>0</v>
      </c>
      <c r="K582" s="76">
        <f ca="1">EFEITO!$L$582*EFEITO!$Z$551</f>
        <v>72622.204215324658</v>
      </c>
      <c r="L582" s="76">
        <f>EFEITO!$N$582*EFEITO!$AA$551</f>
        <v>15617.575412617554</v>
      </c>
      <c r="M582" s="76">
        <f>$J$582-EFEITO!$K$582*EFEITO!$Y$582</f>
        <v>0</v>
      </c>
      <c r="N582" s="76">
        <f ca="1">$K$582-EFEITO!$M$582*EFEITO!$Z$582</f>
        <v>2178.6661264597351</v>
      </c>
      <c r="O582" s="76">
        <f>$L$582-EFEITO!$O$582*EFEITO!$AA$582</f>
        <v>468.52726237852767</v>
      </c>
      <c r="P582" s="57"/>
      <c r="Q582" s="57"/>
      <c r="R582" s="57"/>
      <c r="S582" s="57"/>
      <c r="T582" s="57"/>
      <c r="U582" s="57"/>
      <c r="V582" s="57"/>
      <c r="W582" s="5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21</v>
      </c>
      <c r="B583" s="53" t="s">
        <v>41</v>
      </c>
      <c r="C583" s="53" t="s">
        <v>43</v>
      </c>
      <c r="D583" s="53" t="s">
        <v>51</v>
      </c>
      <c r="E583" s="53" t="s">
        <v>52</v>
      </c>
      <c r="F583" s="53" t="s">
        <v>25</v>
      </c>
      <c r="G583" s="53" t="s">
        <v>25</v>
      </c>
      <c r="H583" s="53" t="s">
        <v>34</v>
      </c>
      <c r="I583" s="75">
        <v>44593</v>
      </c>
      <c r="J583" s="76">
        <f>EFEITO!$J$583*EFEITO!$Y$551</f>
        <v>0</v>
      </c>
      <c r="K583" s="76">
        <f ca="1">EFEITO!$L$583*EFEITO!$Z$551</f>
        <v>58148.092478578132</v>
      </c>
      <c r="L583" s="76">
        <f>EFEITO!$N$583*EFEITO!$AA$551</f>
        <v>12504.883722496823</v>
      </c>
      <c r="M583" s="76">
        <f>$J$583-EFEITO!$K$583*EFEITO!$Y$583</f>
        <v>0</v>
      </c>
      <c r="N583" s="76">
        <f ca="1">$K$583-EFEITO!$M$583*EFEITO!$Z$583</f>
        <v>1744.4427743573469</v>
      </c>
      <c r="O583" s="76">
        <f>$L$583-EFEITO!$O$583*EFEITO!$AA$583</f>
        <v>375.14651167490592</v>
      </c>
      <c r="P583" s="57"/>
      <c r="Q583" s="57"/>
      <c r="R583" s="57"/>
      <c r="S583" s="57"/>
      <c r="T583" s="57"/>
      <c r="U583" s="57"/>
      <c r="V583" s="57"/>
      <c r="W583" s="5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21</v>
      </c>
      <c r="B584" s="53" t="s">
        <v>41</v>
      </c>
      <c r="C584" s="53" t="s">
        <v>43</v>
      </c>
      <c r="D584" s="53" t="s">
        <v>51</v>
      </c>
      <c r="E584" s="53" t="s">
        <v>52</v>
      </c>
      <c r="F584" s="53" t="s">
        <v>25</v>
      </c>
      <c r="G584" s="53" t="s">
        <v>25</v>
      </c>
      <c r="H584" s="53" t="s">
        <v>34</v>
      </c>
      <c r="I584" s="75">
        <v>44621</v>
      </c>
      <c r="J584" s="76">
        <f>EFEITO!$J$584*EFEITO!$Y$551</f>
        <v>0</v>
      </c>
      <c r="K584" s="76">
        <f ca="1">EFEITO!$L$584*EFEITO!$Z$551</f>
        <v>85456.126326516256</v>
      </c>
      <c r="L584" s="76">
        <f>EFEITO!$N$584*EFEITO!$AA$551</f>
        <v>18377.540475326281</v>
      </c>
      <c r="M584" s="76">
        <f>$J$584-EFEITO!$K$584*EFEITO!$Y$584</f>
        <v>0</v>
      </c>
      <c r="N584" s="76">
        <f ca="1">$K$584-EFEITO!$M$584*EFEITO!$Z$584</f>
        <v>2563.6837897954829</v>
      </c>
      <c r="O584" s="76">
        <f>$L$584-EFEITO!$O$584*EFEITO!$AA$584</f>
        <v>551.32621425978869</v>
      </c>
      <c r="P584" s="57"/>
      <c r="Q584" s="57"/>
      <c r="R584" s="57"/>
      <c r="S584" s="57"/>
      <c r="T584" s="57"/>
      <c r="U584" s="57"/>
      <c r="V584" s="57"/>
      <c r="W584" s="5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27</v>
      </c>
      <c r="B585" s="53" t="s">
        <v>41</v>
      </c>
      <c r="C585" s="53" t="s">
        <v>43</v>
      </c>
      <c r="D585" s="53" t="s">
        <v>51</v>
      </c>
      <c r="E585" s="53" t="s">
        <v>52</v>
      </c>
      <c r="F585" s="53" t="s">
        <v>25</v>
      </c>
      <c r="G585" s="53" t="s">
        <v>25</v>
      </c>
      <c r="H585" s="53" t="s">
        <v>34</v>
      </c>
      <c r="I585" s="75">
        <v>44621</v>
      </c>
      <c r="J585" s="76">
        <f>EFEITO!$J$585*EFEITO!$Y$551</f>
        <v>0</v>
      </c>
      <c r="K585" s="76">
        <f ca="1">EFEITO!$L$585*EFEITO!$Z$551</f>
        <v>-7738.1000964537516</v>
      </c>
      <c r="L585" s="76">
        <f>EFEITO!$N$585*EFEITO!$AA$551</f>
        <v>-1664.0965819273208</v>
      </c>
      <c r="M585" s="76">
        <f>$J$585-EFEITO!$K$585*EFEITO!$Y$585</f>
        <v>0</v>
      </c>
      <c r="N585" s="76">
        <f ca="1">$K$585-EFEITO!$M$585*EFEITO!$Z$585</f>
        <v>-232.14300289361199</v>
      </c>
      <c r="O585" s="76">
        <f>$L$585-EFEITO!$O$585*EFEITO!$AA$585</f>
        <v>-49.922897457819772</v>
      </c>
      <c r="P585" s="57"/>
      <c r="Q585" s="57"/>
      <c r="R585" s="57"/>
      <c r="S585" s="57"/>
      <c r="T585" s="57"/>
      <c r="U585" s="57"/>
      <c r="V585" s="57"/>
      <c r="W585" s="5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21</v>
      </c>
      <c r="B586" s="53" t="s">
        <v>41</v>
      </c>
      <c r="C586" s="53" t="s">
        <v>43</v>
      </c>
      <c r="D586" s="53" t="s">
        <v>51</v>
      </c>
      <c r="E586" s="53" t="s">
        <v>52</v>
      </c>
      <c r="F586" s="53" t="s">
        <v>25</v>
      </c>
      <c r="G586" s="53" t="s">
        <v>25</v>
      </c>
      <c r="H586" s="53" t="s">
        <v>34</v>
      </c>
      <c r="I586" s="75">
        <v>44652</v>
      </c>
      <c r="J586" s="76">
        <f>EFEITO!$J$586*EFEITO!$Y$551</f>
        <v>0</v>
      </c>
      <c r="K586" s="76">
        <f ca="1">EFEITO!$L$586*EFEITO!$Z$551</f>
        <v>65282.5428772249</v>
      </c>
      <c r="L586" s="76">
        <f>EFEITO!$N$586*EFEITO!$AA$551</f>
        <v>14039.16402054557</v>
      </c>
      <c r="M586" s="76">
        <f>$J$586-EFEITO!$K$586*EFEITO!$Y$586</f>
        <v>0</v>
      </c>
      <c r="N586" s="76">
        <f ca="1">$K$586-EFEITO!$M$586*EFEITO!$Z$586</f>
        <v>1958.4762863167489</v>
      </c>
      <c r="O586" s="76">
        <f>$L$586-EFEITO!$O$586*EFEITO!$AA$586</f>
        <v>421.17492061636767</v>
      </c>
      <c r="P586" s="57"/>
      <c r="Q586" s="57"/>
      <c r="R586" s="57"/>
      <c r="S586" s="57"/>
      <c r="T586" s="57"/>
      <c r="U586" s="57"/>
      <c r="V586" s="57"/>
      <c r="W586" s="5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21</v>
      </c>
      <c r="B587" s="53" t="s">
        <v>41</v>
      </c>
      <c r="C587" s="53" t="s">
        <v>43</v>
      </c>
      <c r="D587" s="53" t="s">
        <v>51</v>
      </c>
      <c r="E587" s="53" t="s">
        <v>52</v>
      </c>
      <c r="F587" s="53" t="s">
        <v>25</v>
      </c>
      <c r="G587" s="53" t="s">
        <v>25</v>
      </c>
      <c r="H587" s="53" t="s">
        <v>34</v>
      </c>
      <c r="I587" s="75">
        <v>44682</v>
      </c>
      <c r="J587" s="76">
        <f>EFEITO!$J$587*EFEITO!$Y$551</f>
        <v>0</v>
      </c>
      <c r="K587" s="76">
        <f ca="1">EFEITO!$L$587*EFEITO!$Z$551</f>
        <v>68103.069877151807</v>
      </c>
      <c r="L587" s="76">
        <f>EFEITO!$N$587*EFEITO!$AA$551</f>
        <v>14645.724969784662</v>
      </c>
      <c r="M587" s="76">
        <f>$J$587-EFEITO!$K$587*EFEITO!$Y$587</f>
        <v>0</v>
      </c>
      <c r="N587" s="76">
        <f ca="1">$K$587-EFEITO!$M$587*EFEITO!$Z$587</f>
        <v>2043.0920963145472</v>
      </c>
      <c r="O587" s="76">
        <f>$L$587-EFEITO!$O$587*EFEITO!$AA$587</f>
        <v>439.37174909354144</v>
      </c>
      <c r="P587" s="57"/>
      <c r="Q587" s="57"/>
      <c r="R587" s="57"/>
      <c r="S587" s="57"/>
      <c r="T587" s="57"/>
      <c r="U587" s="57"/>
      <c r="V587" s="57"/>
      <c r="W587" s="5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21</v>
      </c>
      <c r="B588" s="53" t="s">
        <v>41</v>
      </c>
      <c r="C588" s="53" t="s">
        <v>43</v>
      </c>
      <c r="D588" s="53" t="s">
        <v>51</v>
      </c>
      <c r="E588" s="53" t="s">
        <v>52</v>
      </c>
      <c r="F588" s="53" t="s">
        <v>25</v>
      </c>
      <c r="G588" s="53" t="s">
        <v>25</v>
      </c>
      <c r="H588" s="53" t="s">
        <v>34</v>
      </c>
      <c r="I588" s="75">
        <v>44713</v>
      </c>
      <c r="J588" s="76">
        <f>EFEITO!$J$588*EFEITO!$Y$551</f>
        <v>0</v>
      </c>
      <c r="K588" s="76">
        <f ca="1">EFEITO!$L$588*EFEITO!$Z$551</f>
        <v>67017.09957712685</v>
      </c>
      <c r="L588" s="76">
        <f>EFEITO!$N$588*EFEITO!$AA$551</f>
        <v>14412.184508712786</v>
      </c>
      <c r="M588" s="76">
        <f>$J$588-EFEITO!$K$588*EFEITO!$Y$588</f>
        <v>0</v>
      </c>
      <c r="N588" s="76">
        <f ca="1">$K$588-EFEITO!$M$588*EFEITO!$Z$588</f>
        <v>2010.5129873138067</v>
      </c>
      <c r="O588" s="76">
        <f>$L$588-EFEITO!$O$588*EFEITO!$AA$588</f>
        <v>432.36553526138414</v>
      </c>
      <c r="P588" s="57"/>
      <c r="Q588" s="57"/>
      <c r="R588" s="57"/>
      <c r="S588" s="57"/>
      <c r="T588" s="57"/>
      <c r="U588" s="57"/>
      <c r="V588" s="57"/>
      <c r="W588" s="5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21</v>
      </c>
      <c r="B589" s="53" t="s">
        <v>41</v>
      </c>
      <c r="C589" s="53" t="s">
        <v>43</v>
      </c>
      <c r="D589" s="53" t="s">
        <v>51</v>
      </c>
      <c r="E589" s="53" t="s">
        <v>52</v>
      </c>
      <c r="F589" s="53" t="s">
        <v>25</v>
      </c>
      <c r="G589" s="53" t="s">
        <v>25</v>
      </c>
      <c r="H589" s="53" t="s">
        <v>34</v>
      </c>
      <c r="I589" s="75">
        <v>44743</v>
      </c>
      <c r="J589" s="76">
        <f>EFEITO!$J$589*EFEITO!$Y$551</f>
        <v>0</v>
      </c>
      <c r="K589" s="76">
        <f ca="1">EFEITO!$L$589*EFEITO!$Z$551</f>
        <v>2850.4848013069086</v>
      </c>
      <c r="L589" s="76">
        <f>EFEITO!$N$589*EFEITO!$AA$551</f>
        <v>613.00344471693597</v>
      </c>
      <c r="M589" s="76">
        <f>$J$589-EFEITO!$K$589*EFEITO!$Y$589</f>
        <v>0</v>
      </c>
      <c r="N589" s="76">
        <f ca="1">$K$589-EFEITO!$M$589*EFEITO!$Z$589</f>
        <v>85.514544039207522</v>
      </c>
      <c r="O589" s="76">
        <f>$L$589-EFEITO!$O$589*EFEITO!$AA$589</f>
        <v>18.390103341508166</v>
      </c>
      <c r="P589" s="57"/>
      <c r="Q589" s="57"/>
      <c r="R589" s="57"/>
      <c r="S589" s="57"/>
      <c r="T589" s="57"/>
      <c r="U589" s="57"/>
      <c r="V589" s="57"/>
      <c r="W589" s="5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27</v>
      </c>
      <c r="B590" s="53" t="s">
        <v>41</v>
      </c>
      <c r="C590" s="53" t="s">
        <v>43</v>
      </c>
      <c r="D590" s="53" t="s">
        <v>51</v>
      </c>
      <c r="E590" s="53" t="s">
        <v>52</v>
      </c>
      <c r="F590" s="53" t="s">
        <v>25</v>
      </c>
      <c r="G590" s="53" t="s">
        <v>25</v>
      </c>
      <c r="H590" s="53" t="s">
        <v>34</v>
      </c>
      <c r="I590" s="75">
        <v>44743</v>
      </c>
      <c r="J590" s="76">
        <f>EFEITO!$J$590*EFEITO!$Y$551</f>
        <v>0</v>
      </c>
      <c r="K590" s="76">
        <f ca="1">EFEITO!$L$590*EFEITO!$Z$551</f>
        <v>21869.195007399296</v>
      </c>
      <c r="L590" s="76">
        <f>EFEITO!$N$590*EFEITO!$AA$551</f>
        <v>4703.0216988267284</v>
      </c>
      <c r="M590" s="76">
        <f>$J$590-EFEITO!$K$590*EFEITO!$Y$590</f>
        <v>0</v>
      </c>
      <c r="N590" s="76">
        <f ca="1">$K$590-EFEITO!$M$590*EFEITO!$Z$590</f>
        <v>656.07585022197964</v>
      </c>
      <c r="O590" s="76">
        <f>$L$590-EFEITO!$O$590*EFEITO!$AA$590</f>
        <v>141.09065096480208</v>
      </c>
      <c r="P590" s="57"/>
      <c r="Q590" s="57"/>
      <c r="R590" s="57"/>
      <c r="S590" s="57"/>
      <c r="T590" s="57"/>
      <c r="U590" s="57"/>
      <c r="V590" s="57"/>
      <c r="W590" s="5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21</v>
      </c>
      <c r="B591" s="53" t="s">
        <v>41</v>
      </c>
      <c r="C591" s="53" t="s">
        <v>43</v>
      </c>
      <c r="D591" s="53" t="s">
        <v>51</v>
      </c>
      <c r="E591" s="53" t="s">
        <v>52</v>
      </c>
      <c r="F591" s="53" t="s">
        <v>25</v>
      </c>
      <c r="G591" s="53" t="s">
        <v>25</v>
      </c>
      <c r="H591" s="53" t="s">
        <v>34</v>
      </c>
      <c r="I591" s="75">
        <v>44774</v>
      </c>
      <c r="J591" s="76">
        <f>EFEITO!$J$591*EFEITO!$Y$551</f>
        <v>0</v>
      </c>
      <c r="K591" s="76">
        <f ca="1">EFEITO!$L$591*EFEITO!$Z$551</f>
        <v>84964.818383884267</v>
      </c>
      <c r="L591" s="76">
        <f>EFEITO!$N$591*EFEITO!$AA$551</f>
        <v>18271.883549489627</v>
      </c>
      <c r="M591" s="76">
        <f>$J$591-EFEITO!$K$591*EFEITO!$Y$591</f>
        <v>0</v>
      </c>
      <c r="N591" s="76">
        <f ca="1">$K$591-EFEITO!$M$591*EFEITO!$Z$591</f>
        <v>2548.944551516528</v>
      </c>
      <c r="O591" s="76">
        <f>$L$591-EFEITO!$O$591*EFEITO!$AA$591</f>
        <v>548.15650648469091</v>
      </c>
      <c r="P591" s="57"/>
      <c r="Q591" s="57"/>
      <c r="R591" s="57"/>
      <c r="S591" s="57"/>
      <c r="T591" s="57"/>
      <c r="U591" s="57"/>
      <c r="V591" s="57"/>
      <c r="W591" s="5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27</v>
      </c>
      <c r="B592" s="53" t="s">
        <v>41</v>
      </c>
      <c r="C592" s="53" t="s">
        <v>43</v>
      </c>
      <c r="D592" s="53" t="s">
        <v>51</v>
      </c>
      <c r="E592" s="53" t="s">
        <v>52</v>
      </c>
      <c r="F592" s="53" t="s">
        <v>25</v>
      </c>
      <c r="G592" s="53" t="s">
        <v>25</v>
      </c>
      <c r="H592" s="53" t="s">
        <v>34</v>
      </c>
      <c r="I592" s="75">
        <v>44774</v>
      </c>
      <c r="J592" s="76">
        <f>EFEITO!$J$592*EFEITO!$Y$551</f>
        <v>0</v>
      </c>
      <c r="K592" s="76">
        <f ca="1">EFEITO!$L$592*EFEITO!$Z$551</f>
        <v>45387.566980767537</v>
      </c>
      <c r="L592" s="76">
        <f>EFEITO!$N$592*EFEITO!$AA$551</f>
        <v>9760.7027737088156</v>
      </c>
      <c r="M592" s="76">
        <f>$J$592-EFEITO!$K$592*EFEITO!$Y$592</f>
        <v>0</v>
      </c>
      <c r="N592" s="76">
        <f ca="1">$K$592-EFEITO!$M$592*EFEITO!$Z$592</f>
        <v>1361.6270094230276</v>
      </c>
      <c r="O592" s="76">
        <f>$L$592-EFEITO!$O$592*EFEITO!$AA$592</f>
        <v>292.82108321126543</v>
      </c>
      <c r="P592" s="57"/>
      <c r="Q592" s="57"/>
      <c r="R592" s="57"/>
      <c r="S592" s="57"/>
      <c r="T592" s="57"/>
      <c r="U592" s="57"/>
      <c r="V592" s="57"/>
      <c r="W592" s="5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21</v>
      </c>
      <c r="B593" s="53" t="s">
        <v>41</v>
      </c>
      <c r="C593" s="53" t="s">
        <v>43</v>
      </c>
      <c r="D593" s="53" t="s">
        <v>51</v>
      </c>
      <c r="E593" s="53" t="s">
        <v>52</v>
      </c>
      <c r="F593" s="53" t="s">
        <v>25</v>
      </c>
      <c r="G593" s="53" t="s">
        <v>25</v>
      </c>
      <c r="H593" s="53" t="s">
        <v>34</v>
      </c>
      <c r="I593" s="75">
        <v>44805</v>
      </c>
      <c r="J593" s="76">
        <f>EFEITO!$J$593*EFEITO!$Y$551</f>
        <v>0</v>
      </c>
      <c r="K593" s="76">
        <f ca="1">EFEITO!$L$593*EFEITO!$Z$551</f>
        <v>74269.883291224614</v>
      </c>
      <c r="L593" s="76">
        <f>EFEITO!$N$593*EFEITO!$AA$551</f>
        <v>15971.91266389902</v>
      </c>
      <c r="M593" s="76">
        <f>$J$593-EFEITO!$K$593*EFEITO!$Y$593</f>
        <v>0</v>
      </c>
      <c r="N593" s="76">
        <f ca="1">$K$593-EFEITO!$M$593*EFEITO!$Z$593</f>
        <v>2228.0964987367479</v>
      </c>
      <c r="O593" s="76">
        <f>$L$593-EFEITO!$O$593*EFEITO!$AA$593</f>
        <v>479.15737991697097</v>
      </c>
      <c r="P593" s="57"/>
      <c r="Q593" s="57"/>
      <c r="R593" s="57"/>
      <c r="S593" s="57"/>
      <c r="T593" s="57"/>
      <c r="U593" s="57"/>
      <c r="V593" s="57"/>
      <c r="W593" s="5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41</v>
      </c>
      <c r="C594" s="53" t="s">
        <v>43</v>
      </c>
      <c r="D594" s="53" t="s">
        <v>51</v>
      </c>
      <c r="E594" s="53" t="s">
        <v>52</v>
      </c>
      <c r="F594" s="53" t="s">
        <v>25</v>
      </c>
      <c r="G594" s="53" t="s">
        <v>25</v>
      </c>
      <c r="H594" s="53" t="s">
        <v>34</v>
      </c>
      <c r="I594" s="75">
        <v>44835</v>
      </c>
      <c r="J594" s="76">
        <f>EFEITO!$J$594*EFEITO!$Y$551</f>
        <v>0</v>
      </c>
      <c r="K594" s="76">
        <f ca="1">EFEITO!$L$594*EFEITO!$Z$551</f>
        <v>77574.228783438506</v>
      </c>
      <c r="L594" s="76">
        <f>EFEITO!$N$594*EFEITO!$AA$551</f>
        <v>16682.519915105306</v>
      </c>
      <c r="M594" s="76">
        <f>$J$594-EFEITO!$K$594*EFEITO!$Y$594</f>
        <v>0</v>
      </c>
      <c r="N594" s="76">
        <f ca="1">$K$594-EFEITO!$M$594*EFEITO!$Z$594</f>
        <v>2327.2268635031505</v>
      </c>
      <c r="O594" s="76">
        <f>$L$594-EFEITO!$O$594*EFEITO!$AA$594</f>
        <v>500.47559745315993</v>
      </c>
      <c r="P594" s="57"/>
      <c r="Q594" s="57"/>
      <c r="R594" s="57"/>
      <c r="S594" s="57"/>
      <c r="T594" s="57"/>
      <c r="U594" s="57"/>
      <c r="V594" s="57"/>
      <c r="W594" s="5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54</v>
      </c>
      <c r="B595" s="53" t="s">
        <v>41</v>
      </c>
      <c r="C595" s="53" t="s">
        <v>43</v>
      </c>
      <c r="D595" s="53" t="s">
        <v>51</v>
      </c>
      <c r="E595" s="53" t="s">
        <v>52</v>
      </c>
      <c r="F595" s="53" t="s">
        <v>25</v>
      </c>
      <c r="G595" s="53" t="s">
        <v>25</v>
      </c>
      <c r="H595" s="53" t="s">
        <v>34</v>
      </c>
      <c r="I595" s="75">
        <v>44866</v>
      </c>
      <c r="J595" s="76">
        <f>EFEITO!$J$595*EFEITO!$Y$551</f>
        <v>0</v>
      </c>
      <c r="K595" s="76">
        <f ca="1">EFEITO!$L$595*EFEITO!$Z$551</f>
        <v>77574.228783438506</v>
      </c>
      <c r="L595" s="76">
        <f>EFEITO!$N$595*EFEITO!$AA$551</f>
        <v>16682.519915105306</v>
      </c>
      <c r="M595" s="76">
        <f>$J$595-EFEITO!$K$595*EFEITO!$Y$595</f>
        <v>0</v>
      </c>
      <c r="N595" s="76">
        <f ca="1">$K$595-EFEITO!$M$595*EFEITO!$Z$595</f>
        <v>2327.2268635031505</v>
      </c>
      <c r="O595" s="76">
        <f>$L$595-EFEITO!$O$595*EFEITO!$AA$595</f>
        <v>500.47559745315993</v>
      </c>
      <c r="P595" s="57"/>
      <c r="Q595" s="57"/>
      <c r="R595" s="57"/>
      <c r="S595" s="57"/>
      <c r="T595" s="57"/>
      <c r="U595" s="57"/>
      <c r="V595" s="57"/>
      <c r="W595" s="5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21</v>
      </c>
      <c r="B596" s="53" t="s">
        <v>22</v>
      </c>
      <c r="C596" s="53" t="s">
        <v>33</v>
      </c>
      <c r="D596" s="53" t="s">
        <v>24</v>
      </c>
      <c r="E596" s="53" t="s">
        <v>24</v>
      </c>
      <c r="F596" s="53" t="s">
        <v>25</v>
      </c>
      <c r="G596" s="53" t="s">
        <v>25</v>
      </c>
      <c r="H596" s="53" t="s">
        <v>35</v>
      </c>
      <c r="I596" s="75">
        <v>44531</v>
      </c>
      <c r="J596" s="76">
        <f>EFEITO!$J$596*EFEITO!$Y$596</f>
        <v>0</v>
      </c>
      <c r="K596" s="76">
        <f ca="1">EFEITO!$L$596*EFEITO!$Z$596</f>
        <v>7752.3394546754507</v>
      </c>
      <c r="L596" s="76">
        <f>EFEITO!$N$596*EFEITO!$AA$596</f>
        <v>4257.2924989939111</v>
      </c>
      <c r="M596" s="76">
        <f>$J$596-EFEITO!$K$596*EFEITO!$Y$596</f>
        <v>0</v>
      </c>
      <c r="N596" s="76">
        <f ca="1">$K$596-EFEITO!$M$596*EFEITO!$Z$596</f>
        <v>0</v>
      </c>
      <c r="O596" s="76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22</v>
      </c>
      <c r="C597" s="53" t="s">
        <v>33</v>
      </c>
      <c r="D597" s="53" t="s">
        <v>24</v>
      </c>
      <c r="E597" s="53" t="s">
        <v>24</v>
      </c>
      <c r="F597" s="53" t="s">
        <v>25</v>
      </c>
      <c r="G597" s="53" t="s">
        <v>25</v>
      </c>
      <c r="H597" s="53" t="s">
        <v>35</v>
      </c>
      <c r="I597" s="75">
        <v>44562</v>
      </c>
      <c r="J597" s="76">
        <f>EFEITO!$J$597*EFEITO!$Y$597</f>
        <v>0</v>
      </c>
      <c r="K597" s="76">
        <f ca="1">EFEITO!$L$597*EFEITO!$Z$597</f>
        <v>5874.5191563004546</v>
      </c>
      <c r="L597" s="76">
        <f>EFEITO!$N$597*EFEITO!$AA$597</f>
        <v>3226.0644010151877</v>
      </c>
      <c r="M597" s="76">
        <f>$J$597-EFEITO!$K$597*EFEITO!$Y$597</f>
        <v>0</v>
      </c>
      <c r="N597" s="76">
        <f ca="1">$K$597-EFEITO!$M$597*EFEITO!$Z$597</f>
        <v>0</v>
      </c>
      <c r="O597" s="76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27</v>
      </c>
      <c r="B598" s="53" t="s">
        <v>22</v>
      </c>
      <c r="C598" s="53" t="s">
        <v>33</v>
      </c>
      <c r="D598" s="53" t="s">
        <v>24</v>
      </c>
      <c r="E598" s="53" t="s">
        <v>24</v>
      </c>
      <c r="F598" s="53" t="s">
        <v>25</v>
      </c>
      <c r="G598" s="53" t="s">
        <v>25</v>
      </c>
      <c r="H598" s="53" t="s">
        <v>35</v>
      </c>
      <c r="I598" s="75">
        <v>44562</v>
      </c>
      <c r="J598" s="76">
        <f>EFEITO!$J$598*EFEITO!$Y$598</f>
        <v>0</v>
      </c>
      <c r="K598" s="76">
        <f ca="1">EFEITO!$L$598*EFEITO!$Z$598</f>
        <v>117.78090936911958</v>
      </c>
      <c r="L598" s="76">
        <f>EFEITO!$N$598*EFEITO!$AA$598</f>
        <v>64.680834077695408</v>
      </c>
      <c r="M598" s="76">
        <f>$J$598-EFEITO!$K$598*EFEITO!$Y$598</f>
        <v>0</v>
      </c>
      <c r="N598" s="76">
        <f ca="1">$K$598-EFEITO!$M$598*EFEITO!$Z$598</f>
        <v>0</v>
      </c>
      <c r="O598" s="76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21</v>
      </c>
      <c r="B599" s="53" t="s">
        <v>22</v>
      </c>
      <c r="C599" s="53" t="s">
        <v>33</v>
      </c>
      <c r="D599" s="53" t="s">
        <v>24</v>
      </c>
      <c r="E599" s="53" t="s">
        <v>24</v>
      </c>
      <c r="F599" s="53" t="s">
        <v>25</v>
      </c>
      <c r="G599" s="53" t="s">
        <v>25</v>
      </c>
      <c r="H599" s="53" t="s">
        <v>35</v>
      </c>
      <c r="I599" s="75">
        <v>44593</v>
      </c>
      <c r="J599" s="76">
        <f>EFEITO!$J$599*EFEITO!$Y$599</f>
        <v>0</v>
      </c>
      <c r="K599" s="76">
        <f ca="1">EFEITO!$L$599*EFEITO!$Z$599</f>
        <v>5689.995731622168</v>
      </c>
      <c r="L599" s="76">
        <f>EFEITO!$N$599*EFEITO!$AA$599</f>
        <v>3124.731094293465</v>
      </c>
      <c r="M599" s="76">
        <f>$J$599-EFEITO!$K$599*EFEITO!$Y$599</f>
        <v>0</v>
      </c>
      <c r="N599" s="76">
        <f ca="1">$K$599-EFEITO!$M$599*EFEITO!$Z$599</f>
        <v>0</v>
      </c>
      <c r="O599" s="76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22</v>
      </c>
      <c r="C600" s="53" t="s">
        <v>33</v>
      </c>
      <c r="D600" s="53" t="s">
        <v>24</v>
      </c>
      <c r="E600" s="53" t="s">
        <v>24</v>
      </c>
      <c r="F600" s="53" t="s">
        <v>25</v>
      </c>
      <c r="G600" s="53" t="s">
        <v>25</v>
      </c>
      <c r="H600" s="53" t="s">
        <v>35</v>
      </c>
      <c r="I600" s="75">
        <v>44621</v>
      </c>
      <c r="J600" s="76">
        <f>EFEITO!$J$600*EFEITO!$Y$600</f>
        <v>0</v>
      </c>
      <c r="K600" s="76">
        <f ca="1">EFEITO!$L$600*EFEITO!$Z$600</f>
        <v>5477.5974917265221</v>
      </c>
      <c r="L600" s="76">
        <f>EFEITO!$N$600*EFEITO!$AA$600</f>
        <v>3008.0899901733546</v>
      </c>
      <c r="M600" s="76">
        <f>$J$600-EFEITO!$K$600*EFEITO!$Y$600</f>
        <v>0</v>
      </c>
      <c r="N600" s="76">
        <f ca="1">$K$600-EFEITO!$M$600*EFEITO!$Z$600</f>
        <v>0</v>
      </c>
      <c r="O600" s="76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21</v>
      </c>
      <c r="B601" s="53" t="s">
        <v>22</v>
      </c>
      <c r="C601" s="53" t="s">
        <v>33</v>
      </c>
      <c r="D601" s="53" t="s">
        <v>24</v>
      </c>
      <c r="E601" s="53" t="s">
        <v>24</v>
      </c>
      <c r="F601" s="53" t="s">
        <v>25</v>
      </c>
      <c r="G601" s="53" t="s">
        <v>25</v>
      </c>
      <c r="H601" s="53" t="s">
        <v>35</v>
      </c>
      <c r="I601" s="75">
        <v>44652</v>
      </c>
      <c r="J601" s="76">
        <f>EFEITO!$J$601*EFEITO!$Y$601</f>
        <v>0</v>
      </c>
      <c r="K601" s="76">
        <f ca="1">EFEITO!$L$601*EFEITO!$Z$601</f>
        <v>5786.576077304846</v>
      </c>
      <c r="L601" s="76">
        <f>EFEITO!$N$601*EFEITO!$AA$601</f>
        <v>3177.7693782371757</v>
      </c>
      <c r="M601" s="76">
        <f>$J$601-EFEITO!$K$601*EFEITO!$Y$601</f>
        <v>0</v>
      </c>
      <c r="N601" s="76">
        <f ca="1">$K$601-EFEITO!$M$601*EFEITO!$Z$601</f>
        <v>0</v>
      </c>
      <c r="O601" s="76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21</v>
      </c>
      <c r="B602" s="53" t="s">
        <v>22</v>
      </c>
      <c r="C602" s="53" t="s">
        <v>33</v>
      </c>
      <c r="D602" s="53" t="s">
        <v>24</v>
      </c>
      <c r="E602" s="53" t="s">
        <v>24</v>
      </c>
      <c r="F602" s="53" t="s">
        <v>25</v>
      </c>
      <c r="G602" s="53" t="s">
        <v>25</v>
      </c>
      <c r="H602" s="53" t="s">
        <v>35</v>
      </c>
      <c r="I602" s="75">
        <v>44682</v>
      </c>
      <c r="J602" s="76">
        <f>EFEITO!$J$602*EFEITO!$Y$602</f>
        <v>0</v>
      </c>
      <c r="K602" s="76">
        <f ca="1">EFEITO!$L$602*EFEITO!$Z$602</f>
        <v>5337.8308126085003</v>
      </c>
      <c r="L602" s="76">
        <f>EFEITO!$N$602*EFEITO!$AA$602</f>
        <v>2931.3354004011558</v>
      </c>
      <c r="M602" s="76">
        <f>$J$602-EFEITO!$K$602*EFEITO!$Y$602</f>
        <v>0</v>
      </c>
      <c r="N602" s="76">
        <f ca="1">$K$602-EFEITO!$M$602*EFEITO!$Z$602</f>
        <v>0</v>
      </c>
      <c r="O602" s="76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22</v>
      </c>
      <c r="C603" s="53" t="s">
        <v>33</v>
      </c>
      <c r="D603" s="53" t="s">
        <v>24</v>
      </c>
      <c r="E603" s="53" t="s">
        <v>24</v>
      </c>
      <c r="F603" s="53" t="s">
        <v>25</v>
      </c>
      <c r="G603" s="53" t="s">
        <v>25</v>
      </c>
      <c r="H603" s="53" t="s">
        <v>35</v>
      </c>
      <c r="I603" s="75">
        <v>44713</v>
      </c>
      <c r="J603" s="76">
        <f>EFEITO!$J$603*EFEITO!$Y$603</f>
        <v>0</v>
      </c>
      <c r="K603" s="76">
        <f ca="1">EFEITO!$L$603*EFEITO!$Z$603</f>
        <v>7669.5002150858372</v>
      </c>
      <c r="L603" s="76">
        <f>EFEITO!$N$603*EFEITO!$AA$603</f>
        <v>4211.8003123592662</v>
      </c>
      <c r="M603" s="76">
        <f>$J$603-EFEITO!$K$603*EFEITO!$Y$603</f>
        <v>0</v>
      </c>
      <c r="N603" s="76">
        <f ca="1">$K$603-EFEITO!$M$603*EFEITO!$Z$603</f>
        <v>0</v>
      </c>
      <c r="O603" s="76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21</v>
      </c>
      <c r="B604" s="53" t="s">
        <v>22</v>
      </c>
      <c r="C604" s="53" t="s">
        <v>33</v>
      </c>
      <c r="D604" s="53" t="s">
        <v>24</v>
      </c>
      <c r="E604" s="53" t="s">
        <v>24</v>
      </c>
      <c r="F604" s="53" t="s">
        <v>25</v>
      </c>
      <c r="G604" s="53" t="s">
        <v>25</v>
      </c>
      <c r="H604" s="53" t="s">
        <v>35</v>
      </c>
      <c r="I604" s="75">
        <v>44743</v>
      </c>
      <c r="J604" s="76">
        <f>EFEITO!$J$604*EFEITO!$Y$604</f>
        <v>0</v>
      </c>
      <c r="K604" s="76">
        <f ca="1">EFEITO!$L$604*EFEITO!$Z$604</f>
        <v>11058.056977635408</v>
      </c>
      <c r="L604" s="76">
        <f>EFEITO!$N$604*EFEITO!$AA$604</f>
        <v>6072.6679087745633</v>
      </c>
      <c r="M604" s="76">
        <f>$J$604-EFEITO!$K$604*EFEITO!$Y$604</f>
        <v>0</v>
      </c>
      <c r="N604" s="76">
        <f ca="1">$K$604-EFEITO!$M$604*EFEITO!$Z$604</f>
        <v>0</v>
      </c>
      <c r="O604" s="76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27</v>
      </c>
      <c r="B605" s="53" t="s">
        <v>22</v>
      </c>
      <c r="C605" s="53" t="s">
        <v>33</v>
      </c>
      <c r="D605" s="53" t="s">
        <v>24</v>
      </c>
      <c r="E605" s="53" t="s">
        <v>24</v>
      </c>
      <c r="F605" s="53" t="s">
        <v>25</v>
      </c>
      <c r="G605" s="53" t="s">
        <v>25</v>
      </c>
      <c r="H605" s="53" t="s">
        <v>35</v>
      </c>
      <c r="I605" s="75">
        <v>44743</v>
      </c>
      <c r="J605" s="76">
        <f>EFEITO!$J$605*EFEITO!$Y$605</f>
        <v>0</v>
      </c>
      <c r="K605" s="76">
        <f ca="1">EFEITO!$L$605*EFEITO!$Z$605</f>
        <v>-666.24734399798649</v>
      </c>
      <c r="L605" s="76">
        <f>EFEITO!$N$605*EFEITO!$AA$605</f>
        <v>-365.87791809949704</v>
      </c>
      <c r="M605" s="76">
        <f>$J$605-EFEITO!$K$605*EFEITO!$Y$605</f>
        <v>0</v>
      </c>
      <c r="N605" s="76">
        <f ca="1">$K$605-EFEITO!$M$605*EFEITO!$Z$605</f>
        <v>0</v>
      </c>
      <c r="O605" s="76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22</v>
      </c>
      <c r="C606" s="53" t="s">
        <v>33</v>
      </c>
      <c r="D606" s="53" t="s">
        <v>24</v>
      </c>
      <c r="E606" s="53" t="s">
        <v>24</v>
      </c>
      <c r="F606" s="53" t="s">
        <v>25</v>
      </c>
      <c r="G606" s="53" t="s">
        <v>25</v>
      </c>
      <c r="H606" s="53" t="s">
        <v>35</v>
      </c>
      <c r="I606" s="75">
        <v>44774</v>
      </c>
      <c r="J606" s="76">
        <f>EFEITO!$J$606*EFEITO!$Y$606</f>
        <v>0</v>
      </c>
      <c r="K606" s="76">
        <f ca="1">EFEITO!$L$606*EFEITO!$Z$606</f>
        <v>6106.547547757621</v>
      </c>
      <c r="L606" s="76">
        <f>EFEITO!$N$606*EFEITO!$AA$606</f>
        <v>3353.485644148248</v>
      </c>
      <c r="M606" s="76">
        <f>$J$606-EFEITO!$K$606*EFEITO!$Y$606</f>
        <v>0</v>
      </c>
      <c r="N606" s="76">
        <f ca="1">$K$606-EFEITO!$M$606*EFEITO!$Z$606</f>
        <v>0</v>
      </c>
      <c r="O606" s="76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27</v>
      </c>
      <c r="B607" s="53" t="s">
        <v>22</v>
      </c>
      <c r="C607" s="53" t="s">
        <v>33</v>
      </c>
      <c r="D607" s="53" t="s">
        <v>24</v>
      </c>
      <c r="E607" s="53" t="s">
        <v>24</v>
      </c>
      <c r="F607" s="53" t="s">
        <v>25</v>
      </c>
      <c r="G607" s="53" t="s">
        <v>25</v>
      </c>
      <c r="H607" s="53" t="s">
        <v>35</v>
      </c>
      <c r="I607" s="75">
        <v>44774</v>
      </c>
      <c r="J607" s="76">
        <f>EFEITO!$J$607*EFEITO!$Y$607</f>
        <v>0</v>
      </c>
      <c r="K607" s="76">
        <f ca="1">EFEITO!$L$607*EFEITO!$Z$607</f>
        <v>-5986.0184171698884</v>
      </c>
      <c r="L607" s="76">
        <f>EFEITO!$N$607*EFEITO!$AA$607</f>
        <v>-3287.2955906087395</v>
      </c>
      <c r="M607" s="76">
        <f>$J$607-EFEITO!$K$607*EFEITO!$Y$607</f>
        <v>0</v>
      </c>
      <c r="N607" s="76">
        <f ca="1">$K$607-EFEITO!$M$607*EFEITO!$Z$607</f>
        <v>0</v>
      </c>
      <c r="O607" s="76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21</v>
      </c>
      <c r="B608" s="53" t="s">
        <v>22</v>
      </c>
      <c r="C608" s="53" t="s">
        <v>33</v>
      </c>
      <c r="D608" s="53" t="s">
        <v>24</v>
      </c>
      <c r="E608" s="53" t="s">
        <v>24</v>
      </c>
      <c r="F608" s="53" t="s">
        <v>25</v>
      </c>
      <c r="G608" s="53" t="s">
        <v>25</v>
      </c>
      <c r="H608" s="53" t="s">
        <v>35</v>
      </c>
      <c r="I608" s="75">
        <v>44805</v>
      </c>
      <c r="J608" s="76">
        <f>EFEITO!$J$608*EFEITO!$Y$608</f>
        <v>0</v>
      </c>
      <c r="K608" s="76">
        <f ca="1">EFEITO!$L$608*EFEITO!$Z$608</f>
        <v>7722.5016243019418</v>
      </c>
      <c r="L608" s="76">
        <f>EFEITO!$N$608*EFEITO!$AA$608</f>
        <v>4240.9066876942297</v>
      </c>
      <c r="M608" s="76">
        <f>$J$608-EFEITO!$K$608*EFEITO!$Y$608</f>
        <v>0</v>
      </c>
      <c r="N608" s="76">
        <f ca="1">$K$608-EFEITO!$M$608*EFEITO!$Z$608</f>
        <v>0</v>
      </c>
      <c r="O608" s="76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21</v>
      </c>
      <c r="B609" s="53" t="s">
        <v>22</v>
      </c>
      <c r="C609" s="53" t="s">
        <v>33</v>
      </c>
      <c r="D609" s="53" t="s">
        <v>24</v>
      </c>
      <c r="E609" s="53" t="s">
        <v>24</v>
      </c>
      <c r="F609" s="53" t="s">
        <v>25</v>
      </c>
      <c r="G609" s="53" t="s">
        <v>25</v>
      </c>
      <c r="H609" s="53" t="s">
        <v>35</v>
      </c>
      <c r="I609" s="75">
        <v>44835</v>
      </c>
      <c r="J609" s="76">
        <f>EFEITO!$J$609*EFEITO!$Y$609</f>
        <v>0</v>
      </c>
      <c r="K609" s="76">
        <f ca="1">EFEITO!$L$609*EFEITO!$Z$609</f>
        <v>7597.6538603706749</v>
      </c>
      <c r="L609" s="76">
        <f>EFEITO!$N$609*EFEITO!$AA$609</f>
        <v>4172.3450035718715</v>
      </c>
      <c r="M609" s="76">
        <f>$J$609-EFEITO!$K$609*EFEITO!$Y$609</f>
        <v>0</v>
      </c>
      <c r="N609" s="76">
        <f ca="1">$K$609-EFEITO!$M$609*EFEITO!$Z$609</f>
        <v>0</v>
      </c>
      <c r="O609" s="76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54</v>
      </c>
      <c r="B610" s="53" t="s">
        <v>22</v>
      </c>
      <c r="C610" s="53" t="s">
        <v>33</v>
      </c>
      <c r="D610" s="53" t="s">
        <v>24</v>
      </c>
      <c r="E610" s="53" t="s">
        <v>24</v>
      </c>
      <c r="F610" s="53" t="s">
        <v>25</v>
      </c>
      <c r="G610" s="53" t="s">
        <v>25</v>
      </c>
      <c r="H610" s="53" t="s">
        <v>35</v>
      </c>
      <c r="I610" s="75">
        <v>44866</v>
      </c>
      <c r="J610" s="76">
        <f>EFEITO!$J$610*EFEITO!$Y$610</f>
        <v>0</v>
      </c>
      <c r="K610" s="76">
        <f ca="1">EFEITO!$L$610*EFEITO!$Z$610</f>
        <v>7597.6538603706749</v>
      </c>
      <c r="L610" s="76">
        <f>EFEITO!$N$610*EFEITO!$AA$610</f>
        <v>4172.3450035718715</v>
      </c>
      <c r="M610" s="76">
        <f>$J$610-EFEITO!$K$610*EFEITO!$Y$610</f>
        <v>0</v>
      </c>
      <c r="N610" s="76">
        <f ca="1">$K$610-EFEITO!$M$610*EFEITO!$Z$610</f>
        <v>0</v>
      </c>
      <c r="O610" s="76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21</v>
      </c>
      <c r="B611" s="53" t="s">
        <v>22</v>
      </c>
      <c r="C611" s="53" t="s">
        <v>33</v>
      </c>
      <c r="D611" s="53" t="s">
        <v>24</v>
      </c>
      <c r="E611" s="53" t="s">
        <v>24</v>
      </c>
      <c r="F611" s="53" t="s">
        <v>25</v>
      </c>
      <c r="G611" s="53" t="s">
        <v>25</v>
      </c>
      <c r="H611" s="53" t="s">
        <v>36</v>
      </c>
      <c r="I611" s="75">
        <v>44531</v>
      </c>
      <c r="J611" s="76">
        <f>EFEITO!$J$611*EFEITO!$Y$611</f>
        <v>0</v>
      </c>
      <c r="K611" s="76">
        <f ca="1">EFEITO!$L$611*EFEITO!$Z$611</f>
        <v>1141.9341765925826</v>
      </c>
      <c r="L611" s="76">
        <f>EFEITO!$N$611*EFEITO!$AA$611</f>
        <v>315.21126473863563</v>
      </c>
      <c r="M611" s="76">
        <f>$J$611-EFEITO!$K$611*EFEITO!$Y$611</f>
        <v>0</v>
      </c>
      <c r="N611" s="76">
        <f ca="1">$K$611-EFEITO!$M$611*EFEITO!$Z$611</f>
        <v>0</v>
      </c>
      <c r="O611" s="76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21</v>
      </c>
      <c r="B612" s="53" t="s">
        <v>22</v>
      </c>
      <c r="C612" s="53" t="s">
        <v>33</v>
      </c>
      <c r="D612" s="53" t="s">
        <v>24</v>
      </c>
      <c r="E612" s="53" t="s">
        <v>24</v>
      </c>
      <c r="F612" s="53" t="s">
        <v>25</v>
      </c>
      <c r="G612" s="53" t="s">
        <v>25</v>
      </c>
      <c r="H612" s="53" t="s">
        <v>36</v>
      </c>
      <c r="I612" s="75">
        <v>44562</v>
      </c>
      <c r="J612" s="76">
        <f>EFEITO!$J$612*EFEITO!$Y$612</f>
        <v>0</v>
      </c>
      <c r="K612" s="76">
        <f ca="1">EFEITO!$L$612*EFEITO!$Z$612</f>
        <v>820.13056458427616</v>
      </c>
      <c r="L612" s="76">
        <f>EFEITO!$N$612*EFEITO!$AA$612</f>
        <v>226.38291927193393</v>
      </c>
      <c r="M612" s="76">
        <f>$J$612-EFEITO!$K$612*EFEITO!$Y$612</f>
        <v>0</v>
      </c>
      <c r="N612" s="76">
        <f ca="1">$K$612-EFEITO!$M$612*EFEITO!$Z$612</f>
        <v>0</v>
      </c>
      <c r="O612" s="76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27</v>
      </c>
      <c r="B613" s="53" t="s">
        <v>22</v>
      </c>
      <c r="C613" s="53" t="s">
        <v>33</v>
      </c>
      <c r="D613" s="53" t="s">
        <v>24</v>
      </c>
      <c r="E613" s="53" t="s">
        <v>24</v>
      </c>
      <c r="F613" s="53" t="s">
        <v>25</v>
      </c>
      <c r="G613" s="53" t="s">
        <v>25</v>
      </c>
      <c r="H613" s="53" t="s">
        <v>36</v>
      </c>
      <c r="I613" s="75">
        <v>44562</v>
      </c>
      <c r="J613" s="76">
        <f>EFEITO!$J$613*EFEITO!$Y$613</f>
        <v>0</v>
      </c>
      <c r="K613" s="76">
        <f ca="1">EFEITO!$L$613*EFEITO!$Z$613</f>
        <v>25.775532029791538</v>
      </c>
      <c r="L613" s="76">
        <f>EFEITO!$N$613*EFEITO!$AA$613</f>
        <v>7.1148917485464951</v>
      </c>
      <c r="M613" s="76">
        <f>$J$613-EFEITO!$K$613*EFEITO!$Y$613</f>
        <v>0</v>
      </c>
      <c r="N613" s="76">
        <f ca="1">$K$613-EFEITO!$M$613*EFEITO!$Z$613</f>
        <v>0</v>
      </c>
      <c r="O613" s="76">
        <f>$L$613-EFEITO!$O$613*EFEITO!$AA$613</f>
        <v>0</v>
      </c>
      <c r="P613" s="57"/>
      <c r="Q613" s="57"/>
      <c r="R613" s="57"/>
      <c r="S613" s="57"/>
      <c r="T613" s="57"/>
      <c r="U613" s="57"/>
      <c r="V613" s="57"/>
      <c r="W613" s="5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21</v>
      </c>
      <c r="B614" s="53" t="s">
        <v>22</v>
      </c>
      <c r="C614" s="53" t="s">
        <v>33</v>
      </c>
      <c r="D614" s="53" t="s">
        <v>24</v>
      </c>
      <c r="E614" s="53" t="s">
        <v>24</v>
      </c>
      <c r="F614" s="53" t="s">
        <v>25</v>
      </c>
      <c r="G614" s="53" t="s">
        <v>25</v>
      </c>
      <c r="H614" s="53" t="s">
        <v>36</v>
      </c>
      <c r="I614" s="75">
        <v>44593</v>
      </c>
      <c r="J614" s="76">
        <f>EFEITO!$J$614*EFEITO!$Y$614</f>
        <v>0</v>
      </c>
      <c r="K614" s="76">
        <f ca="1">EFEITO!$L$614*EFEITO!$Z$614</f>
        <v>736.55535466949755</v>
      </c>
      <c r="L614" s="76">
        <f>EFEITO!$N$614*EFEITO!$AA$614</f>
        <v>203.31342178422256</v>
      </c>
      <c r="M614" s="76">
        <f>$J$614-EFEITO!$K$614*EFEITO!$Y$614</f>
        <v>0</v>
      </c>
      <c r="N614" s="76">
        <f ca="1">$K$614-EFEITO!$M$614*EFEITO!$Z$614</f>
        <v>0</v>
      </c>
      <c r="O614" s="76">
        <f>$L$614-EFEITO!$O$614*EFEITO!$AA$614</f>
        <v>0</v>
      </c>
      <c r="P614" s="57"/>
      <c r="Q614" s="57"/>
      <c r="R614" s="57"/>
      <c r="S614" s="57"/>
      <c r="T614" s="57"/>
      <c r="U614" s="57"/>
      <c r="V614" s="57"/>
      <c r="W614" s="5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21</v>
      </c>
      <c r="B615" s="53" t="s">
        <v>22</v>
      </c>
      <c r="C615" s="53" t="s">
        <v>33</v>
      </c>
      <c r="D615" s="53" t="s">
        <v>24</v>
      </c>
      <c r="E615" s="53" t="s">
        <v>24</v>
      </c>
      <c r="F615" s="53" t="s">
        <v>25</v>
      </c>
      <c r="G615" s="53" t="s">
        <v>25</v>
      </c>
      <c r="H615" s="53" t="s">
        <v>36</v>
      </c>
      <c r="I615" s="75">
        <v>44621</v>
      </c>
      <c r="J615" s="76">
        <f>EFEITO!$J$615*EFEITO!$Y$615</f>
        <v>0</v>
      </c>
      <c r="K615" s="76">
        <f ca="1">EFEITO!$L$615*EFEITO!$Z$615</f>
        <v>653.76122148289437</v>
      </c>
      <c r="L615" s="76">
        <f>EFEITO!$N$615*EFEITO!$AA$615</f>
        <v>180.45952707677017</v>
      </c>
      <c r="M615" s="76">
        <f>$J$615-EFEITO!$K$615*EFEITO!$Y$615</f>
        <v>0</v>
      </c>
      <c r="N615" s="76">
        <f ca="1">$K$615-EFEITO!$M$615*EFEITO!$Z$615</f>
        <v>0</v>
      </c>
      <c r="O615" s="76">
        <f>$L$615-EFEITO!$O$615*EFEITO!$AA$615</f>
        <v>0</v>
      </c>
      <c r="P615" s="57"/>
      <c r="Q615" s="57"/>
      <c r="R615" s="57"/>
      <c r="S615" s="57"/>
      <c r="T615" s="57"/>
      <c r="U615" s="57"/>
      <c r="V615" s="57"/>
      <c r="W615" s="5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21</v>
      </c>
      <c r="B616" s="53" t="s">
        <v>22</v>
      </c>
      <c r="C616" s="53" t="s">
        <v>33</v>
      </c>
      <c r="D616" s="53" t="s">
        <v>24</v>
      </c>
      <c r="E616" s="53" t="s">
        <v>24</v>
      </c>
      <c r="F616" s="53" t="s">
        <v>25</v>
      </c>
      <c r="G616" s="53" t="s">
        <v>25</v>
      </c>
      <c r="H616" s="53" t="s">
        <v>36</v>
      </c>
      <c r="I616" s="75">
        <v>44652</v>
      </c>
      <c r="J616" s="76">
        <f>EFEITO!$J$616*EFEITO!$Y$616</f>
        <v>0</v>
      </c>
      <c r="K616" s="76">
        <f ca="1">EFEITO!$L$616*EFEITO!$Z$616</f>
        <v>782.63888163185209</v>
      </c>
      <c r="L616" s="76">
        <f>EFEITO!$N$616*EFEITO!$AA$616</f>
        <v>216.03398581950267</v>
      </c>
      <c r="M616" s="76">
        <f>$J$616-EFEITO!$K$616*EFEITO!$Y$616</f>
        <v>0</v>
      </c>
      <c r="N616" s="76">
        <f ca="1">$K$616-EFEITO!$M$616*EFEITO!$Z$616</f>
        <v>0</v>
      </c>
      <c r="O616" s="76">
        <f>$L$616-EFEITO!$O$616*EFEITO!$AA$616</f>
        <v>0</v>
      </c>
      <c r="P616" s="57"/>
      <c r="Q616" s="57"/>
      <c r="R616" s="57"/>
      <c r="S616" s="57"/>
      <c r="T616" s="57"/>
      <c r="U616" s="57"/>
      <c r="V616" s="57"/>
      <c r="W616" s="5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21</v>
      </c>
      <c r="B617" s="53" t="s">
        <v>22</v>
      </c>
      <c r="C617" s="53" t="s">
        <v>33</v>
      </c>
      <c r="D617" s="53" t="s">
        <v>24</v>
      </c>
      <c r="E617" s="53" t="s">
        <v>24</v>
      </c>
      <c r="F617" s="53" t="s">
        <v>25</v>
      </c>
      <c r="G617" s="53" t="s">
        <v>25</v>
      </c>
      <c r="H617" s="53" t="s">
        <v>36</v>
      </c>
      <c r="I617" s="75">
        <v>44682</v>
      </c>
      <c r="J617" s="76">
        <f>EFEITO!$J$617*EFEITO!$Y$617</f>
        <v>0</v>
      </c>
      <c r="K617" s="76">
        <f ca="1">EFEITO!$L$617*EFEITO!$Z$617</f>
        <v>700.62582517342446</v>
      </c>
      <c r="L617" s="76">
        <f>EFEITO!$N$617*EFEITO!$AA$617</f>
        <v>193.39569389230928</v>
      </c>
      <c r="M617" s="76">
        <f>$J$617-EFEITO!$K$617*EFEITO!$Y$617</f>
        <v>0</v>
      </c>
      <c r="N617" s="76">
        <f ca="1">$K$617-EFEITO!$M$617*EFEITO!$Z$617</f>
        <v>0</v>
      </c>
      <c r="O617" s="76">
        <f>$L$617-EFEITO!$O$617*EFEITO!$AA$617</f>
        <v>0</v>
      </c>
      <c r="P617" s="57"/>
      <c r="Q617" s="57"/>
      <c r="R617" s="57"/>
      <c r="S617" s="57"/>
      <c r="T617" s="57"/>
      <c r="U617" s="57"/>
      <c r="V617" s="57"/>
      <c r="W617" s="5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21</v>
      </c>
      <c r="B618" s="53" t="s">
        <v>22</v>
      </c>
      <c r="C618" s="53" t="s">
        <v>33</v>
      </c>
      <c r="D618" s="53" t="s">
        <v>24</v>
      </c>
      <c r="E618" s="53" t="s">
        <v>24</v>
      </c>
      <c r="F618" s="53" t="s">
        <v>25</v>
      </c>
      <c r="G618" s="53" t="s">
        <v>25</v>
      </c>
      <c r="H618" s="53" t="s">
        <v>36</v>
      </c>
      <c r="I618" s="75">
        <v>44713</v>
      </c>
      <c r="J618" s="76">
        <f>EFEITO!$J$618*EFEITO!$Y$618</f>
        <v>0</v>
      </c>
      <c r="K618" s="76">
        <f ca="1">EFEITO!$L$618*EFEITO!$Z$618</f>
        <v>1024.7726673662576</v>
      </c>
      <c r="L618" s="76">
        <f>EFEITO!$N$618*EFEITO!$AA$618</f>
        <v>282.87084769978793</v>
      </c>
      <c r="M618" s="76">
        <f>$J$618-EFEITO!$K$618*EFEITO!$Y$618</f>
        <v>0</v>
      </c>
      <c r="N618" s="76">
        <f ca="1">$K$618-EFEITO!$M$618*EFEITO!$Z$618</f>
        <v>0</v>
      </c>
      <c r="O618" s="76">
        <f>$L$618-EFEITO!$O$618*EFEITO!$AA$618</f>
        <v>0</v>
      </c>
      <c r="P618" s="57"/>
      <c r="Q618" s="57"/>
      <c r="R618" s="57"/>
      <c r="S618" s="57"/>
      <c r="T618" s="57"/>
      <c r="U618" s="57"/>
      <c r="V618" s="57"/>
      <c r="W618" s="5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21</v>
      </c>
      <c r="B619" s="53" t="s">
        <v>22</v>
      </c>
      <c r="C619" s="53" t="s">
        <v>33</v>
      </c>
      <c r="D619" s="53" t="s">
        <v>24</v>
      </c>
      <c r="E619" s="53" t="s">
        <v>24</v>
      </c>
      <c r="F619" s="53" t="s">
        <v>25</v>
      </c>
      <c r="G619" s="53" t="s">
        <v>25</v>
      </c>
      <c r="H619" s="53" t="s">
        <v>36</v>
      </c>
      <c r="I619" s="75">
        <v>44743</v>
      </c>
      <c r="J619" s="76">
        <f>EFEITO!$J$619*EFEITO!$Y$619</f>
        <v>0</v>
      </c>
      <c r="K619" s="76">
        <f ca="1">EFEITO!$L$619*EFEITO!$Z$619</f>
        <v>1311.4278266066665</v>
      </c>
      <c r="L619" s="76">
        <f>EFEITO!$N$619*EFEITO!$AA$619</f>
        <v>361.99706805483532</v>
      </c>
      <c r="M619" s="76">
        <f>$J$619-EFEITO!$K$619*EFEITO!$Y$619</f>
        <v>0</v>
      </c>
      <c r="N619" s="76">
        <f ca="1">$K$619-EFEITO!$M$619*EFEITO!$Z$619</f>
        <v>0</v>
      </c>
      <c r="O619" s="76">
        <f>$L$619-EFEITO!$O$619*EFEITO!$AA$619</f>
        <v>0</v>
      </c>
      <c r="P619" s="57"/>
      <c r="Q619" s="57"/>
      <c r="R619" s="57"/>
      <c r="S619" s="57"/>
      <c r="T619" s="57"/>
      <c r="U619" s="57"/>
      <c r="V619" s="57"/>
      <c r="W619" s="5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21</v>
      </c>
      <c r="B620" s="53" t="s">
        <v>22</v>
      </c>
      <c r="C620" s="53" t="s">
        <v>33</v>
      </c>
      <c r="D620" s="53" t="s">
        <v>24</v>
      </c>
      <c r="E620" s="53" t="s">
        <v>24</v>
      </c>
      <c r="F620" s="53" t="s">
        <v>25</v>
      </c>
      <c r="G620" s="53" t="s">
        <v>25</v>
      </c>
      <c r="H620" s="53" t="s">
        <v>36</v>
      </c>
      <c r="I620" s="75">
        <v>44774</v>
      </c>
      <c r="J620" s="76">
        <f>EFEITO!$J$620*EFEITO!$Y$620</f>
        <v>0</v>
      </c>
      <c r="K620" s="76">
        <f ca="1">EFEITO!$L$620*EFEITO!$Z$620</f>
        <v>827.94133186603119</v>
      </c>
      <c r="L620" s="76">
        <f>EFEITO!$N$620*EFEITO!$AA$620</f>
        <v>228.53894707452378</v>
      </c>
      <c r="M620" s="76">
        <f>$J$620-EFEITO!$K$620*EFEITO!$Y$620</f>
        <v>0</v>
      </c>
      <c r="N620" s="76">
        <f ca="1">$K$620-EFEITO!$M$620*EFEITO!$Z$620</f>
        <v>0</v>
      </c>
      <c r="O620" s="76">
        <f>$L$620-EFEITO!$O$620*EFEITO!$AA$620</f>
        <v>0</v>
      </c>
      <c r="P620" s="57"/>
      <c r="Q620" s="57"/>
      <c r="R620" s="57"/>
      <c r="S620" s="57"/>
      <c r="T620" s="57"/>
      <c r="U620" s="57"/>
      <c r="V620" s="57"/>
      <c r="W620" s="5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27</v>
      </c>
      <c r="B621" s="53" t="s">
        <v>22</v>
      </c>
      <c r="C621" s="53" t="s">
        <v>33</v>
      </c>
      <c r="D621" s="53" t="s">
        <v>24</v>
      </c>
      <c r="E621" s="53" t="s">
        <v>24</v>
      </c>
      <c r="F621" s="53" t="s">
        <v>25</v>
      </c>
      <c r="G621" s="53" t="s">
        <v>25</v>
      </c>
      <c r="H621" s="53" t="s">
        <v>36</v>
      </c>
      <c r="I621" s="75">
        <v>44774</v>
      </c>
      <c r="J621" s="76">
        <f>EFEITO!$J$621*EFEITO!$Y$621</f>
        <v>0</v>
      </c>
      <c r="K621" s="76">
        <f ca="1">EFEITO!$L$621*EFEITO!$Z$621</f>
        <v>-552.22124682007927</v>
      </c>
      <c r="L621" s="76">
        <f>EFEITO!$N$621*EFEITO!$AA$621</f>
        <v>-152.43116564310216</v>
      </c>
      <c r="M621" s="76">
        <f>$J$621-EFEITO!$K$621*EFEITO!$Y$621</f>
        <v>0</v>
      </c>
      <c r="N621" s="76">
        <f ca="1">$K$621-EFEITO!$M$621*EFEITO!$Z$621</f>
        <v>0</v>
      </c>
      <c r="O621" s="76">
        <f>$L$621-EFEITO!$O$621*EFEITO!$AA$621</f>
        <v>0</v>
      </c>
      <c r="P621" s="57"/>
      <c r="Q621" s="57"/>
      <c r="R621" s="57"/>
      <c r="S621" s="57"/>
      <c r="T621" s="57"/>
      <c r="U621" s="57"/>
      <c r="V621" s="57"/>
      <c r="W621" s="5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21</v>
      </c>
      <c r="B622" s="53" t="s">
        <v>22</v>
      </c>
      <c r="C622" s="53" t="s">
        <v>33</v>
      </c>
      <c r="D622" s="53" t="s">
        <v>24</v>
      </c>
      <c r="E622" s="53" t="s">
        <v>24</v>
      </c>
      <c r="F622" s="53" t="s">
        <v>25</v>
      </c>
      <c r="G622" s="53" t="s">
        <v>25</v>
      </c>
      <c r="H622" s="53" t="s">
        <v>36</v>
      </c>
      <c r="I622" s="75">
        <v>44805</v>
      </c>
      <c r="J622" s="76">
        <f>EFEITO!$J$622*EFEITO!$Y$622</f>
        <v>0</v>
      </c>
      <c r="K622" s="76">
        <f ca="1">EFEITO!$L$622*EFEITO!$Z$622</f>
        <v>986.49990768565783</v>
      </c>
      <c r="L622" s="76">
        <f>EFEITO!$N$622*EFEITO!$AA$622</f>
        <v>272.30631146709766</v>
      </c>
      <c r="M622" s="76">
        <f>$J$622-EFEITO!$K$622*EFEITO!$Y$622</f>
        <v>0</v>
      </c>
      <c r="N622" s="76">
        <f ca="1">$K$622-EFEITO!$M$622*EFEITO!$Z$622</f>
        <v>0</v>
      </c>
      <c r="O622" s="76">
        <f>$L$622-EFEITO!$O$622*EFEITO!$AA$622</f>
        <v>0</v>
      </c>
      <c r="P622" s="57"/>
      <c r="Q622" s="57"/>
      <c r="R622" s="57"/>
      <c r="S622" s="57"/>
      <c r="T622" s="57"/>
      <c r="U622" s="57"/>
      <c r="V622" s="57"/>
      <c r="W622" s="5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21</v>
      </c>
      <c r="B623" s="53" t="s">
        <v>22</v>
      </c>
      <c r="C623" s="53" t="s">
        <v>33</v>
      </c>
      <c r="D623" s="53" t="s">
        <v>24</v>
      </c>
      <c r="E623" s="53" t="s">
        <v>24</v>
      </c>
      <c r="F623" s="53" t="s">
        <v>25</v>
      </c>
      <c r="G623" s="53" t="s">
        <v>25</v>
      </c>
      <c r="H623" s="53" t="s">
        <v>36</v>
      </c>
      <c r="I623" s="75">
        <v>44835</v>
      </c>
      <c r="J623" s="76">
        <f>EFEITO!$J$623*EFEITO!$Y$623</f>
        <v>0</v>
      </c>
      <c r="K623" s="76">
        <f ca="1">EFEITO!$L$623*EFEITO!$Z$623</f>
        <v>955.25683855863792</v>
      </c>
      <c r="L623" s="76">
        <f>EFEITO!$N$623*EFEITO!$AA$623</f>
        <v>263.68220025673833</v>
      </c>
      <c r="M623" s="76">
        <f>$J$623-EFEITO!$K$623*EFEITO!$Y$623</f>
        <v>0</v>
      </c>
      <c r="N623" s="76">
        <f ca="1">$K$623-EFEITO!$M$623*EFEITO!$Z$623</f>
        <v>0</v>
      </c>
      <c r="O623" s="76">
        <f>$L$623-EFEITO!$O$623*EFEITO!$AA$623</f>
        <v>0</v>
      </c>
      <c r="P623" s="57"/>
      <c r="Q623" s="57"/>
      <c r="R623" s="57"/>
      <c r="S623" s="57"/>
      <c r="T623" s="57"/>
      <c r="U623" s="57"/>
      <c r="V623" s="57"/>
      <c r="W623" s="5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54</v>
      </c>
      <c r="B624" s="53" t="s">
        <v>22</v>
      </c>
      <c r="C624" s="53" t="s">
        <v>33</v>
      </c>
      <c r="D624" s="53" t="s">
        <v>24</v>
      </c>
      <c r="E624" s="53" t="s">
        <v>24</v>
      </c>
      <c r="F624" s="53" t="s">
        <v>25</v>
      </c>
      <c r="G624" s="53" t="s">
        <v>25</v>
      </c>
      <c r="H624" s="53" t="s">
        <v>36</v>
      </c>
      <c r="I624" s="75">
        <v>44866</v>
      </c>
      <c r="J624" s="76">
        <f>EFEITO!$J$624*EFEITO!$Y$624</f>
        <v>0</v>
      </c>
      <c r="K624" s="76">
        <f ca="1">EFEITO!$L$624*EFEITO!$Z$624</f>
        <v>955.25683855863792</v>
      </c>
      <c r="L624" s="76">
        <f>EFEITO!$N$624*EFEITO!$AA$624</f>
        <v>263.68220025673833</v>
      </c>
      <c r="M624" s="76">
        <f>$J$624-EFEITO!$K$624*EFEITO!$Y$624</f>
        <v>0</v>
      </c>
      <c r="N624" s="76">
        <f ca="1">$K$624-EFEITO!$M$624*EFEITO!$Z$624</f>
        <v>0</v>
      </c>
      <c r="O624" s="76">
        <f>$L$624-EFEITO!$O$624*EFEITO!$AA$624</f>
        <v>0</v>
      </c>
      <c r="P624" s="57"/>
      <c r="Q624" s="57"/>
      <c r="R624" s="57"/>
      <c r="S624" s="57"/>
      <c r="T624" s="57"/>
      <c r="U624" s="57"/>
      <c r="V624" s="57"/>
      <c r="W624" s="5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21</v>
      </c>
      <c r="B625" s="53" t="s">
        <v>22</v>
      </c>
      <c r="C625" s="53" t="s">
        <v>33</v>
      </c>
      <c r="D625" s="53" t="s">
        <v>24</v>
      </c>
      <c r="E625" s="53" t="s">
        <v>24</v>
      </c>
      <c r="F625" s="53" t="s">
        <v>25</v>
      </c>
      <c r="G625" s="53" t="s">
        <v>25</v>
      </c>
      <c r="H625" s="53" t="s">
        <v>34</v>
      </c>
      <c r="I625" s="75">
        <v>44531</v>
      </c>
      <c r="J625" s="76">
        <f>EFEITO!$J$625*EFEITO!$Y$625</f>
        <v>0</v>
      </c>
      <c r="K625" s="76">
        <f ca="1">EFEITO!$L$625*EFEITO!$Z$625</f>
        <v>1933.2668430426656</v>
      </c>
      <c r="L625" s="76">
        <f>EFEITO!$N$625*EFEITO!$AA$625</f>
        <v>532.47225124387558</v>
      </c>
      <c r="M625" s="76">
        <f>$J$625-EFEITO!$K$625*EFEITO!$Y$625</f>
        <v>0</v>
      </c>
      <c r="N625" s="76">
        <f ca="1">$K$625-EFEITO!$M$625*EFEITO!$Z$625</f>
        <v>0</v>
      </c>
      <c r="O625" s="76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22</v>
      </c>
      <c r="C626" s="53" t="s">
        <v>33</v>
      </c>
      <c r="D626" s="53" t="s">
        <v>24</v>
      </c>
      <c r="E626" s="53" t="s">
        <v>24</v>
      </c>
      <c r="F626" s="53" t="s">
        <v>25</v>
      </c>
      <c r="G626" s="53" t="s">
        <v>25</v>
      </c>
      <c r="H626" s="53" t="s">
        <v>34</v>
      </c>
      <c r="I626" s="75">
        <v>44562</v>
      </c>
      <c r="J626" s="76">
        <f>EFEITO!$J$626*EFEITO!$Y$626</f>
        <v>0</v>
      </c>
      <c r="K626" s="76">
        <f ca="1">EFEITO!$L$626*EFEITO!$Z$626</f>
        <v>1453.7511711446059</v>
      </c>
      <c r="L626" s="76">
        <f>EFEITO!$N$626*EFEITO!$AA$626</f>
        <v>400.40109394805648</v>
      </c>
      <c r="M626" s="76">
        <f>$J$626-EFEITO!$K$626*EFEITO!$Y$626</f>
        <v>0</v>
      </c>
      <c r="N626" s="76">
        <f ca="1">$K$626-EFEITO!$M$626*EFEITO!$Z$626</f>
        <v>0</v>
      </c>
      <c r="O626" s="76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27</v>
      </c>
      <c r="B627" s="53" t="s">
        <v>22</v>
      </c>
      <c r="C627" s="53" t="s">
        <v>33</v>
      </c>
      <c r="D627" s="53" t="s">
        <v>24</v>
      </c>
      <c r="E627" s="53" t="s">
        <v>24</v>
      </c>
      <c r="F627" s="53" t="s">
        <v>25</v>
      </c>
      <c r="G627" s="53" t="s">
        <v>25</v>
      </c>
      <c r="H627" s="53" t="s">
        <v>34</v>
      </c>
      <c r="I627" s="75">
        <v>44562</v>
      </c>
      <c r="J627" s="76">
        <f>EFEITO!$J$627*EFEITO!$Y$627</f>
        <v>0</v>
      </c>
      <c r="K627" s="76">
        <f ca="1">EFEITO!$L$627*EFEITO!$Z$627</f>
        <v>35.086512577906817</v>
      </c>
      <c r="L627" s="76">
        <f>EFEITO!$N$627*EFEITO!$AA$627</f>
        <v>9.6637432167672515</v>
      </c>
      <c r="M627" s="76">
        <f>$J$627-EFEITO!$K$627*EFEITO!$Y$627</f>
        <v>0</v>
      </c>
      <c r="N627" s="76">
        <f ca="1">$K$627-EFEITO!$M$627*EFEITO!$Z$627</f>
        <v>0</v>
      </c>
      <c r="O627" s="76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21</v>
      </c>
      <c r="B628" s="53" t="s">
        <v>22</v>
      </c>
      <c r="C628" s="53" t="s">
        <v>33</v>
      </c>
      <c r="D628" s="53" t="s">
        <v>24</v>
      </c>
      <c r="E628" s="53" t="s">
        <v>24</v>
      </c>
      <c r="F628" s="53" t="s">
        <v>25</v>
      </c>
      <c r="G628" s="53" t="s">
        <v>25</v>
      </c>
      <c r="H628" s="53" t="s">
        <v>34</v>
      </c>
      <c r="I628" s="75">
        <v>44593</v>
      </c>
      <c r="J628" s="76">
        <f>EFEITO!$J$628*EFEITO!$Y$628</f>
        <v>0</v>
      </c>
      <c r="K628" s="76">
        <f ca="1">EFEITO!$L$628*EFEITO!$Z$628</f>
        <v>975.40504966580943</v>
      </c>
      <c r="L628" s="76">
        <f>EFEITO!$N$628*EFEITO!$AA$628</f>
        <v>268.65206142612959</v>
      </c>
      <c r="M628" s="76">
        <f>$J$628-EFEITO!$K$628*EFEITO!$Y$628</f>
        <v>0</v>
      </c>
      <c r="N628" s="76">
        <f ca="1">$K$628-EFEITO!$M$628*EFEITO!$Z$628</f>
        <v>0</v>
      </c>
      <c r="O628" s="76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21</v>
      </c>
      <c r="B629" s="53" t="s">
        <v>22</v>
      </c>
      <c r="C629" s="53" t="s">
        <v>33</v>
      </c>
      <c r="D629" s="53" t="s">
        <v>24</v>
      </c>
      <c r="E629" s="53" t="s">
        <v>24</v>
      </c>
      <c r="F629" s="53" t="s">
        <v>25</v>
      </c>
      <c r="G629" s="53" t="s">
        <v>25</v>
      </c>
      <c r="H629" s="53" t="s">
        <v>34</v>
      </c>
      <c r="I629" s="75">
        <v>44621</v>
      </c>
      <c r="J629" s="76">
        <f>EFEITO!$J$629*EFEITO!$Y$629</f>
        <v>0</v>
      </c>
      <c r="K629" s="76">
        <f ca="1">EFEITO!$L$629*EFEITO!$Z$629</f>
        <v>940.31853708790277</v>
      </c>
      <c r="L629" s="76">
        <f>EFEITO!$N$629*EFEITO!$AA$629</f>
        <v>258.98831820936232</v>
      </c>
      <c r="M629" s="76">
        <f>$J$629-EFEITO!$K$629*EFEITO!$Y$629</f>
        <v>0</v>
      </c>
      <c r="N629" s="76">
        <f ca="1">$K$629-EFEITO!$M$629*EFEITO!$Z$629</f>
        <v>0</v>
      </c>
      <c r="O629" s="76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21</v>
      </c>
      <c r="B630" s="53" t="s">
        <v>22</v>
      </c>
      <c r="C630" s="53" t="s">
        <v>33</v>
      </c>
      <c r="D630" s="53" t="s">
        <v>24</v>
      </c>
      <c r="E630" s="53" t="s">
        <v>24</v>
      </c>
      <c r="F630" s="53" t="s">
        <v>25</v>
      </c>
      <c r="G630" s="53" t="s">
        <v>25</v>
      </c>
      <c r="H630" s="53" t="s">
        <v>34</v>
      </c>
      <c r="I630" s="75">
        <v>44652</v>
      </c>
      <c r="J630" s="76">
        <f>EFEITO!$J$630*EFEITO!$Y$630</f>
        <v>0</v>
      </c>
      <c r="K630" s="76">
        <f ca="1">EFEITO!$L$630*EFEITO!$Z$630</f>
        <v>1410.4778056318539</v>
      </c>
      <c r="L630" s="76">
        <f>EFEITO!$N$630*EFEITO!$AA$630</f>
        <v>388.48247731404348</v>
      </c>
      <c r="M630" s="76">
        <f>$J$630-EFEITO!$K$630*EFEITO!$Y$630</f>
        <v>0</v>
      </c>
      <c r="N630" s="76">
        <f ca="1">$K$630-EFEITO!$M$630*EFEITO!$Z$630</f>
        <v>0</v>
      </c>
      <c r="O630" s="76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21</v>
      </c>
      <c r="B631" s="53" t="s">
        <v>22</v>
      </c>
      <c r="C631" s="53" t="s">
        <v>33</v>
      </c>
      <c r="D631" s="53" t="s">
        <v>24</v>
      </c>
      <c r="E631" s="53" t="s">
        <v>24</v>
      </c>
      <c r="F631" s="53" t="s">
        <v>25</v>
      </c>
      <c r="G631" s="53" t="s">
        <v>25</v>
      </c>
      <c r="H631" s="53" t="s">
        <v>34</v>
      </c>
      <c r="I631" s="75">
        <v>44682</v>
      </c>
      <c r="J631" s="76">
        <f>EFEITO!$J$631*EFEITO!$Y$631</f>
        <v>0</v>
      </c>
      <c r="K631" s="76">
        <f ca="1">EFEITO!$L$631*EFEITO!$Z$631</f>
        <v>1451.4120703060787</v>
      </c>
      <c r="L631" s="76">
        <f>EFEITO!$N$631*EFEITO!$AA$631</f>
        <v>399.75684440027197</v>
      </c>
      <c r="M631" s="76">
        <f>$J$631-EFEITO!$K$631*EFEITO!$Y$631</f>
        <v>0</v>
      </c>
      <c r="N631" s="76">
        <f ca="1">$K$631-EFEITO!$M$631*EFEITO!$Z$631</f>
        <v>0</v>
      </c>
      <c r="O631" s="76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21</v>
      </c>
      <c r="B632" s="53" t="s">
        <v>22</v>
      </c>
      <c r="C632" s="53" t="s">
        <v>33</v>
      </c>
      <c r="D632" s="53" t="s">
        <v>24</v>
      </c>
      <c r="E632" s="53" t="s">
        <v>24</v>
      </c>
      <c r="F632" s="53" t="s">
        <v>25</v>
      </c>
      <c r="G632" s="53" t="s">
        <v>25</v>
      </c>
      <c r="H632" s="53" t="s">
        <v>34</v>
      </c>
      <c r="I632" s="75">
        <v>44713</v>
      </c>
      <c r="J632" s="76">
        <f>EFEITO!$J$632*EFEITO!$Y$632</f>
        <v>0</v>
      </c>
      <c r="K632" s="76">
        <f ca="1">EFEITO!$L$632*EFEITO!$Z$632</f>
        <v>1642.0487886460389</v>
      </c>
      <c r="L632" s="76">
        <f>EFEITO!$N$632*EFEITO!$AA$632</f>
        <v>452.26318254470732</v>
      </c>
      <c r="M632" s="76">
        <f>$J$632-EFEITO!$K$632*EFEITO!$Y$632</f>
        <v>0</v>
      </c>
      <c r="N632" s="76">
        <f ca="1">$K$632-EFEITO!$M$632*EFEITO!$Z$632</f>
        <v>0</v>
      </c>
      <c r="O632" s="76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21</v>
      </c>
      <c r="B633" s="53" t="s">
        <v>22</v>
      </c>
      <c r="C633" s="53" t="s">
        <v>33</v>
      </c>
      <c r="D633" s="53" t="s">
        <v>24</v>
      </c>
      <c r="E633" s="53" t="s">
        <v>24</v>
      </c>
      <c r="F633" s="53" t="s">
        <v>25</v>
      </c>
      <c r="G633" s="53" t="s">
        <v>25</v>
      </c>
      <c r="H633" s="53" t="s">
        <v>34</v>
      </c>
      <c r="I633" s="75">
        <v>44743</v>
      </c>
      <c r="J633" s="76">
        <f>EFEITO!$J$633*EFEITO!$Y$633</f>
        <v>0</v>
      </c>
      <c r="K633" s="76">
        <f ca="1">EFEITO!$L$633*EFEITO!$Z$633</f>
        <v>2481.7859896772752</v>
      </c>
      <c r="L633" s="76">
        <f>EFEITO!$N$633*EFEITO!$AA$633</f>
        <v>683.5487701993369</v>
      </c>
      <c r="M633" s="76">
        <f>$J$633-EFEITO!$K$633*EFEITO!$Y$633</f>
        <v>0</v>
      </c>
      <c r="N633" s="76">
        <f ca="1">$K$633-EFEITO!$M$633*EFEITO!$Z$633</f>
        <v>0</v>
      </c>
      <c r="O633" s="76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21</v>
      </c>
      <c r="B634" s="53" t="s">
        <v>22</v>
      </c>
      <c r="C634" s="53" t="s">
        <v>33</v>
      </c>
      <c r="D634" s="53" t="s">
        <v>24</v>
      </c>
      <c r="E634" s="53" t="s">
        <v>24</v>
      </c>
      <c r="F634" s="53" t="s">
        <v>25</v>
      </c>
      <c r="G634" s="53" t="s">
        <v>25</v>
      </c>
      <c r="H634" s="53" t="s">
        <v>34</v>
      </c>
      <c r="I634" s="75">
        <v>44774</v>
      </c>
      <c r="J634" s="76">
        <f>EFEITO!$J$634*EFEITO!$Y$634</f>
        <v>0</v>
      </c>
      <c r="K634" s="76">
        <f ca="1">EFEITO!$L$634*EFEITO!$Z$634</f>
        <v>1456.0902719831331</v>
      </c>
      <c r="L634" s="76">
        <f>EFEITO!$N$634*EFEITO!$AA$634</f>
        <v>401.04534349584094</v>
      </c>
      <c r="M634" s="76">
        <f>$J$634-EFEITO!$K$634*EFEITO!$Y$634</f>
        <v>0</v>
      </c>
      <c r="N634" s="76">
        <f ca="1">$K$634-EFEITO!$M$634*EFEITO!$Z$634</f>
        <v>0</v>
      </c>
      <c r="O634" s="76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27</v>
      </c>
      <c r="B635" s="53" t="s">
        <v>22</v>
      </c>
      <c r="C635" s="53" t="s">
        <v>33</v>
      </c>
      <c r="D635" s="53" t="s">
        <v>24</v>
      </c>
      <c r="E635" s="53" t="s">
        <v>24</v>
      </c>
      <c r="F635" s="53" t="s">
        <v>25</v>
      </c>
      <c r="G635" s="53" t="s">
        <v>25</v>
      </c>
      <c r="H635" s="53" t="s">
        <v>34</v>
      </c>
      <c r="I635" s="75">
        <v>44774</v>
      </c>
      <c r="J635" s="76">
        <f>EFEITO!$J$635*EFEITO!$Y$635</f>
        <v>0</v>
      </c>
      <c r="K635" s="76">
        <f ca="1">EFEITO!$L$635*EFEITO!$Z$635</f>
        <v>-1091.1905411729022</v>
      </c>
      <c r="L635" s="76">
        <f>EFEITO!$N$635*EFEITO!$AA$635</f>
        <v>-300.54241404146154</v>
      </c>
      <c r="M635" s="76">
        <f>$J$635-EFEITO!$K$635*EFEITO!$Y$635</f>
        <v>0</v>
      </c>
      <c r="N635" s="76">
        <f ca="1">$K$635-EFEITO!$M$635*EFEITO!$Z$635</f>
        <v>0</v>
      </c>
      <c r="O635" s="76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28</v>
      </c>
      <c r="B636" s="53" t="s">
        <v>22</v>
      </c>
      <c r="C636" s="53" t="s">
        <v>33</v>
      </c>
      <c r="D636" s="53" t="s">
        <v>24</v>
      </c>
      <c r="E636" s="53" t="s">
        <v>24</v>
      </c>
      <c r="F636" s="53" t="s">
        <v>25</v>
      </c>
      <c r="G636" s="53" t="s">
        <v>25</v>
      </c>
      <c r="H636" s="53" t="s">
        <v>34</v>
      </c>
      <c r="I636" s="75">
        <v>44774</v>
      </c>
      <c r="J636" s="76">
        <f>EFEITO!$J$636*EFEITO!$Y$636</f>
        <v>0</v>
      </c>
      <c r="K636" s="76">
        <f ca="1">EFEITO!$L$636*EFEITO!$Z$636</f>
        <v>73.681676413604322</v>
      </c>
      <c r="L636" s="76">
        <f>EFEITO!$N$636*EFEITO!$AA$636</f>
        <v>20.293860755211227</v>
      </c>
      <c r="M636" s="76">
        <f>$J$636-EFEITO!$K$636*EFEITO!$Y$636</f>
        <v>0</v>
      </c>
      <c r="N636" s="76">
        <f ca="1">$K$636-EFEITO!$M$636*EFEITO!$Z$636</f>
        <v>0</v>
      </c>
      <c r="O636" s="76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21</v>
      </c>
      <c r="B637" s="53" t="s">
        <v>22</v>
      </c>
      <c r="C637" s="53" t="s">
        <v>33</v>
      </c>
      <c r="D637" s="53" t="s">
        <v>24</v>
      </c>
      <c r="E637" s="53" t="s">
        <v>24</v>
      </c>
      <c r="F637" s="53" t="s">
        <v>25</v>
      </c>
      <c r="G637" s="53" t="s">
        <v>25</v>
      </c>
      <c r="H637" s="53" t="s">
        <v>34</v>
      </c>
      <c r="I637" s="75">
        <v>44805</v>
      </c>
      <c r="J637" s="76">
        <f>EFEITO!$J$637*EFEITO!$Y$637</f>
        <v>0</v>
      </c>
      <c r="K637" s="76">
        <f ca="1">EFEITO!$L$637*EFEITO!$Z$637</f>
        <v>1650.235641580884</v>
      </c>
      <c r="L637" s="76">
        <f>EFEITO!$N$637*EFEITO!$AA$637</f>
        <v>454.51805596195305</v>
      </c>
      <c r="M637" s="76">
        <f>$J$637-EFEITO!$K$637*EFEITO!$Y$637</f>
        <v>0</v>
      </c>
      <c r="N637" s="76">
        <f ca="1">$K$637-EFEITO!$M$637*EFEITO!$Z$637</f>
        <v>0</v>
      </c>
      <c r="O637" s="76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21</v>
      </c>
      <c r="B638" s="53" t="s">
        <v>22</v>
      </c>
      <c r="C638" s="53" t="s">
        <v>33</v>
      </c>
      <c r="D638" s="53" t="s">
        <v>24</v>
      </c>
      <c r="E638" s="53" t="s">
        <v>24</v>
      </c>
      <c r="F638" s="53" t="s">
        <v>25</v>
      </c>
      <c r="G638" s="53" t="s">
        <v>25</v>
      </c>
      <c r="H638" s="53" t="s">
        <v>34</v>
      </c>
      <c r="I638" s="75">
        <v>44835</v>
      </c>
      <c r="J638" s="76">
        <f>EFEITO!$J$638*EFEITO!$Y$638</f>
        <v>0</v>
      </c>
      <c r="K638" s="76">
        <f ca="1">EFEITO!$L$638*EFEITO!$Z$638</f>
        <v>1563.6889105553805</v>
      </c>
      <c r="L638" s="76">
        <f>EFEITO!$N$638*EFEITO!$AA$638</f>
        <v>430.68082269392715</v>
      </c>
      <c r="M638" s="76">
        <f>$J$638-EFEITO!$K$638*EFEITO!$Y$638</f>
        <v>0</v>
      </c>
      <c r="N638" s="76">
        <f ca="1">$K$638-EFEITO!$M$638*EFEITO!$Z$638</f>
        <v>0</v>
      </c>
      <c r="O638" s="76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54</v>
      </c>
      <c r="B639" s="53" t="s">
        <v>22</v>
      </c>
      <c r="C639" s="53" t="s">
        <v>33</v>
      </c>
      <c r="D639" s="53" t="s">
        <v>24</v>
      </c>
      <c r="E639" s="53" t="s">
        <v>24</v>
      </c>
      <c r="F639" s="53" t="s">
        <v>25</v>
      </c>
      <c r="G639" s="53" t="s">
        <v>25</v>
      </c>
      <c r="H639" s="53" t="s">
        <v>34</v>
      </c>
      <c r="I639" s="75">
        <v>44866</v>
      </c>
      <c r="J639" s="76">
        <f>EFEITO!$J$639*EFEITO!$Y$639</f>
        <v>0</v>
      </c>
      <c r="K639" s="76">
        <f ca="1">EFEITO!$L$639*EFEITO!$Z$639</f>
        <v>1563.6889105553805</v>
      </c>
      <c r="L639" s="76">
        <f>EFEITO!$N$639*EFEITO!$AA$639</f>
        <v>430.68082269392715</v>
      </c>
      <c r="M639" s="76">
        <f>$J$639-EFEITO!$K$639*EFEITO!$Y$639</f>
        <v>0</v>
      </c>
      <c r="N639" s="76">
        <f ca="1">$K$639-EFEITO!$M$639*EFEITO!$Z$639</f>
        <v>0</v>
      </c>
      <c r="O639" s="76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21</v>
      </c>
      <c r="B640" s="53" t="s">
        <v>22</v>
      </c>
      <c r="C640" s="53" t="s">
        <v>23</v>
      </c>
      <c r="D640" s="53" t="s">
        <v>24</v>
      </c>
      <c r="E640" s="53" t="s">
        <v>24</v>
      </c>
      <c r="F640" s="53" t="s">
        <v>25</v>
      </c>
      <c r="G640" s="53" t="s">
        <v>25</v>
      </c>
      <c r="H640" s="53" t="s">
        <v>25</v>
      </c>
      <c r="I640" s="75">
        <v>44531</v>
      </c>
      <c r="J640" s="76">
        <f>EFEITO!$J$640*EFEITO!$Y$640</f>
        <v>0</v>
      </c>
      <c r="K640" s="76">
        <f ca="1">EFEITO!$L$640*EFEITO!$Z$640</f>
        <v>20013649.41998411</v>
      </c>
      <c r="L640" s="76">
        <f>EFEITO!$N$640*EFEITO!$AA$640</f>
        <v>9036058.2282763459</v>
      </c>
      <c r="M640" s="76">
        <f>$J$640-EFEITO!$K$640*EFEITO!$Y$640</f>
        <v>0</v>
      </c>
      <c r="N640" s="76">
        <f ca="1">$K$640-EFEITO!$M$640*EFEITO!$Z$640</f>
        <v>0</v>
      </c>
      <c r="O640" s="76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27</v>
      </c>
      <c r="B641" s="53" t="s">
        <v>22</v>
      </c>
      <c r="C641" s="53" t="s">
        <v>23</v>
      </c>
      <c r="D641" s="53" t="s">
        <v>24</v>
      </c>
      <c r="E641" s="53" t="s">
        <v>24</v>
      </c>
      <c r="F641" s="53" t="s">
        <v>25</v>
      </c>
      <c r="G641" s="53" t="s">
        <v>25</v>
      </c>
      <c r="H641" s="53" t="s">
        <v>25</v>
      </c>
      <c r="I641" s="75">
        <v>44531</v>
      </c>
      <c r="J641" s="76">
        <f>EFEITO!$J$641*EFEITO!$Y$641</f>
        <v>0</v>
      </c>
      <c r="K641" s="76">
        <f ca="1">EFEITO!$L$641*EFEITO!$Z$641</f>
        <v>-765110.44339170435</v>
      </c>
      <c r="L641" s="76">
        <f>EFEITO!$N$641*EFEITO!$AA$641</f>
        <v>-345443.37079505326</v>
      </c>
      <c r="M641" s="76">
        <f>$J$641-EFEITO!$K$641*EFEITO!$Y$641</f>
        <v>0</v>
      </c>
      <c r="N641" s="76">
        <f ca="1">$K$641-EFEITO!$M$641*EFEITO!$Z$641</f>
        <v>0</v>
      </c>
      <c r="O641" s="76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28</v>
      </c>
      <c r="B642" s="53" t="s">
        <v>22</v>
      </c>
      <c r="C642" s="53" t="s">
        <v>23</v>
      </c>
      <c r="D642" s="53" t="s">
        <v>24</v>
      </c>
      <c r="E642" s="53" t="s">
        <v>24</v>
      </c>
      <c r="F642" s="53" t="s">
        <v>25</v>
      </c>
      <c r="G642" s="53" t="s">
        <v>25</v>
      </c>
      <c r="H642" s="53" t="s">
        <v>25</v>
      </c>
      <c r="I642" s="75">
        <v>44531</v>
      </c>
      <c r="J642" s="76">
        <f>EFEITO!$J$642*EFEITO!$Y$642</f>
        <v>0</v>
      </c>
      <c r="K642" s="76">
        <f ca="1">EFEITO!$L$642*EFEITO!$Z$642</f>
        <v>97274.6294041121</v>
      </c>
      <c r="L642" s="76">
        <f>EFEITO!$N$642*EFEITO!$AA$642</f>
        <v>43918.987336306462</v>
      </c>
      <c r="M642" s="76">
        <f>$J$642-EFEITO!$K$642*EFEITO!$Y$642</f>
        <v>0</v>
      </c>
      <c r="N642" s="76">
        <f ca="1">$K$642-EFEITO!$M$642*EFEITO!$Z$642</f>
        <v>0</v>
      </c>
      <c r="O642" s="76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28</v>
      </c>
      <c r="B643" s="53" t="s">
        <v>22</v>
      </c>
      <c r="C643" s="53" t="s">
        <v>23</v>
      </c>
      <c r="D643" s="53" t="s">
        <v>24</v>
      </c>
      <c r="E643" s="53" t="s">
        <v>24</v>
      </c>
      <c r="F643" s="53" t="s">
        <v>25</v>
      </c>
      <c r="G643" s="53" t="s">
        <v>25</v>
      </c>
      <c r="H643" s="53" t="s">
        <v>25</v>
      </c>
      <c r="I643" s="75">
        <v>44531</v>
      </c>
      <c r="J643" s="76">
        <f>EFEITO!$J$643*EFEITO!$Y$643</f>
        <v>0</v>
      </c>
      <c r="K643" s="76">
        <f ca="1">EFEITO!$L$643*EFEITO!$Z$643</f>
        <v>1196.2440625321688</v>
      </c>
      <c r="L643" s="76">
        <f>EFEITO!$N$643*EFEITO!$AA$643</f>
        <v>540.0979490265853</v>
      </c>
      <c r="M643" s="76">
        <f>$J$643-EFEITO!$K$643*EFEITO!$Y$643</f>
        <v>0</v>
      </c>
      <c r="N643" s="76">
        <f ca="1">$K$643-EFEITO!$M$643*EFEITO!$Z$643</f>
        <v>0</v>
      </c>
      <c r="O643" s="76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21</v>
      </c>
      <c r="B644" s="53" t="s">
        <v>22</v>
      </c>
      <c r="C644" s="53" t="s">
        <v>23</v>
      </c>
      <c r="D644" s="53" t="s">
        <v>24</v>
      </c>
      <c r="E644" s="53" t="s">
        <v>24</v>
      </c>
      <c r="F644" s="53" t="s">
        <v>25</v>
      </c>
      <c r="G644" s="53" t="s">
        <v>25</v>
      </c>
      <c r="H644" s="53" t="s">
        <v>25</v>
      </c>
      <c r="I644" s="75">
        <v>44562</v>
      </c>
      <c r="J644" s="76">
        <f>EFEITO!$J$644*EFEITO!$Y$644</f>
        <v>0</v>
      </c>
      <c r="K644" s="76">
        <f ca="1">EFEITO!$L$644*EFEITO!$Z$644</f>
        <v>17876796.065684259</v>
      </c>
      <c r="L644" s="76">
        <f>EFEITO!$N$644*EFEITO!$AA$644</f>
        <v>8071280.0946361683</v>
      </c>
      <c r="M644" s="76">
        <f>$J$644-EFEITO!$K$644*EFEITO!$Y$644</f>
        <v>0</v>
      </c>
      <c r="N644" s="76">
        <f ca="1">$K$644-EFEITO!$M$644*EFEITO!$Z$644</f>
        <v>0</v>
      </c>
      <c r="O644" s="76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27</v>
      </c>
      <c r="B645" s="53" t="s">
        <v>22</v>
      </c>
      <c r="C645" s="53" t="s">
        <v>23</v>
      </c>
      <c r="D645" s="53" t="s">
        <v>24</v>
      </c>
      <c r="E645" s="53" t="s">
        <v>24</v>
      </c>
      <c r="F645" s="53" t="s">
        <v>25</v>
      </c>
      <c r="G645" s="53" t="s">
        <v>25</v>
      </c>
      <c r="H645" s="53" t="s">
        <v>25</v>
      </c>
      <c r="I645" s="75">
        <v>44562</v>
      </c>
      <c r="J645" s="76">
        <f>EFEITO!$J$645*EFEITO!$Y$645</f>
        <v>0</v>
      </c>
      <c r="K645" s="76">
        <f ca="1">EFEITO!$L$645*EFEITO!$Z$645</f>
        <v>-942259.47216815874</v>
      </c>
      <c r="L645" s="76">
        <f>EFEITO!$N$645*EFEITO!$AA$645</f>
        <v>-425425.23244934389</v>
      </c>
      <c r="M645" s="76">
        <f>$J$645-EFEITO!$K$645*EFEITO!$Y$645</f>
        <v>0</v>
      </c>
      <c r="N645" s="76">
        <f ca="1">$K$645-EFEITO!$M$645*EFEITO!$Z$645</f>
        <v>0</v>
      </c>
      <c r="O645" s="76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28</v>
      </c>
      <c r="B646" s="53" t="s">
        <v>22</v>
      </c>
      <c r="C646" s="53" t="s">
        <v>23</v>
      </c>
      <c r="D646" s="53" t="s">
        <v>24</v>
      </c>
      <c r="E646" s="53" t="s">
        <v>24</v>
      </c>
      <c r="F646" s="53" t="s">
        <v>25</v>
      </c>
      <c r="G646" s="53" t="s">
        <v>25</v>
      </c>
      <c r="H646" s="53" t="s">
        <v>25</v>
      </c>
      <c r="I646" s="75">
        <v>44562</v>
      </c>
      <c r="J646" s="76">
        <f>EFEITO!$J$646*EFEITO!$Y$646</f>
        <v>0</v>
      </c>
      <c r="K646" s="76">
        <f ca="1">EFEITO!$L$646*EFEITO!$Z$646</f>
        <v>91106.464882177737</v>
      </c>
      <c r="L646" s="76">
        <f>EFEITO!$N$646*EFEITO!$AA$646</f>
        <v>41134.093256662316</v>
      </c>
      <c r="M646" s="76">
        <f>$J$646-EFEITO!$K$646*EFEITO!$Y$646</f>
        <v>0</v>
      </c>
      <c r="N646" s="76">
        <f ca="1">$K$646-EFEITO!$M$646*EFEITO!$Z$646</f>
        <v>0</v>
      </c>
      <c r="O646" s="76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28</v>
      </c>
      <c r="B647" s="53" t="s">
        <v>22</v>
      </c>
      <c r="C647" s="53" t="s">
        <v>23</v>
      </c>
      <c r="D647" s="53" t="s">
        <v>24</v>
      </c>
      <c r="E647" s="53" t="s">
        <v>24</v>
      </c>
      <c r="F647" s="53" t="s">
        <v>25</v>
      </c>
      <c r="G647" s="53" t="s">
        <v>25</v>
      </c>
      <c r="H647" s="53" t="s">
        <v>25</v>
      </c>
      <c r="I647" s="75">
        <v>44562</v>
      </c>
      <c r="J647" s="76">
        <f>EFEITO!$J$647*EFEITO!$Y$647</f>
        <v>0</v>
      </c>
      <c r="K647" s="76">
        <f ca="1">EFEITO!$L$647*EFEITO!$Z$647</f>
        <v>-406.70309357909969</v>
      </c>
      <c r="L647" s="76">
        <f>EFEITO!$N$647*EFEITO!$AA$647</f>
        <v>-183.62432348451651</v>
      </c>
      <c r="M647" s="76">
        <f>$J$647-EFEITO!$K$647*EFEITO!$Y$647</f>
        <v>0</v>
      </c>
      <c r="N647" s="76">
        <f ca="1">$K$647-EFEITO!$M$647*EFEITO!$Z$647</f>
        <v>0</v>
      </c>
      <c r="O647" s="76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21</v>
      </c>
      <c r="B648" s="53" t="s">
        <v>22</v>
      </c>
      <c r="C648" s="53" t="s">
        <v>23</v>
      </c>
      <c r="D648" s="53" t="s">
        <v>24</v>
      </c>
      <c r="E648" s="53" t="s">
        <v>24</v>
      </c>
      <c r="F648" s="53" t="s">
        <v>25</v>
      </c>
      <c r="G648" s="53" t="s">
        <v>25</v>
      </c>
      <c r="H648" s="53" t="s">
        <v>25</v>
      </c>
      <c r="I648" s="75">
        <v>44593</v>
      </c>
      <c r="J648" s="76">
        <f>EFEITO!$J$648*EFEITO!$Y$648</f>
        <v>0</v>
      </c>
      <c r="K648" s="76">
        <f ca="1">EFEITO!$L$648*EFEITO!$Z$648</f>
        <v>15564875.425704306</v>
      </c>
      <c r="L648" s="76">
        <f>EFEITO!$N$648*EFEITO!$AA$648</f>
        <v>7027459.9954815907</v>
      </c>
      <c r="M648" s="76">
        <f>$J$648-EFEITO!$K$648*EFEITO!$Y$648</f>
        <v>0</v>
      </c>
      <c r="N648" s="76">
        <f ca="1">$K$648-EFEITO!$M$648*EFEITO!$Z$648</f>
        <v>0</v>
      </c>
      <c r="O648" s="76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3" t="s">
        <v>27</v>
      </c>
      <c r="B649" s="53" t="s">
        <v>22</v>
      </c>
      <c r="C649" s="53" t="s">
        <v>23</v>
      </c>
      <c r="D649" s="53" t="s">
        <v>24</v>
      </c>
      <c r="E649" s="53" t="s">
        <v>24</v>
      </c>
      <c r="F649" s="53" t="s">
        <v>25</v>
      </c>
      <c r="G649" s="53" t="s">
        <v>25</v>
      </c>
      <c r="H649" s="53" t="s">
        <v>25</v>
      </c>
      <c r="I649" s="75">
        <v>44593</v>
      </c>
      <c r="J649" s="76">
        <f>EFEITO!$J$649*EFEITO!$Y$649</f>
        <v>0</v>
      </c>
      <c r="K649" s="76">
        <f ca="1">EFEITO!$L$649*EFEITO!$Z$649</f>
        <v>-1077820.8722619433</v>
      </c>
      <c r="L649" s="76">
        <f>EFEITO!$N$649*EFEITO!$AA$649</f>
        <v>-486630.4968690839</v>
      </c>
      <c r="M649" s="76">
        <f>$J$649-EFEITO!$K$649*EFEITO!$Y$649</f>
        <v>0</v>
      </c>
      <c r="N649" s="76">
        <f ca="1">$K$649-EFEITO!$M$649*EFEITO!$Z$649</f>
        <v>0</v>
      </c>
      <c r="O649" s="76">
        <f>$L$649-EFEITO!$O$649*EFEITO!$AA$649</f>
        <v>0</v>
      </c>
      <c r="P649" s="57"/>
      <c r="Q649" s="57"/>
      <c r="R649" s="57"/>
      <c r="S649" s="57"/>
      <c r="T649" s="57"/>
      <c r="U649" s="57"/>
      <c r="V649" s="57"/>
      <c r="W649" s="57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3" t="s">
        <v>28</v>
      </c>
      <c r="B650" s="53" t="s">
        <v>22</v>
      </c>
      <c r="C650" s="53" t="s">
        <v>23</v>
      </c>
      <c r="D650" s="53" t="s">
        <v>24</v>
      </c>
      <c r="E650" s="53" t="s">
        <v>24</v>
      </c>
      <c r="F650" s="53" t="s">
        <v>25</v>
      </c>
      <c r="G650" s="53" t="s">
        <v>25</v>
      </c>
      <c r="H650" s="53" t="s">
        <v>25</v>
      </c>
      <c r="I650" s="75">
        <v>44593</v>
      </c>
      <c r="J650" s="76">
        <f>EFEITO!$J$650*EFEITO!$Y$650</f>
        <v>0</v>
      </c>
      <c r="K650" s="76">
        <f ca="1">EFEITO!$L$650*EFEITO!$Z$650</f>
        <v>189645.95085116179</v>
      </c>
      <c r="L650" s="76">
        <f>EFEITO!$N$650*EFEITO!$AA$650</f>
        <v>85624.156728597896</v>
      </c>
      <c r="M650" s="76">
        <f>$J$650-EFEITO!$K$650*EFEITO!$Y$650</f>
        <v>0</v>
      </c>
      <c r="N650" s="76">
        <f ca="1">$K$650-EFEITO!$M$650*EFEITO!$Z$650</f>
        <v>0</v>
      </c>
      <c r="O650" s="76">
        <f>$L$650-EFEITO!$O$650*EFEITO!$AA$650</f>
        <v>0</v>
      </c>
      <c r="P650" s="57"/>
      <c r="Q650" s="57"/>
      <c r="R650" s="57"/>
      <c r="S650" s="57"/>
      <c r="T650" s="57"/>
      <c r="U650" s="57"/>
      <c r="V650" s="57"/>
      <c r="W650" s="57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3" t="s">
        <v>28</v>
      </c>
      <c r="B651" s="53" t="s">
        <v>22</v>
      </c>
      <c r="C651" s="53" t="s">
        <v>23</v>
      </c>
      <c r="D651" s="53" t="s">
        <v>24</v>
      </c>
      <c r="E651" s="53" t="s">
        <v>24</v>
      </c>
      <c r="F651" s="53" t="s">
        <v>25</v>
      </c>
      <c r="G651" s="53" t="s">
        <v>25</v>
      </c>
      <c r="H651" s="53" t="s">
        <v>25</v>
      </c>
      <c r="I651" s="75">
        <v>44593</v>
      </c>
      <c r="J651" s="76">
        <f>EFEITO!$J$651*EFEITO!$Y$651</f>
        <v>0</v>
      </c>
      <c r="K651" s="76">
        <f ca="1">EFEITO!$L$651*EFEITO!$Z$651</f>
        <v>-6078.6699536651267</v>
      </c>
      <c r="L651" s="76">
        <f>EFEITO!$N$651*EFEITO!$AA$651</f>
        <v>-2744.4877492930309</v>
      </c>
      <c r="M651" s="76">
        <f>$J$651-EFEITO!$K$651*EFEITO!$Y$651</f>
        <v>0</v>
      </c>
      <c r="N651" s="76">
        <f ca="1">$K$651-EFEITO!$M$651*EFEITO!$Z$651</f>
        <v>0</v>
      </c>
      <c r="O651" s="76">
        <f>$L$651-EFEITO!$O$651*EFEITO!$AA$651</f>
        <v>0</v>
      </c>
      <c r="P651" s="57"/>
      <c r="Q651" s="57"/>
      <c r="R651" s="57"/>
      <c r="S651" s="57"/>
      <c r="T651" s="57"/>
      <c r="U651" s="57"/>
      <c r="V651" s="57"/>
      <c r="W651" s="57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3" t="s">
        <v>21</v>
      </c>
      <c r="B652" s="53" t="s">
        <v>22</v>
      </c>
      <c r="C652" s="53" t="s">
        <v>23</v>
      </c>
      <c r="D652" s="53" t="s">
        <v>24</v>
      </c>
      <c r="E652" s="53" t="s">
        <v>24</v>
      </c>
      <c r="F652" s="53" t="s">
        <v>25</v>
      </c>
      <c r="G652" s="53" t="s">
        <v>25</v>
      </c>
      <c r="H652" s="53" t="s">
        <v>25</v>
      </c>
      <c r="I652" s="75">
        <v>44621</v>
      </c>
      <c r="J652" s="76">
        <f>EFEITO!$J$652*EFEITO!$Y$652</f>
        <v>0</v>
      </c>
      <c r="K652" s="76">
        <f ca="1">EFEITO!$L$652*EFEITO!$Z$652</f>
        <v>17169202.786935106</v>
      </c>
      <c r="L652" s="76">
        <f>EFEITO!$N$652*EFEITO!$AA$652</f>
        <v>7751805.4233985525</v>
      </c>
      <c r="M652" s="76">
        <f>$J$652-EFEITO!$K$652*EFEITO!$Y$652</f>
        <v>0</v>
      </c>
      <c r="N652" s="76">
        <f ca="1">$K$652-EFEITO!$M$652*EFEITO!$Z$652</f>
        <v>0</v>
      </c>
      <c r="O652" s="76">
        <f>$L$652-EFEITO!$O$652*EFEITO!$AA$652</f>
        <v>0</v>
      </c>
      <c r="P652" s="57"/>
      <c r="Q652" s="57"/>
      <c r="R652" s="57"/>
      <c r="S652" s="57"/>
      <c r="T652" s="57"/>
      <c r="U652" s="57"/>
      <c r="V652" s="57"/>
      <c r="W652" s="57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3" t="s">
        <v>27</v>
      </c>
      <c r="B653" s="53" t="s">
        <v>22</v>
      </c>
      <c r="C653" s="53" t="s">
        <v>23</v>
      </c>
      <c r="D653" s="53" t="s">
        <v>24</v>
      </c>
      <c r="E653" s="53" t="s">
        <v>24</v>
      </c>
      <c r="F653" s="53" t="s">
        <v>25</v>
      </c>
      <c r="G653" s="53" t="s">
        <v>25</v>
      </c>
      <c r="H653" s="53" t="s">
        <v>25</v>
      </c>
      <c r="I653" s="75">
        <v>44621</v>
      </c>
      <c r="J653" s="76">
        <f>EFEITO!$J$653*EFEITO!$Y$653</f>
        <v>0</v>
      </c>
      <c r="K653" s="76">
        <f ca="1">EFEITO!$L$653*EFEITO!$Z$653</f>
        <v>-696401.48579504166</v>
      </c>
      <c r="L653" s="76">
        <f>EFEITO!$N$653*EFEITO!$AA$653</f>
        <v>-314421.63514759694</v>
      </c>
      <c r="M653" s="76">
        <f>$J$653-EFEITO!$K$653*EFEITO!$Y$653</f>
        <v>0</v>
      </c>
      <c r="N653" s="76">
        <f ca="1">$K$653-EFEITO!$M$653*EFEITO!$Z$653</f>
        <v>0</v>
      </c>
      <c r="O653" s="76">
        <f>$L$653-EFEITO!$O$653*EFEITO!$AA$653</f>
        <v>0</v>
      </c>
      <c r="P653" s="57"/>
      <c r="Q653" s="57"/>
      <c r="R653" s="57"/>
      <c r="S653" s="57"/>
      <c r="T653" s="57"/>
      <c r="U653" s="57"/>
      <c r="V653" s="57"/>
      <c r="W653" s="57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3" t="s">
        <v>28</v>
      </c>
      <c r="B654" s="53" t="s">
        <v>22</v>
      </c>
      <c r="C654" s="53" t="s">
        <v>23</v>
      </c>
      <c r="D654" s="53" t="s">
        <v>24</v>
      </c>
      <c r="E654" s="53" t="s">
        <v>24</v>
      </c>
      <c r="F654" s="53" t="s">
        <v>25</v>
      </c>
      <c r="G654" s="53" t="s">
        <v>25</v>
      </c>
      <c r="H654" s="53" t="s">
        <v>25</v>
      </c>
      <c r="I654" s="75">
        <v>44621</v>
      </c>
      <c r="J654" s="76">
        <f>EFEITO!$J$654*EFEITO!$Y$654</f>
        <v>0</v>
      </c>
      <c r="K654" s="76">
        <f ca="1">EFEITO!$L$654*EFEITO!$Z$654</f>
        <v>109354.90454432162</v>
      </c>
      <c r="L654" s="76">
        <f>EFEITO!$N$654*EFEITO!$AA$654</f>
        <v>49373.168494867954</v>
      </c>
      <c r="M654" s="76">
        <f>$J$654-EFEITO!$K$654*EFEITO!$Y$654</f>
        <v>0</v>
      </c>
      <c r="N654" s="76">
        <f ca="1">$K$654-EFEITO!$M$654*EFEITO!$Z$654</f>
        <v>0</v>
      </c>
      <c r="O654" s="76">
        <f>$L$654-EFEITO!$O$654*EFEITO!$AA$654</f>
        <v>0</v>
      </c>
      <c r="P654" s="57"/>
      <c r="Q654" s="57"/>
      <c r="R654" s="57"/>
      <c r="S654" s="57"/>
      <c r="T654" s="57"/>
      <c r="U654" s="57"/>
      <c r="V654" s="57"/>
      <c r="W654" s="57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3" t="s">
        <v>28</v>
      </c>
      <c r="B655" s="53" t="s">
        <v>22</v>
      </c>
      <c r="C655" s="53" t="s">
        <v>23</v>
      </c>
      <c r="D655" s="53" t="s">
        <v>24</v>
      </c>
      <c r="E655" s="53" t="s">
        <v>24</v>
      </c>
      <c r="F655" s="53" t="s">
        <v>25</v>
      </c>
      <c r="G655" s="53" t="s">
        <v>25</v>
      </c>
      <c r="H655" s="53" t="s">
        <v>25</v>
      </c>
      <c r="I655" s="75">
        <v>44621</v>
      </c>
      <c r="J655" s="76">
        <f>EFEITO!$J$655*EFEITO!$Y$655</f>
        <v>0</v>
      </c>
      <c r="K655" s="76">
        <f ca="1">EFEITO!$L$655*EFEITO!$Z$655</f>
        <v>-253.07075138357183</v>
      </c>
      <c r="L655" s="76">
        <f>EFEITO!$N$655*EFEITO!$AA$655</f>
        <v>-114.26012304843388</v>
      </c>
      <c r="M655" s="76">
        <f>$J$655-EFEITO!$K$655*EFEITO!$Y$655</f>
        <v>0</v>
      </c>
      <c r="N655" s="76">
        <f ca="1">$K$655-EFEITO!$M$655*EFEITO!$Z$655</f>
        <v>0</v>
      </c>
      <c r="O655" s="76">
        <f>$L$655-EFEITO!$O$655*EFEITO!$AA$655</f>
        <v>0</v>
      </c>
      <c r="P655" s="57"/>
      <c r="Q655" s="57"/>
      <c r="R655" s="57"/>
      <c r="S655" s="57"/>
      <c r="T655" s="57"/>
      <c r="U655" s="57"/>
      <c r="V655" s="57"/>
      <c r="W655" s="57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3" t="s">
        <v>21</v>
      </c>
      <c r="B656" s="53" t="s">
        <v>22</v>
      </c>
      <c r="C656" s="53" t="s">
        <v>23</v>
      </c>
      <c r="D656" s="53" t="s">
        <v>24</v>
      </c>
      <c r="E656" s="53" t="s">
        <v>24</v>
      </c>
      <c r="F656" s="53" t="s">
        <v>25</v>
      </c>
      <c r="G656" s="53" t="s">
        <v>25</v>
      </c>
      <c r="H656" s="53" t="s">
        <v>25</v>
      </c>
      <c r="I656" s="75">
        <v>44652</v>
      </c>
      <c r="J656" s="76">
        <f>EFEITO!$J$656*EFEITO!$Y$656</f>
        <v>0</v>
      </c>
      <c r="K656" s="76">
        <f ca="1">EFEITO!$L$656*EFEITO!$Z$656</f>
        <v>16368270.6510175</v>
      </c>
      <c r="L656" s="76">
        <f>EFEITO!$N$656*EFEITO!$AA$656</f>
        <v>7390188.7454416258</v>
      </c>
      <c r="M656" s="76">
        <f>$J$656-EFEITO!$K$656*EFEITO!$Y$656</f>
        <v>0</v>
      </c>
      <c r="N656" s="76">
        <f ca="1">$K$656-EFEITO!$M$656*EFEITO!$Z$656</f>
        <v>0</v>
      </c>
      <c r="O656" s="76">
        <f>$L$656-EFEITO!$O$656*EFEITO!$AA$656</f>
        <v>0</v>
      </c>
      <c r="P656" s="57"/>
      <c r="Q656" s="57"/>
      <c r="R656" s="57"/>
      <c r="S656" s="57"/>
      <c r="T656" s="57"/>
      <c r="U656" s="57"/>
      <c r="V656" s="57"/>
      <c r="W656" s="57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3" t="s">
        <v>27</v>
      </c>
      <c r="B657" s="53" t="s">
        <v>22</v>
      </c>
      <c r="C657" s="53" t="s">
        <v>23</v>
      </c>
      <c r="D657" s="53" t="s">
        <v>24</v>
      </c>
      <c r="E657" s="53" t="s">
        <v>24</v>
      </c>
      <c r="F657" s="53" t="s">
        <v>25</v>
      </c>
      <c r="G657" s="53" t="s">
        <v>25</v>
      </c>
      <c r="H657" s="53" t="s">
        <v>25</v>
      </c>
      <c r="I657" s="75">
        <v>44652</v>
      </c>
      <c r="J657" s="76">
        <f>EFEITO!$J$657*EFEITO!$Y$657</f>
        <v>0</v>
      </c>
      <c r="K657" s="76">
        <f ca="1">EFEITO!$L$657*EFEITO!$Z$657</f>
        <v>-829606.69278311555</v>
      </c>
      <c r="L657" s="76">
        <f>EFEITO!$N$657*EFEITO!$AA$657</f>
        <v>-374563.09068103734</v>
      </c>
      <c r="M657" s="76">
        <f>$J$657-EFEITO!$K$657*EFEITO!$Y$657</f>
        <v>0</v>
      </c>
      <c r="N657" s="76">
        <f ca="1">$K$657-EFEITO!$M$657*EFEITO!$Z$657</f>
        <v>0</v>
      </c>
      <c r="O657" s="76">
        <f>$L$657-EFEITO!$O$657*EFEITO!$AA$657</f>
        <v>0</v>
      </c>
      <c r="P657" s="57"/>
      <c r="Q657" s="57"/>
      <c r="R657" s="57"/>
      <c r="S657" s="57"/>
      <c r="T657" s="57"/>
      <c r="U657" s="57"/>
      <c r="V657" s="57"/>
      <c r="W657" s="57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3" t="s">
        <v>28</v>
      </c>
      <c r="B658" s="53" t="s">
        <v>22</v>
      </c>
      <c r="C658" s="53" t="s">
        <v>23</v>
      </c>
      <c r="D658" s="53" t="s">
        <v>24</v>
      </c>
      <c r="E658" s="53" t="s">
        <v>24</v>
      </c>
      <c r="F658" s="53" t="s">
        <v>25</v>
      </c>
      <c r="G658" s="53" t="s">
        <v>25</v>
      </c>
      <c r="H658" s="53" t="s">
        <v>25</v>
      </c>
      <c r="I658" s="75">
        <v>44652</v>
      </c>
      <c r="J658" s="76">
        <f>EFEITO!$J$658*EFEITO!$Y$658</f>
        <v>0</v>
      </c>
      <c r="K658" s="76">
        <f ca="1">EFEITO!$L$658*EFEITO!$Z$658</f>
        <v>140148.49390962912</v>
      </c>
      <c r="L658" s="76">
        <f>EFEITO!$N$658*EFEITO!$AA$658</f>
        <v>63276.313329847821</v>
      </c>
      <c r="M658" s="76">
        <f>$J$658-EFEITO!$K$658*EFEITO!$Y$658</f>
        <v>0</v>
      </c>
      <c r="N658" s="76">
        <f ca="1">$K$658-EFEITO!$M$658*EFEITO!$Z$658</f>
        <v>0</v>
      </c>
      <c r="O658" s="76">
        <f>$L$658-EFEITO!$O$658*EFEITO!$AA$658</f>
        <v>0</v>
      </c>
      <c r="P658" s="57"/>
      <c r="Q658" s="57"/>
      <c r="R658" s="57"/>
      <c r="S658" s="57"/>
      <c r="T658" s="57"/>
      <c r="U658" s="57"/>
      <c r="V658" s="57"/>
      <c r="W658" s="57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3" t="s">
        <v>28</v>
      </c>
      <c r="B659" s="53" t="s">
        <v>22</v>
      </c>
      <c r="C659" s="53" t="s">
        <v>23</v>
      </c>
      <c r="D659" s="53" t="s">
        <v>24</v>
      </c>
      <c r="E659" s="53" t="s">
        <v>24</v>
      </c>
      <c r="F659" s="53" t="s">
        <v>25</v>
      </c>
      <c r="G659" s="53" t="s">
        <v>25</v>
      </c>
      <c r="H659" s="53" t="s">
        <v>25</v>
      </c>
      <c r="I659" s="75">
        <v>44652</v>
      </c>
      <c r="J659" s="76">
        <f>EFEITO!$J$659*EFEITO!$Y$659</f>
        <v>0</v>
      </c>
      <c r="K659" s="76">
        <f ca="1">EFEITO!$L$659*EFEITO!$Z$659</f>
        <v>-18028.680777838308</v>
      </c>
      <c r="L659" s="76">
        <f>EFEITO!$N$659*EFEITO!$AA$659</f>
        <v>-8139.8552492323397</v>
      </c>
      <c r="M659" s="76">
        <f>$J$659-EFEITO!$K$659*EFEITO!$Y$659</f>
        <v>0</v>
      </c>
      <c r="N659" s="76">
        <f ca="1">$K$659-EFEITO!$M$659*EFEITO!$Z$659</f>
        <v>0</v>
      </c>
      <c r="O659" s="76">
        <f>$L$659-EFEITO!$O$659*EFEITO!$AA$659</f>
        <v>0</v>
      </c>
      <c r="P659" s="57"/>
      <c r="Q659" s="57"/>
      <c r="R659" s="57"/>
      <c r="S659" s="57"/>
      <c r="T659" s="57"/>
      <c r="U659" s="57"/>
      <c r="V659" s="57"/>
      <c r="W659" s="57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3" t="s">
        <v>21</v>
      </c>
      <c r="B660" s="53" t="s">
        <v>22</v>
      </c>
      <c r="C660" s="53" t="s">
        <v>23</v>
      </c>
      <c r="D660" s="53" t="s">
        <v>24</v>
      </c>
      <c r="E660" s="53" t="s">
        <v>24</v>
      </c>
      <c r="F660" s="53" t="s">
        <v>25</v>
      </c>
      <c r="G660" s="53" t="s">
        <v>25</v>
      </c>
      <c r="H660" s="53" t="s">
        <v>25</v>
      </c>
      <c r="I660" s="75">
        <v>44682</v>
      </c>
      <c r="J660" s="76">
        <f>EFEITO!$J$660*EFEITO!$Y$660</f>
        <v>0</v>
      </c>
      <c r="K660" s="76">
        <f ca="1">EFEITO!$L$660*EFEITO!$Z$660</f>
        <v>19098915.99105534</v>
      </c>
      <c r="L660" s="76">
        <f>EFEITO!$N$660*EFEITO!$AA$660</f>
        <v>8623060.8606449403</v>
      </c>
      <c r="M660" s="76">
        <f>$J$660-EFEITO!$K$660*EFEITO!$Y$660</f>
        <v>0</v>
      </c>
      <c r="N660" s="76">
        <f ca="1">$K$660-EFEITO!$M$660*EFEITO!$Z$660</f>
        <v>0</v>
      </c>
      <c r="O660" s="76">
        <f>$L$660-EFEITO!$O$660*EFEITO!$AA$660</f>
        <v>0</v>
      </c>
      <c r="P660" s="57"/>
      <c r="Q660" s="57"/>
      <c r="R660" s="57"/>
      <c r="S660" s="57"/>
      <c r="T660" s="57"/>
      <c r="U660" s="57"/>
      <c r="V660" s="57"/>
      <c r="W660" s="57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3" t="s">
        <v>27</v>
      </c>
      <c r="B661" s="53" t="s">
        <v>22</v>
      </c>
      <c r="C661" s="53" t="s">
        <v>23</v>
      </c>
      <c r="D661" s="53" t="s">
        <v>24</v>
      </c>
      <c r="E661" s="53" t="s">
        <v>24</v>
      </c>
      <c r="F661" s="53" t="s">
        <v>25</v>
      </c>
      <c r="G661" s="53" t="s">
        <v>25</v>
      </c>
      <c r="H661" s="53" t="s">
        <v>25</v>
      </c>
      <c r="I661" s="75">
        <v>44682</v>
      </c>
      <c r="J661" s="76">
        <f>EFEITO!$J$661*EFEITO!$Y$661</f>
        <v>0</v>
      </c>
      <c r="K661" s="76">
        <f ca="1">EFEITO!$L$661*EFEITO!$Z$661</f>
        <v>-764732.08024474385</v>
      </c>
      <c r="L661" s="76">
        <f>EFEITO!$N$661*EFEITO!$AA$661</f>
        <v>-345272.54180951329</v>
      </c>
      <c r="M661" s="76">
        <f>$J$661-EFEITO!$K$661*EFEITO!$Y$661</f>
        <v>0</v>
      </c>
      <c r="N661" s="76">
        <f ca="1">$K$661-EFEITO!$M$661*EFEITO!$Z$661</f>
        <v>0</v>
      </c>
      <c r="O661" s="76">
        <f>$L$661-EFEITO!$O$661*EFEITO!$AA$661</f>
        <v>0</v>
      </c>
      <c r="P661" s="57"/>
      <c r="Q661" s="57"/>
      <c r="R661" s="57"/>
      <c r="S661" s="57"/>
      <c r="T661" s="57"/>
      <c r="U661" s="57"/>
      <c r="V661" s="57"/>
      <c r="W661" s="57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3" t="s">
        <v>28</v>
      </c>
      <c r="B662" s="53" t="s">
        <v>22</v>
      </c>
      <c r="C662" s="53" t="s">
        <v>23</v>
      </c>
      <c r="D662" s="53" t="s">
        <v>24</v>
      </c>
      <c r="E662" s="53" t="s">
        <v>24</v>
      </c>
      <c r="F662" s="53" t="s">
        <v>25</v>
      </c>
      <c r="G662" s="53" t="s">
        <v>25</v>
      </c>
      <c r="H662" s="53" t="s">
        <v>25</v>
      </c>
      <c r="I662" s="75">
        <v>44682</v>
      </c>
      <c r="J662" s="76">
        <f>EFEITO!$J$662*EFEITO!$Y$662</f>
        <v>0</v>
      </c>
      <c r="K662" s="76">
        <f ca="1">EFEITO!$L$662*EFEITO!$Z$662</f>
        <v>149343.56360724758</v>
      </c>
      <c r="L662" s="76">
        <f>EFEITO!$N$662*EFEITO!$AA$662</f>
        <v>67427.83929381195</v>
      </c>
      <c r="M662" s="76">
        <f>$J$662-EFEITO!$K$662*EFEITO!$Y$662</f>
        <v>0</v>
      </c>
      <c r="N662" s="76">
        <f ca="1">$K$662-EFEITO!$M$662*EFEITO!$Z$662</f>
        <v>0</v>
      </c>
      <c r="O662" s="76">
        <f>$L$662-EFEITO!$O$662*EFEITO!$AA$662</f>
        <v>0</v>
      </c>
      <c r="P662" s="57"/>
      <c r="Q662" s="57"/>
      <c r="R662" s="57"/>
      <c r="S662" s="57"/>
      <c r="T662" s="57"/>
      <c r="U662" s="57"/>
      <c r="V662" s="57"/>
      <c r="W662" s="57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3" t="s">
        <v>28</v>
      </c>
      <c r="B663" s="53" t="s">
        <v>22</v>
      </c>
      <c r="C663" s="53" t="s">
        <v>23</v>
      </c>
      <c r="D663" s="53" t="s">
        <v>24</v>
      </c>
      <c r="E663" s="53" t="s">
        <v>24</v>
      </c>
      <c r="F663" s="53" t="s">
        <v>25</v>
      </c>
      <c r="G663" s="53" t="s">
        <v>25</v>
      </c>
      <c r="H663" s="53" t="s">
        <v>25</v>
      </c>
      <c r="I663" s="75">
        <v>44682</v>
      </c>
      <c r="J663" s="76">
        <f>EFEITO!$J$663*EFEITO!$Y$663</f>
        <v>0</v>
      </c>
      <c r="K663" s="76">
        <f ca="1">EFEITO!$L$663*EFEITO!$Z$663</f>
        <v>786.06062463148737</v>
      </c>
      <c r="L663" s="76">
        <f>EFEITO!$N$663*EFEITO!$AA$663</f>
        <v>354.90226825063644</v>
      </c>
      <c r="M663" s="76">
        <f>$J$663-EFEITO!$K$663*EFEITO!$Y$663</f>
        <v>0</v>
      </c>
      <c r="N663" s="76">
        <f ca="1">$K$663-EFEITO!$M$663*EFEITO!$Z$663</f>
        <v>0</v>
      </c>
      <c r="O663" s="76">
        <f>$L$663-EFEITO!$O$663*EFEITO!$AA$663</f>
        <v>0</v>
      </c>
      <c r="P663" s="57"/>
      <c r="Q663" s="57"/>
      <c r="R663" s="57"/>
      <c r="S663" s="57"/>
      <c r="T663" s="57"/>
      <c r="U663" s="57"/>
      <c r="V663" s="57"/>
      <c r="W663" s="57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3" t="s">
        <v>21</v>
      </c>
      <c r="B664" s="53" t="s">
        <v>22</v>
      </c>
      <c r="C664" s="53" t="s">
        <v>23</v>
      </c>
      <c r="D664" s="53" t="s">
        <v>24</v>
      </c>
      <c r="E664" s="53" t="s">
        <v>24</v>
      </c>
      <c r="F664" s="53" t="s">
        <v>25</v>
      </c>
      <c r="G664" s="53" t="s">
        <v>25</v>
      </c>
      <c r="H664" s="53" t="s">
        <v>25</v>
      </c>
      <c r="I664" s="75">
        <v>44713</v>
      </c>
      <c r="J664" s="76">
        <f>EFEITO!$J$664*EFEITO!$Y$664</f>
        <v>0</v>
      </c>
      <c r="K664" s="76">
        <f ca="1">EFEITO!$L$664*EFEITO!$Z$664</f>
        <v>19497814.661089316</v>
      </c>
      <c r="L664" s="76">
        <f>EFEITO!$N$664*EFEITO!$AA$664</f>
        <v>8803161.5276432261</v>
      </c>
      <c r="M664" s="76">
        <f>$J$664-EFEITO!$K$664*EFEITO!$Y$664</f>
        <v>0</v>
      </c>
      <c r="N664" s="76">
        <f ca="1">$K$664-EFEITO!$M$664*EFEITO!$Z$664</f>
        <v>0</v>
      </c>
      <c r="O664" s="76">
        <f>$L$664-EFEITO!$O$664*EFEITO!$AA$664</f>
        <v>0</v>
      </c>
      <c r="P664" s="57"/>
      <c r="Q664" s="57"/>
      <c r="R664" s="57"/>
      <c r="S664" s="57"/>
      <c r="T664" s="57"/>
      <c r="U664" s="57"/>
      <c r="V664" s="57"/>
      <c r="W664" s="57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3" t="s">
        <v>27</v>
      </c>
      <c r="B665" s="53" t="s">
        <v>22</v>
      </c>
      <c r="C665" s="53" t="s">
        <v>23</v>
      </c>
      <c r="D665" s="53" t="s">
        <v>24</v>
      </c>
      <c r="E665" s="53" t="s">
        <v>24</v>
      </c>
      <c r="F665" s="53" t="s">
        <v>25</v>
      </c>
      <c r="G665" s="53" t="s">
        <v>25</v>
      </c>
      <c r="H665" s="53" t="s">
        <v>25</v>
      </c>
      <c r="I665" s="75">
        <v>44713</v>
      </c>
      <c r="J665" s="76">
        <f>EFEITO!$J$665*EFEITO!$Y$665</f>
        <v>0</v>
      </c>
      <c r="K665" s="76">
        <f ca="1">EFEITO!$L$665*EFEITO!$Z$665</f>
        <v>-595351.17999405938</v>
      </c>
      <c r="L665" s="76">
        <f>EFEITO!$N$665*EFEITO!$AA$665</f>
        <v>-268797.94962969946</v>
      </c>
      <c r="M665" s="76">
        <f>$J$665-EFEITO!$K$665*EFEITO!$Y$665</f>
        <v>0</v>
      </c>
      <c r="N665" s="76">
        <f ca="1">$K$665-EFEITO!$M$665*EFEITO!$Z$665</f>
        <v>0</v>
      </c>
      <c r="O665" s="76">
        <f>$L$665-EFEITO!$O$665*EFEITO!$AA$665</f>
        <v>0</v>
      </c>
      <c r="P665" s="57"/>
      <c r="Q665" s="57"/>
      <c r="R665" s="57"/>
      <c r="S665" s="57"/>
      <c r="T665" s="57"/>
      <c r="U665" s="57"/>
      <c r="V665" s="57"/>
      <c r="W665" s="57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3" t="s">
        <v>28</v>
      </c>
      <c r="B666" s="53" t="s">
        <v>22</v>
      </c>
      <c r="C666" s="53" t="s">
        <v>23</v>
      </c>
      <c r="D666" s="53" t="s">
        <v>24</v>
      </c>
      <c r="E666" s="53" t="s">
        <v>24</v>
      </c>
      <c r="F666" s="53" t="s">
        <v>25</v>
      </c>
      <c r="G666" s="53" t="s">
        <v>25</v>
      </c>
      <c r="H666" s="53" t="s">
        <v>25</v>
      </c>
      <c r="I666" s="75">
        <v>44713</v>
      </c>
      <c r="J666" s="76">
        <f>EFEITO!$J$666*EFEITO!$Y$666</f>
        <v>0</v>
      </c>
      <c r="K666" s="76">
        <f ca="1">EFEITO!$L$666*EFEITO!$Z$666</f>
        <v>161626.69310220069</v>
      </c>
      <c r="L666" s="76">
        <f>EFEITO!$N$666*EFEITO!$AA$666</f>
        <v>72973.608134502632</v>
      </c>
      <c r="M666" s="76">
        <f>$J$666-EFEITO!$K$666*EFEITO!$Y$666</f>
        <v>0</v>
      </c>
      <c r="N666" s="76">
        <f ca="1">$K$666-EFEITO!$M$666*EFEITO!$Z$666</f>
        <v>0</v>
      </c>
      <c r="O666" s="76">
        <f>$L$666-EFEITO!$O$666*EFEITO!$AA$666</f>
        <v>0</v>
      </c>
      <c r="P666" s="57"/>
      <c r="Q666" s="57"/>
      <c r="R666" s="57"/>
      <c r="S666" s="57"/>
      <c r="T666" s="57"/>
      <c r="U666" s="57"/>
      <c r="V666" s="57"/>
      <c r="W666" s="57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3" t="s">
        <v>28</v>
      </c>
      <c r="B667" s="53" t="s">
        <v>22</v>
      </c>
      <c r="C667" s="53" t="s">
        <v>23</v>
      </c>
      <c r="D667" s="53" t="s">
        <v>24</v>
      </c>
      <c r="E667" s="53" t="s">
        <v>24</v>
      </c>
      <c r="F667" s="53" t="s">
        <v>25</v>
      </c>
      <c r="G667" s="53" t="s">
        <v>25</v>
      </c>
      <c r="H667" s="53" t="s">
        <v>25</v>
      </c>
      <c r="I667" s="75">
        <v>44713</v>
      </c>
      <c r="J667" s="76">
        <f>EFEITO!$J$667*EFEITO!$Y$667</f>
        <v>0</v>
      </c>
      <c r="K667" s="76">
        <f ca="1">EFEITO!$L$667*EFEITO!$Z$667</f>
        <v>-7568.2573233020239</v>
      </c>
      <c r="L667" s="76">
        <f>EFEITO!$N$667*EFEITO!$AA$667</f>
        <v>-3417.0286700260517</v>
      </c>
      <c r="M667" s="76">
        <f>$J$667-EFEITO!$K$667*EFEITO!$Y$667</f>
        <v>0</v>
      </c>
      <c r="N667" s="76">
        <f ca="1">$K$667-EFEITO!$M$667*EFEITO!$Z$667</f>
        <v>0</v>
      </c>
      <c r="O667" s="76">
        <f>$L$667-EFEITO!$O$667*EFEITO!$AA$667</f>
        <v>0</v>
      </c>
      <c r="P667" s="57"/>
      <c r="Q667" s="57"/>
      <c r="R667" s="57"/>
      <c r="S667" s="57"/>
      <c r="T667" s="57"/>
      <c r="U667" s="57"/>
      <c r="V667" s="57"/>
      <c r="W667" s="57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3" t="s">
        <v>21</v>
      </c>
      <c r="B668" s="53" t="s">
        <v>22</v>
      </c>
      <c r="C668" s="53" t="s">
        <v>23</v>
      </c>
      <c r="D668" s="53" t="s">
        <v>24</v>
      </c>
      <c r="E668" s="53" t="s">
        <v>24</v>
      </c>
      <c r="F668" s="53" t="s">
        <v>25</v>
      </c>
      <c r="G668" s="53" t="s">
        <v>25</v>
      </c>
      <c r="H668" s="53" t="s">
        <v>25</v>
      </c>
      <c r="I668" s="75">
        <v>44743</v>
      </c>
      <c r="J668" s="76">
        <f>EFEITO!$J$668*EFEITO!$Y$668</f>
        <v>0</v>
      </c>
      <c r="K668" s="76">
        <f ca="1">EFEITO!$L$668*EFEITO!$Z$668</f>
        <v>19018779.074282739</v>
      </c>
      <c r="L668" s="76">
        <f>EFEITO!$N$668*EFEITO!$AA$668</f>
        <v>8586879.4610912595</v>
      </c>
      <c r="M668" s="76">
        <f>$J$668-EFEITO!$K$668*EFEITO!$Y$668</f>
        <v>0</v>
      </c>
      <c r="N668" s="76">
        <f ca="1">$K$668-EFEITO!$M$668*EFEITO!$Z$668</f>
        <v>0</v>
      </c>
      <c r="O668" s="76">
        <f>$L$668-EFEITO!$O$668*EFEITO!$AA$668</f>
        <v>0</v>
      </c>
      <c r="P668" s="57"/>
      <c r="Q668" s="57"/>
      <c r="R668" s="57"/>
      <c r="S668" s="57"/>
      <c r="T668" s="57"/>
      <c r="U668" s="57"/>
      <c r="V668" s="57"/>
      <c r="W668" s="57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3" t="s">
        <v>27</v>
      </c>
      <c r="B669" s="53" t="s">
        <v>22</v>
      </c>
      <c r="C669" s="53" t="s">
        <v>23</v>
      </c>
      <c r="D669" s="53" t="s">
        <v>24</v>
      </c>
      <c r="E669" s="53" t="s">
        <v>24</v>
      </c>
      <c r="F669" s="53" t="s">
        <v>25</v>
      </c>
      <c r="G669" s="53" t="s">
        <v>25</v>
      </c>
      <c r="H669" s="53" t="s">
        <v>25</v>
      </c>
      <c r="I669" s="75">
        <v>44743</v>
      </c>
      <c r="J669" s="76">
        <f>EFEITO!$J$669*EFEITO!$Y$669</f>
        <v>0</v>
      </c>
      <c r="K669" s="76">
        <f ca="1">EFEITO!$L$669*EFEITO!$Z$669</f>
        <v>-704358.54729826888</v>
      </c>
      <c r="L669" s="76">
        <f>EFEITO!$N$669*EFEITO!$AA$669</f>
        <v>-318014.20687503729</v>
      </c>
      <c r="M669" s="76">
        <f>$J$669-EFEITO!$K$669*EFEITO!$Y$669</f>
        <v>0</v>
      </c>
      <c r="N669" s="76">
        <f ca="1">$K$669-EFEITO!$M$669*EFEITO!$Z$669</f>
        <v>0</v>
      </c>
      <c r="O669" s="76">
        <f>$L$669-EFEITO!$O$669*EFEITO!$AA$669</f>
        <v>0</v>
      </c>
      <c r="P669" s="57"/>
      <c r="Q669" s="57"/>
      <c r="R669" s="57"/>
      <c r="S669" s="57"/>
      <c r="T669" s="57"/>
      <c r="U669" s="57"/>
      <c r="V669" s="57"/>
      <c r="W669" s="57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3" t="s">
        <v>28</v>
      </c>
      <c r="B670" s="53" t="s">
        <v>22</v>
      </c>
      <c r="C670" s="53" t="s">
        <v>23</v>
      </c>
      <c r="D670" s="53" t="s">
        <v>24</v>
      </c>
      <c r="E670" s="53" t="s">
        <v>24</v>
      </c>
      <c r="F670" s="53" t="s">
        <v>25</v>
      </c>
      <c r="G670" s="53" t="s">
        <v>25</v>
      </c>
      <c r="H670" s="53" t="s">
        <v>25</v>
      </c>
      <c r="I670" s="75">
        <v>44743</v>
      </c>
      <c r="J670" s="76">
        <f>EFEITO!$J$670*EFEITO!$Y$670</f>
        <v>0</v>
      </c>
      <c r="K670" s="76">
        <f ca="1">EFEITO!$L$670*EFEITO!$Z$670</f>
        <v>134052.42223435611</v>
      </c>
      <c r="L670" s="76">
        <f>EFEITO!$N$670*EFEITO!$AA$670</f>
        <v>60523.968794097636</v>
      </c>
      <c r="M670" s="76">
        <f>$J$670-EFEITO!$K$670*EFEITO!$Y$670</f>
        <v>0</v>
      </c>
      <c r="N670" s="76">
        <f ca="1">$K$670-EFEITO!$M$670*EFEITO!$Z$670</f>
        <v>0</v>
      </c>
      <c r="O670" s="76">
        <f>$L$670-EFEITO!$O$670*EFEITO!$AA$670</f>
        <v>0</v>
      </c>
      <c r="P670" s="57"/>
      <c r="Q670" s="57"/>
      <c r="R670" s="57"/>
      <c r="S670" s="57"/>
      <c r="T670" s="57"/>
      <c r="U670" s="57"/>
      <c r="V670" s="57"/>
      <c r="W670" s="57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3" t="s">
        <v>28</v>
      </c>
      <c r="B671" s="53" t="s">
        <v>22</v>
      </c>
      <c r="C671" s="53" t="s">
        <v>23</v>
      </c>
      <c r="D671" s="53" t="s">
        <v>24</v>
      </c>
      <c r="E671" s="53" t="s">
        <v>24</v>
      </c>
      <c r="F671" s="53" t="s">
        <v>25</v>
      </c>
      <c r="G671" s="53" t="s">
        <v>25</v>
      </c>
      <c r="H671" s="53" t="s">
        <v>25</v>
      </c>
      <c r="I671" s="75">
        <v>44743</v>
      </c>
      <c r="J671" s="76">
        <f>EFEITO!$J$671*EFEITO!$Y$671</f>
        <v>0</v>
      </c>
      <c r="K671" s="76">
        <f ca="1">EFEITO!$L$671*EFEITO!$Z$671</f>
        <v>-13834.368678286613</v>
      </c>
      <c r="L671" s="76">
        <f>EFEITO!$N$671*EFEITO!$AA$671</f>
        <v>-6246.1452334433643</v>
      </c>
      <c r="M671" s="76">
        <f>$J$671-EFEITO!$K$671*EFEITO!$Y$671</f>
        <v>0</v>
      </c>
      <c r="N671" s="76">
        <f ca="1">$K$671-EFEITO!$M$671*EFEITO!$Z$671</f>
        <v>0</v>
      </c>
      <c r="O671" s="76">
        <f>$L$671-EFEITO!$O$671*EFEITO!$AA$671</f>
        <v>0</v>
      </c>
      <c r="P671" s="57"/>
      <c r="Q671" s="57"/>
      <c r="R671" s="57"/>
      <c r="S671" s="57"/>
      <c r="T671" s="57"/>
      <c r="U671" s="57"/>
      <c r="V671" s="57"/>
      <c r="W671" s="57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3" t="s">
        <v>21</v>
      </c>
      <c r="B672" s="53" t="s">
        <v>22</v>
      </c>
      <c r="C672" s="53" t="s">
        <v>23</v>
      </c>
      <c r="D672" s="53" t="s">
        <v>24</v>
      </c>
      <c r="E672" s="53" t="s">
        <v>24</v>
      </c>
      <c r="F672" s="53" t="s">
        <v>25</v>
      </c>
      <c r="G672" s="53" t="s">
        <v>25</v>
      </c>
      <c r="H672" s="53" t="s">
        <v>25</v>
      </c>
      <c r="I672" s="75">
        <v>44774</v>
      </c>
      <c r="J672" s="76">
        <f>EFEITO!$J$672*EFEITO!$Y$672</f>
        <v>0</v>
      </c>
      <c r="K672" s="76">
        <f ca="1">EFEITO!$L$672*EFEITO!$Z$672</f>
        <v>20566272.412742112</v>
      </c>
      <c r="L672" s="76">
        <f>EFEITO!$N$672*EFEITO!$AA$672</f>
        <v>9285564.6244391315</v>
      </c>
      <c r="M672" s="76">
        <f>$J$672-EFEITO!$K$672*EFEITO!$Y$672</f>
        <v>0</v>
      </c>
      <c r="N672" s="76">
        <f ca="1">$K$672-EFEITO!$M$672*EFEITO!$Z$672</f>
        <v>0</v>
      </c>
      <c r="O672" s="76">
        <f>$L$672-EFEITO!$O$672*EFEITO!$AA$672</f>
        <v>0</v>
      </c>
      <c r="P672" s="57"/>
      <c r="Q672" s="57"/>
      <c r="R672" s="57"/>
      <c r="S672" s="57"/>
      <c r="T672" s="57"/>
      <c r="U672" s="57"/>
      <c r="V672" s="57"/>
      <c r="W672" s="57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3" t="s">
        <v>27</v>
      </c>
      <c r="B673" s="53" t="s">
        <v>22</v>
      </c>
      <c r="C673" s="53" t="s">
        <v>23</v>
      </c>
      <c r="D673" s="53" t="s">
        <v>24</v>
      </c>
      <c r="E673" s="53" t="s">
        <v>24</v>
      </c>
      <c r="F673" s="53" t="s">
        <v>25</v>
      </c>
      <c r="G673" s="53" t="s">
        <v>25</v>
      </c>
      <c r="H673" s="53" t="s">
        <v>25</v>
      </c>
      <c r="I673" s="75">
        <v>44774</v>
      </c>
      <c r="J673" s="76">
        <f>EFEITO!$J$673*EFEITO!$Y$673</f>
        <v>0</v>
      </c>
      <c r="K673" s="76">
        <f ca="1">EFEITO!$L$673*EFEITO!$Z$673</f>
        <v>-594034.11826436385</v>
      </c>
      <c r="L673" s="76">
        <f>EFEITO!$N$673*EFEITO!$AA$673</f>
        <v>-268203.30313469889</v>
      </c>
      <c r="M673" s="76">
        <f>$J$673-EFEITO!$K$673*EFEITO!$Y$673</f>
        <v>0</v>
      </c>
      <c r="N673" s="76">
        <f ca="1">$K$673-EFEITO!$M$673*EFEITO!$Z$673</f>
        <v>0</v>
      </c>
      <c r="O673" s="76">
        <f>$L$673-EFEITO!$O$673*EFEITO!$AA$673</f>
        <v>0</v>
      </c>
      <c r="P673" s="57"/>
      <c r="Q673" s="57"/>
      <c r="R673" s="57"/>
      <c r="S673" s="57"/>
      <c r="T673" s="57"/>
      <c r="U673" s="57"/>
      <c r="V673" s="57"/>
      <c r="W673" s="57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3" t="s">
        <v>28</v>
      </c>
      <c r="B674" s="53" t="s">
        <v>22</v>
      </c>
      <c r="C674" s="53" t="s">
        <v>23</v>
      </c>
      <c r="D674" s="53" t="s">
        <v>24</v>
      </c>
      <c r="E674" s="53" t="s">
        <v>24</v>
      </c>
      <c r="F674" s="53" t="s">
        <v>25</v>
      </c>
      <c r="G674" s="53" t="s">
        <v>25</v>
      </c>
      <c r="H674" s="53" t="s">
        <v>25</v>
      </c>
      <c r="I674" s="75">
        <v>44774</v>
      </c>
      <c r="J674" s="76">
        <f>EFEITO!$J$674*EFEITO!$Y$674</f>
        <v>0</v>
      </c>
      <c r="K674" s="76">
        <f ca="1">EFEITO!$L$674*EFEITO!$Z$674</f>
        <v>148076.7182741919</v>
      </c>
      <c r="L674" s="76">
        <f>EFEITO!$N$674*EFEITO!$AA$674</f>
        <v>66855.865239730585</v>
      </c>
      <c r="M674" s="76">
        <f>$J$674-EFEITO!$K$674*EFEITO!$Y$674</f>
        <v>0</v>
      </c>
      <c r="N674" s="76">
        <f ca="1">$K$674-EFEITO!$M$674*EFEITO!$Z$674</f>
        <v>0</v>
      </c>
      <c r="O674" s="76">
        <f>$L$674-EFEITO!$O$674*EFEITO!$AA$674</f>
        <v>0</v>
      </c>
      <c r="P674" s="57"/>
      <c r="Q674" s="57"/>
      <c r="R674" s="57"/>
      <c r="S674" s="57"/>
      <c r="T674" s="57"/>
      <c r="U674" s="57"/>
      <c r="V674" s="57"/>
      <c r="W674" s="57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3" t="s">
        <v>28</v>
      </c>
      <c r="B675" s="53" t="s">
        <v>22</v>
      </c>
      <c r="C675" s="53" t="s">
        <v>23</v>
      </c>
      <c r="D675" s="53" t="s">
        <v>24</v>
      </c>
      <c r="E675" s="53" t="s">
        <v>24</v>
      </c>
      <c r="F675" s="53" t="s">
        <v>25</v>
      </c>
      <c r="G675" s="53" t="s">
        <v>25</v>
      </c>
      <c r="H675" s="53" t="s">
        <v>25</v>
      </c>
      <c r="I675" s="75">
        <v>44774</v>
      </c>
      <c r="J675" s="76">
        <f>EFEITO!$J$675*EFEITO!$Y$675</f>
        <v>0</v>
      </c>
      <c r="K675" s="76">
        <f ca="1">EFEITO!$L$675*EFEITO!$Z$675</f>
        <v>-2329.344735229929</v>
      </c>
      <c r="L675" s="76">
        <f>EFEITO!$N$675*EFEITO!$AA$675</f>
        <v>-1051.6869871943275</v>
      </c>
      <c r="M675" s="76">
        <f>$J$675-EFEITO!$K$675*EFEITO!$Y$675</f>
        <v>0</v>
      </c>
      <c r="N675" s="76">
        <f ca="1">$K$675-EFEITO!$M$675*EFEITO!$Z$675</f>
        <v>0</v>
      </c>
      <c r="O675" s="76">
        <f>$L$675-EFEITO!$O$675*EFEITO!$AA$675</f>
        <v>0</v>
      </c>
      <c r="P675" s="57"/>
      <c r="Q675" s="57"/>
      <c r="R675" s="57"/>
      <c r="S675" s="57"/>
      <c r="T675" s="57"/>
      <c r="U675" s="57"/>
      <c r="V675" s="57"/>
      <c r="W675" s="57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3" t="s">
        <v>21</v>
      </c>
      <c r="B676" s="53" t="s">
        <v>22</v>
      </c>
      <c r="C676" s="53" t="s">
        <v>23</v>
      </c>
      <c r="D676" s="53" t="s">
        <v>24</v>
      </c>
      <c r="E676" s="53" t="s">
        <v>24</v>
      </c>
      <c r="F676" s="53" t="s">
        <v>25</v>
      </c>
      <c r="G676" s="53" t="s">
        <v>25</v>
      </c>
      <c r="H676" s="53" t="s">
        <v>25</v>
      </c>
      <c r="I676" s="75">
        <v>44805</v>
      </c>
      <c r="J676" s="76">
        <f>EFEITO!$J$676*EFEITO!$Y$676</f>
        <v>0</v>
      </c>
      <c r="K676" s="76">
        <f ca="1">EFEITO!$L$676*EFEITO!$Z$676</f>
        <v>21902806.17172496</v>
      </c>
      <c r="L676" s="76">
        <f>EFEITO!$N$676*EFEITO!$AA$676</f>
        <v>9889002.639005674</v>
      </c>
      <c r="M676" s="76">
        <f>$J$676-EFEITO!$K$676*EFEITO!$Y$676</f>
        <v>0</v>
      </c>
      <c r="N676" s="76">
        <f ca="1">$K$676-EFEITO!$M$676*EFEITO!$Z$676</f>
        <v>0</v>
      </c>
      <c r="O676" s="76">
        <f>$L$676-EFEITO!$O$676*EFEITO!$AA$676</f>
        <v>0</v>
      </c>
      <c r="P676" s="57"/>
      <c r="Q676" s="57"/>
      <c r="R676" s="57"/>
      <c r="S676" s="57"/>
      <c r="T676" s="57"/>
      <c r="U676" s="57"/>
      <c r="V676" s="57"/>
      <c r="W676" s="57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3" t="s">
        <v>27</v>
      </c>
      <c r="B677" s="53" t="s">
        <v>22</v>
      </c>
      <c r="C677" s="53" t="s">
        <v>23</v>
      </c>
      <c r="D677" s="53" t="s">
        <v>24</v>
      </c>
      <c r="E677" s="53" t="s">
        <v>24</v>
      </c>
      <c r="F677" s="53" t="s">
        <v>25</v>
      </c>
      <c r="G677" s="53" t="s">
        <v>25</v>
      </c>
      <c r="H677" s="53" t="s">
        <v>25</v>
      </c>
      <c r="I677" s="75">
        <v>44805</v>
      </c>
      <c r="J677" s="76">
        <f>EFEITO!$J$677*EFEITO!$Y$677</f>
        <v>0</v>
      </c>
      <c r="K677" s="76">
        <f ca="1">EFEITO!$L$677*EFEITO!$Z$677</f>
        <v>-735703.02545047808</v>
      </c>
      <c r="L677" s="76">
        <f>EFEITO!$N$677*EFEITO!$AA$677</f>
        <v>-332166.07512128953</v>
      </c>
      <c r="M677" s="76">
        <f>$J$677-EFEITO!$K$677*EFEITO!$Y$677</f>
        <v>0</v>
      </c>
      <c r="N677" s="76">
        <f ca="1">$K$677-EFEITO!$M$677*EFEITO!$Z$677</f>
        <v>0</v>
      </c>
      <c r="O677" s="76">
        <f>$L$677-EFEITO!$O$677*EFEITO!$AA$677</f>
        <v>0</v>
      </c>
      <c r="P677" s="57"/>
      <c r="Q677" s="57"/>
      <c r="R677" s="57"/>
      <c r="S677" s="57"/>
      <c r="T677" s="57"/>
      <c r="U677" s="57"/>
      <c r="V677" s="57"/>
      <c r="W677" s="5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3" t="s">
        <v>28</v>
      </c>
      <c r="B678" s="53" t="s">
        <v>22</v>
      </c>
      <c r="C678" s="53" t="s">
        <v>23</v>
      </c>
      <c r="D678" s="53" t="s">
        <v>24</v>
      </c>
      <c r="E678" s="53" t="s">
        <v>24</v>
      </c>
      <c r="F678" s="53" t="s">
        <v>25</v>
      </c>
      <c r="G678" s="53" t="s">
        <v>25</v>
      </c>
      <c r="H678" s="53" t="s">
        <v>25</v>
      </c>
      <c r="I678" s="75">
        <v>44805</v>
      </c>
      <c r="J678" s="76">
        <f>EFEITO!$J$678*EFEITO!$Y$678</f>
        <v>0</v>
      </c>
      <c r="K678" s="76">
        <f ca="1">EFEITO!$L$678*EFEITO!$Z$678</f>
        <v>159649.85752754236</v>
      </c>
      <c r="L678" s="76">
        <f>EFEITO!$N$678*EFEITO!$AA$678</f>
        <v>72081.077192969082</v>
      </c>
      <c r="M678" s="76">
        <f>$J$678-EFEITO!$K$678*EFEITO!$Y$678</f>
        <v>0</v>
      </c>
      <c r="N678" s="76">
        <f ca="1">$K$678-EFEITO!$M$678*EFEITO!$Z$678</f>
        <v>0</v>
      </c>
      <c r="O678" s="76">
        <f>$L$678-EFEITO!$O$678*EFEITO!$AA$678</f>
        <v>0</v>
      </c>
      <c r="P678" s="57"/>
      <c r="Q678" s="57"/>
      <c r="R678" s="57"/>
      <c r="S678" s="57"/>
      <c r="T678" s="57"/>
      <c r="U678" s="57"/>
      <c r="V678" s="57"/>
      <c r="W678" s="57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3" t="s">
        <v>28</v>
      </c>
      <c r="B679" s="53" t="s">
        <v>22</v>
      </c>
      <c r="C679" s="53" t="s">
        <v>23</v>
      </c>
      <c r="D679" s="53" t="s">
        <v>24</v>
      </c>
      <c r="E679" s="53" t="s">
        <v>24</v>
      </c>
      <c r="F679" s="53" t="s">
        <v>25</v>
      </c>
      <c r="G679" s="53" t="s">
        <v>25</v>
      </c>
      <c r="H679" s="53" t="s">
        <v>25</v>
      </c>
      <c r="I679" s="75">
        <v>44805</v>
      </c>
      <c r="J679" s="76">
        <f>EFEITO!$J$679*EFEITO!$Y$679</f>
        <v>0</v>
      </c>
      <c r="K679" s="76">
        <f ca="1">EFEITO!$L$679*EFEITO!$Z$679</f>
        <v>-2324.8700068164676</v>
      </c>
      <c r="L679" s="76">
        <f>EFEITO!$N$679*EFEITO!$AA$679</f>
        <v>-1049.6666706767717</v>
      </c>
      <c r="M679" s="76">
        <f>$J$679-EFEITO!$K$679*EFEITO!$Y$679</f>
        <v>0</v>
      </c>
      <c r="N679" s="76">
        <f ca="1">$K$679-EFEITO!$M$679*EFEITO!$Z$679</f>
        <v>0</v>
      </c>
      <c r="O679" s="76">
        <f>$L$679-EFEITO!$O$679*EFEITO!$AA$679</f>
        <v>0</v>
      </c>
      <c r="P679" s="57"/>
      <c r="Q679" s="57"/>
      <c r="R679" s="57"/>
      <c r="S679" s="57"/>
      <c r="T679" s="57"/>
      <c r="U679" s="57"/>
      <c r="V679" s="57"/>
      <c r="W679" s="57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3" t="s">
        <v>21</v>
      </c>
      <c r="B680" s="53" t="s">
        <v>22</v>
      </c>
      <c r="C680" s="53" t="s">
        <v>23</v>
      </c>
      <c r="D680" s="53" t="s">
        <v>24</v>
      </c>
      <c r="E680" s="53" t="s">
        <v>24</v>
      </c>
      <c r="F680" s="53" t="s">
        <v>25</v>
      </c>
      <c r="G680" s="53" t="s">
        <v>25</v>
      </c>
      <c r="H680" s="53" t="s">
        <v>25</v>
      </c>
      <c r="I680" s="75">
        <v>44835</v>
      </c>
      <c r="J680" s="76">
        <f>EFEITO!$J$680*EFEITO!$Y$680</f>
        <v>0</v>
      </c>
      <c r="K680" s="76">
        <f ca="1">EFEITO!$L$680*EFEITO!$Z$680</f>
        <v>23236649.127355177</v>
      </c>
      <c r="L680" s="76">
        <f>EFEITO!$N$680*EFEITO!$AA$680</f>
        <v>10491225.769906327</v>
      </c>
      <c r="M680" s="76">
        <f>$J$680-EFEITO!$K$680*EFEITO!$Y$680</f>
        <v>0</v>
      </c>
      <c r="N680" s="76">
        <f ca="1">$K$680-EFEITO!$M$680*EFEITO!$Z$680</f>
        <v>0</v>
      </c>
      <c r="O680" s="76">
        <f>$L$680-EFEITO!$O$680*EFEITO!$AA$680</f>
        <v>0</v>
      </c>
      <c r="P680" s="57"/>
      <c r="Q680" s="57"/>
      <c r="R680" s="57"/>
      <c r="S680" s="57"/>
      <c r="T680" s="57"/>
      <c r="U680" s="57"/>
      <c r="V680" s="57"/>
      <c r="W680" s="57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3" t="s">
        <v>27</v>
      </c>
      <c r="B681" s="53" t="s">
        <v>22</v>
      </c>
      <c r="C681" s="53" t="s">
        <v>23</v>
      </c>
      <c r="D681" s="53" t="s">
        <v>24</v>
      </c>
      <c r="E681" s="53" t="s">
        <v>24</v>
      </c>
      <c r="F681" s="53" t="s">
        <v>25</v>
      </c>
      <c r="G681" s="53" t="s">
        <v>25</v>
      </c>
      <c r="H681" s="53" t="s">
        <v>25</v>
      </c>
      <c r="I681" s="75">
        <v>44835</v>
      </c>
      <c r="J681" s="76">
        <f>EFEITO!$J$681*EFEITO!$Y$681</f>
        <v>0</v>
      </c>
      <c r="K681" s="76">
        <f ca="1">EFEITO!$L$681*EFEITO!$Z$681</f>
        <v>-1464821.239444524</v>
      </c>
      <c r="L681" s="76">
        <f>EFEITO!$N$681*EFEITO!$AA$681</f>
        <v>-661359.14224718919</v>
      </c>
      <c r="M681" s="76">
        <f>$J$681-EFEITO!$K$681*EFEITO!$Y$681</f>
        <v>0</v>
      </c>
      <c r="N681" s="76">
        <f ca="1">$K$681-EFEITO!$M$681*EFEITO!$Z$681</f>
        <v>0</v>
      </c>
      <c r="O681" s="76">
        <f>$L$681-EFEITO!$O$681*EFEITO!$AA$681</f>
        <v>0</v>
      </c>
      <c r="P681" s="57"/>
      <c r="Q681" s="57"/>
      <c r="R681" s="57"/>
      <c r="S681" s="57"/>
      <c r="T681" s="57"/>
      <c r="U681" s="57"/>
      <c r="V681" s="57"/>
      <c r="W681" s="57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3" t="s">
        <v>28</v>
      </c>
      <c r="B682" s="53" t="s">
        <v>22</v>
      </c>
      <c r="C682" s="53" t="s">
        <v>23</v>
      </c>
      <c r="D682" s="53" t="s">
        <v>24</v>
      </c>
      <c r="E682" s="53" t="s">
        <v>24</v>
      </c>
      <c r="F682" s="53" t="s">
        <v>25</v>
      </c>
      <c r="G682" s="53" t="s">
        <v>25</v>
      </c>
      <c r="H682" s="53" t="s">
        <v>25</v>
      </c>
      <c r="I682" s="75">
        <v>44835</v>
      </c>
      <c r="J682" s="76">
        <f>EFEITO!$J$682*EFEITO!$Y$682</f>
        <v>0</v>
      </c>
      <c r="K682" s="76">
        <f ca="1">EFEITO!$L$682*EFEITO!$Z$682</f>
        <v>173440.9704978322</v>
      </c>
      <c r="L682" s="76">
        <f>EFEITO!$N$682*EFEITO!$AA$682</f>
        <v>78307.692700076077</v>
      </c>
      <c r="M682" s="76">
        <f>$J$682-EFEITO!$K$682*EFEITO!$Y$682</f>
        <v>0</v>
      </c>
      <c r="N682" s="76">
        <f ca="1">$K$682-EFEITO!$M$682*EFEITO!$Z$682</f>
        <v>0</v>
      </c>
      <c r="O682" s="76">
        <f>$L$682-EFEITO!$O$682*EFEITO!$AA$682</f>
        <v>0</v>
      </c>
      <c r="P682" s="57"/>
      <c r="Q682" s="57"/>
      <c r="R682" s="57"/>
      <c r="S682" s="57"/>
      <c r="T682" s="57"/>
      <c r="U682" s="57"/>
      <c r="V682" s="57"/>
      <c r="W682" s="57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3" t="s">
        <v>28</v>
      </c>
      <c r="B683" s="53" t="s">
        <v>22</v>
      </c>
      <c r="C683" s="53" t="s">
        <v>23</v>
      </c>
      <c r="D683" s="53" t="s">
        <v>24</v>
      </c>
      <c r="E683" s="53" t="s">
        <v>24</v>
      </c>
      <c r="F683" s="53" t="s">
        <v>25</v>
      </c>
      <c r="G683" s="53" t="s">
        <v>25</v>
      </c>
      <c r="H683" s="53" t="s">
        <v>25</v>
      </c>
      <c r="I683" s="75">
        <v>44835</v>
      </c>
      <c r="J683" s="76">
        <f>EFEITO!$J$683*EFEITO!$Y$683</f>
        <v>0</v>
      </c>
      <c r="K683" s="76">
        <f ca="1">EFEITO!$L$683*EFEITO!$Z$683</f>
        <v>-285.88542641562634</v>
      </c>
      <c r="L683" s="76">
        <f>EFEITO!$N$683*EFEITO!$AA$683</f>
        <v>-129.07577751050977</v>
      </c>
      <c r="M683" s="76">
        <f>$J$683-EFEITO!$K$683*EFEITO!$Y$683</f>
        <v>0</v>
      </c>
      <c r="N683" s="76">
        <f ca="1">$K$683-EFEITO!$M$683*EFEITO!$Z$683</f>
        <v>0</v>
      </c>
      <c r="O683" s="76">
        <f>$L$683-EFEITO!$O$683*EFEITO!$AA$683</f>
        <v>0</v>
      </c>
      <c r="P683" s="57"/>
      <c r="Q683" s="57"/>
      <c r="R683" s="57"/>
      <c r="S683" s="57"/>
      <c r="T683" s="57"/>
      <c r="U683" s="57"/>
      <c r="V683" s="57"/>
      <c r="W683" s="57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3" t="s">
        <v>54</v>
      </c>
      <c r="B684" s="53" t="s">
        <v>22</v>
      </c>
      <c r="C684" s="53" t="s">
        <v>23</v>
      </c>
      <c r="D684" s="53" t="s">
        <v>24</v>
      </c>
      <c r="E684" s="53" t="s">
        <v>24</v>
      </c>
      <c r="F684" s="53" t="s">
        <v>25</v>
      </c>
      <c r="G684" s="53" t="s">
        <v>25</v>
      </c>
      <c r="H684" s="53" t="s">
        <v>25</v>
      </c>
      <c r="I684" s="75">
        <v>44866</v>
      </c>
      <c r="J684" s="76">
        <f>EFEITO!$J$684*EFEITO!$Y$684</f>
        <v>0</v>
      </c>
      <c r="K684" s="76">
        <f ca="1">EFEITO!$L$684*EFEITO!$Z$684</f>
        <v>23236649.127355177</v>
      </c>
      <c r="L684" s="76">
        <f>EFEITO!$N$684*EFEITO!$AA$684</f>
        <v>10491225.769906327</v>
      </c>
      <c r="M684" s="76">
        <f>$J$684-EFEITO!$K$684*EFEITO!$Y$684</f>
        <v>0</v>
      </c>
      <c r="N684" s="76">
        <f ca="1">$K$684-EFEITO!$M$684*EFEITO!$Z$684</f>
        <v>0</v>
      </c>
      <c r="O684" s="76">
        <f>$L$684-EFEITO!$O$684*EFEITO!$AA$684</f>
        <v>0</v>
      </c>
      <c r="P684" s="57"/>
      <c r="Q684" s="57"/>
      <c r="R684" s="57"/>
      <c r="S684" s="57"/>
      <c r="T684" s="57"/>
      <c r="U684" s="57"/>
      <c r="V684" s="57"/>
      <c r="W684" s="57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3" t="s">
        <v>54</v>
      </c>
      <c r="B685" s="53" t="s">
        <v>22</v>
      </c>
      <c r="C685" s="53" t="s">
        <v>23</v>
      </c>
      <c r="D685" s="53" t="s">
        <v>24</v>
      </c>
      <c r="E685" s="53" t="s">
        <v>24</v>
      </c>
      <c r="F685" s="53" t="s">
        <v>25</v>
      </c>
      <c r="G685" s="53" t="s">
        <v>25</v>
      </c>
      <c r="H685" s="53" t="s">
        <v>25</v>
      </c>
      <c r="I685" s="75">
        <v>44866</v>
      </c>
      <c r="J685" s="76">
        <f>EFEITO!$J$685*EFEITO!$Y$685</f>
        <v>0</v>
      </c>
      <c r="K685" s="76">
        <f ca="1">EFEITO!$L$685*EFEITO!$Z$685</f>
        <v>-1464821.239444524</v>
      </c>
      <c r="L685" s="76">
        <f>EFEITO!$N$685*EFEITO!$AA$685</f>
        <v>-661359.14224718919</v>
      </c>
      <c r="M685" s="76">
        <f>$J$685-EFEITO!$K$685*EFEITO!$Y$685</f>
        <v>0</v>
      </c>
      <c r="N685" s="76">
        <f ca="1">$K$685-EFEITO!$M$685*EFEITO!$Z$685</f>
        <v>0</v>
      </c>
      <c r="O685" s="76">
        <f>$L$685-EFEITO!$O$685*EFEITO!$AA$685</f>
        <v>0</v>
      </c>
      <c r="P685" s="57"/>
      <c r="Q685" s="57"/>
      <c r="R685" s="57"/>
      <c r="S685" s="57"/>
      <c r="T685" s="57"/>
      <c r="U685" s="57"/>
      <c r="V685" s="57"/>
      <c r="W685" s="57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3" t="s">
        <v>54</v>
      </c>
      <c r="B686" s="53" t="s">
        <v>22</v>
      </c>
      <c r="C686" s="53" t="s">
        <v>23</v>
      </c>
      <c r="D686" s="53" t="s">
        <v>24</v>
      </c>
      <c r="E686" s="53" t="s">
        <v>24</v>
      </c>
      <c r="F686" s="53" t="s">
        <v>25</v>
      </c>
      <c r="G686" s="53" t="s">
        <v>25</v>
      </c>
      <c r="H686" s="53" t="s">
        <v>25</v>
      </c>
      <c r="I686" s="75">
        <v>44866</v>
      </c>
      <c r="J686" s="76">
        <f>EFEITO!$J$686*EFEITO!$Y$686</f>
        <v>0</v>
      </c>
      <c r="K686" s="76">
        <f ca="1">EFEITO!$L$686*EFEITO!$Z$686</f>
        <v>173440.9704978322</v>
      </c>
      <c r="L686" s="76">
        <f>EFEITO!$N$686*EFEITO!$AA$686</f>
        <v>78307.692700076077</v>
      </c>
      <c r="M686" s="76">
        <f>$J$686-EFEITO!$K$686*EFEITO!$Y$686</f>
        <v>0</v>
      </c>
      <c r="N686" s="76">
        <f ca="1">$K$686-EFEITO!$M$686*EFEITO!$Z$686</f>
        <v>0</v>
      </c>
      <c r="O686" s="76">
        <f>$L$686-EFEITO!$O$686*EFEITO!$AA$686</f>
        <v>0</v>
      </c>
      <c r="P686" s="57"/>
      <c r="Q686" s="57"/>
      <c r="R686" s="57"/>
      <c r="S686" s="57"/>
      <c r="T686" s="57"/>
      <c r="U686" s="57"/>
      <c r="V686" s="57"/>
      <c r="W686" s="57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3" t="s">
        <v>54</v>
      </c>
      <c r="B687" s="53" t="s">
        <v>22</v>
      </c>
      <c r="C687" s="53" t="s">
        <v>23</v>
      </c>
      <c r="D687" s="53" t="s">
        <v>24</v>
      </c>
      <c r="E687" s="53" t="s">
        <v>24</v>
      </c>
      <c r="F687" s="53" t="s">
        <v>25</v>
      </c>
      <c r="G687" s="53" t="s">
        <v>25</v>
      </c>
      <c r="H687" s="53" t="s">
        <v>25</v>
      </c>
      <c r="I687" s="75">
        <v>44866</v>
      </c>
      <c r="J687" s="76">
        <f>EFEITO!$J$687*EFEITO!$Y$687</f>
        <v>0</v>
      </c>
      <c r="K687" s="76">
        <f ca="1">EFEITO!$L$687*EFEITO!$Z$687</f>
        <v>-285.88542641562634</v>
      </c>
      <c r="L687" s="76">
        <f>EFEITO!$N$687*EFEITO!$AA$687</f>
        <v>-129.07577751050977</v>
      </c>
      <c r="M687" s="76">
        <f>$J$687-EFEITO!$K$687*EFEITO!$Y$687</f>
        <v>0</v>
      </c>
      <c r="N687" s="76">
        <f ca="1">$K$687-EFEITO!$M$687*EFEITO!$Z$687</f>
        <v>0</v>
      </c>
      <c r="O687" s="76">
        <f>$L$687-EFEITO!$O$687*EFEITO!$AA$687</f>
        <v>0</v>
      </c>
      <c r="P687" s="57"/>
      <c r="Q687" s="57"/>
      <c r="R687" s="57"/>
      <c r="S687" s="57"/>
      <c r="T687" s="57"/>
      <c r="U687" s="57"/>
      <c r="V687" s="57"/>
      <c r="W687" s="57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3" t="s">
        <v>21</v>
      </c>
      <c r="B688" s="53" t="s">
        <v>22</v>
      </c>
      <c r="C688" s="53" t="s">
        <v>23</v>
      </c>
      <c r="D688" s="53" t="s">
        <v>24</v>
      </c>
      <c r="E688" s="53" t="s">
        <v>29</v>
      </c>
      <c r="F688" s="53" t="s">
        <v>25</v>
      </c>
      <c r="G688" s="53" t="s">
        <v>25</v>
      </c>
      <c r="H688" s="53" t="s">
        <v>25</v>
      </c>
      <c r="I688" s="75">
        <v>44531</v>
      </c>
      <c r="J688" s="76">
        <f>EFEITO!$J$688*EFEITO!$Y$640</f>
        <v>0</v>
      </c>
      <c r="K688" s="76">
        <f ca="1">EFEITO!$L$688*EFEITO!$Z$760</f>
        <v>351292.01861485769</v>
      </c>
      <c r="L688" s="76">
        <f>EFEITO!$N$688*EFEITO!$AA$760</f>
        <v>198422.01957754747</v>
      </c>
      <c r="M688" s="76">
        <f>$J$688-EFEITO!$K$688*EFEITO!$Y$688</f>
        <v>0</v>
      </c>
      <c r="N688" s="76">
        <f ca="1">$K$688-EFEITO!$M$688*EFEITO!$Z$688</f>
        <v>228339.81209965749</v>
      </c>
      <c r="O688" s="76">
        <f>$L$688-EFEITO!$O$688*EFEITO!$AA$688</f>
        <v>128974.31272540585</v>
      </c>
      <c r="P688" s="57"/>
      <c r="Q688" s="57"/>
      <c r="R688" s="57"/>
      <c r="S688" s="57"/>
      <c r="T688" s="57"/>
      <c r="U688" s="57"/>
      <c r="V688" s="57"/>
      <c r="W688" s="57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3" t="s">
        <v>27</v>
      </c>
      <c r="B689" s="53" t="s">
        <v>22</v>
      </c>
      <c r="C689" s="53" t="s">
        <v>23</v>
      </c>
      <c r="D689" s="53" t="s">
        <v>24</v>
      </c>
      <c r="E689" s="53" t="s">
        <v>29</v>
      </c>
      <c r="F689" s="53" t="s">
        <v>25</v>
      </c>
      <c r="G689" s="53" t="s">
        <v>25</v>
      </c>
      <c r="H689" s="53" t="s">
        <v>25</v>
      </c>
      <c r="I689" s="75">
        <v>44531</v>
      </c>
      <c r="J689" s="76">
        <f>EFEITO!$J$689*EFEITO!$Y$640</f>
        <v>0</v>
      </c>
      <c r="K689" s="76">
        <f ca="1">EFEITO!$L$689*EFEITO!$Z$760</f>
        <v>-500.75566052891747</v>
      </c>
      <c r="L689" s="76">
        <f>EFEITO!$N$689*EFEITO!$AA$760</f>
        <v>-282.84431245781275</v>
      </c>
      <c r="M689" s="76">
        <f>$J$689-EFEITO!$K$689*EFEITO!$Y$689</f>
        <v>0</v>
      </c>
      <c r="N689" s="76">
        <f ca="1">$K$689-EFEITO!$M$689*EFEITO!$Z$689</f>
        <v>-325.49117934379638</v>
      </c>
      <c r="O689" s="76">
        <f>$L$689-EFEITO!$O$689*EFEITO!$AA$689</f>
        <v>-183.8488030975783</v>
      </c>
      <c r="P689" s="57"/>
      <c r="Q689" s="57"/>
      <c r="R689" s="57"/>
      <c r="S689" s="57"/>
      <c r="T689" s="57"/>
      <c r="U689" s="57"/>
      <c r="V689" s="57"/>
      <c r="W689" s="57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3" t="s">
        <v>21</v>
      </c>
      <c r="B690" s="53" t="s">
        <v>22</v>
      </c>
      <c r="C690" s="53" t="s">
        <v>23</v>
      </c>
      <c r="D690" s="53" t="s">
        <v>24</v>
      </c>
      <c r="E690" s="53" t="s">
        <v>29</v>
      </c>
      <c r="F690" s="53" t="s">
        <v>25</v>
      </c>
      <c r="G690" s="53" t="s">
        <v>25</v>
      </c>
      <c r="H690" s="53" t="s">
        <v>25</v>
      </c>
      <c r="I690" s="75">
        <v>44562</v>
      </c>
      <c r="J690" s="76">
        <f>EFEITO!$J$690*EFEITO!$Y$640</f>
        <v>0</v>
      </c>
      <c r="K690" s="76">
        <f ca="1">EFEITO!$L$690*EFEITO!$Z$760</f>
        <v>399509.22477200883</v>
      </c>
      <c r="L690" s="76">
        <f>EFEITO!$N$690*EFEITO!$AA$760</f>
        <v>225656.78415265199</v>
      </c>
      <c r="M690" s="76">
        <f>$J$690-EFEITO!$K$690*EFEITO!$Y$690</f>
        <v>0</v>
      </c>
      <c r="N690" s="76">
        <f ca="1">$K$690-EFEITO!$M$690*EFEITO!$Z$690</f>
        <v>259680.99610180574</v>
      </c>
      <c r="O690" s="76">
        <f>$L$690-EFEITO!$O$690*EFEITO!$AA$690</f>
        <v>146676.90969922379</v>
      </c>
      <c r="P690" s="57"/>
      <c r="Q690" s="57"/>
      <c r="R690" s="57"/>
      <c r="S690" s="57"/>
      <c r="T690" s="57"/>
      <c r="U690" s="57"/>
      <c r="V690" s="57"/>
      <c r="W690" s="57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3" t="s">
        <v>27</v>
      </c>
      <c r="B691" s="53" t="s">
        <v>22</v>
      </c>
      <c r="C691" s="53" t="s">
        <v>23</v>
      </c>
      <c r="D691" s="53" t="s">
        <v>24</v>
      </c>
      <c r="E691" s="53" t="s">
        <v>29</v>
      </c>
      <c r="F691" s="53" t="s">
        <v>25</v>
      </c>
      <c r="G691" s="53" t="s">
        <v>25</v>
      </c>
      <c r="H691" s="53" t="s">
        <v>25</v>
      </c>
      <c r="I691" s="75">
        <v>44562</v>
      </c>
      <c r="J691" s="76">
        <f>EFEITO!$J$691*EFEITO!$Y$640</f>
        <v>0</v>
      </c>
      <c r="K691" s="76">
        <f ca="1">EFEITO!$L$691*EFEITO!$Z$760</f>
        <v>-1144.5843669232399</v>
      </c>
      <c r="L691" s="76">
        <f>EFEITO!$N$691*EFEITO!$AA$760</f>
        <v>-646.50128561785766</v>
      </c>
      <c r="M691" s="76">
        <f>$J$691-EFEITO!$K$691*EFEITO!$Y$691</f>
        <v>0</v>
      </c>
      <c r="N691" s="76">
        <f ca="1">$K$691-EFEITO!$M$691*EFEITO!$Z$691</f>
        <v>-743.97983850010598</v>
      </c>
      <c r="O691" s="76">
        <f>$L$691-EFEITO!$O$691*EFEITO!$AA$691</f>
        <v>-420.22583565160744</v>
      </c>
      <c r="P691" s="57"/>
      <c r="Q691" s="57"/>
      <c r="R691" s="57"/>
      <c r="S691" s="57"/>
      <c r="T691" s="57"/>
      <c r="U691" s="57"/>
      <c r="V691" s="57"/>
      <c r="W691" s="57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3" t="s">
        <v>21</v>
      </c>
      <c r="B692" s="53" t="s">
        <v>22</v>
      </c>
      <c r="C692" s="53" t="s">
        <v>23</v>
      </c>
      <c r="D692" s="53" t="s">
        <v>24</v>
      </c>
      <c r="E692" s="53" t="s">
        <v>29</v>
      </c>
      <c r="F692" s="53" t="s">
        <v>25</v>
      </c>
      <c r="G692" s="53" t="s">
        <v>25</v>
      </c>
      <c r="H692" s="53" t="s">
        <v>25</v>
      </c>
      <c r="I692" s="75">
        <v>44593</v>
      </c>
      <c r="J692" s="76">
        <f>EFEITO!$J$692*EFEITO!$Y$640</f>
        <v>0</v>
      </c>
      <c r="K692" s="76">
        <f ca="1">EFEITO!$L$692*EFEITO!$Z$760</f>
        <v>392065.05471060635</v>
      </c>
      <c r="L692" s="76">
        <f>EFEITO!$N$692*EFEITO!$AA$760</f>
        <v>221452.05652039225</v>
      </c>
      <c r="M692" s="76">
        <f>$J$692-EFEITO!$K$692*EFEITO!$Y$692</f>
        <v>0</v>
      </c>
      <c r="N692" s="76">
        <f ca="1">$K$692-EFEITO!$M$692*EFEITO!$Z$692</f>
        <v>254842.28556189412</v>
      </c>
      <c r="O692" s="76">
        <f>$L$692-EFEITO!$O$692*EFEITO!$AA$692</f>
        <v>143943.83673825496</v>
      </c>
      <c r="P692" s="57"/>
      <c r="Q692" s="57"/>
      <c r="R692" s="57"/>
      <c r="S692" s="57"/>
      <c r="T692" s="57"/>
      <c r="U692" s="57"/>
      <c r="V692" s="57"/>
      <c r="W692" s="57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3" t="s">
        <v>27</v>
      </c>
      <c r="B693" s="53" t="s">
        <v>22</v>
      </c>
      <c r="C693" s="53" t="s">
        <v>23</v>
      </c>
      <c r="D693" s="53" t="s">
        <v>24</v>
      </c>
      <c r="E693" s="53" t="s">
        <v>29</v>
      </c>
      <c r="F693" s="53" t="s">
        <v>25</v>
      </c>
      <c r="G693" s="53" t="s">
        <v>25</v>
      </c>
      <c r="H693" s="53" t="s">
        <v>25</v>
      </c>
      <c r="I693" s="75">
        <v>44593</v>
      </c>
      <c r="J693" s="76">
        <f>EFEITO!$J$693*EFEITO!$Y$640</f>
        <v>0</v>
      </c>
      <c r="K693" s="76">
        <f ca="1">EFEITO!$L$693*EFEITO!$Z$760</f>
        <v>-2134.172934158958</v>
      </c>
      <c r="L693" s="76">
        <f>EFEITO!$N$693*EFEITO!$AA$760</f>
        <v>-1205.4555221416306</v>
      </c>
      <c r="M693" s="76">
        <f>$J$693-EFEITO!$K$693*EFEITO!$Y$693</f>
        <v>0</v>
      </c>
      <c r="N693" s="76">
        <f ca="1">$K$693-EFEITO!$M$693*EFEITO!$Z$693</f>
        <v>-1387.2124072033228</v>
      </c>
      <c r="O693" s="76">
        <f>$L$693-EFEITO!$O$693*EFEITO!$AA$693</f>
        <v>-783.54608939205991</v>
      </c>
      <c r="P693" s="57"/>
      <c r="Q693" s="57"/>
      <c r="R693" s="57"/>
      <c r="S693" s="57"/>
      <c r="T693" s="57"/>
      <c r="U693" s="57"/>
      <c r="V693" s="57"/>
      <c r="W693" s="57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3" t="s">
        <v>21</v>
      </c>
      <c r="B694" s="53" t="s">
        <v>22</v>
      </c>
      <c r="C694" s="53" t="s">
        <v>23</v>
      </c>
      <c r="D694" s="53" t="s">
        <v>24</v>
      </c>
      <c r="E694" s="53" t="s">
        <v>29</v>
      </c>
      <c r="F694" s="53" t="s">
        <v>25</v>
      </c>
      <c r="G694" s="53" t="s">
        <v>25</v>
      </c>
      <c r="H694" s="53" t="s">
        <v>25</v>
      </c>
      <c r="I694" s="75">
        <v>44621</v>
      </c>
      <c r="J694" s="76">
        <f>EFEITO!$J$694*EFEITO!$Y$640</f>
        <v>0</v>
      </c>
      <c r="K694" s="76">
        <f ca="1">EFEITO!$L$694*EFEITO!$Z$760</f>
        <v>388533.53502849524</v>
      </c>
      <c r="L694" s="76">
        <f>EFEITO!$N$694*EFEITO!$AA$760</f>
        <v>219457.33067872547</v>
      </c>
      <c r="M694" s="76">
        <f>$J$694-EFEITO!$K$694*EFEITO!$Y$694</f>
        <v>0</v>
      </c>
      <c r="N694" s="76">
        <f ca="1">$K$694-EFEITO!$M$694*EFEITO!$Z$694</f>
        <v>252546.79776852191</v>
      </c>
      <c r="O694" s="76">
        <f>$L$694-EFEITO!$O$694*EFEITO!$AA$694</f>
        <v>142647.26494117157</v>
      </c>
      <c r="P694" s="57"/>
      <c r="Q694" s="57"/>
      <c r="R694" s="57"/>
      <c r="S694" s="57"/>
      <c r="T694" s="57"/>
      <c r="U694" s="57"/>
      <c r="V694" s="57"/>
      <c r="W694" s="57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3" t="s">
        <v>27</v>
      </c>
      <c r="B695" s="53" t="s">
        <v>22</v>
      </c>
      <c r="C695" s="53" t="s">
        <v>23</v>
      </c>
      <c r="D695" s="53" t="s">
        <v>24</v>
      </c>
      <c r="E695" s="53" t="s">
        <v>29</v>
      </c>
      <c r="F695" s="53" t="s">
        <v>25</v>
      </c>
      <c r="G695" s="53" t="s">
        <v>25</v>
      </c>
      <c r="H695" s="53" t="s">
        <v>25</v>
      </c>
      <c r="I695" s="75">
        <v>44621</v>
      </c>
      <c r="J695" s="76">
        <f>EFEITO!$J$695*EFEITO!$Y$640</f>
        <v>0</v>
      </c>
      <c r="K695" s="76">
        <f ca="1">EFEITO!$L$695*EFEITO!$Z$760</f>
        <v>-2980.6884555292709</v>
      </c>
      <c r="L695" s="76">
        <f>EFEITO!$N$695*EFEITO!$AA$760</f>
        <v>-1683.5970979631711</v>
      </c>
      <c r="M695" s="76">
        <f>$J$695-EFEITO!$K$695*EFEITO!$Y$695</f>
        <v>0</v>
      </c>
      <c r="N695" s="76">
        <f ca="1">$K$695-EFEITO!$M$695*EFEITO!$Z$695</f>
        <v>-1937.4474960940261</v>
      </c>
      <c r="O695" s="76">
        <f>$L$695-EFEITO!$O$695*EFEITO!$AA$695</f>
        <v>-1094.3381136760613</v>
      </c>
      <c r="P695" s="57"/>
      <c r="Q695" s="57"/>
      <c r="R695" s="57"/>
      <c r="S695" s="57"/>
      <c r="T695" s="57"/>
      <c r="U695" s="57"/>
      <c r="V695" s="57"/>
      <c r="W695" s="57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3" t="s">
        <v>21</v>
      </c>
      <c r="B696" s="53" t="s">
        <v>22</v>
      </c>
      <c r="C696" s="53" t="s">
        <v>23</v>
      </c>
      <c r="D696" s="53" t="s">
        <v>24</v>
      </c>
      <c r="E696" s="53" t="s">
        <v>29</v>
      </c>
      <c r="F696" s="53" t="s">
        <v>25</v>
      </c>
      <c r="G696" s="53" t="s">
        <v>25</v>
      </c>
      <c r="H696" s="53" t="s">
        <v>25</v>
      </c>
      <c r="I696" s="75">
        <v>44652</v>
      </c>
      <c r="J696" s="76">
        <f>EFEITO!$J$696*EFEITO!$Y$640</f>
        <v>0</v>
      </c>
      <c r="K696" s="76">
        <f ca="1">EFEITO!$L$696*EFEITO!$Z$760</f>
        <v>413689.75074290746</v>
      </c>
      <c r="L696" s="76">
        <f>EFEITO!$N$696*EFEITO!$AA$760</f>
        <v>233666.4412263085</v>
      </c>
      <c r="M696" s="76">
        <f>$J$696-EFEITO!$K$696*EFEITO!$Y$696</f>
        <v>0</v>
      </c>
      <c r="N696" s="76">
        <f ca="1">$K$696-EFEITO!$M$696*EFEITO!$Z$696</f>
        <v>268898.33798288985</v>
      </c>
      <c r="O696" s="76">
        <f>$L$696-EFEITO!$O$696*EFEITO!$AA$696</f>
        <v>151883.18679710053</v>
      </c>
      <c r="P696" s="57"/>
      <c r="Q696" s="57"/>
      <c r="R696" s="57"/>
      <c r="S696" s="57"/>
      <c r="T696" s="57"/>
      <c r="U696" s="57"/>
      <c r="V696" s="57"/>
      <c r="W696" s="57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3" t="s">
        <v>27</v>
      </c>
      <c r="B697" s="53" t="s">
        <v>22</v>
      </c>
      <c r="C697" s="53" t="s">
        <v>23</v>
      </c>
      <c r="D697" s="53" t="s">
        <v>24</v>
      </c>
      <c r="E697" s="53" t="s">
        <v>29</v>
      </c>
      <c r="F697" s="53" t="s">
        <v>25</v>
      </c>
      <c r="G697" s="53" t="s">
        <v>25</v>
      </c>
      <c r="H697" s="53" t="s">
        <v>25</v>
      </c>
      <c r="I697" s="75">
        <v>44652</v>
      </c>
      <c r="J697" s="76">
        <f>EFEITO!$J$697*EFEITO!$Y$640</f>
        <v>0</v>
      </c>
      <c r="K697" s="76">
        <f ca="1">EFEITO!$L$697*EFEITO!$Z$760</f>
        <v>-4804.8697903131842</v>
      </c>
      <c r="L697" s="76">
        <f>EFEITO!$N$697*EFEITO!$AA$760</f>
        <v>-2713.9585219166315</v>
      </c>
      <c r="M697" s="76">
        <f>$J$697-EFEITO!$K$697*EFEITO!$Y$697</f>
        <v>0</v>
      </c>
      <c r="N697" s="76">
        <f ca="1">$K$697-EFEITO!$M$697*EFEITO!$Z$697</f>
        <v>-3123.1653637035697</v>
      </c>
      <c r="O697" s="76">
        <f>$L$697-EFEITO!$O$697*EFEITO!$AA$697</f>
        <v>-1764.0730392458104</v>
      </c>
      <c r="P697" s="57"/>
      <c r="Q697" s="57"/>
      <c r="R697" s="57"/>
      <c r="S697" s="57"/>
      <c r="T697" s="57"/>
      <c r="U697" s="57"/>
      <c r="V697" s="57"/>
      <c r="W697" s="57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3" t="s">
        <v>21</v>
      </c>
      <c r="B698" s="53" t="s">
        <v>22</v>
      </c>
      <c r="C698" s="53" t="s">
        <v>23</v>
      </c>
      <c r="D698" s="53" t="s">
        <v>24</v>
      </c>
      <c r="E698" s="53" t="s">
        <v>29</v>
      </c>
      <c r="F698" s="53" t="s">
        <v>25</v>
      </c>
      <c r="G698" s="53" t="s">
        <v>25</v>
      </c>
      <c r="H698" s="53" t="s">
        <v>25</v>
      </c>
      <c r="I698" s="75">
        <v>44682</v>
      </c>
      <c r="J698" s="76">
        <f>EFEITO!$J$698*EFEITO!$Y$640</f>
        <v>0</v>
      </c>
      <c r="K698" s="76">
        <f ca="1">EFEITO!$L$698*EFEITO!$Z$760</f>
        <v>410250.43369035411</v>
      </c>
      <c r="L698" s="76">
        <f>EFEITO!$N$698*EFEITO!$AA$760</f>
        <v>231723.79465487206</v>
      </c>
      <c r="M698" s="76">
        <f>$J$698-EFEITO!$K$698*EFEITO!$Y$698</f>
        <v>0</v>
      </c>
      <c r="N698" s="76">
        <f ca="1">$K$698-EFEITO!$M$698*EFEITO!$Z$698</f>
        <v>266662.7818987302</v>
      </c>
      <c r="O698" s="76">
        <f>$L$698-EFEITO!$O$698*EFEITO!$AA$698</f>
        <v>150620.46652566682</v>
      </c>
      <c r="P698" s="57"/>
      <c r="Q698" s="57"/>
      <c r="R698" s="57"/>
      <c r="S698" s="57"/>
      <c r="T698" s="57"/>
      <c r="U698" s="57"/>
      <c r="V698" s="57"/>
      <c r="W698" s="57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3" t="s">
        <v>27</v>
      </c>
      <c r="B699" s="53" t="s">
        <v>22</v>
      </c>
      <c r="C699" s="53" t="s">
        <v>23</v>
      </c>
      <c r="D699" s="53" t="s">
        <v>24</v>
      </c>
      <c r="E699" s="53" t="s">
        <v>29</v>
      </c>
      <c r="F699" s="53" t="s">
        <v>25</v>
      </c>
      <c r="G699" s="53" t="s">
        <v>25</v>
      </c>
      <c r="H699" s="53" t="s">
        <v>25</v>
      </c>
      <c r="I699" s="75">
        <v>44682</v>
      </c>
      <c r="J699" s="76">
        <f>EFEITO!$J$699*EFEITO!$Y$640</f>
        <v>0</v>
      </c>
      <c r="K699" s="76">
        <f ca="1">EFEITO!$L$699*EFEITO!$Z$760</f>
        <v>-929.97479812513245</v>
      </c>
      <c r="L699" s="76">
        <f>EFEITO!$N$699*EFEITO!$AA$760</f>
        <v>-525.28229456450936</v>
      </c>
      <c r="M699" s="76">
        <f>$J$699-EFEITO!$K$699*EFEITO!$Y$699</f>
        <v>0</v>
      </c>
      <c r="N699" s="76">
        <f ca="1">$K$699-EFEITO!$M$699*EFEITO!$Z$699</f>
        <v>-604.48361878133619</v>
      </c>
      <c r="O699" s="76">
        <f>$L$699-EFEITO!$O$699*EFEITO!$AA$699</f>
        <v>-341.43349146693106</v>
      </c>
      <c r="P699" s="57"/>
      <c r="Q699" s="57"/>
      <c r="R699" s="57"/>
      <c r="S699" s="57"/>
      <c r="T699" s="57"/>
      <c r="U699" s="57"/>
      <c r="V699" s="57"/>
      <c r="W699" s="57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3" t="s">
        <v>21</v>
      </c>
      <c r="B700" s="53" t="s">
        <v>22</v>
      </c>
      <c r="C700" s="53" t="s">
        <v>23</v>
      </c>
      <c r="D700" s="53" t="s">
        <v>24</v>
      </c>
      <c r="E700" s="53" t="s">
        <v>29</v>
      </c>
      <c r="F700" s="53" t="s">
        <v>25</v>
      </c>
      <c r="G700" s="53" t="s">
        <v>25</v>
      </c>
      <c r="H700" s="53" t="s">
        <v>25</v>
      </c>
      <c r="I700" s="75">
        <v>44713</v>
      </c>
      <c r="J700" s="76">
        <f>EFEITO!$J$700*EFEITO!$Y$640</f>
        <v>0</v>
      </c>
      <c r="K700" s="76">
        <f ca="1">EFEITO!$L$700*EFEITO!$Z$760</f>
        <v>424230.25997191377</v>
      </c>
      <c r="L700" s="76">
        <f>EFEITO!$N$700*EFEITO!$AA$760</f>
        <v>239620.08952393237</v>
      </c>
      <c r="M700" s="76">
        <f>$J$700-EFEITO!$K$700*EFEITO!$Y$700</f>
        <v>0</v>
      </c>
      <c r="N700" s="76">
        <f ca="1">$K$700-EFEITO!$M$700*EFEITO!$Z$700</f>
        <v>275749.66898174398</v>
      </c>
      <c r="O700" s="76">
        <f>$L$700-EFEITO!$O$700*EFEITO!$AA$700</f>
        <v>155753.05819055604</v>
      </c>
      <c r="P700" s="57"/>
      <c r="Q700" s="57"/>
      <c r="R700" s="57"/>
      <c r="S700" s="57"/>
      <c r="T700" s="57"/>
      <c r="U700" s="57"/>
      <c r="V700" s="57"/>
      <c r="W700" s="57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3" t="s">
        <v>27</v>
      </c>
      <c r="B701" s="53" t="s">
        <v>22</v>
      </c>
      <c r="C701" s="53" t="s">
        <v>23</v>
      </c>
      <c r="D701" s="53" t="s">
        <v>24</v>
      </c>
      <c r="E701" s="53" t="s">
        <v>29</v>
      </c>
      <c r="F701" s="53" t="s">
        <v>25</v>
      </c>
      <c r="G701" s="53" t="s">
        <v>25</v>
      </c>
      <c r="H701" s="53" t="s">
        <v>25</v>
      </c>
      <c r="I701" s="75">
        <v>44713</v>
      </c>
      <c r="J701" s="76">
        <f>EFEITO!$J$701*EFEITO!$Y$640</f>
        <v>0</v>
      </c>
      <c r="K701" s="76">
        <f ca="1">EFEITO!$L$701*EFEITO!$Z$760</f>
        <v>-786.90175225972746</v>
      </c>
      <c r="L701" s="76">
        <f>EFEITO!$N$701*EFEITO!$AA$760</f>
        <v>-444.46963386227713</v>
      </c>
      <c r="M701" s="76">
        <f>$J$701-EFEITO!$K$701*EFEITO!$Y$701</f>
        <v>0</v>
      </c>
      <c r="N701" s="76">
        <f ca="1">$K$701-EFEITO!$M$701*EFEITO!$Z$701</f>
        <v>-511.48613896882284</v>
      </c>
      <c r="O701" s="76">
        <f>$L$701-EFEITO!$O$701*EFEITO!$AA$701</f>
        <v>-288.9052620104801</v>
      </c>
      <c r="P701" s="57"/>
      <c r="Q701" s="57"/>
      <c r="R701" s="57"/>
      <c r="S701" s="57"/>
      <c r="T701" s="57"/>
      <c r="U701" s="57"/>
      <c r="V701" s="57"/>
      <c r="W701" s="57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3" t="s">
        <v>21</v>
      </c>
      <c r="B702" s="53" t="s">
        <v>22</v>
      </c>
      <c r="C702" s="53" t="s">
        <v>23</v>
      </c>
      <c r="D702" s="53" t="s">
        <v>24</v>
      </c>
      <c r="E702" s="53" t="s">
        <v>29</v>
      </c>
      <c r="F702" s="53" t="s">
        <v>25</v>
      </c>
      <c r="G702" s="53" t="s">
        <v>25</v>
      </c>
      <c r="H702" s="53" t="s">
        <v>25</v>
      </c>
      <c r="I702" s="75">
        <v>44743</v>
      </c>
      <c r="J702" s="76">
        <f>EFEITO!$J$702*EFEITO!$Y$640</f>
        <v>0</v>
      </c>
      <c r="K702" s="76">
        <f ca="1">EFEITO!$L$702*EFEITO!$Z$760</f>
        <v>437053.97655785549</v>
      </c>
      <c r="L702" s="76">
        <f>EFEITO!$N$702*EFEITO!$AA$760</f>
        <v>246863.37319859609</v>
      </c>
      <c r="M702" s="76">
        <f>$J$702-EFEITO!$K$702*EFEITO!$Y$702</f>
        <v>0</v>
      </c>
      <c r="N702" s="76">
        <f ca="1">$K$702-EFEITO!$M$702*EFEITO!$Z$702</f>
        <v>284085.08476260607</v>
      </c>
      <c r="O702" s="76">
        <f>$L$702-EFEITO!$O$702*EFEITO!$AA$702</f>
        <v>160461.19257908745</v>
      </c>
      <c r="P702" s="57"/>
      <c r="Q702" s="57"/>
      <c r="R702" s="57"/>
      <c r="S702" s="57"/>
      <c r="T702" s="57"/>
      <c r="U702" s="57"/>
      <c r="V702" s="57"/>
      <c r="W702" s="57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3" t="s">
        <v>27</v>
      </c>
      <c r="B703" s="53" t="s">
        <v>22</v>
      </c>
      <c r="C703" s="53" t="s">
        <v>23</v>
      </c>
      <c r="D703" s="53" t="s">
        <v>24</v>
      </c>
      <c r="E703" s="53" t="s">
        <v>29</v>
      </c>
      <c r="F703" s="53" t="s">
        <v>25</v>
      </c>
      <c r="G703" s="53" t="s">
        <v>25</v>
      </c>
      <c r="H703" s="53" t="s">
        <v>25</v>
      </c>
      <c r="I703" s="75">
        <v>44743</v>
      </c>
      <c r="J703" s="76">
        <f>EFEITO!$J$703*EFEITO!$Y$640</f>
        <v>0</v>
      </c>
      <c r="K703" s="76">
        <f ca="1">EFEITO!$L$703*EFEITO!$Z$760</f>
        <v>-1693.0310427406257</v>
      </c>
      <c r="L703" s="76">
        <f>EFEITO!$N$703*EFEITO!$AA$760</f>
        <v>-956.28315164308106</v>
      </c>
      <c r="M703" s="76">
        <f>$J$703-EFEITO!$K$703*EFEITO!$Y$703</f>
        <v>0</v>
      </c>
      <c r="N703" s="76">
        <f ca="1">$K$703-EFEITO!$M$703*EFEITO!$Z$703</f>
        <v>-1100.4701777814066</v>
      </c>
      <c r="O703" s="76">
        <f>$L$703-EFEITO!$O$703*EFEITO!$AA$703</f>
        <v>-621.58404856800269</v>
      </c>
      <c r="P703" s="57"/>
      <c r="Q703" s="57"/>
      <c r="R703" s="57"/>
      <c r="S703" s="57"/>
      <c r="T703" s="57"/>
      <c r="U703" s="57"/>
      <c r="V703" s="57"/>
      <c r="W703" s="57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3" t="s">
        <v>21</v>
      </c>
      <c r="B704" s="53" t="s">
        <v>22</v>
      </c>
      <c r="C704" s="53" t="s">
        <v>23</v>
      </c>
      <c r="D704" s="53" t="s">
        <v>24</v>
      </c>
      <c r="E704" s="53" t="s">
        <v>29</v>
      </c>
      <c r="F704" s="53" t="s">
        <v>25</v>
      </c>
      <c r="G704" s="53" t="s">
        <v>25</v>
      </c>
      <c r="H704" s="53" t="s">
        <v>25</v>
      </c>
      <c r="I704" s="75">
        <v>44774</v>
      </c>
      <c r="J704" s="76">
        <f>EFEITO!$J$704*EFEITO!$Y$640</f>
        <v>0</v>
      </c>
      <c r="K704" s="76">
        <f ca="1">EFEITO!$L$704*EFEITO!$Z$760</f>
        <v>451917.27889763413</v>
      </c>
      <c r="L704" s="76">
        <f>EFEITO!$N$704*EFEITO!$AA$760</f>
        <v>255258.68624749273</v>
      </c>
      <c r="M704" s="76">
        <f>$J$704-EFEITO!$K$704*EFEITO!$Y$704</f>
        <v>0</v>
      </c>
      <c r="N704" s="76">
        <f ca="1">$K$704-EFEITO!$M$704*EFEITO!$Z$704</f>
        <v>293746.2312834622</v>
      </c>
      <c r="O704" s="76">
        <f>$L$704-EFEITO!$O$704*EFEITO!$AA$704</f>
        <v>165918.14606087026</v>
      </c>
      <c r="P704" s="57"/>
      <c r="Q704" s="57"/>
      <c r="R704" s="57"/>
      <c r="S704" s="57"/>
      <c r="T704" s="57"/>
      <c r="U704" s="57"/>
      <c r="V704" s="57"/>
      <c r="W704" s="57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3" t="s">
        <v>27</v>
      </c>
      <c r="B705" s="53" t="s">
        <v>22</v>
      </c>
      <c r="C705" s="53" t="s">
        <v>23</v>
      </c>
      <c r="D705" s="53" t="s">
        <v>24</v>
      </c>
      <c r="E705" s="53" t="s">
        <v>29</v>
      </c>
      <c r="F705" s="53" t="s">
        <v>25</v>
      </c>
      <c r="G705" s="53" t="s">
        <v>25</v>
      </c>
      <c r="H705" s="53" t="s">
        <v>25</v>
      </c>
      <c r="I705" s="75">
        <v>44774</v>
      </c>
      <c r="J705" s="76">
        <f>EFEITO!$J$705*EFEITO!$Y$640</f>
        <v>0</v>
      </c>
      <c r="K705" s="76">
        <f ca="1">EFEITO!$L$705*EFEITO!$Z$760</f>
        <v>-2718.3878714426946</v>
      </c>
      <c r="L705" s="76">
        <f>EFEITO!$N$705*EFEITO!$AA$760</f>
        <v>-1535.4405533424119</v>
      </c>
      <c r="M705" s="76">
        <f>$J$705-EFEITO!$K$705*EFEITO!$Y$705</f>
        <v>0</v>
      </c>
      <c r="N705" s="76">
        <f ca="1">$K$705-EFEITO!$M$705*EFEITO!$Z$705</f>
        <v>-1766.9521164377516</v>
      </c>
      <c r="O705" s="76">
        <f>$L$705-EFEITO!$O$705*EFEITO!$AA$705</f>
        <v>-998.03635967256776</v>
      </c>
      <c r="P705" s="57"/>
      <c r="Q705" s="57"/>
      <c r="R705" s="57"/>
      <c r="S705" s="57"/>
      <c r="T705" s="57"/>
      <c r="U705" s="57"/>
      <c r="V705" s="57"/>
      <c r="W705" s="57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3" t="s">
        <v>21</v>
      </c>
      <c r="B706" s="53" t="s">
        <v>22</v>
      </c>
      <c r="C706" s="53" t="s">
        <v>23</v>
      </c>
      <c r="D706" s="53" t="s">
        <v>24</v>
      </c>
      <c r="E706" s="53" t="s">
        <v>29</v>
      </c>
      <c r="F706" s="53" t="s">
        <v>25</v>
      </c>
      <c r="G706" s="53" t="s">
        <v>25</v>
      </c>
      <c r="H706" s="53" t="s">
        <v>25</v>
      </c>
      <c r="I706" s="75">
        <v>44805</v>
      </c>
      <c r="J706" s="76">
        <f>EFEITO!$J$706*EFEITO!$Y$640</f>
        <v>0</v>
      </c>
      <c r="K706" s="76">
        <f ca="1">EFEITO!$L$706*EFEITO!$Z$760</f>
        <v>667789.86475063115</v>
      </c>
      <c r="L706" s="76">
        <f>EFEITO!$N$706*EFEITO!$AA$760</f>
        <v>377191.07351115125</v>
      </c>
      <c r="M706" s="76">
        <f>$J$706-EFEITO!$K$706*EFEITO!$Y$706</f>
        <v>0</v>
      </c>
      <c r="N706" s="76">
        <f ca="1">$K$706-EFEITO!$M$706*EFEITO!$Z$706</f>
        <v>434063.41208791023</v>
      </c>
      <c r="O706" s="76">
        <f>$L$706-EFEITO!$O$706*EFEITO!$AA$706</f>
        <v>245174.19778224829</v>
      </c>
      <c r="P706" s="57"/>
      <c r="Q706" s="57"/>
      <c r="R706" s="57"/>
      <c r="S706" s="57"/>
      <c r="T706" s="57"/>
      <c r="U706" s="57"/>
      <c r="V706" s="57"/>
      <c r="W706" s="57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3" t="s">
        <v>27</v>
      </c>
      <c r="B707" s="53" t="s">
        <v>22</v>
      </c>
      <c r="C707" s="53" t="s">
        <v>23</v>
      </c>
      <c r="D707" s="53" t="s">
        <v>24</v>
      </c>
      <c r="E707" s="53" t="s">
        <v>29</v>
      </c>
      <c r="F707" s="53" t="s">
        <v>25</v>
      </c>
      <c r="G707" s="53" t="s">
        <v>25</v>
      </c>
      <c r="H707" s="53" t="s">
        <v>25</v>
      </c>
      <c r="I707" s="75">
        <v>44805</v>
      </c>
      <c r="J707" s="76">
        <f>EFEITO!$J$707*EFEITO!$Y$640</f>
        <v>0</v>
      </c>
      <c r="K707" s="76">
        <f ca="1">EFEITO!$L$707*EFEITO!$Z$760</f>
        <v>-4761.1530262987553</v>
      </c>
      <c r="L707" s="76">
        <f>EFEITO!$N$707*EFEITO!$AA$760</f>
        <v>-2689.2657644798387</v>
      </c>
      <c r="M707" s="76">
        <f>$J$707-EFEITO!$K$707*EFEITO!$Y$707</f>
        <v>0</v>
      </c>
      <c r="N707" s="76">
        <f ca="1">$K$707-EFEITO!$M$707*EFEITO!$Z$707</f>
        <v>-3094.749467094191</v>
      </c>
      <c r="O707" s="76">
        <f>$L$707-EFEITO!$O$707*EFEITO!$AA$707</f>
        <v>-1748.0227469118952</v>
      </c>
      <c r="P707" s="57"/>
      <c r="Q707" s="57"/>
      <c r="R707" s="57"/>
      <c r="S707" s="57"/>
      <c r="T707" s="57"/>
      <c r="U707" s="57"/>
      <c r="V707" s="57"/>
      <c r="W707" s="57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3" t="s">
        <v>21</v>
      </c>
      <c r="B708" s="53" t="s">
        <v>22</v>
      </c>
      <c r="C708" s="53" t="s">
        <v>23</v>
      </c>
      <c r="D708" s="53" t="s">
        <v>24</v>
      </c>
      <c r="E708" s="53" t="s">
        <v>29</v>
      </c>
      <c r="F708" s="53" t="s">
        <v>25</v>
      </c>
      <c r="G708" s="53" t="s">
        <v>25</v>
      </c>
      <c r="H708" s="53" t="s">
        <v>25</v>
      </c>
      <c r="I708" s="75">
        <v>44835</v>
      </c>
      <c r="J708" s="76">
        <f>EFEITO!$J$708*EFEITO!$Y$640</f>
        <v>0</v>
      </c>
      <c r="K708" s="76">
        <f ca="1">EFEITO!$L$708*EFEITO!$Z$760</f>
        <v>883797.57514694566</v>
      </c>
      <c r="L708" s="76">
        <f>EFEITO!$N$708*EFEITO!$AA$760</f>
        <v>499199.78384325089</v>
      </c>
      <c r="M708" s="76">
        <f>$J$708-EFEITO!$K$708*EFEITO!$Y$708</f>
        <v>0</v>
      </c>
      <c r="N708" s="76">
        <f ca="1">$K$708-EFEITO!$M$708*EFEITO!$Z$708</f>
        <v>574468.42384551466</v>
      </c>
      <c r="O708" s="76">
        <f>$L$708-EFEITO!$O$708*EFEITO!$AA$708</f>
        <v>324479.85949811304</v>
      </c>
      <c r="P708" s="57"/>
      <c r="Q708" s="57"/>
      <c r="R708" s="57"/>
      <c r="S708" s="57"/>
      <c r="T708" s="57"/>
      <c r="U708" s="57"/>
      <c r="V708" s="57"/>
      <c r="W708" s="57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3" t="s">
        <v>27</v>
      </c>
      <c r="B709" s="53" t="s">
        <v>22</v>
      </c>
      <c r="C709" s="53" t="s">
        <v>23</v>
      </c>
      <c r="D709" s="53" t="s">
        <v>24</v>
      </c>
      <c r="E709" s="53" t="s">
        <v>29</v>
      </c>
      <c r="F709" s="53" t="s">
        <v>25</v>
      </c>
      <c r="G709" s="53" t="s">
        <v>25</v>
      </c>
      <c r="H709" s="53" t="s">
        <v>25</v>
      </c>
      <c r="I709" s="75">
        <v>44835</v>
      </c>
      <c r="J709" s="76">
        <f>EFEITO!$J$709*EFEITO!$Y$640</f>
        <v>0</v>
      </c>
      <c r="K709" s="76">
        <f ca="1">EFEITO!$L$709*EFEITO!$Z$760</f>
        <v>-4657.0276429189325</v>
      </c>
      <c r="L709" s="76">
        <f>EFEITO!$N$709*EFEITO!$AA$760</f>
        <v>-2630.4521058576584</v>
      </c>
      <c r="M709" s="76">
        <f>$J$709-EFEITO!$K$709*EFEITO!$Y$709</f>
        <v>0</v>
      </c>
      <c r="N709" s="76">
        <f ca="1">$K$709-EFEITO!$M$709*EFEITO!$Z$709</f>
        <v>-3027.0679678973065</v>
      </c>
      <c r="O709" s="76">
        <f>$L$709-EFEITO!$O$709*EFEITO!$AA$709</f>
        <v>-1709.7938688074778</v>
      </c>
      <c r="P709" s="57"/>
      <c r="Q709" s="57"/>
      <c r="R709" s="57"/>
      <c r="S709" s="57"/>
      <c r="T709" s="57"/>
      <c r="U709" s="57"/>
      <c r="V709" s="57"/>
      <c r="W709" s="57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3" t="s">
        <v>54</v>
      </c>
      <c r="B710" s="53" t="s">
        <v>22</v>
      </c>
      <c r="C710" s="53" t="s">
        <v>23</v>
      </c>
      <c r="D710" s="53" t="s">
        <v>24</v>
      </c>
      <c r="E710" s="53" t="s">
        <v>29</v>
      </c>
      <c r="F710" s="53" t="s">
        <v>25</v>
      </c>
      <c r="G710" s="53" t="s">
        <v>25</v>
      </c>
      <c r="H710" s="53" t="s">
        <v>25</v>
      </c>
      <c r="I710" s="75">
        <v>44866</v>
      </c>
      <c r="J710" s="76">
        <f>EFEITO!$J$710*EFEITO!$Y$640</f>
        <v>0</v>
      </c>
      <c r="K710" s="76">
        <f ca="1">EFEITO!$L$710*EFEITO!$Z$760</f>
        <v>883797.57514694566</v>
      </c>
      <c r="L710" s="76">
        <f>EFEITO!$N$710*EFEITO!$AA$760</f>
        <v>499199.78384325089</v>
      </c>
      <c r="M710" s="76">
        <f>$J$710-EFEITO!$K$710*EFEITO!$Y$710</f>
        <v>0</v>
      </c>
      <c r="N710" s="76">
        <f ca="1">$K$710-EFEITO!$M$710*EFEITO!$Z$710</f>
        <v>574468.42384551466</v>
      </c>
      <c r="O710" s="76">
        <f>$L$710-EFEITO!$O$710*EFEITO!$AA$710</f>
        <v>324479.85949811304</v>
      </c>
      <c r="P710" s="57"/>
      <c r="Q710" s="57"/>
      <c r="R710" s="57"/>
      <c r="S710" s="57"/>
      <c r="T710" s="57"/>
      <c r="U710" s="57"/>
      <c r="V710" s="57"/>
      <c r="W710" s="57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3" t="s">
        <v>54</v>
      </c>
      <c r="B711" s="53" t="s">
        <v>22</v>
      </c>
      <c r="C711" s="53" t="s">
        <v>23</v>
      </c>
      <c r="D711" s="53" t="s">
        <v>24</v>
      </c>
      <c r="E711" s="53" t="s">
        <v>29</v>
      </c>
      <c r="F711" s="53" t="s">
        <v>25</v>
      </c>
      <c r="G711" s="53" t="s">
        <v>25</v>
      </c>
      <c r="H711" s="53" t="s">
        <v>25</v>
      </c>
      <c r="I711" s="75">
        <v>44866</v>
      </c>
      <c r="J711" s="76">
        <f>EFEITO!$J$711*EFEITO!$Y$640</f>
        <v>0</v>
      </c>
      <c r="K711" s="76">
        <f ca="1">EFEITO!$L$711*EFEITO!$Z$760</f>
        <v>-4657.0276429189325</v>
      </c>
      <c r="L711" s="76">
        <f>EFEITO!$N$711*EFEITO!$AA$760</f>
        <v>-2630.4521058576584</v>
      </c>
      <c r="M711" s="76">
        <f>$J$711-EFEITO!$K$711*EFEITO!$Y$711</f>
        <v>0</v>
      </c>
      <c r="N711" s="76">
        <f ca="1">$K$711-EFEITO!$M$711*EFEITO!$Z$711</f>
        <v>-3027.0679678973065</v>
      </c>
      <c r="O711" s="76">
        <f>$L$711-EFEITO!$O$711*EFEITO!$AA$711</f>
        <v>-1709.7938688074778</v>
      </c>
      <c r="P711" s="57"/>
      <c r="Q711" s="57"/>
      <c r="R711" s="57"/>
      <c r="S711" s="57"/>
      <c r="T711" s="57"/>
      <c r="U711" s="57"/>
      <c r="V711" s="57"/>
      <c r="W711" s="57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3" t="s">
        <v>21</v>
      </c>
      <c r="B712" s="53" t="s">
        <v>22</v>
      </c>
      <c r="C712" s="53" t="s">
        <v>23</v>
      </c>
      <c r="D712" s="53" t="s">
        <v>24</v>
      </c>
      <c r="E712" s="53" t="s">
        <v>30</v>
      </c>
      <c r="F712" s="53" t="s">
        <v>25</v>
      </c>
      <c r="G712" s="53" t="s">
        <v>25</v>
      </c>
      <c r="H712" s="53" t="s">
        <v>25</v>
      </c>
      <c r="I712" s="75">
        <v>44531</v>
      </c>
      <c r="J712" s="76">
        <f>EFEITO!$J$712*EFEITO!$Y$640</f>
        <v>0</v>
      </c>
      <c r="K712" s="76">
        <f ca="1">EFEITO!$L$712*EFEITO!$Z$760</f>
        <v>523495.53146871401</v>
      </c>
      <c r="L712" s="76">
        <f>EFEITO!$N$712*EFEITO!$AA$760</f>
        <v>295688.5869579803</v>
      </c>
      <c r="M712" s="76">
        <f>$J$712-EFEITO!$K$712*EFEITO!$Y$712</f>
        <v>0</v>
      </c>
      <c r="N712" s="76">
        <f ca="1">$K$712-EFEITO!$M$712*EFEITO!$Z$712</f>
        <v>209398.21258748561</v>
      </c>
      <c r="O712" s="76">
        <f>$L$712-EFEITO!$O$712*EFEITO!$AA$712</f>
        <v>118275.43478319212</v>
      </c>
      <c r="P712" s="57"/>
      <c r="Q712" s="57"/>
      <c r="R712" s="57"/>
      <c r="S712" s="57"/>
      <c r="T712" s="57"/>
      <c r="U712" s="57"/>
      <c r="V712" s="57"/>
      <c r="W712" s="57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3" t="s">
        <v>27</v>
      </c>
      <c r="B713" s="53" t="s">
        <v>22</v>
      </c>
      <c r="C713" s="53" t="s">
        <v>23</v>
      </c>
      <c r="D713" s="53" t="s">
        <v>24</v>
      </c>
      <c r="E713" s="53" t="s">
        <v>30</v>
      </c>
      <c r="F713" s="53" t="s">
        <v>25</v>
      </c>
      <c r="G713" s="53" t="s">
        <v>25</v>
      </c>
      <c r="H713" s="53" t="s">
        <v>25</v>
      </c>
      <c r="I713" s="75">
        <v>44531</v>
      </c>
      <c r="J713" s="76">
        <f>EFEITO!$J$713*EFEITO!$Y$640</f>
        <v>0</v>
      </c>
      <c r="K713" s="76">
        <f ca="1">EFEITO!$L$713*EFEITO!$Z$760</f>
        <v>-1829.3478614401643</v>
      </c>
      <c r="L713" s="76">
        <f>EFEITO!$N$713*EFEITO!$AA$760</f>
        <v>-1033.2796589232635</v>
      </c>
      <c r="M713" s="76">
        <f>$J$713-EFEITO!$K$713*EFEITO!$Y$713</f>
        <v>0</v>
      </c>
      <c r="N713" s="76">
        <f ca="1">$K$713-EFEITO!$M$713*EFEITO!$Z$713</f>
        <v>-731.73914457606566</v>
      </c>
      <c r="O713" s="76">
        <f>$L$713-EFEITO!$O$713*EFEITO!$AA$713</f>
        <v>-413.31186356930539</v>
      </c>
      <c r="P713" s="57"/>
      <c r="Q713" s="57"/>
      <c r="R713" s="57"/>
      <c r="S713" s="57"/>
      <c r="T713" s="57"/>
      <c r="U713" s="57"/>
      <c r="V713" s="57"/>
      <c r="W713" s="57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3" t="s">
        <v>21</v>
      </c>
      <c r="B714" s="53" t="s">
        <v>22</v>
      </c>
      <c r="C714" s="53" t="s">
        <v>23</v>
      </c>
      <c r="D714" s="53" t="s">
        <v>24</v>
      </c>
      <c r="E714" s="53" t="s">
        <v>30</v>
      </c>
      <c r="F714" s="53" t="s">
        <v>25</v>
      </c>
      <c r="G714" s="53" t="s">
        <v>25</v>
      </c>
      <c r="H714" s="53" t="s">
        <v>25</v>
      </c>
      <c r="I714" s="75">
        <v>44562</v>
      </c>
      <c r="J714" s="76">
        <f>EFEITO!$J$714*EFEITO!$Y$640</f>
        <v>0</v>
      </c>
      <c r="K714" s="76">
        <f ca="1">EFEITO!$L$714*EFEITO!$Z$760</f>
        <v>597993.26902570296</v>
      </c>
      <c r="L714" s="76">
        <f>EFEITO!$N$714*EFEITO!$AA$760</f>
        <v>337767.51490601955</v>
      </c>
      <c r="M714" s="76">
        <f>$J$714-EFEITO!$K$714*EFEITO!$Y$714</f>
        <v>0</v>
      </c>
      <c r="N714" s="76">
        <f ca="1">$K$714-EFEITO!$M$714*EFEITO!$Z$714</f>
        <v>239197.30761028122</v>
      </c>
      <c r="O714" s="76">
        <f>$L$714-EFEITO!$O$714*EFEITO!$AA$714</f>
        <v>135107.0059624078</v>
      </c>
      <c r="P714" s="57"/>
      <c r="Q714" s="57"/>
      <c r="R714" s="57"/>
      <c r="S714" s="57"/>
      <c r="T714" s="57"/>
      <c r="U714" s="57"/>
      <c r="V714" s="57"/>
      <c r="W714" s="57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3" t="s">
        <v>27</v>
      </c>
      <c r="B715" s="53" t="s">
        <v>22</v>
      </c>
      <c r="C715" s="53" t="s">
        <v>23</v>
      </c>
      <c r="D715" s="53" t="s">
        <v>24</v>
      </c>
      <c r="E715" s="53" t="s">
        <v>30</v>
      </c>
      <c r="F715" s="53" t="s">
        <v>25</v>
      </c>
      <c r="G715" s="53" t="s">
        <v>25</v>
      </c>
      <c r="H715" s="53" t="s">
        <v>25</v>
      </c>
      <c r="I715" s="75">
        <v>44562</v>
      </c>
      <c r="J715" s="76">
        <f>EFEITO!$J$715*EFEITO!$Y$640</f>
        <v>0</v>
      </c>
      <c r="K715" s="76">
        <f ca="1">EFEITO!$L$715*EFEITO!$Z$760</f>
        <v>-3657.5034474981171</v>
      </c>
      <c r="L715" s="76">
        <f>EFEITO!$N$715*EFEITO!$AA$760</f>
        <v>-2065.8858790073418</v>
      </c>
      <c r="M715" s="76">
        <f>$J$715-EFEITO!$K$715*EFEITO!$Y$715</f>
        <v>0</v>
      </c>
      <c r="N715" s="76">
        <f ca="1">$K$715-EFEITO!$M$715*EFEITO!$Z$715</f>
        <v>-1463.0013789992472</v>
      </c>
      <c r="O715" s="76">
        <f>$L$715-EFEITO!$O$715*EFEITO!$AA$715</f>
        <v>-826.35435160293696</v>
      </c>
      <c r="P715" s="57"/>
      <c r="Q715" s="57"/>
      <c r="R715" s="57"/>
      <c r="S715" s="57"/>
      <c r="T715" s="57"/>
      <c r="U715" s="57"/>
      <c r="V715" s="57"/>
      <c r="W715" s="57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3" t="s">
        <v>21</v>
      </c>
      <c r="B716" s="53" t="s">
        <v>22</v>
      </c>
      <c r="C716" s="53" t="s">
        <v>23</v>
      </c>
      <c r="D716" s="53" t="s">
        <v>24</v>
      </c>
      <c r="E716" s="53" t="s">
        <v>30</v>
      </c>
      <c r="F716" s="53" t="s">
        <v>25</v>
      </c>
      <c r="G716" s="53" t="s">
        <v>25</v>
      </c>
      <c r="H716" s="53" t="s">
        <v>25</v>
      </c>
      <c r="I716" s="75">
        <v>44593</v>
      </c>
      <c r="J716" s="76">
        <f>EFEITO!$J$716*EFEITO!$Y$640</f>
        <v>0</v>
      </c>
      <c r="K716" s="76">
        <f ca="1">EFEITO!$L$716*EFEITO!$Z$760</f>
        <v>605590.44776115601</v>
      </c>
      <c r="L716" s="76">
        <f>EFEITO!$N$716*EFEITO!$AA$760</f>
        <v>342058.66718930809</v>
      </c>
      <c r="M716" s="76">
        <f>$J$716-EFEITO!$K$716*EFEITO!$Y$716</f>
        <v>0</v>
      </c>
      <c r="N716" s="76">
        <f ca="1">$K$716-EFEITO!$M$716*EFEITO!$Z$716</f>
        <v>242236.17910446244</v>
      </c>
      <c r="O716" s="76">
        <f>$L$716-EFEITO!$O$716*EFEITO!$AA$716</f>
        <v>136823.46687572324</v>
      </c>
      <c r="P716" s="57"/>
      <c r="Q716" s="57"/>
      <c r="R716" s="57"/>
      <c r="S716" s="57"/>
      <c r="T716" s="57"/>
      <c r="U716" s="57"/>
      <c r="V716" s="57"/>
      <c r="W716" s="57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3" t="s">
        <v>27</v>
      </c>
      <c r="B717" s="53" t="s">
        <v>22</v>
      </c>
      <c r="C717" s="53" t="s">
        <v>23</v>
      </c>
      <c r="D717" s="53" t="s">
        <v>24</v>
      </c>
      <c r="E717" s="53" t="s">
        <v>30</v>
      </c>
      <c r="F717" s="53" t="s">
        <v>25</v>
      </c>
      <c r="G717" s="53" t="s">
        <v>25</v>
      </c>
      <c r="H717" s="53" t="s">
        <v>25</v>
      </c>
      <c r="I717" s="75">
        <v>44593</v>
      </c>
      <c r="J717" s="76">
        <f>EFEITO!$J$717*EFEITO!$Y$640</f>
        <v>0</v>
      </c>
      <c r="K717" s="76">
        <f ca="1">EFEITO!$L$717*EFEITO!$Z$760</f>
        <v>-3093.9546168393831</v>
      </c>
      <c r="L717" s="76">
        <f>EFEITO!$N$717*EFEITO!$AA$760</f>
        <v>-1747.5737876857715</v>
      </c>
      <c r="M717" s="76">
        <f>$J$717-EFEITO!$K$717*EFEITO!$Y$717</f>
        <v>0</v>
      </c>
      <c r="N717" s="76">
        <f ca="1">$K$717-EFEITO!$M$717*EFEITO!$Z$717</f>
        <v>-1237.5818467357535</v>
      </c>
      <c r="O717" s="76">
        <f>$L$717-EFEITO!$O$717*EFEITO!$AA$717</f>
        <v>-699.02951507430862</v>
      </c>
      <c r="P717" s="57"/>
      <c r="Q717" s="57"/>
      <c r="R717" s="57"/>
      <c r="S717" s="57"/>
      <c r="T717" s="57"/>
      <c r="U717" s="57"/>
      <c r="V717" s="57"/>
      <c r="W717" s="57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3" t="s">
        <v>21</v>
      </c>
      <c r="B718" s="53" t="s">
        <v>22</v>
      </c>
      <c r="C718" s="53" t="s">
        <v>23</v>
      </c>
      <c r="D718" s="53" t="s">
        <v>24</v>
      </c>
      <c r="E718" s="53" t="s">
        <v>30</v>
      </c>
      <c r="F718" s="53" t="s">
        <v>25</v>
      </c>
      <c r="G718" s="53" t="s">
        <v>25</v>
      </c>
      <c r="H718" s="53" t="s">
        <v>25</v>
      </c>
      <c r="I718" s="75">
        <v>44621</v>
      </c>
      <c r="J718" s="76">
        <f>EFEITO!$J$718*EFEITO!$Y$640</f>
        <v>0</v>
      </c>
      <c r="K718" s="76">
        <f ca="1">EFEITO!$L$718*EFEITO!$Z$760</f>
        <v>615279.67236726312</v>
      </c>
      <c r="L718" s="76">
        <f>EFEITO!$N$718*EFEITO!$AA$760</f>
        <v>347531.48015575367</v>
      </c>
      <c r="M718" s="76">
        <f>$J$718-EFEITO!$K$718*EFEITO!$Y$718</f>
        <v>0</v>
      </c>
      <c r="N718" s="76">
        <f ca="1">$K$718-EFEITO!$M$718*EFEITO!$Z$718</f>
        <v>246111.86894690531</v>
      </c>
      <c r="O718" s="76">
        <f>$L$718-EFEITO!$O$718*EFEITO!$AA$718</f>
        <v>139012.59206230147</v>
      </c>
      <c r="P718" s="57"/>
      <c r="Q718" s="57"/>
      <c r="R718" s="57"/>
      <c r="S718" s="57"/>
      <c r="T718" s="57"/>
      <c r="U718" s="57"/>
      <c r="V718" s="57"/>
      <c r="W718" s="57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3" t="s">
        <v>27</v>
      </c>
      <c r="B719" s="53" t="s">
        <v>22</v>
      </c>
      <c r="C719" s="53" t="s">
        <v>23</v>
      </c>
      <c r="D719" s="53" t="s">
        <v>24</v>
      </c>
      <c r="E719" s="53" t="s">
        <v>30</v>
      </c>
      <c r="F719" s="53" t="s">
        <v>25</v>
      </c>
      <c r="G719" s="53" t="s">
        <v>25</v>
      </c>
      <c r="H719" s="53" t="s">
        <v>25</v>
      </c>
      <c r="I719" s="75">
        <v>44621</v>
      </c>
      <c r="J719" s="76">
        <f>EFEITO!$J$719*EFEITO!$Y$640</f>
        <v>0</v>
      </c>
      <c r="K719" s="76">
        <f ca="1">EFEITO!$L$719*EFEITO!$Z$760</f>
        <v>-5876.7253589215106</v>
      </c>
      <c r="L719" s="76">
        <f>EFEITO!$N$719*EFEITO!$AA$760</f>
        <v>-3319.3800383441881</v>
      </c>
      <c r="M719" s="76">
        <f>$J$719-EFEITO!$K$719*EFEITO!$Y$719</f>
        <v>0</v>
      </c>
      <c r="N719" s="76">
        <f ca="1">$K$719-EFEITO!$M$719*EFEITO!$Z$719</f>
        <v>-2350.6901435686045</v>
      </c>
      <c r="O719" s="76">
        <f>$L$719-EFEITO!$O$719*EFEITO!$AA$719</f>
        <v>-1327.7520153376752</v>
      </c>
      <c r="P719" s="57"/>
      <c r="Q719" s="57"/>
      <c r="R719" s="57"/>
      <c r="S719" s="57"/>
      <c r="T719" s="57"/>
      <c r="U719" s="57"/>
      <c r="V719" s="57"/>
      <c r="W719" s="57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3" t="s">
        <v>21</v>
      </c>
      <c r="B720" s="53" t="s">
        <v>22</v>
      </c>
      <c r="C720" s="53" t="s">
        <v>23</v>
      </c>
      <c r="D720" s="53" t="s">
        <v>24</v>
      </c>
      <c r="E720" s="53" t="s">
        <v>30</v>
      </c>
      <c r="F720" s="53" t="s">
        <v>25</v>
      </c>
      <c r="G720" s="53" t="s">
        <v>25</v>
      </c>
      <c r="H720" s="53" t="s">
        <v>25</v>
      </c>
      <c r="I720" s="75">
        <v>44652</v>
      </c>
      <c r="J720" s="76">
        <f>EFEITO!$J$720*EFEITO!$Y$640</f>
        <v>0</v>
      </c>
      <c r="K720" s="76">
        <f ca="1">EFEITO!$L$720*EFEITO!$Z$760</f>
        <v>656274.47168410313</v>
      </c>
      <c r="L720" s="76">
        <f>EFEITO!$N$720*EFEITO!$AA$760</f>
        <v>370686.77672268689</v>
      </c>
      <c r="M720" s="76">
        <f>$J$720-EFEITO!$K$720*EFEITO!$Y$720</f>
        <v>0</v>
      </c>
      <c r="N720" s="76">
        <f ca="1">$K$720-EFEITO!$M$720*EFEITO!$Z$720</f>
        <v>262509.78867364133</v>
      </c>
      <c r="O720" s="76">
        <f>$L$720-EFEITO!$O$720*EFEITO!$AA$720</f>
        <v>148274.71068907474</v>
      </c>
      <c r="P720" s="57"/>
      <c r="Q720" s="57"/>
      <c r="R720" s="57"/>
      <c r="S720" s="57"/>
      <c r="T720" s="57"/>
      <c r="U720" s="57"/>
      <c r="V720" s="57"/>
      <c r="W720" s="57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3" t="s">
        <v>27</v>
      </c>
      <c r="B721" s="53" t="s">
        <v>22</v>
      </c>
      <c r="C721" s="53" t="s">
        <v>23</v>
      </c>
      <c r="D721" s="53" t="s">
        <v>24</v>
      </c>
      <c r="E721" s="53" t="s">
        <v>30</v>
      </c>
      <c r="F721" s="53" t="s">
        <v>25</v>
      </c>
      <c r="G721" s="53" t="s">
        <v>25</v>
      </c>
      <c r="H721" s="53" t="s">
        <v>25</v>
      </c>
      <c r="I721" s="75">
        <v>44652</v>
      </c>
      <c r="J721" s="76">
        <f>EFEITO!$J$721*EFEITO!$Y$640</f>
        <v>0</v>
      </c>
      <c r="K721" s="76">
        <f ca="1">EFEITO!$L$721*EFEITO!$Z$760</f>
        <v>-5898.1863158013202</v>
      </c>
      <c r="L721" s="76">
        <f>EFEITO!$N$721*EFEITO!$AA$760</f>
        <v>-3331.5019374495228</v>
      </c>
      <c r="M721" s="76">
        <f>$J$721-EFEITO!$K$721*EFEITO!$Y$721</f>
        <v>0</v>
      </c>
      <c r="N721" s="76">
        <f ca="1">$K$721-EFEITO!$M$721*EFEITO!$Z$721</f>
        <v>-2359.2745263205284</v>
      </c>
      <c r="O721" s="76">
        <f>$L$721-EFEITO!$O$721*EFEITO!$AA$721</f>
        <v>-1332.6007749798091</v>
      </c>
      <c r="P721" s="57"/>
      <c r="Q721" s="57"/>
      <c r="R721" s="57"/>
      <c r="S721" s="57"/>
      <c r="T721" s="57"/>
      <c r="U721" s="57"/>
      <c r="V721" s="57"/>
      <c r="W721" s="57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3" t="s">
        <v>21</v>
      </c>
      <c r="B722" s="53" t="s">
        <v>22</v>
      </c>
      <c r="C722" s="53" t="s">
        <v>23</v>
      </c>
      <c r="D722" s="53" t="s">
        <v>24</v>
      </c>
      <c r="E722" s="53" t="s">
        <v>30</v>
      </c>
      <c r="F722" s="53" t="s">
        <v>25</v>
      </c>
      <c r="G722" s="53" t="s">
        <v>25</v>
      </c>
      <c r="H722" s="53" t="s">
        <v>25</v>
      </c>
      <c r="I722" s="75">
        <v>44682</v>
      </c>
      <c r="J722" s="76">
        <f>EFEITO!$J$722*EFEITO!$Y$640</f>
        <v>0</v>
      </c>
      <c r="K722" s="76">
        <f ca="1">EFEITO!$L$722*EFEITO!$Z$760</f>
        <v>660619.91802713741</v>
      </c>
      <c r="L722" s="76">
        <f>EFEITO!$N$722*EFEITO!$AA$760</f>
        <v>373141.23681190412</v>
      </c>
      <c r="M722" s="76">
        <f>$J$722-EFEITO!$K$722*EFEITO!$Y$722</f>
        <v>0</v>
      </c>
      <c r="N722" s="76">
        <f ca="1">$K$722-EFEITO!$M$722*EFEITO!$Z$722</f>
        <v>264247.96721085504</v>
      </c>
      <c r="O722" s="76">
        <f>$L$722-EFEITO!$O$722*EFEITO!$AA$722</f>
        <v>149256.49472476164</v>
      </c>
      <c r="P722" s="57"/>
      <c r="Q722" s="57"/>
      <c r="R722" s="57"/>
      <c r="S722" s="57"/>
      <c r="T722" s="57"/>
      <c r="U722" s="57"/>
      <c r="V722" s="57"/>
      <c r="W722" s="57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3" t="s">
        <v>27</v>
      </c>
      <c r="B723" s="53" t="s">
        <v>22</v>
      </c>
      <c r="C723" s="53" t="s">
        <v>23</v>
      </c>
      <c r="D723" s="53" t="s">
        <v>24</v>
      </c>
      <c r="E723" s="53" t="s">
        <v>30</v>
      </c>
      <c r="F723" s="53" t="s">
        <v>25</v>
      </c>
      <c r="G723" s="53" t="s">
        <v>25</v>
      </c>
      <c r="H723" s="53" t="s">
        <v>25</v>
      </c>
      <c r="I723" s="75">
        <v>44682</v>
      </c>
      <c r="J723" s="76">
        <f>EFEITO!$J$723*EFEITO!$Y$640</f>
        <v>0</v>
      </c>
      <c r="K723" s="76">
        <f ca="1">EFEITO!$L$723*EFEITO!$Z$760</f>
        <v>-3242.1941893610388</v>
      </c>
      <c r="L723" s="76">
        <f>EFEITO!$N$723*EFEITO!$AA$760</f>
        <v>-1831.3046833578064</v>
      </c>
      <c r="M723" s="76">
        <f>$J$723-EFEITO!$K$723*EFEITO!$Y$723</f>
        <v>0</v>
      </c>
      <c r="N723" s="76">
        <f ca="1">$K$723-EFEITO!$M$723*EFEITO!$Z$723</f>
        <v>-1296.8776757444159</v>
      </c>
      <c r="O723" s="76">
        <f>$L$723-EFEITO!$O$723*EFEITO!$AA$723</f>
        <v>-732.52187334312248</v>
      </c>
      <c r="P723" s="57"/>
      <c r="Q723" s="57"/>
      <c r="R723" s="57"/>
      <c r="S723" s="57"/>
      <c r="T723" s="57"/>
      <c r="U723" s="57"/>
      <c r="V723" s="57"/>
      <c r="W723" s="57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3" t="s">
        <v>21</v>
      </c>
      <c r="B724" s="53" t="s">
        <v>22</v>
      </c>
      <c r="C724" s="53" t="s">
        <v>23</v>
      </c>
      <c r="D724" s="53" t="s">
        <v>24</v>
      </c>
      <c r="E724" s="53" t="s">
        <v>30</v>
      </c>
      <c r="F724" s="53" t="s">
        <v>25</v>
      </c>
      <c r="G724" s="53" t="s">
        <v>25</v>
      </c>
      <c r="H724" s="53" t="s">
        <v>25</v>
      </c>
      <c r="I724" s="75">
        <v>44713</v>
      </c>
      <c r="J724" s="76">
        <f>EFEITO!$J$724*EFEITO!$Y$640</f>
        <v>0</v>
      </c>
      <c r="K724" s="76">
        <f ca="1">EFEITO!$L$724*EFEITO!$Z$760</f>
        <v>696368.30823711841</v>
      </c>
      <c r="L724" s="76">
        <f>EFEITO!$N$724*EFEITO!$AA$760</f>
        <v>393333.17800680915</v>
      </c>
      <c r="M724" s="76">
        <f>$J$724-EFEITO!$K$724*EFEITO!$Y$724</f>
        <v>0</v>
      </c>
      <c r="N724" s="76">
        <f ca="1">$K$724-EFEITO!$M$724*EFEITO!$Z$724</f>
        <v>278547.32329484739</v>
      </c>
      <c r="O724" s="76">
        <f>$L$724-EFEITO!$O$724*EFEITO!$AA$724</f>
        <v>157333.27120272367</v>
      </c>
      <c r="P724" s="57"/>
      <c r="Q724" s="57"/>
      <c r="R724" s="57"/>
      <c r="S724" s="57"/>
      <c r="T724" s="57"/>
      <c r="U724" s="57"/>
      <c r="V724" s="57"/>
      <c r="W724" s="57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3" t="s">
        <v>27</v>
      </c>
      <c r="B725" s="53" t="s">
        <v>22</v>
      </c>
      <c r="C725" s="53" t="s">
        <v>23</v>
      </c>
      <c r="D725" s="53" t="s">
        <v>24</v>
      </c>
      <c r="E725" s="53" t="s">
        <v>30</v>
      </c>
      <c r="F725" s="53" t="s">
        <v>25</v>
      </c>
      <c r="G725" s="53" t="s">
        <v>25</v>
      </c>
      <c r="H725" s="53" t="s">
        <v>25</v>
      </c>
      <c r="I725" s="75">
        <v>44713</v>
      </c>
      <c r="J725" s="76">
        <f>EFEITO!$J$725*EFEITO!$Y$640</f>
        <v>0</v>
      </c>
      <c r="K725" s="76">
        <f ca="1">EFEITO!$L$725*EFEITO!$Z$760</f>
        <v>-3279.9495764644093</v>
      </c>
      <c r="L725" s="76">
        <f>EFEITO!$N$725*EFEITO!$AA$760</f>
        <v>-1852.6302465986735</v>
      </c>
      <c r="M725" s="76">
        <f>$J$725-EFEITO!$K$725*EFEITO!$Y$725</f>
        <v>0</v>
      </c>
      <c r="N725" s="76">
        <f ca="1">$K$725-EFEITO!$M$725*EFEITO!$Z$725</f>
        <v>-1311.9798305857637</v>
      </c>
      <c r="O725" s="76">
        <f>$L$725-EFEITO!$O$725*EFEITO!$AA$725</f>
        <v>-741.05209863946948</v>
      </c>
      <c r="P725" s="57"/>
      <c r="Q725" s="57"/>
      <c r="R725" s="57"/>
      <c r="S725" s="57"/>
      <c r="T725" s="57"/>
      <c r="U725" s="57"/>
      <c r="V725" s="57"/>
      <c r="W725" s="57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3" t="s">
        <v>21</v>
      </c>
      <c r="B726" s="53" t="s">
        <v>22</v>
      </c>
      <c r="C726" s="53" t="s">
        <v>23</v>
      </c>
      <c r="D726" s="53" t="s">
        <v>24</v>
      </c>
      <c r="E726" s="53" t="s">
        <v>30</v>
      </c>
      <c r="F726" s="53" t="s">
        <v>25</v>
      </c>
      <c r="G726" s="53" t="s">
        <v>25</v>
      </c>
      <c r="H726" s="53" t="s">
        <v>25</v>
      </c>
      <c r="I726" s="75">
        <v>44743</v>
      </c>
      <c r="J726" s="76">
        <f>EFEITO!$J$726*EFEITO!$Y$640</f>
        <v>0</v>
      </c>
      <c r="K726" s="76">
        <f ca="1">EFEITO!$L$726*EFEITO!$Z$760</f>
        <v>728143.24202331528</v>
      </c>
      <c r="L726" s="76">
        <f>EFEITO!$N$726*EFEITO!$AA$760</f>
        <v>411280.77203032264</v>
      </c>
      <c r="M726" s="76">
        <f>$J$726-EFEITO!$K$726*EFEITO!$Y$726</f>
        <v>0</v>
      </c>
      <c r="N726" s="76">
        <f ca="1">$K$726-EFEITO!$M$726*EFEITO!$Z$726</f>
        <v>291257.29680932616</v>
      </c>
      <c r="O726" s="76">
        <f>$L$726-EFEITO!$O$726*EFEITO!$AA$726</f>
        <v>164512.30881212905</v>
      </c>
      <c r="P726" s="57"/>
      <c r="Q726" s="57"/>
      <c r="R726" s="57"/>
      <c r="S726" s="57"/>
      <c r="T726" s="57"/>
      <c r="U726" s="57"/>
      <c r="V726" s="57"/>
      <c r="W726" s="57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3" t="s">
        <v>27</v>
      </c>
      <c r="B727" s="53" t="s">
        <v>22</v>
      </c>
      <c r="C727" s="53" t="s">
        <v>23</v>
      </c>
      <c r="D727" s="53" t="s">
        <v>24</v>
      </c>
      <c r="E727" s="53" t="s">
        <v>30</v>
      </c>
      <c r="F727" s="53" t="s">
        <v>25</v>
      </c>
      <c r="G727" s="53" t="s">
        <v>25</v>
      </c>
      <c r="H727" s="53" t="s">
        <v>25</v>
      </c>
      <c r="I727" s="75">
        <v>44743</v>
      </c>
      <c r="J727" s="76">
        <f>EFEITO!$J$727*EFEITO!$Y$640</f>
        <v>0</v>
      </c>
      <c r="K727" s="76">
        <f ca="1">EFEITO!$L$727*EFEITO!$Z$760</f>
        <v>-2092.8407209089519</v>
      </c>
      <c r="L727" s="76">
        <f>EFEITO!$N$727*EFEITO!$AA$760</f>
        <v>-1182.1096423832078</v>
      </c>
      <c r="M727" s="76">
        <f>$J$727-EFEITO!$K$727*EFEITO!$Y$727</f>
        <v>0</v>
      </c>
      <c r="N727" s="76">
        <f ca="1">$K$727-EFEITO!$M$727*EFEITO!$Z$727</f>
        <v>-837.13628836358089</v>
      </c>
      <c r="O727" s="76">
        <f>$L$727-EFEITO!$O$727*EFEITO!$AA$727</f>
        <v>-472.84385695328308</v>
      </c>
      <c r="P727" s="57"/>
      <c r="Q727" s="57"/>
      <c r="R727" s="57"/>
      <c r="S727" s="57"/>
      <c r="T727" s="57"/>
      <c r="U727" s="57"/>
      <c r="V727" s="57"/>
      <c r="W727" s="57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3" t="s">
        <v>21</v>
      </c>
      <c r="B728" s="53" t="s">
        <v>22</v>
      </c>
      <c r="C728" s="53" t="s">
        <v>23</v>
      </c>
      <c r="D728" s="53" t="s">
        <v>24</v>
      </c>
      <c r="E728" s="53" t="s">
        <v>30</v>
      </c>
      <c r="F728" s="53" t="s">
        <v>25</v>
      </c>
      <c r="G728" s="53" t="s">
        <v>25</v>
      </c>
      <c r="H728" s="53" t="s">
        <v>25</v>
      </c>
      <c r="I728" s="75">
        <v>44774</v>
      </c>
      <c r="J728" s="76">
        <f>EFEITO!$J$728*EFEITO!$Y$640</f>
        <v>0</v>
      </c>
      <c r="K728" s="76">
        <f ca="1">EFEITO!$L$728*EFEITO!$Z$760</f>
        <v>766151.39150771487</v>
      </c>
      <c r="L728" s="76">
        <f>EFEITO!$N$728*EFEITO!$AA$760</f>
        <v>432749.10430509673</v>
      </c>
      <c r="M728" s="76">
        <f>$J$728-EFEITO!$K$728*EFEITO!$Y$728</f>
        <v>0</v>
      </c>
      <c r="N728" s="76">
        <f ca="1">$K$728-EFEITO!$M$728*EFEITO!$Z$728</f>
        <v>306460.55660308595</v>
      </c>
      <c r="O728" s="76">
        <f>$L$728-EFEITO!$O$728*EFEITO!$AA$728</f>
        <v>173099.64172203868</v>
      </c>
      <c r="P728" s="57"/>
      <c r="Q728" s="57"/>
      <c r="R728" s="57"/>
      <c r="S728" s="57"/>
      <c r="T728" s="57"/>
      <c r="U728" s="57"/>
      <c r="V728" s="57"/>
      <c r="W728" s="57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3" t="s">
        <v>27</v>
      </c>
      <c r="B729" s="53" t="s">
        <v>22</v>
      </c>
      <c r="C729" s="53" t="s">
        <v>23</v>
      </c>
      <c r="D729" s="53" t="s">
        <v>24</v>
      </c>
      <c r="E729" s="53" t="s">
        <v>30</v>
      </c>
      <c r="F729" s="53" t="s">
        <v>25</v>
      </c>
      <c r="G729" s="53" t="s">
        <v>25</v>
      </c>
      <c r="H729" s="53" t="s">
        <v>25</v>
      </c>
      <c r="I729" s="75">
        <v>44774</v>
      </c>
      <c r="J729" s="76">
        <f>EFEITO!$J$729*EFEITO!$Y$640</f>
        <v>0</v>
      </c>
      <c r="K729" s="76">
        <f ca="1">EFEITO!$L$729*EFEITO!$Z$760</f>
        <v>-4814.8054184982821</v>
      </c>
      <c r="L729" s="76">
        <f>EFEITO!$N$729*EFEITO!$AA$760</f>
        <v>-2719.5705122431755</v>
      </c>
      <c r="M729" s="76">
        <f>$J$729-EFEITO!$K$729*EFEITO!$Y$729</f>
        <v>0</v>
      </c>
      <c r="N729" s="76">
        <f ca="1">$K$729-EFEITO!$M$729*EFEITO!$Z$729</f>
        <v>-1925.9221673993129</v>
      </c>
      <c r="O729" s="76">
        <f>$L$729-EFEITO!$O$729*EFEITO!$AA$729</f>
        <v>-1087.8282048972701</v>
      </c>
      <c r="P729" s="57"/>
      <c r="Q729" s="57"/>
      <c r="R729" s="57"/>
      <c r="S729" s="57"/>
      <c r="T729" s="57"/>
      <c r="U729" s="57"/>
      <c r="V729" s="57"/>
      <c r="W729" s="57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3" t="s">
        <v>21</v>
      </c>
      <c r="B730" s="53" t="s">
        <v>22</v>
      </c>
      <c r="C730" s="53" t="s">
        <v>23</v>
      </c>
      <c r="D730" s="53" t="s">
        <v>24</v>
      </c>
      <c r="E730" s="53" t="s">
        <v>30</v>
      </c>
      <c r="F730" s="53" t="s">
        <v>25</v>
      </c>
      <c r="G730" s="53" t="s">
        <v>25</v>
      </c>
      <c r="H730" s="53" t="s">
        <v>25</v>
      </c>
      <c r="I730" s="75">
        <v>44805</v>
      </c>
      <c r="J730" s="76">
        <f>EFEITO!$J$730*EFEITO!$Y$640</f>
        <v>0</v>
      </c>
      <c r="K730" s="76">
        <f ca="1">EFEITO!$L$730*EFEITO!$Z$760</f>
        <v>854727.1193527322</v>
      </c>
      <c r="L730" s="76">
        <f>EFEITO!$N$730*EFEITO!$AA$760</f>
        <v>482779.77358662256</v>
      </c>
      <c r="M730" s="76">
        <f>$J$730-EFEITO!$K$730*EFEITO!$Y$730</f>
        <v>0</v>
      </c>
      <c r="N730" s="76">
        <f ca="1">$K$730-EFEITO!$M$730*EFEITO!$Z$730</f>
        <v>341890.8477410929</v>
      </c>
      <c r="O730" s="76">
        <f>$L$730-EFEITO!$O$730*EFEITO!$AA$730</f>
        <v>193111.90943464905</v>
      </c>
      <c r="P730" s="57"/>
      <c r="Q730" s="57"/>
      <c r="R730" s="57"/>
      <c r="S730" s="57"/>
      <c r="T730" s="57"/>
      <c r="U730" s="57"/>
      <c r="V730" s="57"/>
      <c r="W730" s="57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3" t="s">
        <v>27</v>
      </c>
      <c r="B731" s="53" t="s">
        <v>22</v>
      </c>
      <c r="C731" s="53" t="s">
        <v>23</v>
      </c>
      <c r="D731" s="53" t="s">
        <v>24</v>
      </c>
      <c r="E731" s="53" t="s">
        <v>30</v>
      </c>
      <c r="F731" s="53" t="s">
        <v>25</v>
      </c>
      <c r="G731" s="53" t="s">
        <v>25</v>
      </c>
      <c r="H731" s="53" t="s">
        <v>25</v>
      </c>
      <c r="I731" s="75">
        <v>44805</v>
      </c>
      <c r="J731" s="76">
        <f>EFEITO!$J$731*EFEITO!$Y$640</f>
        <v>0</v>
      </c>
      <c r="K731" s="76">
        <f ca="1">EFEITO!$L$731*EFEITO!$Z$760</f>
        <v>-2718.785296570099</v>
      </c>
      <c r="L731" s="76">
        <f>EFEITO!$N$731*EFEITO!$AA$760</f>
        <v>-1535.6650329554739</v>
      </c>
      <c r="M731" s="76">
        <f>$J$731-EFEITO!$K$731*EFEITO!$Y$731</f>
        <v>0</v>
      </c>
      <c r="N731" s="76">
        <f ca="1">$K$731-EFEITO!$M$731*EFEITO!$Z$731</f>
        <v>-1087.5141186280398</v>
      </c>
      <c r="O731" s="76">
        <f>$L$731-EFEITO!$O$731*EFEITO!$AA$731</f>
        <v>-614.26601318218957</v>
      </c>
      <c r="P731" s="57"/>
      <c r="Q731" s="57"/>
      <c r="R731" s="57"/>
      <c r="S731" s="57"/>
      <c r="T731" s="57"/>
      <c r="U731" s="57"/>
      <c r="V731" s="57"/>
      <c r="W731" s="57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3" t="s">
        <v>21</v>
      </c>
      <c r="B732" s="53" t="s">
        <v>22</v>
      </c>
      <c r="C732" s="53" t="s">
        <v>23</v>
      </c>
      <c r="D732" s="53" t="s">
        <v>24</v>
      </c>
      <c r="E732" s="53" t="s">
        <v>30</v>
      </c>
      <c r="F732" s="53" t="s">
        <v>25</v>
      </c>
      <c r="G732" s="53" t="s">
        <v>25</v>
      </c>
      <c r="H732" s="53" t="s">
        <v>25</v>
      </c>
      <c r="I732" s="75">
        <v>44835</v>
      </c>
      <c r="J732" s="76">
        <f>EFEITO!$J$732*EFEITO!$Y$640</f>
        <v>0</v>
      </c>
      <c r="K732" s="76">
        <f ca="1">EFEITO!$L$732*EFEITO!$Z$760</f>
        <v>1032311.7684316374</v>
      </c>
      <c r="L732" s="76">
        <f>EFEITO!$N$732*EFEITO!$AA$760</f>
        <v>583085.7949279116</v>
      </c>
      <c r="M732" s="76">
        <f>$J$732-EFEITO!$K$732*EFEITO!$Y$732</f>
        <v>0</v>
      </c>
      <c r="N732" s="76">
        <f ca="1">$K$732-EFEITO!$M$732*EFEITO!$Z$732</f>
        <v>412924.70737265504</v>
      </c>
      <c r="O732" s="76">
        <f>$L$732-EFEITO!$O$732*EFEITO!$AA$732</f>
        <v>233234.31797116465</v>
      </c>
      <c r="P732" s="57"/>
      <c r="Q732" s="57"/>
      <c r="R732" s="57"/>
      <c r="S732" s="57"/>
      <c r="T732" s="57"/>
      <c r="U732" s="57"/>
      <c r="V732" s="57"/>
      <c r="W732" s="57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3" t="s">
        <v>27</v>
      </c>
      <c r="B733" s="53" t="s">
        <v>22</v>
      </c>
      <c r="C733" s="53" t="s">
        <v>23</v>
      </c>
      <c r="D733" s="53" t="s">
        <v>24</v>
      </c>
      <c r="E733" s="53" t="s">
        <v>30</v>
      </c>
      <c r="F733" s="53" t="s">
        <v>25</v>
      </c>
      <c r="G733" s="53" t="s">
        <v>25</v>
      </c>
      <c r="H733" s="53" t="s">
        <v>25</v>
      </c>
      <c r="I733" s="75">
        <v>44835</v>
      </c>
      <c r="J733" s="76">
        <f>EFEITO!$J$733*EFEITO!$Y$640</f>
        <v>0</v>
      </c>
      <c r="K733" s="76">
        <f ca="1">EFEITO!$L$733*EFEITO!$Z$760</f>
        <v>-1311.1054953054752</v>
      </c>
      <c r="L733" s="76">
        <f>EFEITO!$N$733*EFEITO!$AA$760</f>
        <v>-740.5582434907335</v>
      </c>
      <c r="M733" s="76">
        <f>$J$733-EFEITO!$K$733*EFEITO!$Y$733</f>
        <v>0</v>
      </c>
      <c r="N733" s="76">
        <f ca="1">$K$733-EFEITO!$M$733*EFEITO!$Z$733</f>
        <v>-524.44219812219012</v>
      </c>
      <c r="O733" s="76">
        <f>$L$733-EFEITO!$O$733*EFEITO!$AA$733</f>
        <v>-296.22329739629339</v>
      </c>
      <c r="P733" s="57"/>
      <c r="Q733" s="57"/>
      <c r="R733" s="57"/>
      <c r="S733" s="57"/>
      <c r="T733" s="57"/>
      <c r="U733" s="57"/>
      <c r="V733" s="57"/>
      <c r="W733" s="57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3" t="s">
        <v>54</v>
      </c>
      <c r="B734" s="53" t="s">
        <v>22</v>
      </c>
      <c r="C734" s="53" t="s">
        <v>23</v>
      </c>
      <c r="D734" s="53" t="s">
        <v>24</v>
      </c>
      <c r="E734" s="53" t="s">
        <v>30</v>
      </c>
      <c r="F734" s="53" t="s">
        <v>25</v>
      </c>
      <c r="G734" s="53" t="s">
        <v>25</v>
      </c>
      <c r="H734" s="53" t="s">
        <v>25</v>
      </c>
      <c r="I734" s="75">
        <v>44866</v>
      </c>
      <c r="J734" s="76">
        <f>EFEITO!$J$734*EFEITO!$Y$640</f>
        <v>0</v>
      </c>
      <c r="K734" s="76">
        <f ca="1">EFEITO!$L$734*EFEITO!$Z$760</f>
        <v>1032311.7684316374</v>
      </c>
      <c r="L734" s="76">
        <f>EFEITO!$N$734*EFEITO!$AA$760</f>
        <v>583085.7949279116</v>
      </c>
      <c r="M734" s="76">
        <f>$J$734-EFEITO!$K$734*EFEITO!$Y$734</f>
        <v>0</v>
      </c>
      <c r="N734" s="76">
        <f ca="1">$K$734-EFEITO!$M$734*EFEITO!$Z$734</f>
        <v>412924.70737265504</v>
      </c>
      <c r="O734" s="76">
        <f>$L$734-EFEITO!$O$734*EFEITO!$AA$734</f>
        <v>233234.31797116465</v>
      </c>
      <c r="P734" s="57"/>
      <c r="Q734" s="57"/>
      <c r="R734" s="57"/>
      <c r="S734" s="57"/>
      <c r="T734" s="57"/>
      <c r="U734" s="57"/>
      <c r="V734" s="57"/>
      <c r="W734" s="57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3" t="s">
        <v>54</v>
      </c>
      <c r="B735" s="53" t="s">
        <v>22</v>
      </c>
      <c r="C735" s="53" t="s">
        <v>23</v>
      </c>
      <c r="D735" s="53" t="s">
        <v>24</v>
      </c>
      <c r="E735" s="53" t="s">
        <v>30</v>
      </c>
      <c r="F735" s="53" t="s">
        <v>25</v>
      </c>
      <c r="G735" s="53" t="s">
        <v>25</v>
      </c>
      <c r="H735" s="53" t="s">
        <v>25</v>
      </c>
      <c r="I735" s="75">
        <v>44866</v>
      </c>
      <c r="J735" s="76">
        <f>EFEITO!$J$735*EFEITO!$Y$640</f>
        <v>0</v>
      </c>
      <c r="K735" s="76">
        <f ca="1">EFEITO!$L$735*EFEITO!$Z$760</f>
        <v>-1311.1054953054752</v>
      </c>
      <c r="L735" s="76">
        <f>EFEITO!$N$735*EFEITO!$AA$760</f>
        <v>-740.5582434907335</v>
      </c>
      <c r="M735" s="76">
        <f>$J$735-EFEITO!$K$735*EFEITO!$Y$735</f>
        <v>0</v>
      </c>
      <c r="N735" s="76">
        <f ca="1">$K$735-EFEITO!$M$735*EFEITO!$Z$735</f>
        <v>-524.44219812219012</v>
      </c>
      <c r="O735" s="76">
        <f>$L$735-EFEITO!$O$735*EFEITO!$AA$735</f>
        <v>-296.22329739629339</v>
      </c>
      <c r="P735" s="57"/>
      <c r="Q735" s="57"/>
      <c r="R735" s="57"/>
      <c r="S735" s="57"/>
      <c r="T735" s="57"/>
      <c r="U735" s="57"/>
      <c r="V735" s="57"/>
      <c r="W735" s="57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3" t="s">
        <v>21</v>
      </c>
      <c r="B736" s="53" t="s">
        <v>22</v>
      </c>
      <c r="C736" s="53" t="s">
        <v>23</v>
      </c>
      <c r="D736" s="53" t="s">
        <v>24</v>
      </c>
      <c r="E736" s="53" t="s">
        <v>31</v>
      </c>
      <c r="F736" s="53" t="s">
        <v>25</v>
      </c>
      <c r="G736" s="53" t="s">
        <v>25</v>
      </c>
      <c r="H736" s="53" t="s">
        <v>25</v>
      </c>
      <c r="I736" s="75">
        <v>44531</v>
      </c>
      <c r="J736" s="76">
        <f>EFEITO!$J$736*EFEITO!$Y$640</f>
        <v>0</v>
      </c>
      <c r="K736" s="76">
        <f ca="1">EFEITO!$L$736*EFEITO!$Z$760</f>
        <v>574985.93097516359</v>
      </c>
      <c r="L736" s="76">
        <f>EFEITO!$N$736*EFEITO!$AA$760</f>
        <v>324772.16562626144</v>
      </c>
      <c r="M736" s="76">
        <f>$J$736-EFEITO!$K$736*EFEITO!$Y$736</f>
        <v>0</v>
      </c>
      <c r="N736" s="76">
        <f ca="1">$K$736-EFEITO!$M$736*EFEITO!$Z$736</f>
        <v>57498.593097516336</v>
      </c>
      <c r="O736" s="76">
        <f>$L$736-EFEITO!$O$736*EFEITO!$AA$736</f>
        <v>32477.216562626127</v>
      </c>
      <c r="P736" s="57"/>
      <c r="Q736" s="57"/>
      <c r="R736" s="57"/>
      <c r="S736" s="57"/>
      <c r="T736" s="57"/>
      <c r="U736" s="57"/>
      <c r="V736" s="57"/>
      <c r="W736" s="57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3" t="s">
        <v>27</v>
      </c>
      <c r="B737" s="53" t="s">
        <v>22</v>
      </c>
      <c r="C737" s="53" t="s">
        <v>23</v>
      </c>
      <c r="D737" s="53" t="s">
        <v>24</v>
      </c>
      <c r="E737" s="53" t="s">
        <v>31</v>
      </c>
      <c r="F737" s="53" t="s">
        <v>25</v>
      </c>
      <c r="G737" s="53" t="s">
        <v>25</v>
      </c>
      <c r="H737" s="53" t="s">
        <v>25</v>
      </c>
      <c r="I737" s="75">
        <v>44531</v>
      </c>
      <c r="J737" s="76">
        <f>EFEITO!$J$737*EFEITO!$Y$640</f>
        <v>0</v>
      </c>
      <c r="K737" s="76">
        <f ca="1">EFEITO!$L$737*EFEITO!$Z$760</f>
        <v>-3098.7237183682296</v>
      </c>
      <c r="L737" s="76">
        <f>EFEITO!$N$737*EFEITO!$AA$760</f>
        <v>-1750.2675430425127</v>
      </c>
      <c r="M737" s="76">
        <f>$J$737-EFEITO!$K$737*EFEITO!$Y$737</f>
        <v>0</v>
      </c>
      <c r="N737" s="76">
        <f ca="1">$K$737-EFEITO!$M$737*EFEITO!$Z$737</f>
        <v>-309.87237183682282</v>
      </c>
      <c r="O737" s="76">
        <f>$L$737-EFEITO!$O$737*EFEITO!$AA$737</f>
        <v>-175.02675430425143</v>
      </c>
      <c r="P737" s="57"/>
      <c r="Q737" s="57"/>
      <c r="R737" s="57"/>
      <c r="S737" s="57"/>
      <c r="T737" s="57"/>
      <c r="U737" s="57"/>
      <c r="V737" s="57"/>
      <c r="W737" s="57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3" t="s">
        <v>21</v>
      </c>
      <c r="B738" s="53" t="s">
        <v>22</v>
      </c>
      <c r="C738" s="53" t="s">
        <v>23</v>
      </c>
      <c r="D738" s="53" t="s">
        <v>24</v>
      </c>
      <c r="E738" s="53" t="s">
        <v>31</v>
      </c>
      <c r="F738" s="53" t="s">
        <v>25</v>
      </c>
      <c r="G738" s="53" t="s">
        <v>25</v>
      </c>
      <c r="H738" s="53" t="s">
        <v>25</v>
      </c>
      <c r="I738" s="75">
        <v>44562</v>
      </c>
      <c r="J738" s="76">
        <f>EFEITO!$J$738*EFEITO!$Y$640</f>
        <v>0</v>
      </c>
      <c r="K738" s="76">
        <f ca="1">EFEITO!$L$738*EFEITO!$Z$760</f>
        <v>629407.34079621709</v>
      </c>
      <c r="L738" s="76">
        <f>EFEITO!$N$738*EFEITO!$AA$760</f>
        <v>355511.28144087299</v>
      </c>
      <c r="M738" s="76">
        <f>$J$738-EFEITO!$K$738*EFEITO!$Y$738</f>
        <v>0</v>
      </c>
      <c r="N738" s="76">
        <f ca="1">$K$738-EFEITO!$M$738*EFEITO!$Z$738</f>
        <v>62940.734079621732</v>
      </c>
      <c r="O738" s="76">
        <f>$L$738-EFEITO!$O$738*EFEITO!$AA$738</f>
        <v>35551.12814408727</v>
      </c>
      <c r="P738" s="57"/>
      <c r="Q738" s="57"/>
      <c r="R738" s="57"/>
      <c r="S738" s="57"/>
      <c r="T738" s="57"/>
      <c r="U738" s="57"/>
      <c r="V738" s="57"/>
      <c r="W738" s="57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3" t="s">
        <v>27</v>
      </c>
      <c r="B739" s="53" t="s">
        <v>22</v>
      </c>
      <c r="C739" s="53" t="s">
        <v>23</v>
      </c>
      <c r="D739" s="53" t="s">
        <v>24</v>
      </c>
      <c r="E739" s="53" t="s">
        <v>31</v>
      </c>
      <c r="F739" s="53" t="s">
        <v>25</v>
      </c>
      <c r="G739" s="53" t="s">
        <v>25</v>
      </c>
      <c r="H739" s="53" t="s">
        <v>25</v>
      </c>
      <c r="I739" s="75">
        <v>44562</v>
      </c>
      <c r="J739" s="76">
        <f>EFEITO!$J$739*EFEITO!$Y$640</f>
        <v>0</v>
      </c>
      <c r="K739" s="76">
        <f ca="1">EFEITO!$L$739*EFEITO!$Z$760</f>
        <v>-5912.0961952604575</v>
      </c>
      <c r="L739" s="76">
        <f>EFEITO!$N$739*EFEITO!$AA$760</f>
        <v>-3339.3587239066842</v>
      </c>
      <c r="M739" s="76">
        <f>$J$739-EFEITO!$K$739*EFEITO!$Y$739</f>
        <v>0</v>
      </c>
      <c r="N739" s="76">
        <f ca="1">$K$739-EFEITO!$M$739*EFEITO!$Z$739</f>
        <v>-591.20961952604648</v>
      </c>
      <c r="O739" s="76">
        <f>$L$739-EFEITO!$O$739*EFEITO!$AA$739</f>
        <v>-333.93587239066846</v>
      </c>
      <c r="P739" s="57"/>
      <c r="Q739" s="57"/>
      <c r="R739" s="57"/>
      <c r="S739" s="57"/>
      <c r="T739" s="57"/>
      <c r="U739" s="57"/>
      <c r="V739" s="57"/>
      <c r="W739" s="57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3" t="s">
        <v>21</v>
      </c>
      <c r="B740" s="53" t="s">
        <v>22</v>
      </c>
      <c r="C740" s="53" t="s">
        <v>23</v>
      </c>
      <c r="D740" s="53" t="s">
        <v>24</v>
      </c>
      <c r="E740" s="53" t="s">
        <v>31</v>
      </c>
      <c r="F740" s="53" t="s">
        <v>25</v>
      </c>
      <c r="G740" s="53" t="s">
        <v>25</v>
      </c>
      <c r="H740" s="53" t="s">
        <v>25</v>
      </c>
      <c r="I740" s="75">
        <v>44593</v>
      </c>
      <c r="J740" s="76">
        <f>EFEITO!$J$740*EFEITO!$Y$640</f>
        <v>0</v>
      </c>
      <c r="K740" s="76">
        <f ca="1">EFEITO!$L$740*EFEITO!$Z$760</f>
        <v>597143.57410331338</v>
      </c>
      <c r="L740" s="76">
        <f>EFEITO!$N$740*EFEITO!$AA$760</f>
        <v>337287.5774932935</v>
      </c>
      <c r="M740" s="76">
        <f>$J$740-EFEITO!$K$740*EFEITO!$Y$740</f>
        <v>0</v>
      </c>
      <c r="N740" s="76">
        <f ca="1">$K$740-EFEITO!$M$740*EFEITO!$Z$740</f>
        <v>59714.357410331373</v>
      </c>
      <c r="O740" s="76">
        <f>$L$740-EFEITO!$O$740*EFEITO!$AA$740</f>
        <v>33728.757749329321</v>
      </c>
      <c r="P740" s="57"/>
      <c r="Q740" s="57"/>
      <c r="R740" s="57"/>
      <c r="S740" s="57"/>
      <c r="T740" s="57"/>
      <c r="U740" s="57"/>
      <c r="V740" s="57"/>
      <c r="W740" s="57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3" t="s">
        <v>27</v>
      </c>
      <c r="B741" s="53" t="s">
        <v>22</v>
      </c>
      <c r="C741" s="53" t="s">
        <v>23</v>
      </c>
      <c r="D741" s="53" t="s">
        <v>24</v>
      </c>
      <c r="E741" s="53" t="s">
        <v>31</v>
      </c>
      <c r="F741" s="53" t="s">
        <v>25</v>
      </c>
      <c r="G741" s="53" t="s">
        <v>25</v>
      </c>
      <c r="H741" s="53" t="s">
        <v>25</v>
      </c>
      <c r="I741" s="75">
        <v>44593</v>
      </c>
      <c r="J741" s="76">
        <f>EFEITO!$J$741*EFEITO!$Y$640</f>
        <v>0</v>
      </c>
      <c r="K741" s="76">
        <f ca="1">EFEITO!$L$741*EFEITO!$Z$760</f>
        <v>-4218.2703022650239</v>
      </c>
      <c r="L741" s="76">
        <f>EFEITO!$N$741*EFEITO!$AA$760</f>
        <v>-2382.6266130374797</v>
      </c>
      <c r="M741" s="76">
        <f>$J$741-EFEITO!$K$741*EFEITO!$Y$741</f>
        <v>0</v>
      </c>
      <c r="N741" s="76">
        <f ca="1">$K$741-EFEITO!$M$741*EFEITO!$Z$741</f>
        <v>-421.8270302265023</v>
      </c>
      <c r="O741" s="76">
        <f>$L$741-EFEITO!$O$741*EFEITO!$AA$741</f>
        <v>-238.26266130374779</v>
      </c>
      <c r="P741" s="57"/>
      <c r="Q741" s="57"/>
      <c r="R741" s="57"/>
      <c r="S741" s="57"/>
      <c r="T741" s="57"/>
      <c r="U741" s="57"/>
      <c r="V741" s="57"/>
      <c r="W741" s="57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3" t="s">
        <v>21</v>
      </c>
      <c r="B742" s="53" t="s">
        <v>22</v>
      </c>
      <c r="C742" s="53" t="s">
        <v>23</v>
      </c>
      <c r="D742" s="53" t="s">
        <v>24</v>
      </c>
      <c r="E742" s="53" t="s">
        <v>31</v>
      </c>
      <c r="F742" s="53" t="s">
        <v>25</v>
      </c>
      <c r="G742" s="53" t="s">
        <v>25</v>
      </c>
      <c r="H742" s="53" t="s">
        <v>25</v>
      </c>
      <c r="I742" s="75">
        <v>44621</v>
      </c>
      <c r="J742" s="76">
        <f>EFEITO!$J$742*EFEITO!$Y$640</f>
        <v>0</v>
      </c>
      <c r="K742" s="76">
        <f ca="1">EFEITO!$L$742*EFEITO!$Z$760</f>
        <v>635218.88843424432</v>
      </c>
      <c r="L742" s="76">
        <f>EFEITO!$N$742*EFEITO!$AA$760</f>
        <v>358793.84682267508</v>
      </c>
      <c r="M742" s="76">
        <f>$J$742-EFEITO!$K$742*EFEITO!$Y$742</f>
        <v>0</v>
      </c>
      <c r="N742" s="76">
        <f ca="1">$K$742-EFEITO!$M$742*EFEITO!$Z$742</f>
        <v>63521.888843424385</v>
      </c>
      <c r="O742" s="76">
        <f>$L$742-EFEITO!$O$742*EFEITO!$AA$742</f>
        <v>35879.384682267555</v>
      </c>
      <c r="P742" s="57"/>
      <c r="Q742" s="57"/>
      <c r="R742" s="57"/>
      <c r="S742" s="57"/>
      <c r="T742" s="57"/>
      <c r="U742" s="57"/>
      <c r="V742" s="57"/>
      <c r="W742" s="57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3" t="s">
        <v>27</v>
      </c>
      <c r="B743" s="53" t="s">
        <v>22</v>
      </c>
      <c r="C743" s="53" t="s">
        <v>23</v>
      </c>
      <c r="D743" s="53" t="s">
        <v>24</v>
      </c>
      <c r="E743" s="53" t="s">
        <v>31</v>
      </c>
      <c r="F743" s="53" t="s">
        <v>25</v>
      </c>
      <c r="G743" s="53" t="s">
        <v>25</v>
      </c>
      <c r="H743" s="53" t="s">
        <v>25</v>
      </c>
      <c r="I743" s="75">
        <v>44621</v>
      </c>
      <c r="J743" s="76">
        <f>EFEITO!$J$743*EFEITO!$Y$640</f>
        <v>0</v>
      </c>
      <c r="K743" s="76">
        <f ca="1">EFEITO!$L$743*EFEITO!$Z$760</f>
        <v>-7261.7519279241105</v>
      </c>
      <c r="L743" s="76">
        <f>EFEITO!$N$743*EFEITO!$AA$760</f>
        <v>-4101.6914898644081</v>
      </c>
      <c r="M743" s="76">
        <f>$J$743-EFEITO!$K$743*EFEITO!$Y$743</f>
        <v>0</v>
      </c>
      <c r="N743" s="76">
        <f ca="1">$K$743-EFEITO!$M$743*EFEITO!$Z$743</f>
        <v>-726.1751927924106</v>
      </c>
      <c r="O743" s="76">
        <f>$L$743-EFEITO!$O$743*EFEITO!$AA$743</f>
        <v>-410.16914898644109</v>
      </c>
      <c r="P743" s="57"/>
      <c r="Q743" s="57"/>
      <c r="R743" s="57"/>
      <c r="S743" s="57"/>
      <c r="T743" s="57"/>
      <c r="U743" s="57"/>
      <c r="V743" s="57"/>
      <c r="W743" s="57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3" t="s">
        <v>21</v>
      </c>
      <c r="B744" s="53" t="s">
        <v>22</v>
      </c>
      <c r="C744" s="53" t="s">
        <v>23</v>
      </c>
      <c r="D744" s="53" t="s">
        <v>24</v>
      </c>
      <c r="E744" s="53" t="s">
        <v>31</v>
      </c>
      <c r="F744" s="53" t="s">
        <v>25</v>
      </c>
      <c r="G744" s="53" t="s">
        <v>25</v>
      </c>
      <c r="H744" s="53" t="s">
        <v>25</v>
      </c>
      <c r="I744" s="75">
        <v>44652</v>
      </c>
      <c r="J744" s="76">
        <f>EFEITO!$J$744*EFEITO!$Y$640</f>
        <v>0</v>
      </c>
      <c r="K744" s="76">
        <f ca="1">EFEITO!$L$744*EFEITO!$Z$760</f>
        <v>663499.66050030605</v>
      </c>
      <c r="L744" s="76">
        <f>EFEITO!$N$744*EFEITO!$AA$760</f>
        <v>374767.81608814967</v>
      </c>
      <c r="M744" s="76">
        <f>$J$744-EFEITO!$K$744*EFEITO!$Y$744</f>
        <v>0</v>
      </c>
      <c r="N744" s="76">
        <f ca="1">$K$744-EFEITO!$M$744*EFEITO!$Z$744</f>
        <v>66349.966050030547</v>
      </c>
      <c r="O744" s="76">
        <f>$L$744-EFEITO!$O$744*EFEITO!$AA$744</f>
        <v>37476.781608815014</v>
      </c>
      <c r="P744" s="57"/>
      <c r="Q744" s="57"/>
      <c r="R744" s="57"/>
      <c r="S744" s="57"/>
      <c r="T744" s="57"/>
      <c r="U744" s="57"/>
      <c r="V744" s="57"/>
      <c r="W744" s="57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3" t="s">
        <v>27</v>
      </c>
      <c r="B745" s="53" t="s">
        <v>22</v>
      </c>
      <c r="C745" s="53" t="s">
        <v>23</v>
      </c>
      <c r="D745" s="53" t="s">
        <v>24</v>
      </c>
      <c r="E745" s="53" t="s">
        <v>31</v>
      </c>
      <c r="F745" s="53" t="s">
        <v>25</v>
      </c>
      <c r="G745" s="53" t="s">
        <v>25</v>
      </c>
      <c r="H745" s="53" t="s">
        <v>25</v>
      </c>
      <c r="I745" s="75">
        <v>44652</v>
      </c>
      <c r="J745" s="76">
        <f>EFEITO!$J$745*EFEITO!$Y$640</f>
        <v>0</v>
      </c>
      <c r="K745" s="76">
        <f ca="1">EFEITO!$L$745*EFEITO!$Z$760</f>
        <v>-8958.7572219387766</v>
      </c>
      <c r="L745" s="76">
        <f>EFEITO!$N$745*EFEITO!$AA$760</f>
        <v>-5060.2194376381076</v>
      </c>
      <c r="M745" s="76">
        <f>$J$745-EFEITO!$K$745*EFEITO!$Y$745</f>
        <v>0</v>
      </c>
      <c r="N745" s="76">
        <f ca="1">$K$745-EFEITO!$M$745*EFEITO!$Z$745</f>
        <v>-895.87572219387766</v>
      </c>
      <c r="O745" s="76">
        <f>$L$745-EFEITO!$O$745*EFEITO!$AA$745</f>
        <v>-506.02194376381067</v>
      </c>
      <c r="P745" s="57"/>
      <c r="Q745" s="57"/>
      <c r="R745" s="57"/>
      <c r="S745" s="57"/>
      <c r="T745" s="57"/>
      <c r="U745" s="57"/>
      <c r="V745" s="57"/>
      <c r="W745" s="57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3" t="s">
        <v>21</v>
      </c>
      <c r="B746" s="53" t="s">
        <v>22</v>
      </c>
      <c r="C746" s="53" t="s">
        <v>23</v>
      </c>
      <c r="D746" s="53" t="s">
        <v>24</v>
      </c>
      <c r="E746" s="53" t="s">
        <v>31</v>
      </c>
      <c r="F746" s="53" t="s">
        <v>25</v>
      </c>
      <c r="G746" s="53" t="s">
        <v>25</v>
      </c>
      <c r="H746" s="53" t="s">
        <v>25</v>
      </c>
      <c r="I746" s="75">
        <v>44682</v>
      </c>
      <c r="J746" s="76">
        <f>EFEITO!$J$746*EFEITO!$Y$640</f>
        <v>0</v>
      </c>
      <c r="K746" s="76">
        <f ca="1">EFEITO!$L$746*EFEITO!$Z$760</f>
        <v>706086.94230265345</v>
      </c>
      <c r="L746" s="76">
        <f>EFEITO!$N$746*EFEITO!$AA$760</f>
        <v>398822.6024646213</v>
      </c>
      <c r="M746" s="76">
        <f>$J$746-EFEITO!$K$746*EFEITO!$Y$746</f>
        <v>0</v>
      </c>
      <c r="N746" s="76">
        <f ca="1">$K$746-EFEITO!$M$746*EFEITO!$Z$746</f>
        <v>70608.694230265333</v>
      </c>
      <c r="O746" s="76">
        <f>$L$746-EFEITO!$O$746*EFEITO!$AA$746</f>
        <v>39882.26024646213</v>
      </c>
      <c r="P746" s="57"/>
      <c r="Q746" s="57"/>
      <c r="R746" s="57"/>
      <c r="S746" s="57"/>
      <c r="T746" s="57"/>
      <c r="U746" s="57"/>
      <c r="V746" s="57"/>
      <c r="W746" s="57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3" t="s">
        <v>27</v>
      </c>
      <c r="B747" s="53" t="s">
        <v>22</v>
      </c>
      <c r="C747" s="53" t="s">
        <v>23</v>
      </c>
      <c r="D747" s="53" t="s">
        <v>24</v>
      </c>
      <c r="E747" s="53" t="s">
        <v>31</v>
      </c>
      <c r="F747" s="53" t="s">
        <v>25</v>
      </c>
      <c r="G747" s="53" t="s">
        <v>25</v>
      </c>
      <c r="H747" s="53" t="s">
        <v>25</v>
      </c>
      <c r="I747" s="75">
        <v>44682</v>
      </c>
      <c r="J747" s="76">
        <f>EFEITO!$J$747*EFEITO!$Y$640</f>
        <v>0</v>
      </c>
      <c r="K747" s="76">
        <f ca="1">EFEITO!$L$747*EFEITO!$Z$760</f>
        <v>-5280.5876678156565</v>
      </c>
      <c r="L747" s="76">
        <f>EFEITO!$N$747*EFEITO!$AA$760</f>
        <v>-2982.660618751554</v>
      </c>
      <c r="M747" s="76">
        <f>$J$747-EFEITO!$K$747*EFEITO!$Y$747</f>
        <v>0</v>
      </c>
      <c r="N747" s="76">
        <f ca="1">$K$747-EFEITO!$M$747*EFEITO!$Z$747</f>
        <v>-528.05876678156619</v>
      </c>
      <c r="O747" s="76">
        <f>$L$747-EFEITO!$O$747*EFEITO!$AA$747</f>
        <v>-298.26606187515517</v>
      </c>
      <c r="P747" s="57"/>
      <c r="Q747" s="57"/>
      <c r="R747" s="57"/>
      <c r="S747" s="57"/>
      <c r="T747" s="57"/>
      <c r="U747" s="57"/>
      <c r="V747" s="57"/>
      <c r="W747" s="57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3" t="s">
        <v>21</v>
      </c>
      <c r="B748" s="53" t="s">
        <v>22</v>
      </c>
      <c r="C748" s="53" t="s">
        <v>23</v>
      </c>
      <c r="D748" s="53" t="s">
        <v>24</v>
      </c>
      <c r="E748" s="53" t="s">
        <v>31</v>
      </c>
      <c r="F748" s="53" t="s">
        <v>25</v>
      </c>
      <c r="G748" s="53" t="s">
        <v>25</v>
      </c>
      <c r="H748" s="53" t="s">
        <v>25</v>
      </c>
      <c r="I748" s="75">
        <v>44713</v>
      </c>
      <c r="J748" s="76">
        <f>EFEITO!$J$748*EFEITO!$Y$640</f>
        <v>0</v>
      </c>
      <c r="K748" s="76">
        <f ca="1">EFEITO!$L$748*EFEITO!$Z$760</f>
        <v>753056.63098488364</v>
      </c>
      <c r="L748" s="76">
        <f>EFEITO!$N$748*EFEITO!$AA$760</f>
        <v>425352.72553432494</v>
      </c>
      <c r="M748" s="76">
        <f>$J$748-EFEITO!$K$748*EFEITO!$Y$748</f>
        <v>0</v>
      </c>
      <c r="N748" s="76">
        <f ca="1">$K$748-EFEITO!$M$748*EFEITO!$Z$748</f>
        <v>75305.663098488352</v>
      </c>
      <c r="O748" s="76">
        <f>$L$748-EFEITO!$O$748*EFEITO!$AA$748</f>
        <v>42535.2725534325</v>
      </c>
      <c r="P748" s="57"/>
      <c r="Q748" s="57"/>
      <c r="R748" s="57"/>
      <c r="S748" s="57"/>
      <c r="T748" s="57"/>
      <c r="U748" s="57"/>
      <c r="V748" s="57"/>
      <c r="W748" s="57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3" t="s">
        <v>27</v>
      </c>
      <c r="B749" s="53" t="s">
        <v>22</v>
      </c>
      <c r="C749" s="53" t="s">
        <v>23</v>
      </c>
      <c r="D749" s="53" t="s">
        <v>24</v>
      </c>
      <c r="E749" s="53" t="s">
        <v>31</v>
      </c>
      <c r="F749" s="53" t="s">
        <v>25</v>
      </c>
      <c r="G749" s="53" t="s">
        <v>25</v>
      </c>
      <c r="H749" s="53" t="s">
        <v>25</v>
      </c>
      <c r="I749" s="75">
        <v>44713</v>
      </c>
      <c r="J749" s="76">
        <f>EFEITO!$J$749*EFEITO!$Y$640</f>
        <v>0</v>
      </c>
      <c r="K749" s="76">
        <f ca="1">EFEITO!$L$749*EFEITO!$Z$760</f>
        <v>-2927.4334884571476</v>
      </c>
      <c r="L749" s="76">
        <f>EFEITO!$N$749*EFEITO!$AA$760</f>
        <v>-1653.5168298128956</v>
      </c>
      <c r="M749" s="76">
        <f>$J$749-EFEITO!$K$749*EFEITO!$Y$749</f>
        <v>0</v>
      </c>
      <c r="N749" s="76">
        <f ca="1">$K$749-EFEITO!$M$749*EFEITO!$Z$749</f>
        <v>-292.74334884571499</v>
      </c>
      <c r="O749" s="76">
        <f>$L$749-EFEITO!$O$749*EFEITO!$AA$749</f>
        <v>-165.35168298128951</v>
      </c>
      <c r="P749" s="57"/>
      <c r="Q749" s="57"/>
      <c r="R749" s="57"/>
      <c r="S749" s="57"/>
      <c r="T749" s="57"/>
      <c r="U749" s="57"/>
      <c r="V749" s="57"/>
      <c r="W749" s="57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3" t="s">
        <v>21</v>
      </c>
      <c r="B750" s="53" t="s">
        <v>22</v>
      </c>
      <c r="C750" s="53" t="s">
        <v>23</v>
      </c>
      <c r="D750" s="53" t="s">
        <v>24</v>
      </c>
      <c r="E750" s="53" t="s">
        <v>31</v>
      </c>
      <c r="F750" s="53" t="s">
        <v>25</v>
      </c>
      <c r="G750" s="53" t="s">
        <v>25</v>
      </c>
      <c r="H750" s="53" t="s">
        <v>25</v>
      </c>
      <c r="I750" s="75">
        <v>44743</v>
      </c>
      <c r="J750" s="76">
        <f>EFEITO!$J$750*EFEITO!$Y$640</f>
        <v>0</v>
      </c>
      <c r="K750" s="76">
        <f ca="1">EFEITO!$L$750*EFEITO!$Z$760</f>
        <v>781001.97624341655</v>
      </c>
      <c r="L750" s="76">
        <f>EFEITO!$N$750*EFEITO!$AA$760</f>
        <v>441137.23400637537</v>
      </c>
      <c r="M750" s="76">
        <f>$J$750-EFEITO!$K$750*EFEITO!$Y$750</f>
        <v>0</v>
      </c>
      <c r="N750" s="76">
        <f ca="1">$K$750-EFEITO!$M$750*EFEITO!$Z$750</f>
        <v>78100.197624341701</v>
      </c>
      <c r="O750" s="76">
        <f>$L$750-EFEITO!$O$750*EFEITO!$AA$750</f>
        <v>44113.723400637507</v>
      </c>
      <c r="P750" s="57"/>
      <c r="Q750" s="57"/>
      <c r="R750" s="57"/>
      <c r="S750" s="57"/>
      <c r="T750" s="57"/>
      <c r="U750" s="57"/>
      <c r="V750" s="57"/>
      <c r="W750" s="57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3" t="s">
        <v>27</v>
      </c>
      <c r="B751" s="53" t="s">
        <v>22</v>
      </c>
      <c r="C751" s="53" t="s">
        <v>23</v>
      </c>
      <c r="D751" s="53" t="s">
        <v>24</v>
      </c>
      <c r="E751" s="53" t="s">
        <v>31</v>
      </c>
      <c r="F751" s="53" t="s">
        <v>25</v>
      </c>
      <c r="G751" s="53" t="s">
        <v>25</v>
      </c>
      <c r="H751" s="53" t="s">
        <v>25</v>
      </c>
      <c r="I751" s="75">
        <v>44743</v>
      </c>
      <c r="J751" s="76">
        <f>EFEITO!$J$751*EFEITO!$Y$640</f>
        <v>0</v>
      </c>
      <c r="K751" s="76">
        <f ca="1">EFEITO!$L$751*EFEITO!$Z$760</f>
        <v>-2674.2736823008618</v>
      </c>
      <c r="L751" s="76">
        <f>EFEITO!$N$751*EFEITO!$AA$760</f>
        <v>-1510.5233162925572</v>
      </c>
      <c r="M751" s="76">
        <f>$J$751-EFEITO!$K$751*EFEITO!$Y$751</f>
        <v>0</v>
      </c>
      <c r="N751" s="76">
        <f ca="1">$K$751-EFEITO!$M$751*EFEITO!$Z$751</f>
        <v>-267.42736823008636</v>
      </c>
      <c r="O751" s="76">
        <f>$L$751-EFEITO!$O$751*EFEITO!$AA$751</f>
        <v>-151.05233162925583</v>
      </c>
      <c r="P751" s="57"/>
      <c r="Q751" s="57"/>
      <c r="R751" s="57"/>
      <c r="S751" s="57"/>
      <c r="T751" s="57"/>
      <c r="U751" s="57"/>
      <c r="V751" s="57"/>
      <c r="W751" s="57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3" t="s">
        <v>21</v>
      </c>
      <c r="B752" s="53" t="s">
        <v>22</v>
      </c>
      <c r="C752" s="53" t="s">
        <v>23</v>
      </c>
      <c r="D752" s="53" t="s">
        <v>24</v>
      </c>
      <c r="E752" s="53" t="s">
        <v>31</v>
      </c>
      <c r="F752" s="53" t="s">
        <v>25</v>
      </c>
      <c r="G752" s="53" t="s">
        <v>25</v>
      </c>
      <c r="H752" s="53" t="s">
        <v>25</v>
      </c>
      <c r="I752" s="75">
        <v>44774</v>
      </c>
      <c r="J752" s="76">
        <f>EFEITO!$J$752*EFEITO!$Y$640</f>
        <v>0</v>
      </c>
      <c r="K752" s="76">
        <f ca="1">EFEITO!$L$752*EFEITO!$Z$760</f>
        <v>853768.92737056164</v>
      </c>
      <c r="L752" s="76">
        <f>EFEITO!$N$752*EFEITO!$AA$760</f>
        <v>482238.55323953071</v>
      </c>
      <c r="M752" s="76">
        <f>$J$752-EFEITO!$K$752*EFEITO!$Y$752</f>
        <v>0</v>
      </c>
      <c r="N752" s="76">
        <f ca="1">$K$752-EFEITO!$M$752*EFEITO!$Z$752</f>
        <v>85376.892737056245</v>
      </c>
      <c r="O752" s="76">
        <f>$L$752-EFEITO!$O$752*EFEITO!$AA$752</f>
        <v>48223.85532395303</v>
      </c>
      <c r="P752" s="57"/>
      <c r="Q752" s="57"/>
      <c r="R752" s="57"/>
      <c r="S752" s="57"/>
      <c r="T752" s="57"/>
      <c r="U752" s="57"/>
      <c r="V752" s="57"/>
      <c r="W752" s="57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3" t="s">
        <v>27</v>
      </c>
      <c r="B753" s="53" t="s">
        <v>22</v>
      </c>
      <c r="C753" s="53" t="s">
        <v>23</v>
      </c>
      <c r="D753" s="53" t="s">
        <v>24</v>
      </c>
      <c r="E753" s="53" t="s">
        <v>31</v>
      </c>
      <c r="F753" s="53" t="s">
        <v>25</v>
      </c>
      <c r="G753" s="53" t="s">
        <v>25</v>
      </c>
      <c r="H753" s="53" t="s">
        <v>25</v>
      </c>
      <c r="I753" s="75">
        <v>44774</v>
      </c>
      <c r="J753" s="76">
        <f>EFEITO!$J$753*EFEITO!$Y$640</f>
        <v>0</v>
      </c>
      <c r="K753" s="76">
        <f ca="1">EFEITO!$L$753*EFEITO!$Z$760</f>
        <v>-6944.2092511283927</v>
      </c>
      <c r="L753" s="76">
        <f>EFEITO!$N$753*EFEITO!$AA$760</f>
        <v>-3922.3322790280649</v>
      </c>
      <c r="M753" s="76">
        <f>$J$753-EFEITO!$K$753*EFEITO!$Y$753</f>
        <v>0</v>
      </c>
      <c r="N753" s="76">
        <f ca="1">$K$753-EFEITO!$M$753*EFEITO!$Z$753</f>
        <v>-694.42092511283954</v>
      </c>
      <c r="O753" s="76">
        <f>$L$753-EFEITO!$O$753*EFEITO!$AA$753</f>
        <v>-392.23322790280645</v>
      </c>
      <c r="P753" s="57"/>
      <c r="Q753" s="57"/>
      <c r="R753" s="57"/>
      <c r="S753" s="57"/>
      <c r="T753" s="57"/>
      <c r="U753" s="57"/>
      <c r="V753" s="57"/>
      <c r="W753" s="57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3" t="s">
        <v>21</v>
      </c>
      <c r="B754" s="53" t="s">
        <v>22</v>
      </c>
      <c r="C754" s="53" t="s">
        <v>23</v>
      </c>
      <c r="D754" s="53" t="s">
        <v>24</v>
      </c>
      <c r="E754" s="53" t="s">
        <v>31</v>
      </c>
      <c r="F754" s="53" t="s">
        <v>25</v>
      </c>
      <c r="G754" s="53" t="s">
        <v>25</v>
      </c>
      <c r="H754" s="53" t="s">
        <v>25</v>
      </c>
      <c r="I754" s="75">
        <v>44805</v>
      </c>
      <c r="J754" s="76">
        <f>EFEITO!$J$754*EFEITO!$Y$640</f>
        <v>0</v>
      </c>
      <c r="K754" s="76">
        <f ca="1">EFEITO!$L$754*EFEITO!$Z$760</f>
        <v>985167.21269334946</v>
      </c>
      <c r="L754" s="76">
        <f>EFEITO!$N$754*EFEITO!$AA$760</f>
        <v>556456.9008284607</v>
      </c>
      <c r="M754" s="76">
        <f>$J$754-EFEITO!$K$754*EFEITO!$Y$754</f>
        <v>0</v>
      </c>
      <c r="N754" s="76">
        <f ca="1">$K$754-EFEITO!$M$754*EFEITO!$Z$754</f>
        <v>98516.721269334899</v>
      </c>
      <c r="O754" s="76">
        <f>$L$754-EFEITO!$O$754*EFEITO!$AA$754</f>
        <v>55645.690082846035</v>
      </c>
      <c r="P754" s="57"/>
      <c r="Q754" s="57"/>
      <c r="R754" s="57"/>
      <c r="S754" s="57"/>
      <c r="T754" s="57"/>
      <c r="U754" s="57"/>
      <c r="V754" s="57"/>
      <c r="W754" s="57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3" t="s">
        <v>27</v>
      </c>
      <c r="B755" s="53" t="s">
        <v>22</v>
      </c>
      <c r="C755" s="53" t="s">
        <v>23</v>
      </c>
      <c r="D755" s="53" t="s">
        <v>24</v>
      </c>
      <c r="E755" s="53" t="s">
        <v>31</v>
      </c>
      <c r="F755" s="53" t="s">
        <v>25</v>
      </c>
      <c r="G755" s="53" t="s">
        <v>25</v>
      </c>
      <c r="H755" s="53" t="s">
        <v>25</v>
      </c>
      <c r="I755" s="75">
        <v>44805</v>
      </c>
      <c r="J755" s="76">
        <f>EFEITO!$J$755*EFEITO!$Y$640</f>
        <v>0</v>
      </c>
      <c r="K755" s="76">
        <f ca="1">EFEITO!$L$755*EFEITO!$Z$760</f>
        <v>-2582.0710527431561</v>
      </c>
      <c r="L755" s="76">
        <f>EFEITO!$N$755*EFEITO!$AA$760</f>
        <v>-1458.4440460622295</v>
      </c>
      <c r="M755" s="76">
        <f>$J$755-EFEITO!$K$755*EFEITO!$Y$755</f>
        <v>0</v>
      </c>
      <c r="N755" s="76">
        <f ca="1">$K$755-EFEITO!$M$755*EFEITO!$Z$755</f>
        <v>-258.20710527431538</v>
      </c>
      <c r="O755" s="76">
        <f>$L$755-EFEITO!$O$755*EFEITO!$AA$755</f>
        <v>-145.84440460622295</v>
      </c>
      <c r="P755" s="57"/>
      <c r="Q755" s="57"/>
      <c r="R755" s="57"/>
      <c r="S755" s="57"/>
      <c r="T755" s="57"/>
      <c r="U755" s="57"/>
      <c r="V755" s="57"/>
      <c r="W755" s="57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3" t="s">
        <v>21</v>
      </c>
      <c r="B756" s="53" t="s">
        <v>22</v>
      </c>
      <c r="C756" s="53" t="s">
        <v>23</v>
      </c>
      <c r="D756" s="53" t="s">
        <v>24</v>
      </c>
      <c r="E756" s="53" t="s">
        <v>31</v>
      </c>
      <c r="F756" s="53" t="s">
        <v>25</v>
      </c>
      <c r="G756" s="53" t="s">
        <v>25</v>
      </c>
      <c r="H756" s="53" t="s">
        <v>25</v>
      </c>
      <c r="I756" s="75">
        <v>44835</v>
      </c>
      <c r="J756" s="76">
        <f>EFEITO!$J$756*EFEITO!$Y$640</f>
        <v>0</v>
      </c>
      <c r="K756" s="76">
        <f ca="1">EFEITO!$L$756*EFEITO!$Z$760</f>
        <v>1223383.8340592489</v>
      </c>
      <c r="L756" s="76">
        <f>EFEITO!$N$756*EFEITO!$AA$760</f>
        <v>691009.98089767736</v>
      </c>
      <c r="M756" s="76">
        <f>$J$756-EFEITO!$K$756*EFEITO!$Y$756</f>
        <v>0</v>
      </c>
      <c r="N756" s="76">
        <f ca="1">$K$756-EFEITO!$M$756*EFEITO!$Z$756</f>
        <v>122338.38340592501</v>
      </c>
      <c r="O756" s="76">
        <f>$L$756-EFEITO!$O$756*EFEITO!$AA$756</f>
        <v>69100.998089767643</v>
      </c>
      <c r="P756" s="57"/>
      <c r="Q756" s="57"/>
      <c r="R756" s="57"/>
      <c r="S756" s="57"/>
      <c r="T756" s="57"/>
      <c r="U756" s="57"/>
      <c r="V756" s="57"/>
      <c r="W756" s="57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3" t="s">
        <v>27</v>
      </c>
      <c r="B757" s="53" t="s">
        <v>22</v>
      </c>
      <c r="C757" s="53" t="s">
        <v>23</v>
      </c>
      <c r="D757" s="53" t="s">
        <v>24</v>
      </c>
      <c r="E757" s="53" t="s">
        <v>31</v>
      </c>
      <c r="F757" s="53" t="s">
        <v>25</v>
      </c>
      <c r="G757" s="53" t="s">
        <v>25</v>
      </c>
      <c r="H757" s="53" t="s">
        <v>25</v>
      </c>
      <c r="I757" s="75">
        <v>44835</v>
      </c>
      <c r="J757" s="76">
        <f>EFEITO!$J$757*EFEITO!$Y$640</f>
        <v>0</v>
      </c>
      <c r="K757" s="76">
        <f ca="1">EFEITO!$L$757*EFEITO!$Z$760</f>
        <v>-2438.9980068777509</v>
      </c>
      <c r="L757" s="76">
        <f>EFEITO!$N$757*EFEITO!$AA$760</f>
        <v>-1377.6313853599972</v>
      </c>
      <c r="M757" s="76">
        <f>$J$757-EFEITO!$K$757*EFEITO!$Y$757</f>
        <v>0</v>
      </c>
      <c r="N757" s="76">
        <f ca="1">$K$757-EFEITO!$M$757*EFEITO!$Z$757</f>
        <v>-243.89980068777504</v>
      </c>
      <c r="O757" s="76">
        <f>$L$757-EFEITO!$O$757*EFEITO!$AA$757</f>
        <v>-137.76313853599959</v>
      </c>
      <c r="P757" s="57"/>
      <c r="Q757" s="57"/>
      <c r="R757" s="57"/>
      <c r="S757" s="57"/>
      <c r="T757" s="57"/>
      <c r="U757" s="57"/>
      <c r="V757" s="57"/>
      <c r="W757" s="57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3" t="s">
        <v>54</v>
      </c>
      <c r="B758" s="53" t="s">
        <v>22</v>
      </c>
      <c r="C758" s="53" t="s">
        <v>23</v>
      </c>
      <c r="D758" s="53" t="s">
        <v>24</v>
      </c>
      <c r="E758" s="53" t="s">
        <v>31</v>
      </c>
      <c r="F758" s="53" t="s">
        <v>25</v>
      </c>
      <c r="G758" s="53" t="s">
        <v>25</v>
      </c>
      <c r="H758" s="53" t="s">
        <v>25</v>
      </c>
      <c r="I758" s="75">
        <v>44866</v>
      </c>
      <c r="J758" s="76">
        <f>EFEITO!$J$758*EFEITO!$Y$640</f>
        <v>0</v>
      </c>
      <c r="K758" s="76">
        <f ca="1">EFEITO!$L$758*EFEITO!$Z$760</f>
        <v>1223383.8340592489</v>
      </c>
      <c r="L758" s="76">
        <f>EFEITO!$N$758*EFEITO!$AA$760</f>
        <v>691009.98089767736</v>
      </c>
      <c r="M758" s="76">
        <f>$J$758-EFEITO!$K$758*EFEITO!$Y$758</f>
        <v>0</v>
      </c>
      <c r="N758" s="76">
        <f ca="1">$K$758-EFEITO!$M$758*EFEITO!$Z$758</f>
        <v>122338.38340592501</v>
      </c>
      <c r="O758" s="76">
        <f>$L$758-EFEITO!$O$758*EFEITO!$AA$758</f>
        <v>69100.998089767643</v>
      </c>
      <c r="P758" s="57"/>
      <c r="Q758" s="57"/>
      <c r="R758" s="57"/>
      <c r="S758" s="57"/>
      <c r="T758" s="57"/>
      <c r="U758" s="57"/>
      <c r="V758" s="57"/>
      <c r="W758" s="57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3" t="s">
        <v>54</v>
      </c>
      <c r="B759" s="53" t="s">
        <v>22</v>
      </c>
      <c r="C759" s="53" t="s">
        <v>23</v>
      </c>
      <c r="D759" s="53" t="s">
        <v>24</v>
      </c>
      <c r="E759" s="53" t="s">
        <v>31</v>
      </c>
      <c r="F759" s="53" t="s">
        <v>25</v>
      </c>
      <c r="G759" s="53" t="s">
        <v>25</v>
      </c>
      <c r="H759" s="53" t="s">
        <v>25</v>
      </c>
      <c r="I759" s="75">
        <v>44866</v>
      </c>
      <c r="J759" s="76">
        <f>EFEITO!$J$759*EFEITO!$Y$640</f>
        <v>0</v>
      </c>
      <c r="K759" s="76">
        <f ca="1">EFEITO!$L$759*EFEITO!$Z$760</f>
        <v>-2438.9980068777509</v>
      </c>
      <c r="L759" s="76">
        <f>EFEITO!$N$759*EFEITO!$AA$760</f>
        <v>-1377.6313853599972</v>
      </c>
      <c r="M759" s="76">
        <f>$J$759-EFEITO!$K$759*EFEITO!$Y$759</f>
        <v>0</v>
      </c>
      <c r="N759" s="76">
        <f ca="1">$K$759-EFEITO!$M$759*EFEITO!$Z$759</f>
        <v>-243.89980068777504</v>
      </c>
      <c r="O759" s="76">
        <f>$L$759-EFEITO!$O$759*EFEITO!$AA$759</f>
        <v>-137.76313853599959</v>
      </c>
      <c r="P759" s="57"/>
      <c r="Q759" s="57"/>
      <c r="R759" s="57"/>
      <c r="S759" s="57"/>
      <c r="T759" s="57"/>
      <c r="U759" s="57"/>
      <c r="V759" s="57"/>
      <c r="W759" s="57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3" t="s">
        <v>21</v>
      </c>
      <c r="B760" s="53" t="s">
        <v>22</v>
      </c>
      <c r="C760" s="53" t="s">
        <v>23</v>
      </c>
      <c r="D760" s="53" t="s">
        <v>24</v>
      </c>
      <c r="E760" s="53" t="s">
        <v>32</v>
      </c>
      <c r="F760" s="53" t="s">
        <v>25</v>
      </c>
      <c r="G760" s="53" t="s">
        <v>25</v>
      </c>
      <c r="H760" s="53" t="s">
        <v>25</v>
      </c>
      <c r="I760" s="75">
        <v>44531</v>
      </c>
      <c r="J760" s="76">
        <f>EFEITO!$J$760*EFEITO!$Y$640</f>
        <v>0</v>
      </c>
      <c r="K760" s="76">
        <f ca="1">EFEITO!$L$760*EFEITO!$Z$760</f>
        <v>714046.5727542988</v>
      </c>
      <c r="L760" s="76">
        <f>EFEITO!$N$760*EFEITO!$AA$760</f>
        <v>403318.48015502217</v>
      </c>
      <c r="M760" s="76">
        <f>$J$760-EFEITO!$K$760*EFEITO!$Y$760</f>
        <v>0</v>
      </c>
      <c r="N760" s="76">
        <f ca="1">$K$760-EFEITO!$M$760*EFEITO!$Z$760</f>
        <v>0</v>
      </c>
      <c r="O760" s="76">
        <f>$L$760-EFEITO!$O$760*EFEITO!$AA$760</f>
        <v>0</v>
      </c>
      <c r="P760" s="57"/>
      <c r="Q760" s="57"/>
      <c r="R760" s="57"/>
      <c r="S760" s="57"/>
      <c r="T760" s="57"/>
      <c r="U760" s="57"/>
      <c r="V760" s="57"/>
      <c r="W760" s="57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3" t="s">
        <v>27</v>
      </c>
      <c r="B761" s="53" t="s">
        <v>22</v>
      </c>
      <c r="C761" s="53" t="s">
        <v>23</v>
      </c>
      <c r="D761" s="53" t="s">
        <v>24</v>
      </c>
      <c r="E761" s="53" t="s">
        <v>32</v>
      </c>
      <c r="F761" s="53" t="s">
        <v>25</v>
      </c>
      <c r="G761" s="53" t="s">
        <v>25</v>
      </c>
      <c r="H761" s="53" t="s">
        <v>25</v>
      </c>
      <c r="I761" s="75">
        <v>44531</v>
      </c>
      <c r="J761" s="76">
        <f>EFEITO!$J$761*EFEITO!$Y$640</f>
        <v>0</v>
      </c>
      <c r="K761" s="76">
        <f ca="1">EFEITO!$L$761*EFEITO!$Z$760</f>
        <v>-5067.9652246545684</v>
      </c>
      <c r="L761" s="76">
        <f>EFEITO!$N$761*EFEITO!$AA$760</f>
        <v>-2862.5640257635146</v>
      </c>
      <c r="M761" s="76">
        <f>$J$761-EFEITO!$K$761*EFEITO!$Y$761</f>
        <v>0</v>
      </c>
      <c r="N761" s="76">
        <f ca="1">$K$761-EFEITO!$M$761*EFEITO!$Z$761</f>
        <v>0</v>
      </c>
      <c r="O761" s="76">
        <f>$L$761-EFEITO!$O$761*EFEITO!$AA$761</f>
        <v>0</v>
      </c>
      <c r="P761" s="57"/>
      <c r="Q761" s="57"/>
      <c r="R761" s="57"/>
      <c r="S761" s="57"/>
      <c r="T761" s="57"/>
      <c r="U761" s="57"/>
      <c r="V761" s="57"/>
      <c r="W761" s="57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3" t="s">
        <v>21</v>
      </c>
      <c r="B762" s="53" t="s">
        <v>22</v>
      </c>
      <c r="C762" s="53" t="s">
        <v>23</v>
      </c>
      <c r="D762" s="53" t="s">
        <v>24</v>
      </c>
      <c r="E762" s="53" t="s">
        <v>32</v>
      </c>
      <c r="F762" s="53" t="s">
        <v>25</v>
      </c>
      <c r="G762" s="53" t="s">
        <v>25</v>
      </c>
      <c r="H762" s="53" t="s">
        <v>25</v>
      </c>
      <c r="I762" s="75">
        <v>44562</v>
      </c>
      <c r="J762" s="76">
        <f>EFEITO!$J$762*EFEITO!$Y$640</f>
        <v>0</v>
      </c>
      <c r="K762" s="76">
        <f ca="1">EFEITO!$L$762*EFEITO!$Z$760</f>
        <v>733886.03511430172</v>
      </c>
      <c r="L762" s="76">
        <f>EFEITO!$N$762*EFEITO!$AA$760</f>
        <v>414524.50243906502</v>
      </c>
      <c r="M762" s="76">
        <f>$J$762-EFEITO!$K$762*EFEITO!$Y$762</f>
        <v>0</v>
      </c>
      <c r="N762" s="76">
        <f ca="1">$K$762-EFEITO!$M$762*EFEITO!$Z$762</f>
        <v>0</v>
      </c>
      <c r="O762" s="76">
        <f>$L$762-EFEITO!$O$762*EFEITO!$AA$762</f>
        <v>0</v>
      </c>
      <c r="P762" s="57"/>
      <c r="Q762" s="57"/>
      <c r="R762" s="57"/>
      <c r="S762" s="57"/>
      <c r="T762" s="57"/>
      <c r="U762" s="57"/>
      <c r="V762" s="57"/>
      <c r="W762" s="57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3" t="s">
        <v>27</v>
      </c>
      <c r="B763" s="53" t="s">
        <v>22</v>
      </c>
      <c r="C763" s="53" t="s">
        <v>23</v>
      </c>
      <c r="D763" s="53" t="s">
        <v>24</v>
      </c>
      <c r="E763" s="53" t="s">
        <v>32</v>
      </c>
      <c r="F763" s="53" t="s">
        <v>25</v>
      </c>
      <c r="G763" s="53" t="s">
        <v>25</v>
      </c>
      <c r="H763" s="53" t="s">
        <v>25</v>
      </c>
      <c r="I763" s="75">
        <v>44562</v>
      </c>
      <c r="J763" s="76">
        <f>EFEITO!$J$763*EFEITO!$Y$640</f>
        <v>0</v>
      </c>
      <c r="K763" s="76">
        <f ca="1">EFEITO!$L$763*EFEITO!$Z$760</f>
        <v>-22037.620739673814</v>
      </c>
      <c r="L763" s="76">
        <f>EFEITO!$N$763*EFEITO!$AA$760</f>
        <v>-12447.619023887441</v>
      </c>
      <c r="M763" s="76">
        <f>$J$763-EFEITO!$K$763*EFEITO!$Y$763</f>
        <v>0</v>
      </c>
      <c r="N763" s="76">
        <f ca="1">$K$763-EFEITO!$M$763*EFEITO!$Z$763</f>
        <v>0</v>
      </c>
      <c r="O763" s="76">
        <f>$L$763-EFEITO!$O$763*EFEITO!$AA$763</f>
        <v>0</v>
      </c>
      <c r="P763" s="57"/>
      <c r="Q763" s="57"/>
      <c r="R763" s="57"/>
      <c r="S763" s="57"/>
      <c r="T763" s="57"/>
      <c r="U763" s="57"/>
      <c r="V763" s="57"/>
      <c r="W763" s="57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3" t="s">
        <v>21</v>
      </c>
      <c r="B764" s="53" t="s">
        <v>22</v>
      </c>
      <c r="C764" s="53" t="s">
        <v>23</v>
      </c>
      <c r="D764" s="53" t="s">
        <v>24</v>
      </c>
      <c r="E764" s="53" t="s">
        <v>32</v>
      </c>
      <c r="F764" s="53" t="s">
        <v>25</v>
      </c>
      <c r="G764" s="53" t="s">
        <v>25</v>
      </c>
      <c r="H764" s="53" t="s">
        <v>25</v>
      </c>
      <c r="I764" s="75">
        <v>44593</v>
      </c>
      <c r="J764" s="76">
        <f>EFEITO!$J$764*EFEITO!$Y$640</f>
        <v>0</v>
      </c>
      <c r="K764" s="76">
        <f ca="1">EFEITO!$L$764*EFEITO!$Z$760</f>
        <v>567422.1359504126</v>
      </c>
      <c r="L764" s="76">
        <f>EFEITO!$N$764*EFEITO!$AA$760</f>
        <v>320499.86963047012</v>
      </c>
      <c r="M764" s="76">
        <f>$J$764-EFEITO!$K$764*EFEITO!$Y$764</f>
        <v>0</v>
      </c>
      <c r="N764" s="76">
        <f ca="1">$K$764-EFEITO!$M$764*EFEITO!$Z$764</f>
        <v>0</v>
      </c>
      <c r="O764" s="76">
        <f>$L$764-EFEITO!$O$764*EFEITO!$AA$764</f>
        <v>0</v>
      </c>
      <c r="P764" s="57"/>
      <c r="Q764" s="57"/>
      <c r="R764" s="57"/>
      <c r="S764" s="57"/>
      <c r="T764" s="57"/>
      <c r="U764" s="57"/>
      <c r="V764" s="57"/>
      <c r="W764" s="57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3" t="s">
        <v>27</v>
      </c>
      <c r="B765" s="53" t="s">
        <v>22</v>
      </c>
      <c r="C765" s="53" t="s">
        <v>23</v>
      </c>
      <c r="D765" s="53" t="s">
        <v>24</v>
      </c>
      <c r="E765" s="53" t="s">
        <v>32</v>
      </c>
      <c r="F765" s="53" t="s">
        <v>25</v>
      </c>
      <c r="G765" s="53" t="s">
        <v>25</v>
      </c>
      <c r="H765" s="53" t="s">
        <v>25</v>
      </c>
      <c r="I765" s="75">
        <v>44593</v>
      </c>
      <c r="J765" s="76">
        <f>EFEITO!$J$765*EFEITO!$Y$640</f>
        <v>0</v>
      </c>
      <c r="K765" s="76">
        <f ca="1">EFEITO!$L$765*EFEITO!$Z$760</f>
        <v>-23730.254357287035</v>
      </c>
      <c r="L765" s="76">
        <f>EFEITO!$N$765*EFEITO!$AA$760</f>
        <v>-13403.677695917459</v>
      </c>
      <c r="M765" s="76">
        <f>$J$765-EFEITO!$K$765*EFEITO!$Y$765</f>
        <v>0</v>
      </c>
      <c r="N765" s="76">
        <f ca="1">$K$765-EFEITO!$M$765*EFEITO!$Z$765</f>
        <v>0</v>
      </c>
      <c r="O765" s="76">
        <f>$L$765-EFEITO!$O$765*EFEITO!$AA$765</f>
        <v>0</v>
      </c>
      <c r="P765" s="57"/>
      <c r="Q765" s="57"/>
      <c r="R765" s="57"/>
      <c r="S765" s="57"/>
      <c r="T765" s="57"/>
      <c r="U765" s="57"/>
      <c r="V765" s="57"/>
      <c r="W765" s="57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3" t="s">
        <v>21</v>
      </c>
      <c r="B766" s="53" t="s">
        <v>22</v>
      </c>
      <c r="C766" s="53" t="s">
        <v>23</v>
      </c>
      <c r="D766" s="53" t="s">
        <v>24</v>
      </c>
      <c r="E766" s="53" t="s">
        <v>32</v>
      </c>
      <c r="F766" s="53" t="s">
        <v>25</v>
      </c>
      <c r="G766" s="53" t="s">
        <v>25</v>
      </c>
      <c r="H766" s="53" t="s">
        <v>25</v>
      </c>
      <c r="I766" s="75">
        <v>44621</v>
      </c>
      <c r="J766" s="76">
        <f>EFEITO!$J$766*EFEITO!$Y$640</f>
        <v>0</v>
      </c>
      <c r="K766" s="76">
        <f ca="1">EFEITO!$L$766*EFEITO!$Z$760</f>
        <v>663326.78056988528</v>
      </c>
      <c r="L766" s="76">
        <f>EFEITO!$N$766*EFEITO!$AA$760</f>
        <v>374670.16745646775</v>
      </c>
      <c r="M766" s="76">
        <f>$J$766-EFEITO!$K$766*EFEITO!$Y$766</f>
        <v>0</v>
      </c>
      <c r="N766" s="76">
        <f ca="1">$K$766-EFEITO!$M$766*EFEITO!$Z$766</f>
        <v>0</v>
      </c>
      <c r="O766" s="76">
        <f>$L$766-EFEITO!$O$766*EFEITO!$AA$766</f>
        <v>0</v>
      </c>
      <c r="P766" s="57"/>
      <c r="Q766" s="57"/>
      <c r="R766" s="57"/>
      <c r="S766" s="57"/>
      <c r="T766" s="57"/>
      <c r="U766" s="57"/>
      <c r="V766" s="57"/>
      <c r="W766" s="57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3" t="s">
        <v>27</v>
      </c>
      <c r="B767" s="53" t="s">
        <v>22</v>
      </c>
      <c r="C767" s="53" t="s">
        <v>23</v>
      </c>
      <c r="D767" s="53" t="s">
        <v>24</v>
      </c>
      <c r="E767" s="53" t="s">
        <v>32</v>
      </c>
      <c r="F767" s="53" t="s">
        <v>25</v>
      </c>
      <c r="G767" s="53" t="s">
        <v>25</v>
      </c>
      <c r="H767" s="53" t="s">
        <v>25</v>
      </c>
      <c r="I767" s="75">
        <v>44621</v>
      </c>
      <c r="J767" s="76">
        <f>EFEITO!$J$767*EFEITO!$Y$640</f>
        <v>0</v>
      </c>
      <c r="K767" s="76">
        <f ca="1">EFEITO!$L$767*EFEITO!$Z$760</f>
        <v>-65234.950112586215</v>
      </c>
      <c r="L767" s="76">
        <f>EFEITO!$N$767*EFEITO!$AA$760</f>
        <v>-36846.981606408903</v>
      </c>
      <c r="M767" s="76">
        <f>$J$767-EFEITO!$K$767*EFEITO!$Y$767</f>
        <v>0</v>
      </c>
      <c r="N767" s="76">
        <f ca="1">$K$767-EFEITO!$M$767*EFEITO!$Z$767</f>
        <v>0</v>
      </c>
      <c r="O767" s="76">
        <f>$L$767-EFEITO!$O$767*EFEITO!$AA$767</f>
        <v>0</v>
      </c>
      <c r="P767" s="57"/>
      <c r="Q767" s="57"/>
      <c r="R767" s="57"/>
      <c r="S767" s="57"/>
      <c r="T767" s="57"/>
      <c r="U767" s="57"/>
      <c r="V767" s="57"/>
      <c r="W767" s="57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3" t="s">
        <v>21</v>
      </c>
      <c r="B768" s="53" t="s">
        <v>22</v>
      </c>
      <c r="C768" s="53" t="s">
        <v>23</v>
      </c>
      <c r="D768" s="53" t="s">
        <v>24</v>
      </c>
      <c r="E768" s="53" t="s">
        <v>32</v>
      </c>
      <c r="F768" s="53" t="s">
        <v>25</v>
      </c>
      <c r="G768" s="53" t="s">
        <v>25</v>
      </c>
      <c r="H768" s="53" t="s">
        <v>25</v>
      </c>
      <c r="I768" s="75">
        <v>44652</v>
      </c>
      <c r="J768" s="76">
        <f>EFEITO!$J$768*EFEITO!$Y$640</f>
        <v>0</v>
      </c>
      <c r="K768" s="76">
        <f ca="1">EFEITO!$L$768*EFEITO!$Z$760</f>
        <v>657706.39441813936</v>
      </c>
      <c r="L768" s="76">
        <f>EFEITO!$N$768*EFEITO!$AA$760</f>
        <v>371495.5767685484</v>
      </c>
      <c r="M768" s="76">
        <f>$J$768-EFEITO!$K$768*EFEITO!$Y$768</f>
        <v>0</v>
      </c>
      <c r="N768" s="76">
        <f ca="1">$K$768-EFEITO!$M$768*EFEITO!$Z$768</f>
        <v>0</v>
      </c>
      <c r="O768" s="76">
        <f>$L$768-EFEITO!$O$768*EFEITO!$AA$768</f>
        <v>0</v>
      </c>
      <c r="P768" s="57"/>
      <c r="Q768" s="57"/>
      <c r="R768" s="57"/>
      <c r="S768" s="57"/>
      <c r="T768" s="57"/>
      <c r="U768" s="57"/>
      <c r="V768" s="57"/>
      <c r="W768" s="57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3" t="s">
        <v>27</v>
      </c>
      <c r="B769" s="53" t="s">
        <v>22</v>
      </c>
      <c r="C769" s="53" t="s">
        <v>23</v>
      </c>
      <c r="D769" s="53" t="s">
        <v>24</v>
      </c>
      <c r="E769" s="53" t="s">
        <v>32</v>
      </c>
      <c r="F769" s="53" t="s">
        <v>25</v>
      </c>
      <c r="G769" s="53" t="s">
        <v>25</v>
      </c>
      <c r="H769" s="53" t="s">
        <v>25</v>
      </c>
      <c r="I769" s="75">
        <v>44652</v>
      </c>
      <c r="J769" s="76">
        <f>EFEITO!$J$769*EFEITO!$Y$640</f>
        <v>0</v>
      </c>
      <c r="K769" s="76">
        <f ca="1">EFEITO!$L$769*EFEITO!$Z$760</f>
        <v>-27755.773472761164</v>
      </c>
      <c r="L769" s="76">
        <f>EFEITO!$N$769*EFEITO!$AA$760</f>
        <v>-15677.431696619988</v>
      </c>
      <c r="M769" s="76">
        <f>$J$769-EFEITO!$K$769*EFEITO!$Y$769</f>
        <v>0</v>
      </c>
      <c r="N769" s="76">
        <f ca="1">$K$769-EFEITO!$M$769*EFEITO!$Z$769</f>
        <v>0</v>
      </c>
      <c r="O769" s="76">
        <f>$L$769-EFEITO!$O$769*EFEITO!$AA$769</f>
        <v>0</v>
      </c>
      <c r="P769" s="57"/>
      <c r="Q769" s="57"/>
      <c r="R769" s="57"/>
      <c r="S769" s="57"/>
      <c r="T769" s="57"/>
      <c r="U769" s="57"/>
      <c r="V769" s="57"/>
      <c r="W769" s="57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3" t="s">
        <v>21</v>
      </c>
      <c r="B770" s="53" t="s">
        <v>22</v>
      </c>
      <c r="C770" s="53" t="s">
        <v>23</v>
      </c>
      <c r="D770" s="53" t="s">
        <v>24</v>
      </c>
      <c r="E770" s="53" t="s">
        <v>32</v>
      </c>
      <c r="F770" s="53" t="s">
        <v>25</v>
      </c>
      <c r="G770" s="53" t="s">
        <v>25</v>
      </c>
      <c r="H770" s="53" t="s">
        <v>25</v>
      </c>
      <c r="I770" s="75">
        <v>44682</v>
      </c>
      <c r="J770" s="76">
        <f>EFEITO!$J$770*EFEITO!$Y$640</f>
        <v>0</v>
      </c>
      <c r="K770" s="76">
        <f ca="1">EFEITO!$L$770*EFEITO!$Z$760</f>
        <v>834525.60270166455</v>
      </c>
      <c r="L770" s="76">
        <f>EFEITO!$N$770*EFEITO!$AA$760</f>
        <v>471369.2503750805</v>
      </c>
      <c r="M770" s="76">
        <f>$J$770-EFEITO!$K$770*EFEITO!$Y$770</f>
        <v>0</v>
      </c>
      <c r="N770" s="76">
        <f ca="1">$K$770-EFEITO!$M$770*EFEITO!$Z$770</f>
        <v>0</v>
      </c>
      <c r="O770" s="76">
        <f>$L$770-EFEITO!$O$770*EFEITO!$AA$770</f>
        <v>0</v>
      </c>
      <c r="P770" s="57"/>
      <c r="Q770" s="57"/>
      <c r="R770" s="57"/>
      <c r="S770" s="57"/>
      <c r="T770" s="57"/>
      <c r="U770" s="57"/>
      <c r="V770" s="57"/>
      <c r="W770" s="57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3" t="s">
        <v>27</v>
      </c>
      <c r="B771" s="53" t="s">
        <v>22</v>
      </c>
      <c r="C771" s="53" t="s">
        <v>23</v>
      </c>
      <c r="D771" s="53" t="s">
        <v>24</v>
      </c>
      <c r="E771" s="53" t="s">
        <v>32</v>
      </c>
      <c r="F771" s="53" t="s">
        <v>25</v>
      </c>
      <c r="G771" s="53" t="s">
        <v>25</v>
      </c>
      <c r="H771" s="53" t="s">
        <v>25</v>
      </c>
      <c r="I771" s="75">
        <v>44682</v>
      </c>
      <c r="J771" s="76">
        <f>EFEITO!$J$771*EFEITO!$Y$640</f>
        <v>0</v>
      </c>
      <c r="K771" s="76">
        <f ca="1">EFEITO!$L$771*EFEITO!$Z$760</f>
        <v>-15618.012656718571</v>
      </c>
      <c r="L771" s="76">
        <f>EFEITO!$N$771*EFEITO!$AA$760</f>
        <v>-8821.5998341008926</v>
      </c>
      <c r="M771" s="76">
        <f>$J$771-EFEITO!$K$771*EFEITO!$Y$771</f>
        <v>0</v>
      </c>
      <c r="N771" s="76">
        <f ca="1">$K$771-EFEITO!$M$771*EFEITO!$Z$771</f>
        <v>0</v>
      </c>
      <c r="O771" s="76">
        <f>$L$771-EFEITO!$O$771*EFEITO!$AA$771</f>
        <v>0</v>
      </c>
      <c r="P771" s="57"/>
      <c r="Q771" s="57"/>
      <c r="R771" s="57"/>
      <c r="S771" s="57"/>
      <c r="T771" s="57"/>
      <c r="U771" s="57"/>
      <c r="V771" s="57"/>
      <c r="W771" s="57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3" t="s">
        <v>21</v>
      </c>
      <c r="B772" s="53" t="s">
        <v>22</v>
      </c>
      <c r="C772" s="53" t="s">
        <v>23</v>
      </c>
      <c r="D772" s="53" t="s">
        <v>24</v>
      </c>
      <c r="E772" s="53" t="s">
        <v>32</v>
      </c>
      <c r="F772" s="53" t="s">
        <v>25</v>
      </c>
      <c r="G772" s="53" t="s">
        <v>25</v>
      </c>
      <c r="H772" s="53" t="s">
        <v>25</v>
      </c>
      <c r="I772" s="75">
        <v>44713</v>
      </c>
      <c r="J772" s="76">
        <f>EFEITO!$J$772*EFEITO!$Y$640</f>
        <v>0</v>
      </c>
      <c r="K772" s="76">
        <f ca="1">EFEITO!$L$772*EFEITO!$Z$760</f>
        <v>881564.84078119043</v>
      </c>
      <c r="L772" s="76">
        <f>EFEITO!$N$772*EFEITO!$AA$760</f>
        <v>497938.65737706987</v>
      </c>
      <c r="M772" s="76">
        <f>$J$772-EFEITO!$K$772*EFEITO!$Y$772</f>
        <v>0</v>
      </c>
      <c r="N772" s="76">
        <f ca="1">$K$772-EFEITO!$M$772*EFEITO!$Z$772</f>
        <v>0</v>
      </c>
      <c r="O772" s="76">
        <f>$L$772-EFEITO!$O$772*EFEITO!$AA$772</f>
        <v>0</v>
      </c>
      <c r="P772" s="57"/>
      <c r="Q772" s="57"/>
      <c r="R772" s="57"/>
      <c r="S772" s="57"/>
      <c r="T772" s="57"/>
      <c r="U772" s="57"/>
      <c r="V772" s="57"/>
      <c r="W772" s="57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3" t="s">
        <v>27</v>
      </c>
      <c r="B773" s="53" t="s">
        <v>22</v>
      </c>
      <c r="C773" s="53" t="s">
        <v>23</v>
      </c>
      <c r="D773" s="53" t="s">
        <v>24</v>
      </c>
      <c r="E773" s="53" t="s">
        <v>32</v>
      </c>
      <c r="F773" s="53" t="s">
        <v>25</v>
      </c>
      <c r="G773" s="53" t="s">
        <v>25</v>
      </c>
      <c r="H773" s="53" t="s">
        <v>25</v>
      </c>
      <c r="I773" s="75">
        <v>44713</v>
      </c>
      <c r="J773" s="76">
        <f>EFEITO!$J$773*EFEITO!$Y$640</f>
        <v>0</v>
      </c>
      <c r="K773" s="76">
        <f ca="1">EFEITO!$L$773*EFEITO!$Z$760</f>
        <v>-6514.1952632773691</v>
      </c>
      <c r="L773" s="76">
        <f>EFEITO!$N$773*EFEITO!$AA$760</f>
        <v>-3679.4453376952447</v>
      </c>
      <c r="M773" s="76">
        <f>$J$773-EFEITO!$K$773*EFEITO!$Y$773</f>
        <v>0</v>
      </c>
      <c r="N773" s="76">
        <f ca="1">$K$773-EFEITO!$M$773*EFEITO!$Z$773</f>
        <v>0</v>
      </c>
      <c r="O773" s="76">
        <f>$L$773-EFEITO!$O$773*EFEITO!$AA$773</f>
        <v>0</v>
      </c>
      <c r="P773" s="57"/>
      <c r="Q773" s="57"/>
      <c r="R773" s="57"/>
      <c r="S773" s="57"/>
      <c r="T773" s="57"/>
      <c r="U773" s="57"/>
      <c r="V773" s="57"/>
      <c r="W773" s="57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3" t="s">
        <v>21</v>
      </c>
      <c r="B774" s="53" t="s">
        <v>22</v>
      </c>
      <c r="C774" s="53" t="s">
        <v>23</v>
      </c>
      <c r="D774" s="53" t="s">
        <v>24</v>
      </c>
      <c r="E774" s="53" t="s">
        <v>32</v>
      </c>
      <c r="F774" s="53" t="s">
        <v>25</v>
      </c>
      <c r="G774" s="53" t="s">
        <v>25</v>
      </c>
      <c r="H774" s="53" t="s">
        <v>25</v>
      </c>
      <c r="I774" s="75">
        <v>44743</v>
      </c>
      <c r="J774" s="76">
        <f>EFEITO!$J$774*EFEITO!$Y$640</f>
        <v>0</v>
      </c>
      <c r="K774" s="76">
        <f ca="1">EFEITO!$L$774*EFEITO!$Z$760</f>
        <v>923784.10691556183</v>
      </c>
      <c r="L774" s="76">
        <f>EFEITO!$N$774*EFEITO!$AA$760</f>
        <v>521785.57563184632</v>
      </c>
      <c r="M774" s="76">
        <f>$J$774-EFEITO!$K$774*EFEITO!$Y$774</f>
        <v>0</v>
      </c>
      <c r="N774" s="76">
        <f ca="1">$K$774-EFEITO!$M$774*EFEITO!$Z$774</f>
        <v>0</v>
      </c>
      <c r="O774" s="76">
        <f>$L$774-EFEITO!$O$774*EFEITO!$AA$774</f>
        <v>0</v>
      </c>
      <c r="P774" s="57"/>
      <c r="Q774" s="57"/>
      <c r="R774" s="57"/>
      <c r="S774" s="57"/>
      <c r="T774" s="57"/>
      <c r="U774" s="57"/>
      <c r="V774" s="57"/>
      <c r="W774" s="57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3" t="s">
        <v>27</v>
      </c>
      <c r="B775" s="53" t="s">
        <v>22</v>
      </c>
      <c r="C775" s="53" t="s">
        <v>23</v>
      </c>
      <c r="D775" s="53" t="s">
        <v>24</v>
      </c>
      <c r="E775" s="53" t="s">
        <v>32</v>
      </c>
      <c r="F775" s="53" t="s">
        <v>25</v>
      </c>
      <c r="G775" s="53" t="s">
        <v>25</v>
      </c>
      <c r="H775" s="53" t="s">
        <v>25</v>
      </c>
      <c r="I775" s="75">
        <v>44743</v>
      </c>
      <c r="J775" s="76">
        <f>EFEITO!$J$775*EFEITO!$Y$640</f>
        <v>0</v>
      </c>
      <c r="K775" s="76">
        <f ca="1">EFEITO!$L$775*EFEITO!$Z$760</f>
        <v>-14500.453198458796</v>
      </c>
      <c r="L775" s="76">
        <f>EFEITO!$N$775*EFEITO!$AA$760</f>
        <v>-8190.3631621712339</v>
      </c>
      <c r="M775" s="76">
        <f>$J$775-EFEITO!$K$775*EFEITO!$Y$775</f>
        <v>0</v>
      </c>
      <c r="N775" s="76">
        <f ca="1">$K$775-EFEITO!$M$775*EFEITO!$Z$775</f>
        <v>0</v>
      </c>
      <c r="O775" s="76">
        <f>$L$775-EFEITO!$O$775*EFEITO!$AA$775</f>
        <v>0</v>
      </c>
      <c r="P775" s="57"/>
      <c r="Q775" s="57"/>
      <c r="R775" s="57"/>
      <c r="S775" s="57"/>
      <c r="T775" s="57"/>
      <c r="U775" s="57"/>
      <c r="V775" s="57"/>
      <c r="W775" s="57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3" t="s">
        <v>21</v>
      </c>
      <c r="B776" s="53" t="s">
        <v>22</v>
      </c>
      <c r="C776" s="53" t="s">
        <v>23</v>
      </c>
      <c r="D776" s="53" t="s">
        <v>24</v>
      </c>
      <c r="E776" s="53" t="s">
        <v>32</v>
      </c>
      <c r="F776" s="53" t="s">
        <v>25</v>
      </c>
      <c r="G776" s="53" t="s">
        <v>25</v>
      </c>
      <c r="H776" s="53" t="s">
        <v>25</v>
      </c>
      <c r="I776" s="75">
        <v>44774</v>
      </c>
      <c r="J776" s="76">
        <f>EFEITO!$J$776*EFEITO!$Y$640</f>
        <v>0</v>
      </c>
      <c r="K776" s="76">
        <f ca="1">EFEITO!$L$776*EFEITO!$Z$760</f>
        <v>1093449.2654806892</v>
      </c>
      <c r="L776" s="76">
        <f>EFEITO!$N$776*EFEITO!$AA$760</f>
        <v>617618.39172365377</v>
      </c>
      <c r="M776" s="76">
        <f>$J$776-EFEITO!$K$776*EFEITO!$Y$776</f>
        <v>0</v>
      </c>
      <c r="N776" s="76">
        <f ca="1">$K$776-EFEITO!$M$776*EFEITO!$Z$776</f>
        <v>0</v>
      </c>
      <c r="O776" s="76">
        <f>$L$776-EFEITO!$O$776*EFEITO!$AA$776</f>
        <v>0</v>
      </c>
      <c r="P776" s="57"/>
      <c r="Q776" s="57"/>
      <c r="R776" s="57"/>
      <c r="S776" s="57"/>
      <c r="T776" s="57"/>
      <c r="U776" s="57"/>
      <c r="V776" s="57"/>
      <c r="W776" s="57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3" t="s">
        <v>27</v>
      </c>
      <c r="B777" s="53" t="s">
        <v>22</v>
      </c>
      <c r="C777" s="53" t="s">
        <v>23</v>
      </c>
      <c r="D777" s="53" t="s">
        <v>24</v>
      </c>
      <c r="E777" s="53" t="s">
        <v>32</v>
      </c>
      <c r="F777" s="53" t="s">
        <v>25</v>
      </c>
      <c r="G777" s="53" t="s">
        <v>25</v>
      </c>
      <c r="H777" s="53" t="s">
        <v>25</v>
      </c>
      <c r="I777" s="75">
        <v>44774</v>
      </c>
      <c r="J777" s="76">
        <f>EFEITO!$J$777*EFEITO!$Y$640</f>
        <v>0</v>
      </c>
      <c r="K777" s="76">
        <f ca="1">EFEITO!$L$777*EFEITO!$Z$760</f>
        <v>-30365.266859295192</v>
      </c>
      <c r="L777" s="76">
        <f>EFEITO!$N$777*EFEITO!$AA$760</f>
        <v>-17151.364835983477</v>
      </c>
      <c r="M777" s="76">
        <f>$J$777-EFEITO!$K$777*EFEITO!$Y$777</f>
        <v>0</v>
      </c>
      <c r="N777" s="76">
        <f ca="1">$K$777-EFEITO!$M$777*EFEITO!$Z$777</f>
        <v>0</v>
      </c>
      <c r="O777" s="76">
        <f>$L$777-EFEITO!$O$777*EFEITO!$AA$777</f>
        <v>0</v>
      </c>
      <c r="P777" s="57"/>
      <c r="Q777" s="57"/>
      <c r="R777" s="57"/>
      <c r="S777" s="57"/>
      <c r="T777" s="57"/>
      <c r="U777" s="57"/>
      <c r="V777" s="57"/>
      <c r="W777" s="57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3" t="s">
        <v>21</v>
      </c>
      <c r="B778" s="53" t="s">
        <v>22</v>
      </c>
      <c r="C778" s="53" t="s">
        <v>23</v>
      </c>
      <c r="D778" s="53" t="s">
        <v>24</v>
      </c>
      <c r="E778" s="53" t="s">
        <v>32</v>
      </c>
      <c r="F778" s="53" t="s">
        <v>25</v>
      </c>
      <c r="G778" s="53" t="s">
        <v>25</v>
      </c>
      <c r="H778" s="53" t="s">
        <v>25</v>
      </c>
      <c r="I778" s="75">
        <v>44805</v>
      </c>
      <c r="J778" s="76">
        <f>EFEITO!$J$778*EFEITO!$Y$640</f>
        <v>0</v>
      </c>
      <c r="K778" s="76">
        <f ca="1">EFEITO!$L$778*EFEITO!$Z$760</f>
        <v>1417601.1221451345</v>
      </c>
      <c r="L778" s="76">
        <f>EFEITO!$N$778*EFEITO!$AA$760</f>
        <v>800710.69852521387</v>
      </c>
      <c r="M778" s="76">
        <f>$J$778-EFEITO!$K$778*EFEITO!$Y$778</f>
        <v>0</v>
      </c>
      <c r="N778" s="76">
        <f ca="1">$K$778-EFEITO!$M$778*EFEITO!$Z$778</f>
        <v>0</v>
      </c>
      <c r="O778" s="76">
        <f>$L$778-EFEITO!$O$778*EFEITO!$AA$778</f>
        <v>0</v>
      </c>
      <c r="P778" s="57"/>
      <c r="Q778" s="57"/>
      <c r="R778" s="57"/>
      <c r="S778" s="57"/>
      <c r="T778" s="57"/>
      <c r="U778" s="57"/>
      <c r="V778" s="57"/>
      <c r="W778" s="57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3" t="s">
        <v>27</v>
      </c>
      <c r="B779" s="53" t="s">
        <v>22</v>
      </c>
      <c r="C779" s="53" t="s">
        <v>23</v>
      </c>
      <c r="D779" s="53" t="s">
        <v>24</v>
      </c>
      <c r="E779" s="53" t="s">
        <v>32</v>
      </c>
      <c r="F779" s="53" t="s">
        <v>25</v>
      </c>
      <c r="G779" s="53" t="s">
        <v>25</v>
      </c>
      <c r="H779" s="53" t="s">
        <v>25</v>
      </c>
      <c r="I779" s="75">
        <v>44805</v>
      </c>
      <c r="J779" s="76">
        <f>EFEITO!$J$779*EFEITO!$Y$640</f>
        <v>0</v>
      </c>
      <c r="K779" s="76">
        <f ca="1">EFEITO!$L$779*EFEITO!$Z$760</f>
        <v>-11554.73815414107</v>
      </c>
      <c r="L779" s="76">
        <f>EFEITO!$N$779*EFEITO!$AA$760</f>
        <v>-6526.5202701574981</v>
      </c>
      <c r="M779" s="76">
        <f>$J$779-EFEITO!$K$779*EFEITO!$Y$779</f>
        <v>0</v>
      </c>
      <c r="N779" s="76">
        <f ca="1">$K$779-EFEITO!$M$779*EFEITO!$Z$779</f>
        <v>0</v>
      </c>
      <c r="O779" s="76">
        <f>$L$779-EFEITO!$O$779*EFEITO!$AA$779</f>
        <v>0</v>
      </c>
      <c r="P779" s="57"/>
      <c r="Q779" s="57"/>
      <c r="R779" s="57"/>
      <c r="S779" s="57"/>
      <c r="T779" s="57"/>
      <c r="U779" s="57"/>
      <c r="V779" s="57"/>
      <c r="W779" s="57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3" t="s">
        <v>21</v>
      </c>
      <c r="B780" s="53" t="s">
        <v>22</v>
      </c>
      <c r="C780" s="53" t="s">
        <v>23</v>
      </c>
      <c r="D780" s="53" t="s">
        <v>24</v>
      </c>
      <c r="E780" s="53" t="s">
        <v>32</v>
      </c>
      <c r="F780" s="53" t="s">
        <v>25</v>
      </c>
      <c r="G780" s="53" t="s">
        <v>25</v>
      </c>
      <c r="H780" s="53" t="s">
        <v>25</v>
      </c>
      <c r="I780" s="75">
        <v>44835</v>
      </c>
      <c r="J780" s="76">
        <f>EFEITO!$J$780*EFEITO!$Y$640</f>
        <v>0</v>
      </c>
      <c r="K780" s="76">
        <f ca="1">EFEITO!$L$780*EFEITO!$Z$760</f>
        <v>1911432.444679294</v>
      </c>
      <c r="L780" s="76">
        <f>EFEITO!$N$780*EFEITO!$AA$760</f>
        <v>1079643.9026846518</v>
      </c>
      <c r="M780" s="76">
        <f>$J$780-EFEITO!$K$780*EFEITO!$Y$780</f>
        <v>0</v>
      </c>
      <c r="N780" s="76">
        <f ca="1">$K$780-EFEITO!$M$780*EFEITO!$Z$780</f>
        <v>0</v>
      </c>
      <c r="O780" s="76">
        <f>$L$780-EFEITO!$O$780*EFEITO!$AA$780</f>
        <v>0</v>
      </c>
      <c r="P780" s="57"/>
      <c r="Q780" s="57"/>
      <c r="R780" s="57"/>
      <c r="S780" s="57"/>
      <c r="T780" s="57"/>
      <c r="U780" s="57"/>
      <c r="V780" s="57"/>
      <c r="W780" s="57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3" t="s">
        <v>27</v>
      </c>
      <c r="B781" s="53" t="s">
        <v>22</v>
      </c>
      <c r="C781" s="53" t="s">
        <v>23</v>
      </c>
      <c r="D781" s="53" t="s">
        <v>24</v>
      </c>
      <c r="E781" s="53" t="s">
        <v>32</v>
      </c>
      <c r="F781" s="53" t="s">
        <v>25</v>
      </c>
      <c r="G781" s="53" t="s">
        <v>25</v>
      </c>
      <c r="H781" s="53" t="s">
        <v>25</v>
      </c>
      <c r="I781" s="75">
        <v>44835</v>
      </c>
      <c r="J781" s="76">
        <f>EFEITO!$J$781*EFEITO!$Y$640</f>
        <v>0</v>
      </c>
      <c r="K781" s="76">
        <f ca="1">EFEITO!$L$781*EFEITO!$Z$760</f>
        <v>-8772.7622623137504</v>
      </c>
      <c r="L781" s="76">
        <f>EFEITO!$N$781*EFEITO!$AA$760</f>
        <v>-4955.162978725205</v>
      </c>
      <c r="M781" s="76">
        <f>$J$781-EFEITO!$K$781*EFEITO!$Y$781</f>
        <v>0</v>
      </c>
      <c r="N781" s="76">
        <f ca="1">$K$781-EFEITO!$M$781*EFEITO!$Z$781</f>
        <v>0</v>
      </c>
      <c r="O781" s="76">
        <f>$L$781-EFEITO!$O$781*EFEITO!$AA$781</f>
        <v>0</v>
      </c>
      <c r="P781" s="57"/>
      <c r="Q781" s="57"/>
      <c r="R781" s="57"/>
      <c r="S781" s="57"/>
      <c r="T781" s="57"/>
      <c r="U781" s="57"/>
      <c r="V781" s="57"/>
      <c r="W781" s="57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3" t="s">
        <v>54</v>
      </c>
      <c r="B782" s="53" t="s">
        <v>22</v>
      </c>
      <c r="C782" s="53" t="s">
        <v>23</v>
      </c>
      <c r="D782" s="53" t="s">
        <v>24</v>
      </c>
      <c r="E782" s="53" t="s">
        <v>32</v>
      </c>
      <c r="F782" s="53" t="s">
        <v>25</v>
      </c>
      <c r="G782" s="53" t="s">
        <v>25</v>
      </c>
      <c r="H782" s="53" t="s">
        <v>25</v>
      </c>
      <c r="I782" s="75">
        <v>44866</v>
      </c>
      <c r="J782" s="76">
        <f>EFEITO!$J$782*EFEITO!$Y$640</f>
        <v>0</v>
      </c>
      <c r="K782" s="76">
        <f ca="1">EFEITO!$L$782*EFEITO!$Z$760</f>
        <v>1911432.444679294</v>
      </c>
      <c r="L782" s="76">
        <f>EFEITO!$N$782*EFEITO!$AA$760</f>
        <v>1079643.9026846518</v>
      </c>
      <c r="M782" s="76">
        <f>$J$782-EFEITO!$K$782*EFEITO!$Y$782</f>
        <v>0</v>
      </c>
      <c r="N782" s="76">
        <f ca="1">$K$782-EFEITO!$M$782*EFEITO!$Z$782</f>
        <v>0</v>
      </c>
      <c r="O782" s="76">
        <f>$L$782-EFEITO!$O$782*EFEITO!$AA$782</f>
        <v>0</v>
      </c>
      <c r="P782" s="57"/>
      <c r="Q782" s="57"/>
      <c r="R782" s="57"/>
      <c r="S782" s="57"/>
      <c r="T782" s="57"/>
      <c r="U782" s="57"/>
      <c r="V782" s="57"/>
      <c r="W782" s="57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3" t="s">
        <v>54</v>
      </c>
      <c r="B783" s="53" t="s">
        <v>22</v>
      </c>
      <c r="C783" s="53" t="s">
        <v>23</v>
      </c>
      <c r="D783" s="53" t="s">
        <v>24</v>
      </c>
      <c r="E783" s="53" t="s">
        <v>32</v>
      </c>
      <c r="F783" s="53" t="s">
        <v>25</v>
      </c>
      <c r="G783" s="53" t="s">
        <v>25</v>
      </c>
      <c r="H783" s="53" t="s">
        <v>25</v>
      </c>
      <c r="I783" s="75">
        <v>44866</v>
      </c>
      <c r="J783" s="76">
        <f>EFEITO!$J$783*EFEITO!$Y$640</f>
        <v>0</v>
      </c>
      <c r="K783" s="76">
        <f ca="1">EFEITO!$L$783*EFEITO!$Z$760</f>
        <v>-8772.7622623137504</v>
      </c>
      <c r="L783" s="76">
        <f>EFEITO!$N$783*EFEITO!$AA$760</f>
        <v>-4955.162978725205</v>
      </c>
      <c r="M783" s="76">
        <f>$J$783-EFEITO!$K$783*EFEITO!$Y$783</f>
        <v>0</v>
      </c>
      <c r="N783" s="76">
        <f ca="1">$K$783-EFEITO!$M$783*EFEITO!$Z$783</f>
        <v>0</v>
      </c>
      <c r="O783" s="76">
        <f>$L$783-EFEITO!$O$783*EFEITO!$AA$783</f>
        <v>0</v>
      </c>
      <c r="P783" s="57"/>
      <c r="Q783" s="57"/>
      <c r="R783" s="57"/>
      <c r="S783" s="57"/>
      <c r="T783" s="57"/>
      <c r="U783" s="57"/>
      <c r="V783" s="57"/>
      <c r="W783" s="57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3" t="s">
        <v>21</v>
      </c>
      <c r="B784" s="53" t="s">
        <v>45</v>
      </c>
      <c r="C784" s="53" t="s">
        <v>23</v>
      </c>
      <c r="D784" s="53" t="s">
        <v>46</v>
      </c>
      <c r="E784" s="53" t="s">
        <v>25</v>
      </c>
      <c r="F784" s="53" t="s">
        <v>25</v>
      </c>
      <c r="G784" s="53" t="s">
        <v>25</v>
      </c>
      <c r="H784" s="53" t="s">
        <v>25</v>
      </c>
      <c r="I784" s="75">
        <v>44531</v>
      </c>
      <c r="J784" s="76">
        <f>EFEITO!$J$784*EFEITO!$Y$640</f>
        <v>0</v>
      </c>
      <c r="K784" s="76">
        <f ca="1">EFEITO!$L$784*EFEITO!$Z$640</f>
        <v>175197.05280409302</v>
      </c>
      <c r="L784" s="76">
        <f>EFEITO!$N$784*EFEITO!$AA$640</f>
        <v>79100.554693410188</v>
      </c>
      <c r="M784" s="76">
        <f>$J$784-EFEITO!$K$784*EFEITO!$Y$784</f>
        <v>0</v>
      </c>
      <c r="N784" s="76">
        <f ca="1">$K$784-EFEITO!$M$784*EFEITO!$Z$784</f>
        <v>10511.823168245581</v>
      </c>
      <c r="O784" s="76">
        <f>$L$784-EFEITO!$O$784*EFEITO!$AA$784</f>
        <v>4746.0332816046139</v>
      </c>
      <c r="P784" s="57"/>
      <c r="Q784" s="57"/>
      <c r="R784" s="57"/>
      <c r="S784" s="57"/>
      <c r="T784" s="57"/>
      <c r="U784" s="57"/>
      <c r="V784" s="57"/>
      <c r="W784" s="57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3" t="s">
        <v>27</v>
      </c>
      <c r="B785" s="53" t="s">
        <v>45</v>
      </c>
      <c r="C785" s="53" t="s">
        <v>23</v>
      </c>
      <c r="D785" s="53" t="s">
        <v>46</v>
      </c>
      <c r="E785" s="53" t="s">
        <v>25</v>
      </c>
      <c r="F785" s="53" t="s">
        <v>25</v>
      </c>
      <c r="G785" s="53" t="s">
        <v>25</v>
      </c>
      <c r="H785" s="53" t="s">
        <v>25</v>
      </c>
      <c r="I785" s="75">
        <v>44531</v>
      </c>
      <c r="J785" s="76">
        <f>EFEITO!$J$785*EFEITO!$Y$640</f>
        <v>0</v>
      </c>
      <c r="K785" s="76">
        <f ca="1">EFEITO!$L$785*EFEITO!$Z$640</f>
        <v>-1910.2118405023241</v>
      </c>
      <c r="L785" s="76">
        <f>EFEITO!$N$785*EFEITO!$AA$640</f>
        <v>-862.45067338326714</v>
      </c>
      <c r="M785" s="76">
        <f>$J$785-EFEITO!$K$785*EFEITO!$Y$785</f>
        <v>0</v>
      </c>
      <c r="N785" s="76">
        <f ca="1">$K$785-EFEITO!$M$785*EFEITO!$Z$785</f>
        <v>-114.61271043013949</v>
      </c>
      <c r="O785" s="76">
        <f>$L$785-EFEITO!$O$785*EFEITO!$AA$785</f>
        <v>-51.747040402996049</v>
      </c>
      <c r="P785" s="57"/>
      <c r="Q785" s="57"/>
      <c r="R785" s="57"/>
      <c r="S785" s="57"/>
      <c r="T785" s="57"/>
      <c r="U785" s="57"/>
      <c r="V785" s="57"/>
      <c r="W785" s="57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3" t="s">
        <v>28</v>
      </c>
      <c r="B786" s="53" t="s">
        <v>45</v>
      </c>
      <c r="C786" s="53" t="s">
        <v>23</v>
      </c>
      <c r="D786" s="53" t="s">
        <v>46</v>
      </c>
      <c r="E786" s="53" t="s">
        <v>25</v>
      </c>
      <c r="F786" s="53" t="s">
        <v>25</v>
      </c>
      <c r="G786" s="53" t="s">
        <v>25</v>
      </c>
      <c r="H786" s="53" t="s">
        <v>25</v>
      </c>
      <c r="I786" s="75">
        <v>44531</v>
      </c>
      <c r="J786" s="76">
        <f>EFEITO!$J$786*EFEITO!$Y$640</f>
        <v>0</v>
      </c>
      <c r="K786" s="76">
        <f ca="1">EFEITO!$L$786*EFEITO!$Z$640</f>
        <v>1428.4327479862513</v>
      </c>
      <c r="L786" s="76">
        <f>EFEITO!$N$786*EFEITO!$AA$640</f>
        <v>644.9299283264254</v>
      </c>
      <c r="M786" s="76">
        <f>$J$786-EFEITO!$K$786*EFEITO!$Y$786</f>
        <v>0</v>
      </c>
      <c r="N786" s="76">
        <f ca="1">$K$786-EFEITO!$M$786*EFEITO!$Z$786</f>
        <v>85.705964879175099</v>
      </c>
      <c r="O786" s="76">
        <f>$L$786-EFEITO!$O$786*EFEITO!$AA$786</f>
        <v>38.69579569958546</v>
      </c>
      <c r="P786" s="57"/>
      <c r="Q786" s="57"/>
      <c r="R786" s="57"/>
      <c r="S786" s="57"/>
      <c r="T786" s="57"/>
      <c r="U786" s="57"/>
      <c r="V786" s="57"/>
      <c r="W786" s="57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3" t="s">
        <v>21</v>
      </c>
      <c r="B787" s="53" t="s">
        <v>45</v>
      </c>
      <c r="C787" s="53" t="s">
        <v>23</v>
      </c>
      <c r="D787" s="53" t="s">
        <v>46</v>
      </c>
      <c r="E787" s="53" t="s">
        <v>25</v>
      </c>
      <c r="F787" s="53" t="s">
        <v>25</v>
      </c>
      <c r="G787" s="53" t="s">
        <v>25</v>
      </c>
      <c r="H787" s="53" t="s">
        <v>25</v>
      </c>
      <c r="I787" s="75">
        <v>44562</v>
      </c>
      <c r="J787" s="76">
        <f>EFEITO!$J$787*EFEITO!$Y$640</f>
        <v>0</v>
      </c>
      <c r="K787" s="76">
        <f ca="1">EFEITO!$L$787*EFEITO!$Z$640</f>
        <v>167736.68615476004</v>
      </c>
      <c r="L787" s="76">
        <f>EFEITO!$N$787*EFEITO!$AA$640</f>
        <v>75732.238099418551</v>
      </c>
      <c r="M787" s="76">
        <f>$J$787-EFEITO!$K$787*EFEITO!$Y$787</f>
        <v>0</v>
      </c>
      <c r="N787" s="76">
        <f ca="1">$K$787-EFEITO!$M$787*EFEITO!$Z$787</f>
        <v>10064.201169285603</v>
      </c>
      <c r="O787" s="76">
        <f>$L$787-EFEITO!$O$787*EFEITO!$AA$787</f>
        <v>4543.9342859651224</v>
      </c>
      <c r="P787" s="57"/>
      <c r="Q787" s="57"/>
      <c r="R787" s="57"/>
      <c r="S787" s="57"/>
      <c r="T787" s="57"/>
      <c r="U787" s="57"/>
      <c r="V787" s="57"/>
      <c r="W787" s="57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3" t="s">
        <v>27</v>
      </c>
      <c r="B788" s="53" t="s">
        <v>45</v>
      </c>
      <c r="C788" s="53" t="s">
        <v>23</v>
      </c>
      <c r="D788" s="53" t="s">
        <v>46</v>
      </c>
      <c r="E788" s="53" t="s">
        <v>25</v>
      </c>
      <c r="F788" s="53" t="s">
        <v>25</v>
      </c>
      <c r="G788" s="53" t="s">
        <v>25</v>
      </c>
      <c r="H788" s="53" t="s">
        <v>25</v>
      </c>
      <c r="I788" s="75">
        <v>44562</v>
      </c>
      <c r="J788" s="76">
        <f>EFEITO!$J$788*EFEITO!$Y$640</f>
        <v>0</v>
      </c>
      <c r="K788" s="76">
        <f ca="1">EFEITO!$L$788*EFEITO!$Z$640</f>
        <v>-1124.1512158708367</v>
      </c>
      <c r="L788" s="76">
        <f>EFEITO!$N$788*EFEITO!$AA$640</f>
        <v>-507.54840513263065</v>
      </c>
      <c r="M788" s="76">
        <f>$J$788-EFEITO!$K$788*EFEITO!$Y$788</f>
        <v>0</v>
      </c>
      <c r="N788" s="76">
        <f ca="1">$K$788-EFEITO!$M$788*EFEITO!$Z$788</f>
        <v>-67.449072952250162</v>
      </c>
      <c r="O788" s="76">
        <f>$L$788-EFEITO!$O$788*EFEITO!$AA$788</f>
        <v>-30.452904307957851</v>
      </c>
      <c r="P788" s="57"/>
      <c r="Q788" s="57"/>
      <c r="R788" s="57"/>
      <c r="S788" s="57"/>
      <c r="T788" s="57"/>
      <c r="U788" s="57"/>
      <c r="V788" s="57"/>
      <c r="W788" s="57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3" t="s">
        <v>28</v>
      </c>
      <c r="B789" s="53" t="s">
        <v>45</v>
      </c>
      <c r="C789" s="53" t="s">
        <v>23</v>
      </c>
      <c r="D789" s="53" t="s">
        <v>46</v>
      </c>
      <c r="E789" s="53" t="s">
        <v>25</v>
      </c>
      <c r="F789" s="53" t="s">
        <v>25</v>
      </c>
      <c r="G789" s="53" t="s">
        <v>25</v>
      </c>
      <c r="H789" s="53" t="s">
        <v>25</v>
      </c>
      <c r="I789" s="75">
        <v>44562</v>
      </c>
      <c r="J789" s="76">
        <f>EFEITO!$J$789*EFEITO!$Y$640</f>
        <v>0</v>
      </c>
      <c r="K789" s="76">
        <f ca="1">EFEITO!$L$789*EFEITO!$Z$640</f>
        <v>1632.7786788676815</v>
      </c>
      <c r="L789" s="76">
        <f>EFEITO!$N$789*EFEITO!$AA$640</f>
        <v>737.19104929480716</v>
      </c>
      <c r="M789" s="76">
        <f>$J$789-EFEITO!$K$789*EFEITO!$Y$789</f>
        <v>0</v>
      </c>
      <c r="N789" s="76">
        <f ca="1">$K$789-EFEITO!$M$789*EFEITO!$Z$789</f>
        <v>97.966720732061049</v>
      </c>
      <c r="O789" s="76">
        <f>$L$789-EFEITO!$O$789*EFEITO!$AA$789</f>
        <v>44.23146295768845</v>
      </c>
      <c r="P789" s="57"/>
      <c r="Q789" s="57"/>
      <c r="R789" s="57"/>
      <c r="S789" s="57"/>
      <c r="T789" s="57"/>
      <c r="U789" s="57"/>
      <c r="V789" s="57"/>
      <c r="W789" s="57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3" t="s">
        <v>21</v>
      </c>
      <c r="B790" s="53" t="s">
        <v>45</v>
      </c>
      <c r="C790" s="53" t="s">
        <v>23</v>
      </c>
      <c r="D790" s="53" t="s">
        <v>46</v>
      </c>
      <c r="E790" s="53" t="s">
        <v>25</v>
      </c>
      <c r="F790" s="53" t="s">
        <v>25</v>
      </c>
      <c r="G790" s="53" t="s">
        <v>25</v>
      </c>
      <c r="H790" s="53" t="s">
        <v>25</v>
      </c>
      <c r="I790" s="75">
        <v>44593</v>
      </c>
      <c r="J790" s="76">
        <f>EFEITO!$J$790*EFEITO!$Y$640</f>
        <v>0</v>
      </c>
      <c r="K790" s="76">
        <f ca="1">EFEITO!$L$790*EFEITO!$Z$640</f>
        <v>141231.37818568692</v>
      </c>
      <c r="L790" s="76">
        <f>EFEITO!$N$790*EFEITO!$AA$640</f>
        <v>63765.229927096327</v>
      </c>
      <c r="M790" s="76">
        <f>$J$790-EFEITO!$K$790*EFEITO!$Y$790</f>
        <v>0</v>
      </c>
      <c r="N790" s="76">
        <f ca="1">$K$790-EFEITO!$M$790*EFEITO!$Z$790</f>
        <v>8473.8826911412179</v>
      </c>
      <c r="O790" s="76">
        <f>$L$790-EFEITO!$O$790*EFEITO!$AA$790</f>
        <v>3825.9137956257837</v>
      </c>
      <c r="P790" s="57"/>
      <c r="Q790" s="57"/>
      <c r="R790" s="57"/>
      <c r="S790" s="57"/>
      <c r="T790" s="57"/>
      <c r="U790" s="57"/>
      <c r="V790" s="57"/>
      <c r="W790" s="57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3" t="s">
        <v>27</v>
      </c>
      <c r="B791" s="53" t="s">
        <v>45</v>
      </c>
      <c r="C791" s="53" t="s">
        <v>23</v>
      </c>
      <c r="D791" s="53" t="s">
        <v>46</v>
      </c>
      <c r="E791" s="53" t="s">
        <v>25</v>
      </c>
      <c r="F791" s="53" t="s">
        <v>25</v>
      </c>
      <c r="G791" s="53" t="s">
        <v>25</v>
      </c>
      <c r="H791" s="53" t="s">
        <v>25</v>
      </c>
      <c r="I791" s="75">
        <v>44593</v>
      </c>
      <c r="J791" s="76">
        <f>EFEITO!$J$791*EFEITO!$Y$640</f>
        <v>0</v>
      </c>
      <c r="K791" s="76">
        <f ca="1">EFEITO!$L$791*EFEITO!$Z$640</f>
        <v>-14689.538997303793</v>
      </c>
      <c r="L791" s="76">
        <f>EFEITO!$N$791*EFEITO!$AA$640</f>
        <v>-6632.2501679095858</v>
      </c>
      <c r="M791" s="76">
        <f>$J$791-EFEITO!$K$791*EFEITO!$Y$791</f>
        <v>0</v>
      </c>
      <c r="N791" s="76">
        <f ca="1">$K$791-EFEITO!$M$791*EFEITO!$Z$791</f>
        <v>-881.37233983822989</v>
      </c>
      <c r="O791" s="76">
        <f>$L$791-EFEITO!$O$791*EFEITO!$AA$791</f>
        <v>-397.93501007457598</v>
      </c>
      <c r="P791" s="57"/>
      <c r="Q791" s="57"/>
      <c r="R791" s="57"/>
      <c r="S791" s="57"/>
      <c r="T791" s="57"/>
      <c r="U791" s="57"/>
      <c r="V791" s="57"/>
      <c r="W791" s="57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3" t="s">
        <v>28</v>
      </c>
      <c r="B792" s="53" t="s">
        <v>45</v>
      </c>
      <c r="C792" s="53" t="s">
        <v>23</v>
      </c>
      <c r="D792" s="53" t="s">
        <v>46</v>
      </c>
      <c r="E792" s="53" t="s">
        <v>25</v>
      </c>
      <c r="F792" s="53" t="s">
        <v>25</v>
      </c>
      <c r="G792" s="53" t="s">
        <v>25</v>
      </c>
      <c r="H792" s="53" t="s">
        <v>25</v>
      </c>
      <c r="I792" s="75">
        <v>44593</v>
      </c>
      <c r="J792" s="76">
        <f>EFEITO!$J$792*EFEITO!$Y$640</f>
        <v>0</v>
      </c>
      <c r="K792" s="76">
        <f ca="1">EFEITO!$L$792*EFEITO!$Z$640</f>
        <v>2444.6932898880605</v>
      </c>
      <c r="L792" s="76">
        <f>EFEITO!$N$792*EFEITO!$AA$640</f>
        <v>1103.7662574246549</v>
      </c>
      <c r="M792" s="76">
        <f>$J$792-EFEITO!$K$792*EFEITO!$Y$792</f>
        <v>0</v>
      </c>
      <c r="N792" s="76">
        <f ca="1">$K$792-EFEITO!$M$792*EFEITO!$Z$792</f>
        <v>146.68159739328394</v>
      </c>
      <c r="O792" s="76">
        <f>$L$792-EFEITO!$O$792*EFEITO!$AA$792</f>
        <v>66.225975445479435</v>
      </c>
      <c r="P792" s="57"/>
      <c r="Q792" s="57"/>
      <c r="R792" s="57"/>
      <c r="S792" s="57"/>
      <c r="T792" s="57"/>
      <c r="U792" s="57"/>
      <c r="V792" s="57"/>
      <c r="W792" s="57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3" t="s">
        <v>21</v>
      </c>
      <c r="B793" s="53" t="s">
        <v>45</v>
      </c>
      <c r="C793" s="53" t="s">
        <v>23</v>
      </c>
      <c r="D793" s="53" t="s">
        <v>46</v>
      </c>
      <c r="E793" s="53" t="s">
        <v>25</v>
      </c>
      <c r="F793" s="53" t="s">
        <v>25</v>
      </c>
      <c r="G793" s="53" t="s">
        <v>25</v>
      </c>
      <c r="H793" s="53" t="s">
        <v>25</v>
      </c>
      <c r="I793" s="75">
        <v>44621</v>
      </c>
      <c r="J793" s="76">
        <f>EFEITO!$J$793*EFEITO!$Y$640</f>
        <v>0</v>
      </c>
      <c r="K793" s="76">
        <f ca="1">EFEITO!$L$793*EFEITO!$Z$640</f>
        <v>156869.55960664467</v>
      </c>
      <c r="L793" s="76">
        <f>EFEITO!$N$793*EFEITO!$AA$640</f>
        <v>70825.787196727746</v>
      </c>
      <c r="M793" s="76">
        <f>$J$793-EFEITO!$K$793*EFEITO!$Y$793</f>
        <v>0</v>
      </c>
      <c r="N793" s="76">
        <f ca="1">$K$793-EFEITO!$M$793*EFEITO!$Z$793</f>
        <v>9412.1735763986944</v>
      </c>
      <c r="O793" s="76">
        <f>$L$793-EFEITO!$O$793*EFEITO!$AA$793</f>
        <v>4249.5472318036627</v>
      </c>
      <c r="P793" s="57"/>
      <c r="Q793" s="57"/>
      <c r="R793" s="57"/>
      <c r="S793" s="57"/>
      <c r="T793" s="57"/>
      <c r="U793" s="57"/>
      <c r="V793" s="57"/>
      <c r="W793" s="57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3" t="s">
        <v>27</v>
      </c>
      <c r="B794" s="53" t="s">
        <v>45</v>
      </c>
      <c r="C794" s="53" t="s">
        <v>23</v>
      </c>
      <c r="D794" s="53" t="s">
        <v>46</v>
      </c>
      <c r="E794" s="53" t="s">
        <v>25</v>
      </c>
      <c r="F794" s="53" t="s">
        <v>25</v>
      </c>
      <c r="G794" s="53" t="s">
        <v>25</v>
      </c>
      <c r="H794" s="53" t="s">
        <v>25</v>
      </c>
      <c r="I794" s="75">
        <v>44621</v>
      </c>
      <c r="J794" s="76">
        <f>EFEITO!$J$794*EFEITO!$Y$640</f>
        <v>0</v>
      </c>
      <c r="K794" s="76">
        <f ca="1">EFEITO!$L$794*EFEITO!$Z$640</f>
        <v>-5187.7018073402523</v>
      </c>
      <c r="L794" s="76">
        <f>EFEITO!$N$794*EFEITO!$AA$640</f>
        <v>-2342.2202826863636</v>
      </c>
      <c r="M794" s="76">
        <f>$J$794-EFEITO!$K$794*EFEITO!$Y$794</f>
        <v>0</v>
      </c>
      <c r="N794" s="76">
        <f ca="1">$K$794-EFEITO!$M$794*EFEITO!$Z$794</f>
        <v>-311.26210844041543</v>
      </c>
      <c r="O794" s="76">
        <f>$L$794-EFEITO!$O$794*EFEITO!$AA$794</f>
        <v>-140.53321696118201</v>
      </c>
      <c r="P794" s="57"/>
      <c r="Q794" s="57"/>
      <c r="R794" s="57"/>
      <c r="S794" s="57"/>
      <c r="T794" s="57"/>
      <c r="U794" s="57"/>
      <c r="V794" s="57"/>
      <c r="W794" s="57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3" t="s">
        <v>28</v>
      </c>
      <c r="B795" s="53" t="s">
        <v>45</v>
      </c>
      <c r="C795" s="53" t="s">
        <v>23</v>
      </c>
      <c r="D795" s="53" t="s">
        <v>46</v>
      </c>
      <c r="E795" s="53" t="s">
        <v>25</v>
      </c>
      <c r="F795" s="53" t="s">
        <v>25</v>
      </c>
      <c r="G795" s="53" t="s">
        <v>25</v>
      </c>
      <c r="H795" s="53" t="s">
        <v>25</v>
      </c>
      <c r="I795" s="75">
        <v>44621</v>
      </c>
      <c r="J795" s="76">
        <f>EFEITO!$J$795*EFEITO!$Y$640</f>
        <v>0</v>
      </c>
      <c r="K795" s="76">
        <f ca="1">EFEITO!$L$795*EFEITO!$Z$640</f>
        <v>1356.8370933708597</v>
      </c>
      <c r="L795" s="76">
        <f>EFEITO!$N$795*EFEITO!$AA$640</f>
        <v>612.60486404553251</v>
      </c>
      <c r="M795" s="76">
        <f>$J$795-EFEITO!$K$795*EFEITO!$Y$795</f>
        <v>0</v>
      </c>
      <c r="N795" s="76">
        <f ca="1">$K$795-EFEITO!$M$795*EFEITO!$Z$795</f>
        <v>81.410225602251785</v>
      </c>
      <c r="O795" s="76">
        <f>$L$795-EFEITO!$O$795*EFEITO!$AA$795</f>
        <v>36.756291842731912</v>
      </c>
      <c r="P795" s="57"/>
      <c r="Q795" s="57"/>
      <c r="R795" s="57"/>
      <c r="S795" s="57"/>
      <c r="T795" s="57"/>
      <c r="U795" s="57"/>
      <c r="V795" s="57"/>
      <c r="W795" s="57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3" t="s">
        <v>21</v>
      </c>
      <c r="B796" s="53" t="s">
        <v>45</v>
      </c>
      <c r="C796" s="53" t="s">
        <v>23</v>
      </c>
      <c r="D796" s="53" t="s">
        <v>46</v>
      </c>
      <c r="E796" s="53" t="s">
        <v>25</v>
      </c>
      <c r="F796" s="53" t="s">
        <v>25</v>
      </c>
      <c r="G796" s="53" t="s">
        <v>25</v>
      </c>
      <c r="H796" s="53" t="s">
        <v>25</v>
      </c>
      <c r="I796" s="75">
        <v>44652</v>
      </c>
      <c r="J796" s="76">
        <f>EFEITO!$J$796*EFEITO!$Y$640</f>
        <v>0</v>
      </c>
      <c r="K796" s="76">
        <f ca="1">EFEITO!$L$796*EFEITO!$Z$640</f>
        <v>152069.66759513778</v>
      </c>
      <c r="L796" s="76">
        <f>EFEITO!$N$796*EFEITO!$AA$640</f>
        <v>68658.661012229553</v>
      </c>
      <c r="M796" s="76">
        <f>$J$796-EFEITO!$K$796*EFEITO!$Y$796</f>
        <v>0</v>
      </c>
      <c r="N796" s="76">
        <f ca="1">$K$796-EFEITO!$M$796*EFEITO!$Z$796</f>
        <v>9124.1800557082752</v>
      </c>
      <c r="O796" s="76">
        <f>$L$796-EFEITO!$O$796*EFEITO!$AA$796</f>
        <v>4119.5196607337784</v>
      </c>
      <c r="P796" s="57"/>
      <c r="Q796" s="57"/>
      <c r="R796" s="57"/>
      <c r="S796" s="57"/>
      <c r="T796" s="57"/>
      <c r="U796" s="57"/>
      <c r="V796" s="57"/>
      <c r="W796" s="57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3" t="s">
        <v>27</v>
      </c>
      <c r="B797" s="53" t="s">
        <v>45</v>
      </c>
      <c r="C797" s="53" t="s">
        <v>23</v>
      </c>
      <c r="D797" s="53" t="s">
        <v>46</v>
      </c>
      <c r="E797" s="53" t="s">
        <v>25</v>
      </c>
      <c r="F797" s="53" t="s">
        <v>25</v>
      </c>
      <c r="G797" s="53" t="s">
        <v>25</v>
      </c>
      <c r="H797" s="53" t="s">
        <v>25</v>
      </c>
      <c r="I797" s="75">
        <v>44652</v>
      </c>
      <c r="J797" s="76">
        <f>EFEITO!$J$797*EFEITO!$Y$640</f>
        <v>0</v>
      </c>
      <c r="K797" s="76">
        <f ca="1">EFEITO!$L$797*EFEITO!$Z$640</f>
        <v>-9999.5264279496987</v>
      </c>
      <c r="L797" s="76">
        <f>EFEITO!$N$797*EFEITO!$AA$640</f>
        <v>-4514.7339778980395</v>
      </c>
      <c r="M797" s="76">
        <f>$J$797-EFEITO!$K$797*EFEITO!$Y$797</f>
        <v>0</v>
      </c>
      <c r="N797" s="76">
        <f ca="1">$K$797-EFEITO!$M$797*EFEITO!$Z$797</f>
        <v>-599.97158567698352</v>
      </c>
      <c r="O797" s="76">
        <f>$L$797-EFEITO!$O$797*EFEITO!$AA$797</f>
        <v>-270.88403867388297</v>
      </c>
      <c r="P797" s="57"/>
      <c r="Q797" s="57"/>
      <c r="R797" s="57"/>
      <c r="S797" s="57"/>
      <c r="T797" s="57"/>
      <c r="U797" s="57"/>
      <c r="V797" s="57"/>
      <c r="W797" s="57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3" t="s">
        <v>28</v>
      </c>
      <c r="B798" s="53" t="s">
        <v>45</v>
      </c>
      <c r="C798" s="53" t="s">
        <v>23</v>
      </c>
      <c r="D798" s="53" t="s">
        <v>46</v>
      </c>
      <c r="E798" s="53" t="s">
        <v>25</v>
      </c>
      <c r="F798" s="53" t="s">
        <v>25</v>
      </c>
      <c r="G798" s="53" t="s">
        <v>25</v>
      </c>
      <c r="H798" s="53" t="s">
        <v>25</v>
      </c>
      <c r="I798" s="75">
        <v>44652</v>
      </c>
      <c r="J798" s="76">
        <f>EFEITO!$J$798*EFEITO!$Y$640</f>
        <v>0</v>
      </c>
      <c r="K798" s="76">
        <f ca="1">EFEITO!$L$798*EFEITO!$Z$640</f>
        <v>1178.3451488783207</v>
      </c>
      <c r="L798" s="76">
        <f>EFEITO!$N$798*EFEITO!$AA$640</f>
        <v>532.01668295636205</v>
      </c>
      <c r="M798" s="76">
        <f>$J$798-EFEITO!$K$798*EFEITO!$Y$798</f>
        <v>0</v>
      </c>
      <c r="N798" s="76">
        <f ca="1">$K$798-EFEITO!$M$798*EFEITO!$Z$798</f>
        <v>70.700708932699399</v>
      </c>
      <c r="O798" s="76">
        <f>$L$798-EFEITO!$O$798*EFEITO!$AA$798</f>
        <v>31.921000977381709</v>
      </c>
      <c r="P798" s="57"/>
      <c r="Q798" s="57"/>
      <c r="R798" s="57"/>
      <c r="S798" s="57"/>
      <c r="T798" s="57"/>
      <c r="U798" s="57"/>
      <c r="V798" s="57"/>
      <c r="W798" s="57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3" t="s">
        <v>21</v>
      </c>
      <c r="B799" s="53" t="s">
        <v>45</v>
      </c>
      <c r="C799" s="53" t="s">
        <v>23</v>
      </c>
      <c r="D799" s="53" t="s">
        <v>46</v>
      </c>
      <c r="E799" s="53" t="s">
        <v>25</v>
      </c>
      <c r="F799" s="53" t="s">
        <v>25</v>
      </c>
      <c r="G799" s="53" t="s">
        <v>25</v>
      </c>
      <c r="H799" s="53" t="s">
        <v>25</v>
      </c>
      <c r="I799" s="75">
        <v>44682</v>
      </c>
      <c r="J799" s="76">
        <f>EFEITO!$J$799*EFEITO!$Y$640</f>
        <v>0</v>
      </c>
      <c r="K799" s="76">
        <f ca="1">EFEITO!$L$799*EFEITO!$Z$640</f>
        <v>163965.9816783494</v>
      </c>
      <c r="L799" s="76">
        <f>EFEITO!$N$799*EFEITO!$AA$640</f>
        <v>74029.784713958186</v>
      </c>
      <c r="M799" s="76">
        <f>$J$799-EFEITO!$K$799*EFEITO!$Y$799</f>
        <v>0</v>
      </c>
      <c r="N799" s="76">
        <f ca="1">$K$799-EFEITO!$M$799*EFEITO!$Z$799</f>
        <v>9837.9589007009636</v>
      </c>
      <c r="O799" s="76">
        <f>$L$799-EFEITO!$O$799*EFEITO!$AA$799</f>
        <v>4441.7870828375017</v>
      </c>
      <c r="P799" s="57"/>
      <c r="Q799" s="57"/>
      <c r="R799" s="57"/>
      <c r="S799" s="57"/>
      <c r="T799" s="57"/>
      <c r="U799" s="57"/>
      <c r="V799" s="57"/>
      <c r="W799" s="57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3" t="s">
        <v>27</v>
      </c>
      <c r="B800" s="53" t="s">
        <v>45</v>
      </c>
      <c r="C800" s="53" t="s">
        <v>23</v>
      </c>
      <c r="D800" s="53" t="s">
        <v>46</v>
      </c>
      <c r="E800" s="53" t="s">
        <v>25</v>
      </c>
      <c r="F800" s="53" t="s">
        <v>25</v>
      </c>
      <c r="G800" s="53" t="s">
        <v>25</v>
      </c>
      <c r="H800" s="53" t="s">
        <v>25</v>
      </c>
      <c r="I800" s="75">
        <v>44682</v>
      </c>
      <c r="J800" s="76">
        <f>EFEITO!$J$800*EFEITO!$Y$640</f>
        <v>0</v>
      </c>
      <c r="K800" s="76">
        <f ca="1">EFEITO!$L$800*EFEITO!$Z$640</f>
        <v>-1670.0680823131979</v>
      </c>
      <c r="L800" s="76">
        <f>EFEITO!$N$800*EFEITO!$AA$640</f>
        <v>-754.02702027443888</v>
      </c>
      <c r="M800" s="76">
        <f>$J$800-EFEITO!$K$800*EFEITO!$Y$800</f>
        <v>0</v>
      </c>
      <c r="N800" s="76">
        <f ca="1">$K$800-EFEITO!$M$800*EFEITO!$Z$800</f>
        <v>-100.20408493879199</v>
      </c>
      <c r="O800" s="76">
        <f>$L$800-EFEITO!$O$800*EFEITO!$AA$800</f>
        <v>-45.241621216466342</v>
      </c>
      <c r="P800" s="57"/>
      <c r="Q800" s="57"/>
      <c r="R800" s="57"/>
      <c r="S800" s="57"/>
      <c r="T800" s="57"/>
      <c r="U800" s="57"/>
      <c r="V800" s="57"/>
      <c r="W800" s="57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3" t="s">
        <v>28</v>
      </c>
      <c r="B801" s="53" t="s">
        <v>45</v>
      </c>
      <c r="C801" s="53" t="s">
        <v>23</v>
      </c>
      <c r="D801" s="53" t="s">
        <v>46</v>
      </c>
      <c r="E801" s="53" t="s">
        <v>25</v>
      </c>
      <c r="F801" s="53" t="s">
        <v>25</v>
      </c>
      <c r="G801" s="53" t="s">
        <v>25</v>
      </c>
      <c r="H801" s="53" t="s">
        <v>25</v>
      </c>
      <c r="I801" s="75">
        <v>44682</v>
      </c>
      <c r="J801" s="76">
        <f>EFEITO!$J$801*EFEITO!$Y$640</f>
        <v>0</v>
      </c>
      <c r="K801" s="76">
        <f ca="1">EFEITO!$L$801*EFEITO!$Z$640</f>
        <v>768.16171097763947</v>
      </c>
      <c r="L801" s="76">
        <f>EFEITO!$N$801*EFEITO!$AA$640</f>
        <v>346.82100218041325</v>
      </c>
      <c r="M801" s="76">
        <f>$J$801-EFEITO!$K$801*EFEITO!$Y$801</f>
        <v>0</v>
      </c>
      <c r="N801" s="76">
        <f ca="1">$K$801-EFEITO!$M$801*EFEITO!$Z$801</f>
        <v>46.089702658658439</v>
      </c>
      <c r="O801" s="76">
        <f>$L$801-EFEITO!$O$801*EFEITO!$AA$801</f>
        <v>20.809260130824839</v>
      </c>
      <c r="P801" s="57"/>
      <c r="Q801" s="57"/>
      <c r="R801" s="57"/>
      <c r="S801" s="57"/>
      <c r="T801" s="57"/>
      <c r="U801" s="57"/>
      <c r="V801" s="57"/>
      <c r="W801" s="57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3" t="s">
        <v>21</v>
      </c>
      <c r="B802" s="53" t="s">
        <v>45</v>
      </c>
      <c r="C802" s="53" t="s">
        <v>23</v>
      </c>
      <c r="D802" s="53" t="s">
        <v>46</v>
      </c>
      <c r="E802" s="53" t="s">
        <v>25</v>
      </c>
      <c r="F802" s="53" t="s">
        <v>25</v>
      </c>
      <c r="G802" s="53" t="s">
        <v>25</v>
      </c>
      <c r="H802" s="53" t="s">
        <v>25</v>
      </c>
      <c r="I802" s="75">
        <v>44713</v>
      </c>
      <c r="J802" s="76">
        <f>EFEITO!$J$802*EFEITO!$Y$640</f>
        <v>0</v>
      </c>
      <c r="K802" s="76">
        <f ca="1">EFEITO!$L$802*EFEITO!$Z$640</f>
        <v>187962.95577565412</v>
      </c>
      <c r="L802" s="76">
        <f>EFEITO!$N$802*EFEITO!$AA$640</f>
        <v>84864.293238383849</v>
      </c>
      <c r="M802" s="76">
        <f>$J$802-EFEITO!$K$802*EFEITO!$Y$802</f>
        <v>0</v>
      </c>
      <c r="N802" s="76">
        <f ca="1">$K$802-EFEITO!$M$802*EFEITO!$Z$802</f>
        <v>11277.777346539282</v>
      </c>
      <c r="O802" s="76">
        <f>$L$802-EFEITO!$O$802*EFEITO!$AA$802</f>
        <v>5091.8575943030446</v>
      </c>
      <c r="P802" s="57"/>
      <c r="Q802" s="57"/>
      <c r="R802" s="57"/>
      <c r="S802" s="57"/>
      <c r="T802" s="57"/>
      <c r="U802" s="57"/>
      <c r="V802" s="57"/>
      <c r="W802" s="57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3" t="s">
        <v>27</v>
      </c>
      <c r="B803" s="53" t="s">
        <v>45</v>
      </c>
      <c r="C803" s="53" t="s">
        <v>23</v>
      </c>
      <c r="D803" s="53" t="s">
        <v>46</v>
      </c>
      <c r="E803" s="53" t="s">
        <v>25</v>
      </c>
      <c r="F803" s="53" t="s">
        <v>25</v>
      </c>
      <c r="G803" s="53" t="s">
        <v>25</v>
      </c>
      <c r="H803" s="53" t="s">
        <v>25</v>
      </c>
      <c r="I803" s="75">
        <v>44713</v>
      </c>
      <c r="J803" s="76">
        <f>EFEITO!$J$803*EFEITO!$Y$640</f>
        <v>0</v>
      </c>
      <c r="K803" s="76">
        <f ca="1">EFEITO!$L$803*EFEITO!$Z$640</f>
        <v>-715.4593541079762</v>
      </c>
      <c r="L803" s="76">
        <f>EFEITO!$N$803*EFEITO!$AA$640</f>
        <v>-323.02616319586707</v>
      </c>
      <c r="M803" s="76">
        <f>$J$803-EFEITO!$K$803*EFEITO!$Y$803</f>
        <v>0</v>
      </c>
      <c r="N803" s="76">
        <f ca="1">$K$803-EFEITO!$M$803*EFEITO!$Z$803</f>
        <v>-42.927561246478604</v>
      </c>
      <c r="O803" s="76">
        <f>$L$803-EFEITO!$O$803*EFEITO!$AA$803</f>
        <v>-19.381569791752042</v>
      </c>
      <c r="P803" s="57"/>
      <c r="Q803" s="57"/>
      <c r="R803" s="57"/>
      <c r="S803" s="57"/>
      <c r="T803" s="57"/>
      <c r="U803" s="57"/>
      <c r="V803" s="57"/>
      <c r="W803" s="57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3" t="s">
        <v>28</v>
      </c>
      <c r="B804" s="53" t="s">
        <v>45</v>
      </c>
      <c r="C804" s="53" t="s">
        <v>23</v>
      </c>
      <c r="D804" s="53" t="s">
        <v>46</v>
      </c>
      <c r="E804" s="53" t="s">
        <v>25</v>
      </c>
      <c r="F804" s="53" t="s">
        <v>25</v>
      </c>
      <c r="G804" s="53" t="s">
        <v>25</v>
      </c>
      <c r="H804" s="53" t="s">
        <v>25</v>
      </c>
      <c r="I804" s="75">
        <v>44713</v>
      </c>
      <c r="J804" s="76">
        <f>EFEITO!$J$804*EFEITO!$Y$640</f>
        <v>0</v>
      </c>
      <c r="K804" s="76">
        <f ca="1">EFEITO!$L$804*EFEITO!$Z$640</f>
        <v>909.86144407060215</v>
      </c>
      <c r="L804" s="76">
        <f>EFEITO!$N$804*EFEITO!$AA$640</f>
        <v>410.79769190301374</v>
      </c>
      <c r="M804" s="76">
        <f>$J$804-EFEITO!$K$804*EFEITO!$Y$804</f>
        <v>0</v>
      </c>
      <c r="N804" s="76">
        <f ca="1">$K$804-EFEITO!$M$804*EFEITO!$Z$804</f>
        <v>54.591686644236233</v>
      </c>
      <c r="O804" s="76">
        <f>$L$804-EFEITO!$O$804*EFEITO!$AA$804</f>
        <v>24.647861514180818</v>
      </c>
      <c r="P804" s="57"/>
      <c r="Q804" s="57"/>
      <c r="R804" s="57"/>
      <c r="S804" s="57"/>
      <c r="T804" s="57"/>
      <c r="U804" s="57"/>
      <c r="V804" s="57"/>
      <c r="W804" s="57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3" t="s">
        <v>21</v>
      </c>
      <c r="B805" s="53" t="s">
        <v>45</v>
      </c>
      <c r="C805" s="53" t="s">
        <v>23</v>
      </c>
      <c r="D805" s="53" t="s">
        <v>46</v>
      </c>
      <c r="E805" s="53" t="s">
        <v>25</v>
      </c>
      <c r="F805" s="53" t="s">
        <v>25</v>
      </c>
      <c r="G805" s="53" t="s">
        <v>25</v>
      </c>
      <c r="H805" s="53" t="s">
        <v>25</v>
      </c>
      <c r="I805" s="75">
        <v>44743</v>
      </c>
      <c r="J805" s="76">
        <f>EFEITO!$J$805*EFEITO!$Y$640</f>
        <v>0</v>
      </c>
      <c r="K805" s="76">
        <f ca="1">EFEITO!$L$805*EFEITO!$Z$640</f>
        <v>182986.06339579253</v>
      </c>
      <c r="L805" s="76">
        <f>EFEITO!$N$805*EFEITO!$AA$640</f>
        <v>82617.252311635661</v>
      </c>
      <c r="M805" s="76">
        <f>$J$805-EFEITO!$K$805*EFEITO!$Y$805</f>
        <v>0</v>
      </c>
      <c r="N805" s="76">
        <f ca="1">$K$805-EFEITO!$M$805*EFEITO!$Z$805</f>
        <v>10979.163803747593</v>
      </c>
      <c r="O805" s="76">
        <f>$L$805-EFEITO!$O$805*EFEITO!$AA$805</f>
        <v>4957.0351386981347</v>
      </c>
      <c r="P805" s="57"/>
      <c r="Q805" s="57"/>
      <c r="R805" s="57"/>
      <c r="S805" s="57"/>
      <c r="T805" s="57"/>
      <c r="U805" s="57"/>
      <c r="V805" s="57"/>
      <c r="W805" s="57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3" t="s">
        <v>27</v>
      </c>
      <c r="B806" s="53" t="s">
        <v>45</v>
      </c>
      <c r="C806" s="53" t="s">
        <v>23</v>
      </c>
      <c r="D806" s="53" t="s">
        <v>46</v>
      </c>
      <c r="E806" s="53" t="s">
        <v>25</v>
      </c>
      <c r="F806" s="53" t="s">
        <v>25</v>
      </c>
      <c r="G806" s="53" t="s">
        <v>25</v>
      </c>
      <c r="H806" s="53" t="s">
        <v>25</v>
      </c>
      <c r="I806" s="75">
        <v>44743</v>
      </c>
      <c r="J806" s="76">
        <f>EFEITO!$J$806*EFEITO!$Y$640</f>
        <v>0</v>
      </c>
      <c r="K806" s="76">
        <f ca="1">EFEITO!$L$806*EFEITO!$Z$640</f>
        <v>-1316.0673456037614</v>
      </c>
      <c r="L806" s="76">
        <f>EFEITO!$N$806*EFEITO!$AA$640</f>
        <v>-594.19753577446841</v>
      </c>
      <c r="M806" s="76">
        <f>$J$806-EFEITO!$K$806*EFEITO!$Y$806</f>
        <v>0</v>
      </c>
      <c r="N806" s="76">
        <f ca="1">$K$806-EFEITO!$M$806*EFEITO!$Z$806</f>
        <v>-78.964040736225797</v>
      </c>
      <c r="O806" s="76">
        <f>$L$806-EFEITO!$O$806*EFEITO!$AA$806</f>
        <v>-35.651852146468059</v>
      </c>
      <c r="P806" s="57"/>
      <c r="Q806" s="57"/>
      <c r="R806" s="57"/>
      <c r="S806" s="57"/>
      <c r="T806" s="57"/>
      <c r="U806" s="57"/>
      <c r="V806" s="57"/>
      <c r="W806" s="57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3" t="s">
        <v>28</v>
      </c>
      <c r="B807" s="53" t="s">
        <v>45</v>
      </c>
      <c r="C807" s="53" t="s">
        <v>23</v>
      </c>
      <c r="D807" s="53" t="s">
        <v>46</v>
      </c>
      <c r="E807" s="53" t="s">
        <v>25</v>
      </c>
      <c r="F807" s="53" t="s">
        <v>25</v>
      </c>
      <c r="G807" s="53" t="s">
        <v>25</v>
      </c>
      <c r="H807" s="53" t="s">
        <v>25</v>
      </c>
      <c r="I807" s="75">
        <v>44743</v>
      </c>
      <c r="J807" s="76">
        <f>EFEITO!$J$807*EFEITO!$Y$640</f>
        <v>0</v>
      </c>
      <c r="K807" s="76">
        <f ca="1">EFEITO!$L$807*EFEITO!$Z$640</f>
        <v>821.36125989324296</v>
      </c>
      <c r="L807" s="76">
        <f>EFEITO!$N$807*EFEITO!$AA$640</f>
        <v>370.84032077802112</v>
      </c>
      <c r="M807" s="76">
        <f>$J$807-EFEITO!$K$807*EFEITO!$Y$807</f>
        <v>0</v>
      </c>
      <c r="N807" s="76">
        <f ca="1">$K$807-EFEITO!$M$807*EFEITO!$Z$807</f>
        <v>49.281675593594628</v>
      </c>
      <c r="O807" s="76">
        <f>$L$807-EFEITO!$O$807*EFEITO!$AA$807</f>
        <v>22.250419246681304</v>
      </c>
      <c r="P807" s="57"/>
      <c r="Q807" s="57"/>
      <c r="R807" s="57"/>
      <c r="S807" s="57"/>
      <c r="T807" s="57"/>
      <c r="U807" s="57"/>
      <c r="V807" s="57"/>
      <c r="W807" s="57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3" t="s">
        <v>21</v>
      </c>
      <c r="B808" s="53" t="s">
        <v>45</v>
      </c>
      <c r="C808" s="53" t="s">
        <v>23</v>
      </c>
      <c r="D808" s="53" t="s">
        <v>46</v>
      </c>
      <c r="E808" s="53" t="s">
        <v>25</v>
      </c>
      <c r="F808" s="53" t="s">
        <v>25</v>
      </c>
      <c r="G808" s="53" t="s">
        <v>25</v>
      </c>
      <c r="H808" s="53" t="s">
        <v>25</v>
      </c>
      <c r="I808" s="75">
        <v>44774</v>
      </c>
      <c r="J808" s="76">
        <f>EFEITO!$J$808*EFEITO!$Y$640</f>
        <v>0</v>
      </c>
      <c r="K808" s="76">
        <f ca="1">EFEITO!$L$808*EFEITO!$Z$640</f>
        <v>177928.12871244267</v>
      </c>
      <c r="L808" s="76">
        <f>EFEITO!$N$808*EFEITO!$AA$640</f>
        <v>80333.621207958422</v>
      </c>
      <c r="M808" s="76">
        <f>$J$808-EFEITO!$K$808*EFEITO!$Y$808</f>
        <v>0</v>
      </c>
      <c r="N808" s="76">
        <f ca="1">$K$808-EFEITO!$M$808*EFEITO!$Z$808</f>
        <v>10675.687722746574</v>
      </c>
      <c r="O808" s="76">
        <f>$L$808-EFEITO!$O$808*EFEITO!$AA$808</f>
        <v>4820.0172724775184</v>
      </c>
      <c r="P808" s="57"/>
      <c r="Q808" s="57"/>
      <c r="R808" s="57"/>
      <c r="S808" s="57"/>
      <c r="T808" s="57"/>
      <c r="U808" s="57"/>
      <c r="V808" s="57"/>
      <c r="W808" s="57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3" t="s">
        <v>27</v>
      </c>
      <c r="B809" s="53" t="s">
        <v>45</v>
      </c>
      <c r="C809" s="53" t="s">
        <v>23</v>
      </c>
      <c r="D809" s="53" t="s">
        <v>46</v>
      </c>
      <c r="E809" s="53" t="s">
        <v>25</v>
      </c>
      <c r="F809" s="53" t="s">
        <v>25</v>
      </c>
      <c r="G809" s="53" t="s">
        <v>25</v>
      </c>
      <c r="H809" s="53" t="s">
        <v>25</v>
      </c>
      <c r="I809" s="75">
        <v>44774</v>
      </c>
      <c r="J809" s="76">
        <f>EFEITO!$J$809*EFEITO!$Y$640</f>
        <v>0</v>
      </c>
      <c r="K809" s="76">
        <f ca="1">EFEITO!$L$809*EFEITO!$Z$640</f>
        <v>95.460872820522184</v>
      </c>
      <c r="L809" s="76">
        <f>EFEITO!$N$809*EFEITO!$AA$640</f>
        <v>43.100085707857183</v>
      </c>
      <c r="M809" s="76">
        <f>$J$809-EFEITO!$K$809*EFEITO!$Y$809</f>
        <v>0</v>
      </c>
      <c r="N809" s="76">
        <f ca="1">$K$809-EFEITO!$M$809*EFEITO!$Z$809</f>
        <v>5.7276523692313361</v>
      </c>
      <c r="O809" s="76">
        <f>$L$809-EFEITO!$O$809*EFEITO!$AA$809</f>
        <v>2.5860051424714356</v>
      </c>
      <c r="P809" s="57"/>
      <c r="Q809" s="57"/>
      <c r="R809" s="57"/>
      <c r="S809" s="57"/>
      <c r="T809" s="57"/>
      <c r="U809" s="57"/>
      <c r="V809" s="57"/>
      <c r="W809" s="57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3" t="s">
        <v>28</v>
      </c>
      <c r="B810" s="53" t="s">
        <v>45</v>
      </c>
      <c r="C810" s="53" t="s">
        <v>23</v>
      </c>
      <c r="D810" s="53" t="s">
        <v>46</v>
      </c>
      <c r="E810" s="53" t="s">
        <v>25</v>
      </c>
      <c r="F810" s="53" t="s">
        <v>25</v>
      </c>
      <c r="G810" s="53" t="s">
        <v>25</v>
      </c>
      <c r="H810" s="53" t="s">
        <v>25</v>
      </c>
      <c r="I810" s="75">
        <v>44774</v>
      </c>
      <c r="J810" s="76">
        <f>EFEITO!$J$810*EFEITO!$Y$640</f>
        <v>0</v>
      </c>
      <c r="K810" s="76">
        <f ca="1">EFEITO!$L$810*EFEITO!$Z$640</f>
        <v>1103.7663419872879</v>
      </c>
      <c r="L810" s="76">
        <f>EFEITO!$N$810*EFEITO!$AA$640</f>
        <v>498.34474099709865</v>
      </c>
      <c r="M810" s="76">
        <f>$J$810-EFEITO!$K$810*EFEITO!$Y$810</f>
        <v>0</v>
      </c>
      <c r="N810" s="76">
        <f ca="1">$K$810-EFEITO!$M$810*EFEITO!$Z$810</f>
        <v>66.225980519237282</v>
      </c>
      <c r="O810" s="76">
        <f>$L$810-EFEITO!$O$810*EFEITO!$AA$810</f>
        <v>29.900684459825925</v>
      </c>
      <c r="P810" s="57"/>
      <c r="Q810" s="57"/>
      <c r="R810" s="57"/>
      <c r="S810" s="57"/>
      <c r="T810" s="57"/>
      <c r="U810" s="57"/>
      <c r="V810" s="57"/>
      <c r="W810" s="57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3" t="s">
        <v>21</v>
      </c>
      <c r="B811" s="53" t="s">
        <v>45</v>
      </c>
      <c r="C811" s="53" t="s">
        <v>23</v>
      </c>
      <c r="D811" s="53" t="s">
        <v>46</v>
      </c>
      <c r="E811" s="53" t="s">
        <v>25</v>
      </c>
      <c r="F811" s="53" t="s">
        <v>25</v>
      </c>
      <c r="G811" s="53" t="s">
        <v>25</v>
      </c>
      <c r="H811" s="53" t="s">
        <v>25</v>
      </c>
      <c r="I811" s="75">
        <v>44805</v>
      </c>
      <c r="J811" s="76">
        <f>EFEITO!$J$811*EFEITO!$Y$640</f>
        <v>0</v>
      </c>
      <c r="K811" s="76">
        <f ca="1">EFEITO!$L$811*EFEITO!$Z$640</f>
        <v>190642.32371122597</v>
      </c>
      <c r="L811" s="76">
        <f>EFEITO!$N$811*EFEITO!$AA$640</f>
        <v>86074.013873173652</v>
      </c>
      <c r="M811" s="76">
        <f>$J$811-EFEITO!$K$811*EFEITO!$Y$811</f>
        <v>0</v>
      </c>
      <c r="N811" s="76">
        <f ca="1">$K$811-EFEITO!$M$811*EFEITO!$Z$811</f>
        <v>11438.539422673581</v>
      </c>
      <c r="O811" s="76">
        <f>$L$811-EFEITO!$O$811*EFEITO!$AA$811</f>
        <v>5164.4408323904208</v>
      </c>
      <c r="P811" s="57"/>
      <c r="Q811" s="57"/>
      <c r="R811" s="57"/>
      <c r="S811" s="57"/>
      <c r="T811" s="57"/>
      <c r="U811" s="57"/>
      <c r="V811" s="57"/>
      <c r="W811" s="57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3" t="s">
        <v>27</v>
      </c>
      <c r="B812" s="53" t="s">
        <v>45</v>
      </c>
      <c r="C812" s="53" t="s">
        <v>23</v>
      </c>
      <c r="D812" s="53" t="s">
        <v>46</v>
      </c>
      <c r="E812" s="53" t="s">
        <v>25</v>
      </c>
      <c r="F812" s="53" t="s">
        <v>25</v>
      </c>
      <c r="G812" s="53" t="s">
        <v>25</v>
      </c>
      <c r="H812" s="53" t="s">
        <v>25</v>
      </c>
      <c r="I812" s="75">
        <v>44805</v>
      </c>
      <c r="J812" s="76">
        <f>EFEITO!$J$812*EFEITO!$Y$640</f>
        <v>0</v>
      </c>
      <c r="K812" s="76">
        <f ca="1">EFEITO!$L$812*EFEITO!$Z$640</f>
        <v>-10028.860758660172</v>
      </c>
      <c r="L812" s="76">
        <f>EFEITO!$N$812*EFEITO!$AA$640</f>
        <v>-4527.9782750686827</v>
      </c>
      <c r="M812" s="76">
        <f>$J$812-EFEITO!$K$812*EFEITO!$Y$812</f>
        <v>0</v>
      </c>
      <c r="N812" s="76">
        <f ca="1">$K$812-EFEITO!$M$812*EFEITO!$Z$812</f>
        <v>-601.73164551961236</v>
      </c>
      <c r="O812" s="76">
        <f>$L$812-EFEITO!$O$812*EFEITO!$AA$812</f>
        <v>-271.67869650412104</v>
      </c>
      <c r="P812" s="57"/>
      <c r="Q812" s="57"/>
      <c r="R812" s="57"/>
      <c r="S812" s="57"/>
      <c r="T812" s="57"/>
      <c r="U812" s="57"/>
      <c r="V812" s="57"/>
      <c r="W812" s="57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3" t="s">
        <v>28</v>
      </c>
      <c r="B813" s="53" t="s">
        <v>45</v>
      </c>
      <c r="C813" s="53" t="s">
        <v>23</v>
      </c>
      <c r="D813" s="53" t="s">
        <v>46</v>
      </c>
      <c r="E813" s="53" t="s">
        <v>25</v>
      </c>
      <c r="F813" s="53" t="s">
        <v>25</v>
      </c>
      <c r="G813" s="53" t="s">
        <v>25</v>
      </c>
      <c r="H813" s="53" t="s">
        <v>25</v>
      </c>
      <c r="I813" s="75">
        <v>44805</v>
      </c>
      <c r="J813" s="76">
        <f>EFEITO!$J$813*EFEITO!$Y$640</f>
        <v>0</v>
      </c>
      <c r="K813" s="76">
        <f ca="1">EFEITO!$L$813*EFEITO!$Z$640</f>
        <v>958.58626457274363</v>
      </c>
      <c r="L813" s="76">
        <f>EFEITO!$N$813*EFEITO!$AA$640</f>
        <v>432.79669398306584</v>
      </c>
      <c r="M813" s="76">
        <f>$J$813-EFEITO!$K$813*EFEITO!$Y$813</f>
        <v>0</v>
      </c>
      <c r="N813" s="76">
        <f ca="1">$K$813-EFEITO!$M$813*EFEITO!$Z$813</f>
        <v>57.515175874364786</v>
      </c>
      <c r="O813" s="76">
        <f>$L$813-EFEITO!$O$813*EFEITO!$AA$813</f>
        <v>25.967801638983985</v>
      </c>
      <c r="P813" s="57"/>
      <c r="Q813" s="57"/>
      <c r="R813" s="57"/>
      <c r="S813" s="57"/>
      <c r="T813" s="57"/>
      <c r="U813" s="57"/>
      <c r="V813" s="57"/>
      <c r="W813" s="57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3" t="s">
        <v>21</v>
      </c>
      <c r="B814" s="53" t="s">
        <v>45</v>
      </c>
      <c r="C814" s="53" t="s">
        <v>23</v>
      </c>
      <c r="D814" s="53" t="s">
        <v>46</v>
      </c>
      <c r="E814" s="53" t="s">
        <v>25</v>
      </c>
      <c r="F814" s="53" t="s">
        <v>25</v>
      </c>
      <c r="G814" s="53" t="s">
        <v>25</v>
      </c>
      <c r="H814" s="53" t="s">
        <v>25</v>
      </c>
      <c r="I814" s="75">
        <v>44835</v>
      </c>
      <c r="J814" s="76">
        <f>EFEITO!$J$814*EFEITO!$Y$640</f>
        <v>0</v>
      </c>
      <c r="K814" s="76">
        <f ca="1">EFEITO!$L$814*EFEITO!$Z$640</f>
        <v>204900.79720469957</v>
      </c>
      <c r="L814" s="76">
        <f>EFEITO!$N$814*EFEITO!$AA$640</f>
        <v>92511.640216558691</v>
      </c>
      <c r="M814" s="76">
        <f>$J$814-EFEITO!$K$814*EFEITO!$Y$814</f>
        <v>0</v>
      </c>
      <c r="N814" s="76">
        <f ca="1">$K$814-EFEITO!$M$814*EFEITO!$Z$814</f>
        <v>12294.047832281969</v>
      </c>
      <c r="O814" s="76">
        <f>$L$814-EFEITO!$O$814*EFEITO!$AA$814</f>
        <v>5550.6984129935299</v>
      </c>
      <c r="P814" s="57"/>
      <c r="Q814" s="57"/>
      <c r="R814" s="57"/>
      <c r="S814" s="57"/>
      <c r="T814" s="57"/>
      <c r="U814" s="57"/>
      <c r="V814" s="57"/>
      <c r="W814" s="57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3" t="s">
        <v>27</v>
      </c>
      <c r="B815" s="53" t="s">
        <v>45</v>
      </c>
      <c r="C815" s="53" t="s">
        <v>23</v>
      </c>
      <c r="D815" s="53" t="s">
        <v>46</v>
      </c>
      <c r="E815" s="53" t="s">
        <v>25</v>
      </c>
      <c r="F815" s="53" t="s">
        <v>25</v>
      </c>
      <c r="G815" s="53" t="s">
        <v>25</v>
      </c>
      <c r="H815" s="53" t="s">
        <v>25</v>
      </c>
      <c r="I815" s="75">
        <v>44835</v>
      </c>
      <c r="J815" s="76">
        <f>EFEITO!$J$815*EFEITO!$Y$640</f>
        <v>0</v>
      </c>
      <c r="K815" s="76">
        <f ca="1">EFEITO!$L$815*EFEITO!$Z$640</f>
        <v>-6672.8144485636885</v>
      </c>
      <c r="L815" s="76">
        <f>EFEITO!$N$815*EFEITO!$AA$640</f>
        <v>-3012.7408869018291</v>
      </c>
      <c r="M815" s="76">
        <f>$J$815-EFEITO!$K$815*EFEITO!$Y$815</f>
        <v>0</v>
      </c>
      <c r="N815" s="76">
        <f ca="1">$K$815-EFEITO!$M$815*EFEITO!$Z$815</f>
        <v>-400.36886691382188</v>
      </c>
      <c r="O815" s="76">
        <f>$L$815-EFEITO!$O$815*EFEITO!$AA$815</f>
        <v>-180.76445321410984</v>
      </c>
      <c r="P815" s="57"/>
      <c r="Q815" s="57"/>
      <c r="R815" s="57"/>
      <c r="S815" s="57"/>
      <c r="T815" s="57"/>
      <c r="U815" s="57"/>
      <c r="V815" s="57"/>
      <c r="W815" s="57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3" t="s">
        <v>28</v>
      </c>
      <c r="B816" s="53" t="s">
        <v>45</v>
      </c>
      <c r="C816" s="53" t="s">
        <v>23</v>
      </c>
      <c r="D816" s="53" t="s">
        <v>46</v>
      </c>
      <c r="E816" s="53" t="s">
        <v>25</v>
      </c>
      <c r="F816" s="53" t="s">
        <v>25</v>
      </c>
      <c r="G816" s="53" t="s">
        <v>25</v>
      </c>
      <c r="H816" s="53" t="s">
        <v>25</v>
      </c>
      <c r="I816" s="75">
        <v>44835</v>
      </c>
      <c r="J816" s="76">
        <f>EFEITO!$J$816*EFEITO!$Y$640</f>
        <v>0</v>
      </c>
      <c r="K816" s="76">
        <f ca="1">EFEITO!$L$816*EFEITO!$Z$640</f>
        <v>1153.98273862725</v>
      </c>
      <c r="L816" s="76">
        <f>EFEITO!$N$816*EFEITO!$AA$640</f>
        <v>521.01718191633609</v>
      </c>
      <c r="M816" s="76">
        <f>$J$816-EFEITO!$K$816*EFEITO!$Y$816</f>
        <v>0</v>
      </c>
      <c r="N816" s="76">
        <f ca="1">$K$816-EFEITO!$M$816*EFEITO!$Z$816</f>
        <v>69.238964317635009</v>
      </c>
      <c r="O816" s="76">
        <f>$L$816-EFEITO!$O$816*EFEITO!$AA$816</f>
        <v>31.261030914980211</v>
      </c>
      <c r="P816" s="57"/>
      <c r="Q816" s="57"/>
      <c r="R816" s="57"/>
      <c r="S816" s="57"/>
      <c r="T816" s="57"/>
      <c r="U816" s="57"/>
      <c r="V816" s="57"/>
      <c r="W816" s="57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3" t="s">
        <v>54</v>
      </c>
      <c r="B817" s="53" t="s">
        <v>45</v>
      </c>
      <c r="C817" s="53" t="s">
        <v>23</v>
      </c>
      <c r="D817" s="53" t="s">
        <v>46</v>
      </c>
      <c r="E817" s="53" t="s">
        <v>25</v>
      </c>
      <c r="F817" s="53" t="s">
        <v>25</v>
      </c>
      <c r="G817" s="53" t="s">
        <v>25</v>
      </c>
      <c r="H817" s="53" t="s">
        <v>25</v>
      </c>
      <c r="I817" s="75">
        <v>44866</v>
      </c>
      <c r="J817" s="76">
        <f>EFEITO!$J$817*EFEITO!$Y$640</f>
        <v>0</v>
      </c>
      <c r="K817" s="76">
        <f ca="1">EFEITO!$L$817*EFEITO!$Z$640</f>
        <v>204900.79720469957</v>
      </c>
      <c r="L817" s="76">
        <f>EFEITO!$N$817*EFEITO!$AA$640</f>
        <v>92511.640216558691</v>
      </c>
      <c r="M817" s="76">
        <f>$J$817-EFEITO!$K$817*EFEITO!$Y$817</f>
        <v>0</v>
      </c>
      <c r="N817" s="76">
        <f ca="1">$K$817-EFEITO!$M$817*EFEITO!$Z$817</f>
        <v>12294.047832281969</v>
      </c>
      <c r="O817" s="76">
        <f>$L$817-EFEITO!$O$817*EFEITO!$AA$817</f>
        <v>5550.6984129935299</v>
      </c>
      <c r="P817" s="57"/>
      <c r="Q817" s="57"/>
      <c r="R817" s="57"/>
      <c r="S817" s="57"/>
      <c r="T817" s="57"/>
      <c r="U817" s="57"/>
      <c r="V817" s="57"/>
      <c r="W817" s="57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3" t="s">
        <v>54</v>
      </c>
      <c r="B818" s="53" t="s">
        <v>45</v>
      </c>
      <c r="C818" s="53" t="s">
        <v>23</v>
      </c>
      <c r="D818" s="53" t="s">
        <v>46</v>
      </c>
      <c r="E818" s="53" t="s">
        <v>25</v>
      </c>
      <c r="F818" s="53" t="s">
        <v>25</v>
      </c>
      <c r="G818" s="53" t="s">
        <v>25</v>
      </c>
      <c r="H818" s="53" t="s">
        <v>25</v>
      </c>
      <c r="I818" s="75">
        <v>44866</v>
      </c>
      <c r="J818" s="76">
        <f>EFEITO!$J$818*EFEITO!$Y$640</f>
        <v>0</v>
      </c>
      <c r="K818" s="76">
        <f ca="1">EFEITO!$L$818*EFEITO!$Z$640</f>
        <v>-6672.8144485636885</v>
      </c>
      <c r="L818" s="76">
        <f>EFEITO!$N$818*EFEITO!$AA$640</f>
        <v>-3012.7408869018291</v>
      </c>
      <c r="M818" s="76">
        <f>$J$818-EFEITO!$K$818*EFEITO!$Y$818</f>
        <v>0</v>
      </c>
      <c r="N818" s="76">
        <f ca="1">$K$818-EFEITO!$M$818*EFEITO!$Z$818</f>
        <v>-400.36886691382188</v>
      </c>
      <c r="O818" s="76">
        <f>$L$818-EFEITO!$O$818*EFEITO!$AA$818</f>
        <v>-180.76445321410984</v>
      </c>
      <c r="P818" s="57"/>
      <c r="Q818" s="57"/>
      <c r="R818" s="57"/>
      <c r="S818" s="57"/>
      <c r="T818" s="57"/>
      <c r="U818" s="57"/>
      <c r="V818" s="57"/>
      <c r="W818" s="57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3" t="s">
        <v>54</v>
      </c>
      <c r="B819" s="53" t="s">
        <v>45</v>
      </c>
      <c r="C819" s="53" t="s">
        <v>23</v>
      </c>
      <c r="D819" s="53" t="s">
        <v>46</v>
      </c>
      <c r="E819" s="53" t="s">
        <v>25</v>
      </c>
      <c r="F819" s="53" t="s">
        <v>25</v>
      </c>
      <c r="G819" s="53" t="s">
        <v>25</v>
      </c>
      <c r="H819" s="53" t="s">
        <v>25</v>
      </c>
      <c r="I819" s="75">
        <v>44866</v>
      </c>
      <c r="J819" s="76">
        <f>EFEITO!$J$819*EFEITO!$Y$640</f>
        <v>0</v>
      </c>
      <c r="K819" s="76">
        <f ca="1">EFEITO!$L$819*EFEITO!$Z$640</f>
        <v>1153.98273862725</v>
      </c>
      <c r="L819" s="76">
        <f>EFEITO!$N$819*EFEITO!$AA$640</f>
        <v>521.01718191633609</v>
      </c>
      <c r="M819" s="76">
        <f>$J$819-EFEITO!$K$819*EFEITO!$Y$819</f>
        <v>0</v>
      </c>
      <c r="N819" s="76">
        <f ca="1">$K$819-EFEITO!$M$819*EFEITO!$Z$819</f>
        <v>69.238964317635009</v>
      </c>
      <c r="O819" s="76">
        <f>$L$819-EFEITO!$O$819*EFEITO!$AA$819</f>
        <v>31.261030914980211</v>
      </c>
      <c r="P819" s="57"/>
      <c r="Q819" s="57"/>
      <c r="R819" s="57"/>
      <c r="S819" s="57"/>
      <c r="T819" s="57"/>
      <c r="U819" s="57"/>
      <c r="V819" s="57"/>
      <c r="W819" s="57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3" t="s">
        <v>21</v>
      </c>
      <c r="B820" s="53" t="s">
        <v>37</v>
      </c>
      <c r="C820" s="53" t="s">
        <v>33</v>
      </c>
      <c r="D820" s="53" t="s">
        <v>44</v>
      </c>
      <c r="E820" s="53" t="s">
        <v>25</v>
      </c>
      <c r="F820" s="53" t="s">
        <v>25</v>
      </c>
      <c r="G820" s="53" t="s">
        <v>25</v>
      </c>
      <c r="H820" s="53" t="s">
        <v>35</v>
      </c>
      <c r="I820" s="75">
        <v>44531</v>
      </c>
      <c r="J820" s="76">
        <f>EFEITO!$J$820*EFEITO!$Y$820</f>
        <v>0</v>
      </c>
      <c r="K820" s="76">
        <f ca="1">EFEITO!$L$820*EFEITO!$Z$820</f>
        <v>17569.37825059157</v>
      </c>
      <c r="L820" s="76">
        <f>EFEITO!$N$820*EFEITO!$AA$820</f>
        <v>9648.4400193698239</v>
      </c>
      <c r="M820" s="76">
        <f>$J$820-EFEITO!$K$820*EFEITO!$Y$820</f>
        <v>0</v>
      </c>
      <c r="N820" s="76">
        <f ca="1">$K$820-EFEITO!$M$820*EFEITO!$Z$820</f>
        <v>0</v>
      </c>
      <c r="O820" s="76">
        <f>$L$820-EFEITO!$O$820*EFEITO!$AA$820</f>
        <v>0</v>
      </c>
      <c r="P820" s="57"/>
      <c r="Q820" s="57"/>
      <c r="R820" s="57"/>
      <c r="S820" s="57"/>
      <c r="T820" s="57"/>
      <c r="U820" s="57"/>
      <c r="V820" s="57"/>
      <c r="W820" s="57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3" t="s">
        <v>21</v>
      </c>
      <c r="B821" s="53" t="s">
        <v>37</v>
      </c>
      <c r="C821" s="53" t="s">
        <v>33</v>
      </c>
      <c r="D821" s="53" t="s">
        <v>44</v>
      </c>
      <c r="E821" s="53" t="s">
        <v>25</v>
      </c>
      <c r="F821" s="53" t="s">
        <v>25</v>
      </c>
      <c r="G821" s="53" t="s">
        <v>25</v>
      </c>
      <c r="H821" s="53" t="s">
        <v>35</v>
      </c>
      <c r="I821" s="75">
        <v>44562</v>
      </c>
      <c r="J821" s="76">
        <f>EFEITO!$J$821*EFEITO!$Y$821</f>
        <v>0</v>
      </c>
      <c r="K821" s="76">
        <f ca="1">EFEITO!$L$821*EFEITO!$Z$821</f>
        <v>16253.765492938503</v>
      </c>
      <c r="L821" s="76">
        <f>EFEITO!$N$821*EFEITO!$AA$821</f>
        <v>8925.9551027219659</v>
      </c>
      <c r="M821" s="76">
        <f>$J$821-EFEITO!$K$821*EFEITO!$Y$821</f>
        <v>0</v>
      </c>
      <c r="N821" s="76">
        <f ca="1">$K$821-EFEITO!$M$821*EFEITO!$Z$821</f>
        <v>0</v>
      </c>
      <c r="O821" s="76">
        <f>$L$821-EFEITO!$O$821*EFEITO!$AA$821</f>
        <v>0</v>
      </c>
      <c r="P821" s="57"/>
      <c r="Q821" s="57"/>
      <c r="R821" s="57"/>
      <c r="S821" s="57"/>
      <c r="T821" s="57"/>
      <c r="U821" s="57"/>
      <c r="V821" s="57"/>
      <c r="W821" s="57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3" t="s">
        <v>21</v>
      </c>
      <c r="B822" s="53" t="s">
        <v>37</v>
      </c>
      <c r="C822" s="53" t="s">
        <v>33</v>
      </c>
      <c r="D822" s="53" t="s">
        <v>44</v>
      </c>
      <c r="E822" s="53" t="s">
        <v>25</v>
      </c>
      <c r="F822" s="53" t="s">
        <v>25</v>
      </c>
      <c r="G822" s="53" t="s">
        <v>25</v>
      </c>
      <c r="H822" s="53" t="s">
        <v>35</v>
      </c>
      <c r="I822" s="75">
        <v>44593</v>
      </c>
      <c r="J822" s="76">
        <f>EFEITO!$J$822*EFEITO!$Y$822</f>
        <v>0</v>
      </c>
      <c r="K822" s="76">
        <f ca="1">EFEITO!$L$822*EFEITO!$Z$822</f>
        <v>12350.898759477112</v>
      </c>
      <c r="L822" s="76">
        <f>EFEITO!$N$822*EFEITO!$AA$822</f>
        <v>6782.6478641673993</v>
      </c>
      <c r="M822" s="76">
        <f>$J$822-EFEITO!$K$822*EFEITO!$Y$822</f>
        <v>0</v>
      </c>
      <c r="N822" s="76">
        <f ca="1">$K$822-EFEITO!$M$822*EFEITO!$Z$822</f>
        <v>0</v>
      </c>
      <c r="O822" s="76">
        <f>$L$822-EFEITO!$O$822*EFEITO!$AA$822</f>
        <v>0</v>
      </c>
      <c r="P822" s="57"/>
      <c r="Q822" s="57"/>
      <c r="R822" s="57"/>
      <c r="S822" s="57"/>
      <c r="T822" s="57"/>
      <c r="U822" s="57"/>
      <c r="V822" s="57"/>
      <c r="W822" s="57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3" t="s">
        <v>21</v>
      </c>
      <c r="B823" s="53" t="s">
        <v>37</v>
      </c>
      <c r="C823" s="53" t="s">
        <v>33</v>
      </c>
      <c r="D823" s="53" t="s">
        <v>44</v>
      </c>
      <c r="E823" s="53" t="s">
        <v>25</v>
      </c>
      <c r="F823" s="53" t="s">
        <v>25</v>
      </c>
      <c r="G823" s="53" t="s">
        <v>25</v>
      </c>
      <c r="H823" s="53" t="s">
        <v>35</v>
      </c>
      <c r="I823" s="75">
        <v>44621</v>
      </c>
      <c r="J823" s="76">
        <f>EFEITO!$J$823*EFEITO!$Y$823</f>
        <v>0</v>
      </c>
      <c r="K823" s="76">
        <f ca="1">EFEITO!$L$823*EFEITO!$Z$823</f>
        <v>12466.324050658848</v>
      </c>
      <c r="L823" s="76">
        <f>EFEITO!$N$823*EFEITO!$AA$823</f>
        <v>6846.0350815635411</v>
      </c>
      <c r="M823" s="76">
        <f>$J$823-EFEITO!$K$823*EFEITO!$Y$823</f>
        <v>0</v>
      </c>
      <c r="N823" s="76">
        <f ca="1">$K$823-EFEITO!$M$823*EFEITO!$Z$823</f>
        <v>0</v>
      </c>
      <c r="O823" s="76">
        <f>$L$823-EFEITO!$O$823*EFEITO!$AA$823</f>
        <v>0</v>
      </c>
      <c r="P823" s="57"/>
      <c r="Q823" s="57"/>
      <c r="R823" s="57"/>
      <c r="S823" s="57"/>
      <c r="T823" s="57"/>
      <c r="U823" s="57"/>
      <c r="V823" s="57"/>
      <c r="W823" s="57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3" t="s">
        <v>21</v>
      </c>
      <c r="B824" s="53" t="s">
        <v>37</v>
      </c>
      <c r="C824" s="53" t="s">
        <v>33</v>
      </c>
      <c r="D824" s="53" t="s">
        <v>44</v>
      </c>
      <c r="E824" s="53" t="s">
        <v>25</v>
      </c>
      <c r="F824" s="53" t="s">
        <v>25</v>
      </c>
      <c r="G824" s="53" t="s">
        <v>25</v>
      </c>
      <c r="H824" s="53" t="s">
        <v>35</v>
      </c>
      <c r="I824" s="75">
        <v>44652</v>
      </c>
      <c r="J824" s="76">
        <f>EFEITO!$J$824*EFEITO!$Y$824</f>
        <v>0</v>
      </c>
      <c r="K824" s="76">
        <f ca="1">EFEITO!$L$824*EFEITO!$Z$824</f>
        <v>12698.352442116015</v>
      </c>
      <c r="L824" s="76">
        <f>EFEITO!$N$824*EFEITO!$AA$824</f>
        <v>6973.4563246966009</v>
      </c>
      <c r="M824" s="76">
        <f>$J$824-EFEITO!$K$824*EFEITO!$Y$824</f>
        <v>0</v>
      </c>
      <c r="N824" s="76">
        <f ca="1">$K$824-EFEITO!$M$824*EFEITO!$Z$824</f>
        <v>0</v>
      </c>
      <c r="O824" s="76">
        <f>$L$824-EFEITO!$O$824*EFEITO!$AA$824</f>
        <v>0</v>
      </c>
      <c r="P824" s="57"/>
      <c r="Q824" s="57"/>
      <c r="R824" s="57"/>
      <c r="S824" s="57"/>
      <c r="T824" s="57"/>
      <c r="U824" s="57"/>
      <c r="V824" s="57"/>
      <c r="W824" s="57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3" t="s">
        <v>21</v>
      </c>
      <c r="B825" s="53" t="s">
        <v>37</v>
      </c>
      <c r="C825" s="53" t="s">
        <v>33</v>
      </c>
      <c r="D825" s="53" t="s">
        <v>44</v>
      </c>
      <c r="E825" s="53" t="s">
        <v>25</v>
      </c>
      <c r="F825" s="53" t="s">
        <v>25</v>
      </c>
      <c r="G825" s="53" t="s">
        <v>25</v>
      </c>
      <c r="H825" s="53" t="s">
        <v>35</v>
      </c>
      <c r="I825" s="75">
        <v>44682</v>
      </c>
      <c r="J825" s="76">
        <f>EFEITO!$J$825*EFEITO!$Y$825</f>
        <v>0</v>
      </c>
      <c r="K825" s="76">
        <f ca="1">EFEITO!$L$825*EFEITO!$Z$825</f>
        <v>15505.464115413364</v>
      </c>
      <c r="L825" s="76">
        <f>EFEITO!$N$825*EFEITO!$AA$825</f>
        <v>8515.0162035483409</v>
      </c>
      <c r="M825" s="76">
        <f>$J$825-EFEITO!$K$825*EFEITO!$Y$825</f>
        <v>0</v>
      </c>
      <c r="N825" s="76">
        <f ca="1">$K$825-EFEITO!$M$825*EFEITO!$Z$825</f>
        <v>0</v>
      </c>
      <c r="O825" s="76">
        <f>$L$825-EFEITO!$O$825*EFEITO!$AA$825</f>
        <v>0</v>
      </c>
      <c r="P825" s="57"/>
      <c r="Q825" s="57"/>
      <c r="R825" s="57"/>
      <c r="S825" s="57"/>
      <c r="T825" s="57"/>
      <c r="U825" s="57"/>
      <c r="V825" s="57"/>
      <c r="W825" s="57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3" t="s">
        <v>21</v>
      </c>
      <c r="B826" s="53" t="s">
        <v>37</v>
      </c>
      <c r="C826" s="53" t="s">
        <v>33</v>
      </c>
      <c r="D826" s="53" t="s">
        <v>44</v>
      </c>
      <c r="E826" s="53" t="s">
        <v>25</v>
      </c>
      <c r="F826" s="53" t="s">
        <v>25</v>
      </c>
      <c r="G826" s="53" t="s">
        <v>25</v>
      </c>
      <c r="H826" s="53" t="s">
        <v>35</v>
      </c>
      <c r="I826" s="75">
        <v>44713</v>
      </c>
      <c r="J826" s="76">
        <f>EFEITO!$J$826*EFEITO!$Y$826</f>
        <v>0</v>
      </c>
      <c r="K826" s="76">
        <f ca="1">EFEITO!$L$826*EFEITO!$Z$826</f>
        <v>15054.755835560865</v>
      </c>
      <c r="L826" s="76">
        <f>EFEITO!$N$826*EFEITO!$AA$826</f>
        <v>8267.5042118110268</v>
      </c>
      <c r="M826" s="76">
        <f>$J$826-EFEITO!$K$826*EFEITO!$Y$826</f>
        <v>0</v>
      </c>
      <c r="N826" s="76">
        <f ca="1">$K$826-EFEITO!$M$826*EFEITO!$Z$826</f>
        <v>0</v>
      </c>
      <c r="O826" s="76">
        <f>$L$826-EFEITO!$O$826*EFEITO!$AA$826</f>
        <v>0</v>
      </c>
      <c r="P826" s="57"/>
      <c r="Q826" s="57"/>
      <c r="R826" s="57"/>
      <c r="S826" s="57"/>
      <c r="T826" s="57"/>
      <c r="U826" s="57"/>
      <c r="V826" s="57"/>
      <c r="W826" s="57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3" t="s">
        <v>21</v>
      </c>
      <c r="B827" s="53" t="s">
        <v>37</v>
      </c>
      <c r="C827" s="53" t="s">
        <v>33</v>
      </c>
      <c r="D827" s="53" t="s">
        <v>44</v>
      </c>
      <c r="E827" s="53" t="s">
        <v>25</v>
      </c>
      <c r="F827" s="53" t="s">
        <v>25</v>
      </c>
      <c r="G827" s="53" t="s">
        <v>25</v>
      </c>
      <c r="H827" s="53" t="s">
        <v>35</v>
      </c>
      <c r="I827" s="75">
        <v>44743</v>
      </c>
      <c r="J827" s="76">
        <f>EFEITO!$J$827*EFEITO!$Y$827</f>
        <v>0</v>
      </c>
      <c r="K827" s="76">
        <f ca="1">EFEITO!$L$827*EFEITO!$Z$827</f>
        <v>11599.063954670897</v>
      </c>
      <c r="L827" s="76">
        <f>EFEITO!$N$827*EFEITO!$AA$827</f>
        <v>6369.7685399714437</v>
      </c>
      <c r="M827" s="76">
        <f>$J$827-EFEITO!$K$827*EFEITO!$Y$827</f>
        <v>0</v>
      </c>
      <c r="N827" s="76">
        <f ca="1">$K$827-EFEITO!$M$827*EFEITO!$Z$827</f>
        <v>0</v>
      </c>
      <c r="O827" s="76">
        <f>$L$827-EFEITO!$O$827*EFEITO!$AA$827</f>
        <v>0</v>
      </c>
      <c r="P827" s="57"/>
      <c r="Q827" s="57"/>
      <c r="R827" s="57"/>
      <c r="S827" s="57"/>
      <c r="T827" s="57"/>
      <c r="U827" s="57"/>
      <c r="V827" s="57"/>
      <c r="W827" s="57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3" t="s">
        <v>21</v>
      </c>
      <c r="B828" s="53" t="s">
        <v>37</v>
      </c>
      <c r="C828" s="53" t="s">
        <v>33</v>
      </c>
      <c r="D828" s="53" t="s">
        <v>44</v>
      </c>
      <c r="E828" s="53" t="s">
        <v>25</v>
      </c>
      <c r="F828" s="53" t="s">
        <v>25</v>
      </c>
      <c r="G828" s="53" t="s">
        <v>25</v>
      </c>
      <c r="H828" s="53" t="s">
        <v>35</v>
      </c>
      <c r="I828" s="75">
        <v>44774</v>
      </c>
      <c r="J828" s="76">
        <f>EFEITO!$J$828*EFEITO!$Y$828</f>
        <v>0</v>
      </c>
      <c r="K828" s="76">
        <f ca="1">EFEITO!$L$828*EFEITO!$Z$828</f>
        <v>12343.439301883735</v>
      </c>
      <c r="L828" s="76">
        <f>EFEITO!$N$828*EFEITO!$AA$828</f>
        <v>6778.5514113424788</v>
      </c>
      <c r="M828" s="76">
        <f>$J$828-EFEITO!$K$828*EFEITO!$Y$828</f>
        <v>0</v>
      </c>
      <c r="N828" s="76">
        <f ca="1">$K$828-EFEITO!$M$828*EFEITO!$Z$828</f>
        <v>0</v>
      </c>
      <c r="O828" s="76">
        <f>$L$828-EFEITO!$O$828*EFEITO!$AA$828</f>
        <v>0</v>
      </c>
      <c r="P828" s="57"/>
      <c r="Q828" s="57"/>
      <c r="R828" s="57"/>
      <c r="S828" s="57"/>
      <c r="T828" s="57"/>
      <c r="U828" s="57"/>
      <c r="V828" s="57"/>
      <c r="W828" s="57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3" t="s">
        <v>21</v>
      </c>
      <c r="B829" s="53" t="s">
        <v>37</v>
      </c>
      <c r="C829" s="53" t="s">
        <v>33</v>
      </c>
      <c r="D829" s="53" t="s">
        <v>44</v>
      </c>
      <c r="E829" s="53" t="s">
        <v>25</v>
      </c>
      <c r="F829" s="53" t="s">
        <v>25</v>
      </c>
      <c r="G829" s="53" t="s">
        <v>25</v>
      </c>
      <c r="H829" s="53" t="s">
        <v>35</v>
      </c>
      <c r="I829" s="75">
        <v>44805</v>
      </c>
      <c r="J829" s="76">
        <f>EFEITO!$J$829*EFEITO!$Y$829</f>
        <v>0</v>
      </c>
      <c r="K829" s="76">
        <f ca="1">EFEITO!$L$829*EFEITO!$Z$829</f>
        <v>16136.377186600614</v>
      </c>
      <c r="L829" s="76">
        <f>EFEITO!$N$829*EFEITO!$AA$829</f>
        <v>8861.4898714245301</v>
      </c>
      <c r="M829" s="76">
        <f>$J$829-EFEITO!$K$829*EFEITO!$Y$829</f>
        <v>0</v>
      </c>
      <c r="N829" s="76">
        <f ca="1">$K$829-EFEITO!$M$829*EFEITO!$Z$829</f>
        <v>0</v>
      </c>
      <c r="O829" s="76">
        <f>$L$829-EFEITO!$O$829*EFEITO!$AA$829</f>
        <v>0</v>
      </c>
      <c r="P829" s="57"/>
      <c r="Q829" s="57"/>
      <c r="R829" s="57"/>
      <c r="S829" s="57"/>
      <c r="T829" s="57"/>
      <c r="U829" s="57"/>
      <c r="V829" s="57"/>
      <c r="W829" s="57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3" t="s">
        <v>21</v>
      </c>
      <c r="B830" s="53" t="s">
        <v>37</v>
      </c>
      <c r="C830" s="53" t="s">
        <v>33</v>
      </c>
      <c r="D830" s="53" t="s">
        <v>44</v>
      </c>
      <c r="E830" s="53" t="s">
        <v>25</v>
      </c>
      <c r="F830" s="53" t="s">
        <v>25</v>
      </c>
      <c r="G830" s="53" t="s">
        <v>25</v>
      </c>
      <c r="H830" s="53" t="s">
        <v>35</v>
      </c>
      <c r="I830" s="75">
        <v>44835</v>
      </c>
      <c r="J830" s="76">
        <f>EFEITO!$J$830*EFEITO!$Y$830</f>
        <v>0</v>
      </c>
      <c r="K830" s="76">
        <f ca="1">EFEITO!$L$830*EFEITO!$Z$830</f>
        <v>29854.712303853208</v>
      </c>
      <c r="L830" s="76">
        <f>EFEITO!$N$830*EFEITO!$AA$830</f>
        <v>16395.082219233973</v>
      </c>
      <c r="M830" s="76">
        <f>$J$830-EFEITO!$K$830*EFEITO!$Y$830</f>
        <v>0</v>
      </c>
      <c r="N830" s="76">
        <f ca="1">$K$830-EFEITO!$M$830*EFEITO!$Z$830</f>
        <v>0</v>
      </c>
      <c r="O830" s="76">
        <f>$L$830-EFEITO!$O$830*EFEITO!$AA$830</f>
        <v>0</v>
      </c>
      <c r="P830" s="57"/>
      <c r="Q830" s="57"/>
      <c r="R830" s="57"/>
      <c r="S830" s="57"/>
      <c r="T830" s="57"/>
      <c r="U830" s="57"/>
      <c r="V830" s="57"/>
      <c r="W830" s="57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3" t="s">
        <v>54</v>
      </c>
      <c r="B831" s="53" t="s">
        <v>37</v>
      </c>
      <c r="C831" s="53" t="s">
        <v>33</v>
      </c>
      <c r="D831" s="53" t="s">
        <v>44</v>
      </c>
      <c r="E831" s="53" t="s">
        <v>25</v>
      </c>
      <c r="F831" s="53" t="s">
        <v>25</v>
      </c>
      <c r="G831" s="53" t="s">
        <v>25</v>
      </c>
      <c r="H831" s="53" t="s">
        <v>35</v>
      </c>
      <c r="I831" s="75">
        <v>44866</v>
      </c>
      <c r="J831" s="76">
        <f>EFEITO!$J$831*EFEITO!$Y$831</f>
        <v>0</v>
      </c>
      <c r="K831" s="76">
        <f ca="1">EFEITO!$L$831*EFEITO!$Z$831</f>
        <v>29854.712303853208</v>
      </c>
      <c r="L831" s="76">
        <f>EFEITO!$N$831*EFEITO!$AA$831</f>
        <v>16395.082219233973</v>
      </c>
      <c r="M831" s="76">
        <f>$J$831-EFEITO!$K$831*EFEITO!$Y$831</f>
        <v>0</v>
      </c>
      <c r="N831" s="76">
        <f ca="1">$K$831-EFEITO!$M$831*EFEITO!$Z$831</f>
        <v>0</v>
      </c>
      <c r="O831" s="76">
        <f>$L$831-EFEITO!$O$831*EFEITO!$AA$831</f>
        <v>0</v>
      </c>
      <c r="P831" s="57"/>
      <c r="Q831" s="57"/>
      <c r="R831" s="57"/>
      <c r="S831" s="57"/>
      <c r="T831" s="57"/>
      <c r="U831" s="57"/>
      <c r="V831" s="57"/>
      <c r="W831" s="57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3" t="s">
        <v>21</v>
      </c>
      <c r="B832" s="53" t="s">
        <v>37</v>
      </c>
      <c r="C832" s="53" t="s">
        <v>33</v>
      </c>
      <c r="D832" s="53" t="s">
        <v>44</v>
      </c>
      <c r="E832" s="53" t="s">
        <v>25</v>
      </c>
      <c r="F832" s="53" t="s">
        <v>25</v>
      </c>
      <c r="G832" s="53" t="s">
        <v>25</v>
      </c>
      <c r="H832" s="53" t="s">
        <v>36</v>
      </c>
      <c r="I832" s="75">
        <v>44531</v>
      </c>
      <c r="J832" s="76">
        <f>EFEITO!$J$832*EFEITO!$Y$832</f>
        <v>0</v>
      </c>
      <c r="K832" s="76">
        <f ca="1">EFEITO!$L$832*EFEITO!$Z$832</f>
        <v>1726.1795692678575</v>
      </c>
      <c r="L832" s="76">
        <f>EFEITO!$N$832*EFEITO!$AA$832</f>
        <v>476.48214437235617</v>
      </c>
      <c r="M832" s="76">
        <f>$J$832-EFEITO!$K$832*EFEITO!$Y$832</f>
        <v>0</v>
      </c>
      <c r="N832" s="76">
        <f ca="1">$K$832-EFEITO!$M$832*EFEITO!$Z$832</f>
        <v>0</v>
      </c>
      <c r="O832" s="76">
        <f>$L$832-EFEITO!$O$832*EFEITO!$AA$832</f>
        <v>0</v>
      </c>
      <c r="P832" s="57"/>
      <c r="Q832" s="57"/>
      <c r="R832" s="57"/>
      <c r="S832" s="57"/>
      <c r="T832" s="57"/>
      <c r="U832" s="57"/>
      <c r="V832" s="57"/>
      <c r="W832" s="57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3" t="s">
        <v>21</v>
      </c>
      <c r="B833" s="53" t="s">
        <v>37</v>
      </c>
      <c r="C833" s="53" t="s">
        <v>33</v>
      </c>
      <c r="D833" s="53" t="s">
        <v>44</v>
      </c>
      <c r="E833" s="53" t="s">
        <v>25</v>
      </c>
      <c r="F833" s="53" t="s">
        <v>25</v>
      </c>
      <c r="G833" s="53" t="s">
        <v>25</v>
      </c>
      <c r="H833" s="53" t="s">
        <v>36</v>
      </c>
      <c r="I833" s="75">
        <v>44562</v>
      </c>
      <c r="J833" s="76">
        <f>EFEITO!$J$833*EFEITO!$Y$833</f>
        <v>0</v>
      </c>
      <c r="K833" s="76">
        <f ca="1">EFEITO!$L$833*EFEITO!$Z$833</f>
        <v>1587.1479116526182</v>
      </c>
      <c r="L833" s="76">
        <f>EFEITO!$N$833*EFEITO!$AA$833</f>
        <v>438.10484948625691</v>
      </c>
      <c r="M833" s="76">
        <f>$J$833-EFEITO!$K$833*EFEITO!$Y$833</f>
        <v>0</v>
      </c>
      <c r="N833" s="76">
        <f ca="1">$K$833-EFEITO!$M$833*EFEITO!$Z$833</f>
        <v>0</v>
      </c>
      <c r="O833" s="76">
        <f>$L$833-EFEITO!$O$833*EFEITO!$AA$833</f>
        <v>0</v>
      </c>
      <c r="P833" s="57"/>
      <c r="Q833" s="57"/>
      <c r="R833" s="57"/>
      <c r="S833" s="57"/>
      <c r="T833" s="57"/>
      <c r="U833" s="57"/>
      <c r="V833" s="57"/>
      <c r="W833" s="57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3" t="s">
        <v>21</v>
      </c>
      <c r="B834" s="53" t="s">
        <v>37</v>
      </c>
      <c r="C834" s="53" t="s">
        <v>33</v>
      </c>
      <c r="D834" s="53" t="s">
        <v>44</v>
      </c>
      <c r="E834" s="53" t="s">
        <v>25</v>
      </c>
      <c r="F834" s="53" t="s">
        <v>25</v>
      </c>
      <c r="G834" s="53" t="s">
        <v>25</v>
      </c>
      <c r="H834" s="53" t="s">
        <v>36</v>
      </c>
      <c r="I834" s="75">
        <v>44593</v>
      </c>
      <c r="J834" s="76">
        <f>EFEITO!$J$834*EFEITO!$Y$834</f>
        <v>0</v>
      </c>
      <c r="K834" s="76">
        <f ca="1">EFEITO!$L$834*EFEITO!$Z$834</f>
        <v>1312.2089033348418</v>
      </c>
      <c r="L834" s="76">
        <f>EFEITO!$N$834*EFEITO!$AA$834</f>
        <v>362.21267083509429</v>
      </c>
      <c r="M834" s="76">
        <f>$J$834-EFEITO!$K$834*EFEITO!$Y$834</f>
        <v>0</v>
      </c>
      <c r="N834" s="76">
        <f ca="1">$K$834-EFEITO!$M$834*EFEITO!$Z$834</f>
        <v>0</v>
      </c>
      <c r="O834" s="76">
        <f>$L$834-EFEITO!$O$834*EFEITO!$AA$834</f>
        <v>0</v>
      </c>
      <c r="P834" s="57"/>
      <c r="Q834" s="57"/>
      <c r="R834" s="57"/>
      <c r="S834" s="57"/>
      <c r="T834" s="57"/>
      <c r="U834" s="57"/>
      <c r="V834" s="57"/>
      <c r="W834" s="57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3" t="s">
        <v>21</v>
      </c>
      <c r="B835" s="53" t="s">
        <v>37</v>
      </c>
      <c r="C835" s="53" t="s">
        <v>33</v>
      </c>
      <c r="D835" s="53" t="s">
        <v>44</v>
      </c>
      <c r="E835" s="53" t="s">
        <v>25</v>
      </c>
      <c r="F835" s="53" t="s">
        <v>25</v>
      </c>
      <c r="G835" s="53" t="s">
        <v>25</v>
      </c>
      <c r="H835" s="53" t="s">
        <v>36</v>
      </c>
      <c r="I835" s="75">
        <v>44621</v>
      </c>
      <c r="J835" s="76">
        <f>EFEITO!$J$835*EFEITO!$Y$835</f>
        <v>0</v>
      </c>
      <c r="K835" s="76">
        <f ca="1">EFEITO!$L$835*EFEITO!$Z$835</f>
        <v>1225.5093865073611</v>
      </c>
      <c r="L835" s="76">
        <f>EFEITO!$N$835*EFEITO!$AA$835</f>
        <v>338.28076222634695</v>
      </c>
      <c r="M835" s="76">
        <f>$J$835-EFEITO!$K$835*EFEITO!$Y$835</f>
        <v>0</v>
      </c>
      <c r="N835" s="76">
        <f ca="1">$K$835-EFEITO!$M$835*EFEITO!$Z$835</f>
        <v>0</v>
      </c>
      <c r="O835" s="76">
        <f>$L$835-EFEITO!$O$835*EFEITO!$AA$835</f>
        <v>0</v>
      </c>
      <c r="P835" s="57"/>
      <c r="Q835" s="57"/>
      <c r="R835" s="57"/>
      <c r="S835" s="57"/>
      <c r="T835" s="57"/>
      <c r="U835" s="57"/>
      <c r="V835" s="57"/>
      <c r="W835" s="57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3" t="s">
        <v>21</v>
      </c>
      <c r="B836" s="53" t="s">
        <v>37</v>
      </c>
      <c r="C836" s="53" t="s">
        <v>33</v>
      </c>
      <c r="D836" s="53" t="s">
        <v>44</v>
      </c>
      <c r="E836" s="53" t="s">
        <v>25</v>
      </c>
      <c r="F836" s="53" t="s">
        <v>25</v>
      </c>
      <c r="G836" s="53" t="s">
        <v>25</v>
      </c>
      <c r="H836" s="53" t="s">
        <v>36</v>
      </c>
      <c r="I836" s="75">
        <v>44652</v>
      </c>
      <c r="J836" s="76">
        <f>EFEITO!$J$836*EFEITO!$Y$836</f>
        <v>0</v>
      </c>
      <c r="K836" s="76">
        <f ca="1">EFEITO!$L$836*EFEITO!$Z$836</f>
        <v>1356.7302768408456</v>
      </c>
      <c r="L836" s="76">
        <f>EFEITO!$N$836*EFEITO!$AA$836</f>
        <v>374.50202930985643</v>
      </c>
      <c r="M836" s="76">
        <f>$J$836-EFEITO!$K$836*EFEITO!$Y$836</f>
        <v>0</v>
      </c>
      <c r="N836" s="76">
        <f ca="1">$K$836-EFEITO!$M$836*EFEITO!$Z$836</f>
        <v>0</v>
      </c>
      <c r="O836" s="76">
        <f>$L$836-EFEITO!$O$836*EFEITO!$AA$836</f>
        <v>0</v>
      </c>
      <c r="P836" s="57"/>
      <c r="Q836" s="57"/>
      <c r="R836" s="57"/>
      <c r="S836" s="57"/>
      <c r="T836" s="57"/>
      <c r="U836" s="57"/>
      <c r="V836" s="57"/>
      <c r="W836" s="57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3" t="s">
        <v>21</v>
      </c>
      <c r="B837" s="53" t="s">
        <v>37</v>
      </c>
      <c r="C837" s="53" t="s">
        <v>33</v>
      </c>
      <c r="D837" s="53" t="s">
        <v>44</v>
      </c>
      <c r="E837" s="53" t="s">
        <v>25</v>
      </c>
      <c r="F837" s="53" t="s">
        <v>25</v>
      </c>
      <c r="G837" s="53" t="s">
        <v>25</v>
      </c>
      <c r="H837" s="53" t="s">
        <v>36</v>
      </c>
      <c r="I837" s="75">
        <v>44682</v>
      </c>
      <c r="J837" s="76">
        <f>EFEITO!$J$837*EFEITO!$Y$837</f>
        <v>0</v>
      </c>
      <c r="K837" s="76">
        <f ca="1">EFEITO!$L$837*EFEITO!$Z$837</f>
        <v>1220.0418494101327</v>
      </c>
      <c r="L837" s="76">
        <f>EFEITO!$N$837*EFEITO!$AA$837</f>
        <v>336.7715427645341</v>
      </c>
      <c r="M837" s="76">
        <f>$J$837-EFEITO!$K$837*EFEITO!$Y$837</f>
        <v>0</v>
      </c>
      <c r="N837" s="76">
        <f ca="1">$K$837-EFEITO!$M$837*EFEITO!$Z$837</f>
        <v>0</v>
      </c>
      <c r="O837" s="76">
        <f>$L$837-EFEITO!$O$837*EFEITO!$AA$837</f>
        <v>0</v>
      </c>
      <c r="P837" s="57"/>
      <c r="Q837" s="57"/>
      <c r="R837" s="57"/>
      <c r="S837" s="57"/>
      <c r="T837" s="57"/>
      <c r="U837" s="57"/>
      <c r="V837" s="57"/>
      <c r="W837" s="57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3" t="s">
        <v>21</v>
      </c>
      <c r="B838" s="53" t="s">
        <v>37</v>
      </c>
      <c r="C838" s="53" t="s">
        <v>33</v>
      </c>
      <c r="D838" s="53" t="s">
        <v>44</v>
      </c>
      <c r="E838" s="53" t="s">
        <v>25</v>
      </c>
      <c r="F838" s="53" t="s">
        <v>25</v>
      </c>
      <c r="G838" s="53" t="s">
        <v>25</v>
      </c>
      <c r="H838" s="53" t="s">
        <v>36</v>
      </c>
      <c r="I838" s="75">
        <v>44713</v>
      </c>
      <c r="J838" s="76">
        <f>EFEITO!$J$838*EFEITO!$Y$838</f>
        <v>0</v>
      </c>
      <c r="K838" s="76">
        <f ca="1">EFEITO!$L$838*EFEITO!$Z$838</f>
        <v>1591.0532952934957</v>
      </c>
      <c r="L838" s="76">
        <f>EFEITO!$N$838*EFEITO!$AA$838</f>
        <v>439.18286338755183</v>
      </c>
      <c r="M838" s="76">
        <f>$J$838-EFEITO!$K$838*EFEITO!$Y$838</f>
        <v>0</v>
      </c>
      <c r="N838" s="76">
        <f ca="1">$K$838-EFEITO!$M$838*EFEITO!$Z$838</f>
        <v>0</v>
      </c>
      <c r="O838" s="76">
        <f>$L$838-EFEITO!$O$838*EFEITO!$AA$838</f>
        <v>0</v>
      </c>
      <c r="P838" s="57"/>
      <c r="Q838" s="57"/>
      <c r="R838" s="57"/>
      <c r="S838" s="57"/>
      <c r="T838" s="57"/>
      <c r="U838" s="57"/>
      <c r="V838" s="57"/>
      <c r="W838" s="57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3" t="s">
        <v>21</v>
      </c>
      <c r="B839" s="53" t="s">
        <v>37</v>
      </c>
      <c r="C839" s="53" t="s">
        <v>33</v>
      </c>
      <c r="D839" s="53" t="s">
        <v>44</v>
      </c>
      <c r="E839" s="53" t="s">
        <v>25</v>
      </c>
      <c r="F839" s="53" t="s">
        <v>25</v>
      </c>
      <c r="G839" s="53" t="s">
        <v>25</v>
      </c>
      <c r="H839" s="53" t="s">
        <v>36</v>
      </c>
      <c r="I839" s="75">
        <v>44743</v>
      </c>
      <c r="J839" s="76">
        <f>EFEITO!$J$839*EFEITO!$Y$839</f>
        <v>0</v>
      </c>
      <c r="K839" s="76">
        <f ca="1">EFEITO!$L$839*EFEITO!$Z$839</f>
        <v>987.28098441383338</v>
      </c>
      <c r="L839" s="76">
        <f>EFEITO!$N$839*EFEITO!$AA$839</f>
        <v>272.52191424735668</v>
      </c>
      <c r="M839" s="76">
        <f>$J$839-EFEITO!$K$839*EFEITO!$Y$839</f>
        <v>0</v>
      </c>
      <c r="N839" s="76">
        <f ca="1">$K$839-EFEITO!$M$839*EFEITO!$Z$839</f>
        <v>0</v>
      </c>
      <c r="O839" s="76">
        <f>$L$839-EFEITO!$O$839*EFEITO!$AA$839</f>
        <v>0</v>
      </c>
      <c r="P839" s="57"/>
      <c r="Q839" s="57"/>
      <c r="R839" s="57"/>
      <c r="S839" s="57"/>
      <c r="T839" s="57"/>
      <c r="U839" s="57"/>
      <c r="V839" s="57"/>
      <c r="W839" s="57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3" t="s">
        <v>21</v>
      </c>
      <c r="B840" s="53" t="s">
        <v>37</v>
      </c>
      <c r="C840" s="53" t="s">
        <v>33</v>
      </c>
      <c r="D840" s="53" t="s">
        <v>44</v>
      </c>
      <c r="E840" s="53" t="s">
        <v>25</v>
      </c>
      <c r="F840" s="53" t="s">
        <v>25</v>
      </c>
      <c r="G840" s="53" t="s">
        <v>25</v>
      </c>
      <c r="H840" s="53" t="s">
        <v>36</v>
      </c>
      <c r="I840" s="75">
        <v>44774</v>
      </c>
      <c r="J840" s="76">
        <f>EFEITO!$J$840*EFEITO!$Y$840</f>
        <v>0</v>
      </c>
      <c r="K840" s="76">
        <f ca="1">EFEITO!$L$840*EFEITO!$Z$840</f>
        <v>1253.6281487216793</v>
      </c>
      <c r="L840" s="76">
        <f>EFEITO!$N$840*EFEITO!$AA$840</f>
        <v>346.04246231567043</v>
      </c>
      <c r="M840" s="76">
        <f>$J$840-EFEITO!$K$840*EFEITO!$Y$840</f>
        <v>0</v>
      </c>
      <c r="N840" s="76">
        <f ca="1">$K$840-EFEITO!$M$840*EFEITO!$Z$840</f>
        <v>0</v>
      </c>
      <c r="O840" s="76">
        <f>$L$840-EFEITO!$O$840*EFEITO!$AA$840</f>
        <v>0</v>
      </c>
      <c r="P840" s="57"/>
      <c r="Q840" s="57"/>
      <c r="R840" s="57"/>
      <c r="S840" s="57"/>
      <c r="T840" s="57"/>
      <c r="U840" s="57"/>
      <c r="V840" s="57"/>
      <c r="W840" s="57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3" t="s">
        <v>21</v>
      </c>
      <c r="B841" s="53" t="s">
        <v>37</v>
      </c>
      <c r="C841" s="53" t="s">
        <v>33</v>
      </c>
      <c r="D841" s="53" t="s">
        <v>44</v>
      </c>
      <c r="E841" s="53" t="s">
        <v>25</v>
      </c>
      <c r="F841" s="53" t="s">
        <v>25</v>
      </c>
      <c r="G841" s="53" t="s">
        <v>25</v>
      </c>
      <c r="H841" s="53" t="s">
        <v>36</v>
      </c>
      <c r="I841" s="75">
        <v>44805</v>
      </c>
      <c r="J841" s="76">
        <f>EFEITO!$J$841*EFEITO!$Y$841</f>
        <v>0</v>
      </c>
      <c r="K841" s="76">
        <f ca="1">EFEITO!$L$841*EFEITO!$Z$841</f>
        <v>1608.2369833133569</v>
      </c>
      <c r="L841" s="76">
        <f>EFEITO!$N$841*EFEITO!$AA$841</f>
        <v>443.92612455324951</v>
      </c>
      <c r="M841" s="76">
        <f>$J$841-EFEITO!$K$841*EFEITO!$Y$841</f>
        <v>0</v>
      </c>
      <c r="N841" s="76">
        <f ca="1">$K$841-EFEITO!$M$841*EFEITO!$Z$841</f>
        <v>0</v>
      </c>
      <c r="O841" s="76">
        <f>$L$841-EFEITO!$O$841*EFEITO!$AA$841</f>
        <v>0</v>
      </c>
      <c r="P841" s="57"/>
      <c r="Q841" s="57"/>
      <c r="R841" s="57"/>
      <c r="S841" s="57"/>
      <c r="T841" s="57"/>
      <c r="U841" s="57"/>
      <c r="V841" s="57"/>
      <c r="W841" s="57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3" t="s">
        <v>21</v>
      </c>
      <c r="B842" s="53" t="s">
        <v>37</v>
      </c>
      <c r="C842" s="53" t="s">
        <v>33</v>
      </c>
      <c r="D842" s="53" t="s">
        <v>44</v>
      </c>
      <c r="E842" s="53" t="s">
        <v>25</v>
      </c>
      <c r="F842" s="53" t="s">
        <v>25</v>
      </c>
      <c r="G842" s="53" t="s">
        <v>25</v>
      </c>
      <c r="H842" s="53" t="s">
        <v>36</v>
      </c>
      <c r="I842" s="75">
        <v>44835</v>
      </c>
      <c r="J842" s="76">
        <f>EFEITO!$J$842*EFEITO!$Y$842</f>
        <v>0</v>
      </c>
      <c r="K842" s="76">
        <f ca="1">EFEITO!$L$842*EFEITO!$Z$842</f>
        <v>2436.9593919075637</v>
      </c>
      <c r="L842" s="76">
        <f>EFEITO!$N$842*EFEITO!$AA$842</f>
        <v>672.68067440803225</v>
      </c>
      <c r="M842" s="76">
        <f>$J$842-EFEITO!$K$842*EFEITO!$Y$842</f>
        <v>0</v>
      </c>
      <c r="N842" s="76">
        <f ca="1">$K$842-EFEITO!$M$842*EFEITO!$Z$842</f>
        <v>0</v>
      </c>
      <c r="O842" s="76">
        <f>$L$842-EFEITO!$O$842*EFEITO!$AA$842</f>
        <v>0</v>
      </c>
      <c r="P842" s="57"/>
      <c r="Q842" s="57"/>
      <c r="R842" s="57"/>
      <c r="S842" s="57"/>
      <c r="T842" s="57"/>
      <c r="U842" s="57"/>
      <c r="V842" s="57"/>
      <c r="W842" s="57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3" t="s">
        <v>54</v>
      </c>
      <c r="B843" s="53" t="s">
        <v>37</v>
      </c>
      <c r="C843" s="53" t="s">
        <v>33</v>
      </c>
      <c r="D843" s="53" t="s">
        <v>44</v>
      </c>
      <c r="E843" s="53" t="s">
        <v>25</v>
      </c>
      <c r="F843" s="53" t="s">
        <v>25</v>
      </c>
      <c r="G843" s="53" t="s">
        <v>25</v>
      </c>
      <c r="H843" s="53" t="s">
        <v>36</v>
      </c>
      <c r="I843" s="75">
        <v>44866</v>
      </c>
      <c r="J843" s="76">
        <f>EFEITO!$J$843*EFEITO!$Y$843</f>
        <v>0</v>
      </c>
      <c r="K843" s="76">
        <f ca="1">EFEITO!$L$843*EFEITO!$Z$843</f>
        <v>2436.9593919075637</v>
      </c>
      <c r="L843" s="76">
        <f>EFEITO!$N$843*EFEITO!$AA$843</f>
        <v>672.68067440803225</v>
      </c>
      <c r="M843" s="76">
        <f>$J$843-EFEITO!$K$843*EFEITO!$Y$843</f>
        <v>0</v>
      </c>
      <c r="N843" s="76">
        <f ca="1">$K$843-EFEITO!$M$843*EFEITO!$Z$843</f>
        <v>0</v>
      </c>
      <c r="O843" s="76">
        <f>$L$843-EFEITO!$O$843*EFEITO!$AA$843</f>
        <v>0</v>
      </c>
      <c r="P843" s="57"/>
      <c r="Q843" s="57"/>
      <c r="R843" s="57"/>
      <c r="S843" s="57"/>
      <c r="T843" s="57"/>
      <c r="U843" s="57"/>
      <c r="V843" s="57"/>
      <c r="W843" s="57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3" t="s">
        <v>21</v>
      </c>
      <c r="B844" s="53" t="s">
        <v>37</v>
      </c>
      <c r="C844" s="53" t="s">
        <v>33</v>
      </c>
      <c r="D844" s="53" t="s">
        <v>44</v>
      </c>
      <c r="E844" s="53" t="s">
        <v>25</v>
      </c>
      <c r="F844" s="53" t="s">
        <v>25</v>
      </c>
      <c r="G844" s="53" t="s">
        <v>25</v>
      </c>
      <c r="H844" s="53" t="s">
        <v>34</v>
      </c>
      <c r="I844" s="75">
        <v>44531</v>
      </c>
      <c r="J844" s="76">
        <f>EFEITO!$J$844*EFEITO!$Y$844</f>
        <v>0</v>
      </c>
      <c r="K844" s="76">
        <f ca="1">EFEITO!$L$844*EFEITO!$Z$844</f>
        <v>2499.3292459662289</v>
      </c>
      <c r="L844" s="76">
        <f>EFEITO!$N$844*EFEITO!$AA$844</f>
        <v>688.38064180772051</v>
      </c>
      <c r="M844" s="76">
        <f>$J$844-EFEITO!$K$844*EFEITO!$Y$844</f>
        <v>0</v>
      </c>
      <c r="N844" s="76">
        <f ca="1">$K$844-EFEITO!$M$844*EFEITO!$Z$844</f>
        <v>0</v>
      </c>
      <c r="O844" s="76">
        <f>$L$844-EFEITO!$O$844*EFEITO!$AA$844</f>
        <v>0</v>
      </c>
      <c r="P844" s="57"/>
      <c r="Q844" s="57"/>
      <c r="R844" s="57"/>
      <c r="S844" s="57"/>
      <c r="T844" s="57"/>
      <c r="U844" s="57"/>
      <c r="V844" s="57"/>
      <c r="W844" s="57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3" t="s">
        <v>21</v>
      </c>
      <c r="B845" s="53" t="s">
        <v>37</v>
      </c>
      <c r="C845" s="53" t="s">
        <v>33</v>
      </c>
      <c r="D845" s="53" t="s">
        <v>44</v>
      </c>
      <c r="E845" s="53" t="s">
        <v>25</v>
      </c>
      <c r="F845" s="53" t="s">
        <v>25</v>
      </c>
      <c r="G845" s="53" t="s">
        <v>25</v>
      </c>
      <c r="H845" s="53" t="s">
        <v>34</v>
      </c>
      <c r="I845" s="75">
        <v>44562</v>
      </c>
      <c r="J845" s="76">
        <f>EFEITO!$J$845*EFEITO!$Y$845</f>
        <v>0</v>
      </c>
      <c r="K845" s="76">
        <f ca="1">EFEITO!$L$845*EFEITO!$Z$845</f>
        <v>2243.1977041475093</v>
      </c>
      <c r="L845" s="76">
        <f>EFEITO!$N$845*EFEITO!$AA$845</f>
        <v>617.83531632531958</v>
      </c>
      <c r="M845" s="76">
        <f>$J$845-EFEITO!$K$845*EFEITO!$Y$845</f>
        <v>0</v>
      </c>
      <c r="N845" s="76">
        <f ca="1">$K$845-EFEITO!$M$845*EFEITO!$Z$845</f>
        <v>0</v>
      </c>
      <c r="O845" s="76">
        <f>$L$845-EFEITO!$O$845*EFEITO!$AA$845</f>
        <v>0</v>
      </c>
      <c r="P845" s="57"/>
      <c r="Q845" s="57"/>
      <c r="R845" s="57"/>
      <c r="S845" s="57"/>
      <c r="T845" s="57"/>
      <c r="U845" s="57"/>
      <c r="V845" s="57"/>
      <c r="W845" s="57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3" t="s">
        <v>21</v>
      </c>
      <c r="B846" s="53" t="s">
        <v>37</v>
      </c>
      <c r="C846" s="53" t="s">
        <v>33</v>
      </c>
      <c r="D846" s="53" t="s">
        <v>44</v>
      </c>
      <c r="E846" s="53" t="s">
        <v>25</v>
      </c>
      <c r="F846" s="53" t="s">
        <v>25</v>
      </c>
      <c r="G846" s="53" t="s">
        <v>25</v>
      </c>
      <c r="H846" s="53" t="s">
        <v>34</v>
      </c>
      <c r="I846" s="75">
        <v>44593</v>
      </c>
      <c r="J846" s="76">
        <f>EFEITO!$J$846*EFEITO!$Y$846</f>
        <v>0</v>
      </c>
      <c r="K846" s="76">
        <f ca="1">EFEITO!$L$846*EFEITO!$Z$846</f>
        <v>2216.2980445044473</v>
      </c>
      <c r="L846" s="76">
        <f>EFEITO!$N$846*EFEITO!$AA$846</f>
        <v>610.42644652579804</v>
      </c>
      <c r="M846" s="76">
        <f>$J$846-EFEITO!$K$846*EFEITO!$Y$846</f>
        <v>0</v>
      </c>
      <c r="N846" s="76">
        <f ca="1">$K$846-EFEITO!$M$846*EFEITO!$Z$846</f>
        <v>0</v>
      </c>
      <c r="O846" s="76">
        <f>$L$846-EFEITO!$O$846*EFEITO!$AA$846</f>
        <v>0</v>
      </c>
      <c r="P846" s="57"/>
      <c r="Q846" s="57"/>
      <c r="R846" s="57"/>
      <c r="S846" s="57"/>
      <c r="T846" s="57"/>
      <c r="U846" s="57"/>
      <c r="V846" s="57"/>
      <c r="W846" s="57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3" t="s">
        <v>21</v>
      </c>
      <c r="B847" s="53" t="s">
        <v>37</v>
      </c>
      <c r="C847" s="53" t="s">
        <v>33</v>
      </c>
      <c r="D847" s="53" t="s">
        <v>44</v>
      </c>
      <c r="E847" s="53" t="s">
        <v>25</v>
      </c>
      <c r="F847" s="53" t="s">
        <v>25</v>
      </c>
      <c r="G847" s="53" t="s">
        <v>25</v>
      </c>
      <c r="H847" s="53" t="s">
        <v>34</v>
      </c>
      <c r="I847" s="75">
        <v>44621</v>
      </c>
      <c r="J847" s="76">
        <f>EFEITO!$J$847*EFEITO!$Y$847</f>
        <v>0</v>
      </c>
      <c r="K847" s="76">
        <f ca="1">EFEITO!$L$847*EFEITO!$Z$847</f>
        <v>1851.3983136942163</v>
      </c>
      <c r="L847" s="76">
        <f>EFEITO!$N$847*EFEITO!$AA$847</f>
        <v>509.92351707141859</v>
      </c>
      <c r="M847" s="76">
        <f>$J$847-EFEITO!$K$847*EFEITO!$Y$847</f>
        <v>0</v>
      </c>
      <c r="N847" s="76">
        <f ca="1">$K$847-EFEITO!$M$847*EFEITO!$Z$847</f>
        <v>0</v>
      </c>
      <c r="O847" s="76">
        <f>$L$847-EFEITO!$O$847*EFEITO!$AA$847</f>
        <v>0</v>
      </c>
      <c r="P847" s="57"/>
      <c r="Q847" s="57"/>
      <c r="R847" s="57"/>
      <c r="S847" s="57"/>
      <c r="T847" s="57"/>
      <c r="U847" s="57"/>
      <c r="V847" s="57"/>
      <c r="W847" s="57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3" t="s">
        <v>21</v>
      </c>
      <c r="B848" s="53" t="s">
        <v>37</v>
      </c>
      <c r="C848" s="53" t="s">
        <v>33</v>
      </c>
      <c r="D848" s="53" t="s">
        <v>44</v>
      </c>
      <c r="E848" s="53" t="s">
        <v>25</v>
      </c>
      <c r="F848" s="53" t="s">
        <v>25</v>
      </c>
      <c r="G848" s="53" t="s">
        <v>25</v>
      </c>
      <c r="H848" s="53" t="s">
        <v>34</v>
      </c>
      <c r="I848" s="75">
        <v>44652</v>
      </c>
      <c r="J848" s="76">
        <f>EFEITO!$J$848*EFEITO!$Y$848</f>
        <v>0</v>
      </c>
      <c r="K848" s="76">
        <f ca="1">EFEITO!$L$848*EFEITO!$Z$848</f>
        <v>1851.3983136942163</v>
      </c>
      <c r="L848" s="76">
        <f>EFEITO!$N$848*EFEITO!$AA$848</f>
        <v>509.92351707141859</v>
      </c>
      <c r="M848" s="76">
        <f>$J$848-EFEITO!$K$848*EFEITO!$Y$848</f>
        <v>0</v>
      </c>
      <c r="N848" s="76">
        <f ca="1">$K$848-EFEITO!$M$848*EFEITO!$Z$848</f>
        <v>0</v>
      </c>
      <c r="O848" s="76">
        <f>$L$848-EFEITO!$O$848*EFEITO!$AA$848</f>
        <v>0</v>
      </c>
      <c r="P848" s="57"/>
      <c r="Q848" s="57"/>
      <c r="R848" s="57"/>
      <c r="S848" s="57"/>
      <c r="T848" s="57"/>
      <c r="U848" s="57"/>
      <c r="V848" s="57"/>
      <c r="W848" s="57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3" t="s">
        <v>21</v>
      </c>
      <c r="B849" s="53" t="s">
        <v>37</v>
      </c>
      <c r="C849" s="53" t="s">
        <v>33</v>
      </c>
      <c r="D849" s="53" t="s">
        <v>44</v>
      </c>
      <c r="E849" s="53" t="s">
        <v>25</v>
      </c>
      <c r="F849" s="53" t="s">
        <v>25</v>
      </c>
      <c r="G849" s="53" t="s">
        <v>25</v>
      </c>
      <c r="H849" s="53" t="s">
        <v>34</v>
      </c>
      <c r="I849" s="75">
        <v>44682</v>
      </c>
      <c r="J849" s="76">
        <f>EFEITO!$J$849*EFEITO!$Y$849</f>
        <v>0</v>
      </c>
      <c r="K849" s="76">
        <f ca="1">EFEITO!$L$849*EFEITO!$Z$849</f>
        <v>2123.9035613826259</v>
      </c>
      <c r="L849" s="76">
        <f>EFEITO!$N$849*EFEITO!$AA$849</f>
        <v>584.97858938831098</v>
      </c>
      <c r="M849" s="76">
        <f>$J$849-EFEITO!$K$849*EFEITO!$Y$849</f>
        <v>0</v>
      </c>
      <c r="N849" s="76">
        <f ca="1">$K$849-EFEITO!$M$849*EFEITO!$Z$849</f>
        <v>0</v>
      </c>
      <c r="O849" s="76">
        <f>$L$849-EFEITO!$O$849*EFEITO!$AA$849</f>
        <v>0</v>
      </c>
      <c r="P849" s="57"/>
      <c r="Q849" s="57"/>
      <c r="R849" s="57"/>
      <c r="S849" s="57"/>
      <c r="T849" s="57"/>
      <c r="U849" s="57"/>
      <c r="V849" s="57"/>
      <c r="W849" s="57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3" t="s">
        <v>21</v>
      </c>
      <c r="B850" s="53" t="s">
        <v>37</v>
      </c>
      <c r="C850" s="53" t="s">
        <v>33</v>
      </c>
      <c r="D850" s="53" t="s">
        <v>44</v>
      </c>
      <c r="E850" s="53" t="s">
        <v>25</v>
      </c>
      <c r="F850" s="53" t="s">
        <v>25</v>
      </c>
      <c r="G850" s="53" t="s">
        <v>25</v>
      </c>
      <c r="H850" s="53" t="s">
        <v>34</v>
      </c>
      <c r="I850" s="75">
        <v>44713</v>
      </c>
      <c r="J850" s="76">
        <f>EFEITO!$J$850*EFEITO!$Y$850</f>
        <v>0</v>
      </c>
      <c r="K850" s="76">
        <f ca="1">EFEITO!$L$850*EFEITO!$Z$850</f>
        <v>2144.95546892937</v>
      </c>
      <c r="L850" s="76">
        <f>EFEITO!$N$850*EFEITO!$AA$850</f>
        <v>590.77683531837135</v>
      </c>
      <c r="M850" s="76">
        <f>$J$850-EFEITO!$K$850*EFEITO!$Y$850</f>
        <v>0</v>
      </c>
      <c r="N850" s="76">
        <f ca="1">$K$850-EFEITO!$M$850*EFEITO!$Z$850</f>
        <v>0</v>
      </c>
      <c r="O850" s="76">
        <f>$L$850-EFEITO!$O$850*EFEITO!$AA$850</f>
        <v>0</v>
      </c>
      <c r="P850" s="57"/>
      <c r="Q850" s="57"/>
      <c r="R850" s="57"/>
      <c r="S850" s="57"/>
      <c r="T850" s="57"/>
      <c r="U850" s="57"/>
      <c r="V850" s="57"/>
      <c r="W850" s="57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3" t="s">
        <v>21</v>
      </c>
      <c r="B851" s="53" t="s">
        <v>37</v>
      </c>
      <c r="C851" s="53" t="s">
        <v>33</v>
      </c>
      <c r="D851" s="53" t="s">
        <v>44</v>
      </c>
      <c r="E851" s="53" t="s">
        <v>25</v>
      </c>
      <c r="F851" s="53" t="s">
        <v>25</v>
      </c>
      <c r="G851" s="53" t="s">
        <v>25</v>
      </c>
      <c r="H851" s="53" t="s">
        <v>34</v>
      </c>
      <c r="I851" s="75">
        <v>44743</v>
      </c>
      <c r="J851" s="76">
        <f>EFEITO!$J$851*EFEITO!$Y$851</f>
        <v>0</v>
      </c>
      <c r="K851" s="76">
        <f ca="1">EFEITO!$L$851*EFEITO!$Z$851</f>
        <v>1366.0348896998387</v>
      </c>
      <c r="L851" s="76">
        <f>EFEITO!$N$851*EFEITO!$AA$851</f>
        <v>376.24173590613827</v>
      </c>
      <c r="M851" s="76">
        <f>$J$851-EFEITO!$K$851*EFEITO!$Y$851</f>
        <v>0</v>
      </c>
      <c r="N851" s="76">
        <f ca="1">$K$851-EFEITO!$M$851*EFEITO!$Z$851</f>
        <v>0</v>
      </c>
      <c r="O851" s="76">
        <f>$L$851-EFEITO!$O$851*EFEITO!$AA$851</f>
        <v>0</v>
      </c>
      <c r="P851" s="57"/>
      <c r="Q851" s="57"/>
      <c r="R851" s="57"/>
      <c r="S851" s="57"/>
      <c r="T851" s="57"/>
      <c r="U851" s="57"/>
      <c r="V851" s="57"/>
      <c r="W851" s="57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3" t="s">
        <v>21</v>
      </c>
      <c r="B852" s="53" t="s">
        <v>37</v>
      </c>
      <c r="C852" s="53" t="s">
        <v>33</v>
      </c>
      <c r="D852" s="53" t="s">
        <v>44</v>
      </c>
      <c r="E852" s="53" t="s">
        <v>25</v>
      </c>
      <c r="F852" s="53" t="s">
        <v>25</v>
      </c>
      <c r="G852" s="53" t="s">
        <v>25</v>
      </c>
      <c r="H852" s="53" t="s">
        <v>34</v>
      </c>
      <c r="I852" s="75">
        <v>44774</v>
      </c>
      <c r="J852" s="76">
        <f>EFEITO!$J$852*EFEITO!$Y$852</f>
        <v>0</v>
      </c>
      <c r="K852" s="76">
        <f ca="1">EFEITO!$L$852*EFEITO!$Z$852</f>
        <v>1449.0729694675517</v>
      </c>
      <c r="L852" s="76">
        <f>EFEITO!$N$852*EFEITO!$AA$852</f>
        <v>399.11259485248752</v>
      </c>
      <c r="M852" s="76">
        <f>$J$852-EFEITO!$K$852*EFEITO!$Y$852</f>
        <v>0</v>
      </c>
      <c r="N852" s="76">
        <f ca="1">$K$852-EFEITO!$M$852*EFEITO!$Z$852</f>
        <v>0</v>
      </c>
      <c r="O852" s="76">
        <f>$L$852-EFEITO!$O$852*EFEITO!$AA$852</f>
        <v>0</v>
      </c>
      <c r="P852" s="57"/>
      <c r="Q852" s="57"/>
      <c r="R852" s="57"/>
      <c r="S852" s="57"/>
      <c r="T852" s="57"/>
      <c r="U852" s="57"/>
      <c r="V852" s="57"/>
      <c r="W852" s="57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3" t="s">
        <v>21</v>
      </c>
      <c r="B853" s="53" t="s">
        <v>37</v>
      </c>
      <c r="C853" s="53" t="s">
        <v>33</v>
      </c>
      <c r="D853" s="53" t="s">
        <v>44</v>
      </c>
      <c r="E853" s="53" t="s">
        <v>25</v>
      </c>
      <c r="F853" s="53" t="s">
        <v>25</v>
      </c>
      <c r="G853" s="53" t="s">
        <v>25</v>
      </c>
      <c r="H853" s="53" t="s">
        <v>34</v>
      </c>
      <c r="I853" s="75">
        <v>44805</v>
      </c>
      <c r="J853" s="76">
        <f>EFEITO!$J$853*EFEITO!$Y$853</f>
        <v>0</v>
      </c>
      <c r="K853" s="76">
        <f ca="1">EFEITO!$L$853*EFEITO!$Z$853</f>
        <v>2226.8239982778191</v>
      </c>
      <c r="L853" s="76">
        <f>EFEITO!$N$853*EFEITO!$AA$853</f>
        <v>613.32556949082823</v>
      </c>
      <c r="M853" s="76">
        <f>$J$853-EFEITO!$K$853*EFEITO!$Y$853</f>
        <v>0</v>
      </c>
      <c r="N853" s="76">
        <f ca="1">$K$853-EFEITO!$M$853*EFEITO!$Z$853</f>
        <v>0</v>
      </c>
      <c r="O853" s="76">
        <f>$L$853-EFEITO!$O$853*EFEITO!$AA$853</f>
        <v>0</v>
      </c>
      <c r="P853" s="57"/>
      <c r="Q853" s="57"/>
      <c r="R853" s="57"/>
      <c r="S853" s="57"/>
      <c r="T853" s="57"/>
      <c r="U853" s="57"/>
      <c r="V853" s="57"/>
      <c r="W853" s="57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3" t="s">
        <v>21</v>
      </c>
      <c r="B854" s="53" t="s">
        <v>37</v>
      </c>
      <c r="C854" s="53" t="s">
        <v>33</v>
      </c>
      <c r="D854" s="53" t="s">
        <v>44</v>
      </c>
      <c r="E854" s="53" t="s">
        <v>25</v>
      </c>
      <c r="F854" s="53" t="s">
        <v>25</v>
      </c>
      <c r="G854" s="53" t="s">
        <v>25</v>
      </c>
      <c r="H854" s="53" t="s">
        <v>34</v>
      </c>
      <c r="I854" s="75">
        <v>44835</v>
      </c>
      <c r="J854" s="76">
        <f>EFEITO!$J$854*EFEITO!$Y$854</f>
        <v>0</v>
      </c>
      <c r="K854" s="76">
        <f ca="1">EFEITO!$L$854*EFEITO!$Z$854</f>
        <v>2867.7376280342505</v>
      </c>
      <c r="L854" s="76">
        <f>EFEITO!$N$854*EFEITO!$AA$854</f>
        <v>789.84994558377662</v>
      </c>
      <c r="M854" s="76">
        <f>$J$854-EFEITO!$K$854*EFEITO!$Y$854</f>
        <v>0</v>
      </c>
      <c r="N854" s="76">
        <f ca="1">$K$854-EFEITO!$M$854*EFEITO!$Z$854</f>
        <v>0</v>
      </c>
      <c r="O854" s="76">
        <f>$L$854-EFEITO!$O$854*EFEITO!$AA$854</f>
        <v>0</v>
      </c>
      <c r="P854" s="57"/>
      <c r="Q854" s="57"/>
      <c r="R854" s="57"/>
      <c r="S854" s="57"/>
      <c r="T854" s="57"/>
      <c r="U854" s="57"/>
      <c r="V854" s="57"/>
      <c r="W854" s="57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3" t="s">
        <v>54</v>
      </c>
      <c r="B855" s="53" t="s">
        <v>37</v>
      </c>
      <c r="C855" s="53" t="s">
        <v>33</v>
      </c>
      <c r="D855" s="53" t="s">
        <v>44</v>
      </c>
      <c r="E855" s="53" t="s">
        <v>25</v>
      </c>
      <c r="F855" s="53" t="s">
        <v>25</v>
      </c>
      <c r="G855" s="53" t="s">
        <v>25</v>
      </c>
      <c r="H855" s="53" t="s">
        <v>34</v>
      </c>
      <c r="I855" s="75">
        <v>44866</v>
      </c>
      <c r="J855" s="76">
        <f>EFEITO!$J$855*EFEITO!$Y$855</f>
        <v>0</v>
      </c>
      <c r="K855" s="76">
        <f ca="1">EFEITO!$L$855*EFEITO!$Z$855</f>
        <v>2867.7376280342505</v>
      </c>
      <c r="L855" s="76">
        <f>EFEITO!$N$855*EFEITO!$AA$855</f>
        <v>789.84994558377662</v>
      </c>
      <c r="M855" s="76">
        <f>$J$855-EFEITO!$K$855*EFEITO!$Y$855</f>
        <v>0</v>
      </c>
      <c r="N855" s="76">
        <f ca="1">$K$855-EFEITO!$M$855*EFEITO!$Z$855</f>
        <v>0</v>
      </c>
      <c r="O855" s="76">
        <f>$L$855-EFEITO!$O$855*EFEITO!$AA$855</f>
        <v>0</v>
      </c>
      <c r="P855" s="57"/>
      <c r="Q855" s="57"/>
      <c r="R855" s="57"/>
      <c r="S855" s="57"/>
      <c r="T855" s="57"/>
      <c r="U855" s="57"/>
      <c r="V855" s="57"/>
      <c r="W855" s="57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3" t="s">
        <v>21</v>
      </c>
      <c r="B856" s="53" t="s">
        <v>37</v>
      </c>
      <c r="C856" s="53" t="s">
        <v>33</v>
      </c>
      <c r="D856" s="53" t="s">
        <v>38</v>
      </c>
      <c r="E856" s="53" t="s">
        <v>25</v>
      </c>
      <c r="F856" s="53" t="s">
        <v>25</v>
      </c>
      <c r="G856" s="53" t="s">
        <v>25</v>
      </c>
      <c r="H856" s="53" t="s">
        <v>35</v>
      </c>
      <c r="I856" s="75">
        <v>44835</v>
      </c>
      <c r="J856" s="76">
        <f>EFEITO!$J$856*EFEITO!$Y$856</f>
        <v>0</v>
      </c>
      <c r="K856" s="76">
        <f ca="1">EFEITO!$L$856*EFEITO!$Z$856</f>
        <v>307.80077648463254</v>
      </c>
      <c r="L856" s="76">
        <f>EFEITO!$N$856*EFEITO!$AA$856</f>
        <v>169.03257972304399</v>
      </c>
      <c r="M856" s="76">
        <f>$J$856-EFEITO!$K$856*EFEITO!$Y$856</f>
        <v>0</v>
      </c>
      <c r="N856" s="76">
        <f ca="1">$K$856-EFEITO!$M$856*EFEITO!$Z$856</f>
        <v>0</v>
      </c>
      <c r="O856" s="76">
        <f>$L$856-EFEITO!$O$856*EFEITO!$AA$856</f>
        <v>0</v>
      </c>
      <c r="P856" s="57"/>
      <c r="Q856" s="57"/>
      <c r="R856" s="57"/>
      <c r="S856" s="57"/>
      <c r="T856" s="57"/>
      <c r="U856" s="57"/>
      <c r="V856" s="57"/>
      <c r="W856" s="57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3" t="s">
        <v>54</v>
      </c>
      <c r="B857" s="53" t="s">
        <v>37</v>
      </c>
      <c r="C857" s="53" t="s">
        <v>33</v>
      </c>
      <c r="D857" s="53" t="s">
        <v>38</v>
      </c>
      <c r="E857" s="53" t="s">
        <v>25</v>
      </c>
      <c r="F857" s="53" t="s">
        <v>25</v>
      </c>
      <c r="G857" s="53" t="s">
        <v>25</v>
      </c>
      <c r="H857" s="53" t="s">
        <v>35</v>
      </c>
      <c r="I857" s="75">
        <v>44866</v>
      </c>
      <c r="J857" s="76">
        <f>EFEITO!$J$857*EFEITO!$Y$857</f>
        <v>0</v>
      </c>
      <c r="K857" s="76">
        <f ca="1">EFEITO!$L$857*EFEITO!$Z$857</f>
        <v>307.80077648463254</v>
      </c>
      <c r="L857" s="76">
        <f>EFEITO!$N$857*EFEITO!$AA$857</f>
        <v>169.03257972304399</v>
      </c>
      <c r="M857" s="76">
        <f>$J$857-EFEITO!$K$857*EFEITO!$Y$857</f>
        <v>0</v>
      </c>
      <c r="N857" s="76">
        <f ca="1">$K$857-EFEITO!$M$857*EFEITO!$Z$857</f>
        <v>0</v>
      </c>
      <c r="O857" s="76">
        <f>$L$857-EFEITO!$O$857*EFEITO!$AA$857</f>
        <v>0</v>
      </c>
      <c r="P857" s="57"/>
      <c r="Q857" s="57"/>
      <c r="R857" s="57"/>
      <c r="S857" s="57"/>
      <c r="T857" s="57"/>
      <c r="U857" s="57"/>
      <c r="V857" s="57"/>
      <c r="W857" s="57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3" t="s">
        <v>21</v>
      </c>
      <c r="B858" s="53" t="s">
        <v>37</v>
      </c>
      <c r="C858" s="53" t="s">
        <v>33</v>
      </c>
      <c r="D858" s="53" t="s">
        <v>38</v>
      </c>
      <c r="E858" s="53" t="s">
        <v>25</v>
      </c>
      <c r="F858" s="53" t="s">
        <v>25</v>
      </c>
      <c r="G858" s="53" t="s">
        <v>25</v>
      </c>
      <c r="H858" s="53" t="s">
        <v>36</v>
      </c>
      <c r="I858" s="75">
        <v>44835</v>
      </c>
      <c r="J858" s="76">
        <f>EFEITO!$J$858*EFEITO!$Y$858</f>
        <v>0</v>
      </c>
      <c r="K858" s="76">
        <f ca="1">EFEITO!$L$858*EFEITO!$Z$858</f>
        <v>12.497227650808018</v>
      </c>
      <c r="L858" s="76">
        <f>EFEITO!$N$858*EFEITO!$AA$858</f>
        <v>3.449644484143755</v>
      </c>
      <c r="M858" s="76">
        <f>$J$858-EFEITO!$K$858*EFEITO!$Y$858</f>
        <v>0</v>
      </c>
      <c r="N858" s="76">
        <f ca="1">$K$858-EFEITO!$M$858*EFEITO!$Z$858</f>
        <v>0</v>
      </c>
      <c r="O858" s="76">
        <f>$L$858-EFEITO!$O$858*EFEITO!$AA$858</f>
        <v>0</v>
      </c>
      <c r="P858" s="57"/>
      <c r="Q858" s="57"/>
      <c r="R858" s="57"/>
      <c r="S858" s="57"/>
      <c r="T858" s="57"/>
      <c r="U858" s="57"/>
      <c r="V858" s="57"/>
      <c r="W858" s="57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3" t="s">
        <v>54</v>
      </c>
      <c r="B859" s="53" t="s">
        <v>37</v>
      </c>
      <c r="C859" s="53" t="s">
        <v>33</v>
      </c>
      <c r="D859" s="53" t="s">
        <v>38</v>
      </c>
      <c r="E859" s="53" t="s">
        <v>25</v>
      </c>
      <c r="F859" s="53" t="s">
        <v>25</v>
      </c>
      <c r="G859" s="53" t="s">
        <v>25</v>
      </c>
      <c r="H859" s="53" t="s">
        <v>36</v>
      </c>
      <c r="I859" s="75">
        <v>44866</v>
      </c>
      <c r="J859" s="76">
        <f>EFEITO!$J$859*EFEITO!$Y$859</f>
        <v>0</v>
      </c>
      <c r="K859" s="76">
        <f ca="1">EFEITO!$L$859*EFEITO!$Z$859</f>
        <v>12.497227650808018</v>
      </c>
      <c r="L859" s="76">
        <f>EFEITO!$N$859*EFEITO!$AA$859</f>
        <v>3.449644484143755</v>
      </c>
      <c r="M859" s="76">
        <f>$J$859-EFEITO!$K$859*EFEITO!$Y$859</f>
        <v>0</v>
      </c>
      <c r="N859" s="76">
        <f ca="1">$K$859-EFEITO!$M$859*EFEITO!$Z$859</f>
        <v>0</v>
      </c>
      <c r="O859" s="76">
        <f>$L$859-EFEITO!$O$859*EFEITO!$AA$859</f>
        <v>0</v>
      </c>
      <c r="P859" s="57"/>
      <c r="Q859" s="57"/>
      <c r="R859" s="57"/>
      <c r="S859" s="57"/>
      <c r="T859" s="57"/>
      <c r="U859" s="57"/>
      <c r="V859" s="57"/>
      <c r="W859" s="57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3" t="s">
        <v>21</v>
      </c>
      <c r="B860" s="53" t="s">
        <v>37</v>
      </c>
      <c r="C860" s="53" t="s">
        <v>33</v>
      </c>
      <c r="D860" s="53" t="s">
        <v>38</v>
      </c>
      <c r="E860" s="53" t="s">
        <v>25</v>
      </c>
      <c r="F860" s="53" t="s">
        <v>25</v>
      </c>
      <c r="G860" s="53" t="s">
        <v>25</v>
      </c>
      <c r="H860" s="53" t="s">
        <v>34</v>
      </c>
      <c r="I860" s="75">
        <v>44835</v>
      </c>
      <c r="J860" s="76">
        <f>EFEITO!$J$860*EFEITO!$Y$860</f>
        <v>0</v>
      </c>
      <c r="K860" s="76">
        <f ca="1">EFEITO!$L$860*EFEITO!$Z$860</f>
        <v>29.238760481589015</v>
      </c>
      <c r="L860" s="76">
        <f>EFEITO!$N$860*EFEITO!$AA$860</f>
        <v>8.0531193473060423</v>
      </c>
      <c r="M860" s="76">
        <f>$J$860-EFEITO!$K$860*EFEITO!$Y$860</f>
        <v>0</v>
      </c>
      <c r="N860" s="76">
        <f ca="1">$K$860-EFEITO!$M$860*EFEITO!$Z$860</f>
        <v>0</v>
      </c>
      <c r="O860" s="76">
        <f>$L$860-EFEITO!$O$860*EFEITO!$AA$860</f>
        <v>0</v>
      </c>
      <c r="P860" s="57"/>
      <c r="Q860" s="57"/>
      <c r="R860" s="57"/>
      <c r="S860" s="57"/>
      <c r="T860" s="57"/>
      <c r="U860" s="57"/>
      <c r="V860" s="57"/>
      <c r="W860" s="57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3" t="s">
        <v>54</v>
      </c>
      <c r="B861" s="53" t="s">
        <v>37</v>
      </c>
      <c r="C861" s="53" t="s">
        <v>33</v>
      </c>
      <c r="D861" s="53" t="s">
        <v>38</v>
      </c>
      <c r="E861" s="53" t="s">
        <v>25</v>
      </c>
      <c r="F861" s="53" t="s">
        <v>25</v>
      </c>
      <c r="G861" s="53" t="s">
        <v>25</v>
      </c>
      <c r="H861" s="53" t="s">
        <v>34</v>
      </c>
      <c r="I861" s="75">
        <v>44866</v>
      </c>
      <c r="J861" s="76">
        <f>EFEITO!$J$861*EFEITO!$Y$861</f>
        <v>0</v>
      </c>
      <c r="K861" s="76">
        <f ca="1">EFEITO!$L$861*EFEITO!$Z$861</f>
        <v>29.238760481589015</v>
      </c>
      <c r="L861" s="76">
        <f>EFEITO!$N$861*EFEITO!$AA$861</f>
        <v>8.0531193473060423</v>
      </c>
      <c r="M861" s="76">
        <f>$J$861-EFEITO!$K$861*EFEITO!$Y$861</f>
        <v>0</v>
      </c>
      <c r="N861" s="76">
        <f ca="1">$K$861-EFEITO!$M$861*EFEITO!$Z$861</f>
        <v>0</v>
      </c>
      <c r="O861" s="76">
        <f>$L$861-EFEITO!$O$861*EFEITO!$AA$861</f>
        <v>0</v>
      </c>
      <c r="P861" s="57"/>
      <c r="Q861" s="57"/>
      <c r="R861" s="57"/>
      <c r="S861" s="57"/>
      <c r="T861" s="57"/>
      <c r="U861" s="57"/>
      <c r="V861" s="57"/>
      <c r="W861" s="57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3" t="s">
        <v>21</v>
      </c>
      <c r="B862" s="53" t="s">
        <v>37</v>
      </c>
      <c r="C862" s="53" t="s">
        <v>33</v>
      </c>
      <c r="D862" s="53" t="s">
        <v>47</v>
      </c>
      <c r="E862" s="53" t="s">
        <v>25</v>
      </c>
      <c r="F862" s="53" t="s">
        <v>25</v>
      </c>
      <c r="G862" s="53" t="s">
        <v>25</v>
      </c>
      <c r="H862" s="53" t="s">
        <v>35</v>
      </c>
      <c r="I862" s="75">
        <v>44621</v>
      </c>
      <c r="J862" s="76">
        <f>EFEITO!$J$862*EFEITO!$Y$862</f>
        <v>0</v>
      </c>
      <c r="K862" s="76">
        <f ca="1">EFEITO!$L$862*EFEITO!$Z$862</f>
        <v>471.5162405077088</v>
      </c>
      <c r="L862" s="76">
        <f>EFEITO!$N$862*EFEITO!$AA$862</f>
        <v>258.93893909104065</v>
      </c>
      <c r="M862" s="76">
        <f>$J$862-EFEITO!$K$862*EFEITO!$Y$862</f>
        <v>0</v>
      </c>
      <c r="N862" s="76">
        <f ca="1">$K$862-EFEITO!$M$862*EFEITO!$Z$862</f>
        <v>0</v>
      </c>
      <c r="O862" s="76">
        <f>$L$862-EFEITO!$O$862*EFEITO!$AA$862</f>
        <v>0</v>
      </c>
      <c r="P862" s="57"/>
      <c r="Q862" s="57"/>
      <c r="R862" s="57"/>
      <c r="S862" s="57"/>
      <c r="T862" s="57"/>
      <c r="U862" s="57"/>
      <c r="V862" s="57"/>
      <c r="W862" s="57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3" t="s">
        <v>21</v>
      </c>
      <c r="B863" s="53" t="s">
        <v>37</v>
      </c>
      <c r="C863" s="53" t="s">
        <v>33</v>
      </c>
      <c r="D863" s="53" t="s">
        <v>47</v>
      </c>
      <c r="E863" s="53" t="s">
        <v>25</v>
      </c>
      <c r="F863" s="53" t="s">
        <v>25</v>
      </c>
      <c r="G863" s="53" t="s">
        <v>25</v>
      </c>
      <c r="H863" s="53" t="s">
        <v>35</v>
      </c>
      <c r="I863" s="75">
        <v>44652</v>
      </c>
      <c r="J863" s="76">
        <f>EFEITO!$J$863*EFEITO!$Y$863</f>
        <v>0</v>
      </c>
      <c r="K863" s="76">
        <f ca="1">EFEITO!$L$863*EFEITO!$Z$863</f>
        <v>3328.8811018025499</v>
      </c>
      <c r="L863" s="76">
        <f>EFEITO!$N$863*EFEITO!$AA$863</f>
        <v>1828.0959738159311</v>
      </c>
      <c r="M863" s="76">
        <f>$J$863-EFEITO!$K$863*EFEITO!$Y$863</f>
        <v>0</v>
      </c>
      <c r="N863" s="76">
        <f ca="1">$K$863-EFEITO!$M$863*EFEITO!$Z$863</f>
        <v>0</v>
      </c>
      <c r="O863" s="76">
        <f>$L$863-EFEITO!$O$863*EFEITO!$AA$863</f>
        <v>0</v>
      </c>
      <c r="P863" s="57"/>
      <c r="Q863" s="57"/>
      <c r="R863" s="57"/>
      <c r="S863" s="57"/>
      <c r="T863" s="57"/>
      <c r="U863" s="57"/>
      <c r="V863" s="57"/>
      <c r="W863" s="57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3" t="s">
        <v>27</v>
      </c>
      <c r="B864" s="53" t="s">
        <v>37</v>
      </c>
      <c r="C864" s="53" t="s">
        <v>33</v>
      </c>
      <c r="D864" s="53" t="s">
        <v>47</v>
      </c>
      <c r="E864" s="53" t="s">
        <v>25</v>
      </c>
      <c r="F864" s="53" t="s">
        <v>25</v>
      </c>
      <c r="G864" s="53" t="s">
        <v>25</v>
      </c>
      <c r="H864" s="53" t="s">
        <v>35</v>
      </c>
      <c r="I864" s="75">
        <v>44652</v>
      </c>
      <c r="J864" s="76">
        <f>EFEITO!$J$864*EFEITO!$Y$864</f>
        <v>0</v>
      </c>
      <c r="K864" s="76">
        <f ca="1">EFEITO!$L$864*EFEITO!$Z$864</f>
        <v>39.260303123039868</v>
      </c>
      <c r="L864" s="76">
        <f>EFEITO!$N$864*EFEITO!$AA$864</f>
        <v>21.560278025898469</v>
      </c>
      <c r="M864" s="76">
        <f>$J$864-EFEITO!$K$864*EFEITO!$Y$864</f>
        <v>0</v>
      </c>
      <c r="N864" s="76">
        <f ca="1">$K$864-EFEITO!$M$864*EFEITO!$Z$864</f>
        <v>0</v>
      </c>
      <c r="O864" s="76">
        <f>$L$864-EFEITO!$O$864*EFEITO!$AA$864</f>
        <v>0</v>
      </c>
      <c r="P864" s="57"/>
      <c r="Q864" s="57"/>
      <c r="R864" s="57"/>
      <c r="S864" s="57"/>
      <c r="T864" s="57"/>
      <c r="U864" s="57"/>
      <c r="V864" s="57"/>
      <c r="W864" s="57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3" t="s">
        <v>21</v>
      </c>
      <c r="B865" s="53" t="s">
        <v>37</v>
      </c>
      <c r="C865" s="53" t="s">
        <v>33</v>
      </c>
      <c r="D865" s="53" t="s">
        <v>47</v>
      </c>
      <c r="E865" s="53" t="s">
        <v>25</v>
      </c>
      <c r="F865" s="53" t="s">
        <v>25</v>
      </c>
      <c r="G865" s="53" t="s">
        <v>25</v>
      </c>
      <c r="H865" s="53" t="s">
        <v>35</v>
      </c>
      <c r="I865" s="75">
        <v>44682</v>
      </c>
      <c r="J865" s="76">
        <f>EFEITO!$J$865*EFEITO!$Y$865</f>
        <v>0</v>
      </c>
      <c r="K865" s="76">
        <f ca="1">EFEITO!$L$865*EFEITO!$Z$865</f>
        <v>4737.5407778572207</v>
      </c>
      <c r="L865" s="76">
        <f>EFEITO!$N$865*EFEITO!$AA$865</f>
        <v>2601.6787493851684</v>
      </c>
      <c r="M865" s="76">
        <f>$J$865-EFEITO!$K$865*EFEITO!$Y$865</f>
        <v>0</v>
      </c>
      <c r="N865" s="76">
        <f ca="1">$K$865-EFEITO!$M$865*EFEITO!$Z$865</f>
        <v>0</v>
      </c>
      <c r="O865" s="76">
        <f>$L$865-EFEITO!$O$865*EFEITO!$AA$865</f>
        <v>0</v>
      </c>
      <c r="P865" s="57"/>
      <c r="Q865" s="57"/>
      <c r="R865" s="57"/>
      <c r="S865" s="57"/>
      <c r="T865" s="57"/>
      <c r="U865" s="57"/>
      <c r="V865" s="57"/>
      <c r="W865" s="57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3" t="s">
        <v>27</v>
      </c>
      <c r="B866" s="53" t="s">
        <v>37</v>
      </c>
      <c r="C866" s="53" t="s">
        <v>33</v>
      </c>
      <c r="D866" s="53" t="s">
        <v>47</v>
      </c>
      <c r="E866" s="53" t="s">
        <v>25</v>
      </c>
      <c r="F866" s="53" t="s">
        <v>25</v>
      </c>
      <c r="G866" s="53" t="s">
        <v>25</v>
      </c>
      <c r="H866" s="53" t="s">
        <v>35</v>
      </c>
      <c r="I866" s="75">
        <v>44682</v>
      </c>
      <c r="J866" s="76">
        <f>EFEITO!$J$866*EFEITO!$Y$866</f>
        <v>0</v>
      </c>
      <c r="K866" s="76">
        <f ca="1">EFEITO!$L$866*EFEITO!$Z$866</f>
        <v>238.31003995685197</v>
      </c>
      <c r="L866" s="76">
        <f>EFEITO!$N$866*EFEITO!$AA$866</f>
        <v>130.87088761720369</v>
      </c>
      <c r="M866" s="76">
        <f>$J$866-EFEITO!$K$866*EFEITO!$Y$866</f>
        <v>0</v>
      </c>
      <c r="N866" s="76">
        <f ca="1">$K$866-EFEITO!$M$866*EFEITO!$Z$866</f>
        <v>0</v>
      </c>
      <c r="O866" s="76">
        <f>$L$866-EFEITO!$O$866*EFEITO!$AA$866</f>
        <v>0</v>
      </c>
      <c r="P866" s="57"/>
      <c r="Q866" s="57"/>
      <c r="R866" s="57"/>
      <c r="S866" s="57"/>
      <c r="T866" s="57"/>
      <c r="U866" s="57"/>
      <c r="V866" s="57"/>
      <c r="W866" s="57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3" t="s">
        <v>21</v>
      </c>
      <c r="B867" s="53" t="s">
        <v>37</v>
      </c>
      <c r="C867" s="53" t="s">
        <v>33</v>
      </c>
      <c r="D867" s="53" t="s">
        <v>47</v>
      </c>
      <c r="E867" s="53" t="s">
        <v>25</v>
      </c>
      <c r="F867" s="53" t="s">
        <v>25</v>
      </c>
      <c r="G867" s="53" t="s">
        <v>25</v>
      </c>
      <c r="H867" s="53" t="s">
        <v>35</v>
      </c>
      <c r="I867" s="75">
        <v>44713</v>
      </c>
      <c r="J867" s="76">
        <f>EFEITO!$J$867*EFEITO!$Y$867</f>
        <v>0</v>
      </c>
      <c r="K867" s="76">
        <f ca="1">EFEITO!$L$867*EFEITO!$Z$867</f>
        <v>4386.5536679372444</v>
      </c>
      <c r="L867" s="76">
        <f>EFEITO!$N$867*EFEITO!$AA$867</f>
        <v>2408.9298638336359</v>
      </c>
      <c r="M867" s="76">
        <f>$J$867-EFEITO!$K$867*EFEITO!$Y$867</f>
        <v>0</v>
      </c>
      <c r="N867" s="76">
        <f ca="1">$K$867-EFEITO!$M$867*EFEITO!$Z$867</f>
        <v>0</v>
      </c>
      <c r="O867" s="76">
        <f>$L$867-EFEITO!$O$867*EFEITO!$AA$867</f>
        <v>0</v>
      </c>
      <c r="P867" s="57"/>
      <c r="Q867" s="57"/>
      <c r="R867" s="57"/>
      <c r="S867" s="57"/>
      <c r="T867" s="57"/>
      <c r="U867" s="57"/>
      <c r="V867" s="57"/>
      <c r="W867" s="57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3" t="s">
        <v>21</v>
      </c>
      <c r="B868" s="53" t="s">
        <v>37</v>
      </c>
      <c r="C868" s="53" t="s">
        <v>33</v>
      </c>
      <c r="D868" s="53" t="s">
        <v>47</v>
      </c>
      <c r="E868" s="53" t="s">
        <v>25</v>
      </c>
      <c r="F868" s="53" t="s">
        <v>25</v>
      </c>
      <c r="G868" s="53" t="s">
        <v>25</v>
      </c>
      <c r="H868" s="53" t="s">
        <v>35</v>
      </c>
      <c r="I868" s="75">
        <v>44743</v>
      </c>
      <c r="J868" s="76">
        <f>EFEITO!$J$868*EFEITO!$Y$868</f>
        <v>0</v>
      </c>
      <c r="K868" s="76">
        <f ca="1">EFEITO!$L$868*EFEITO!$Z$868</f>
        <v>4675.1168958915869</v>
      </c>
      <c r="L868" s="76">
        <f>EFEITO!$N$868*EFEITO!$AA$868</f>
        <v>2567.3979073239898</v>
      </c>
      <c r="M868" s="76">
        <f>$J$868-EFEITO!$K$868*EFEITO!$Y$868</f>
        <v>0</v>
      </c>
      <c r="N868" s="76">
        <f ca="1">$K$868-EFEITO!$M$868*EFEITO!$Z$868</f>
        <v>0</v>
      </c>
      <c r="O868" s="76">
        <f>$L$868-EFEITO!$O$868*EFEITO!$AA$868</f>
        <v>0</v>
      </c>
      <c r="P868" s="57"/>
      <c r="Q868" s="57"/>
      <c r="R868" s="57"/>
      <c r="S868" s="57"/>
      <c r="T868" s="57"/>
      <c r="U868" s="57"/>
      <c r="V868" s="57"/>
      <c r="W868" s="57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3" t="s">
        <v>21</v>
      </c>
      <c r="B869" s="53" t="s">
        <v>37</v>
      </c>
      <c r="C869" s="53" t="s">
        <v>33</v>
      </c>
      <c r="D869" s="53" t="s">
        <v>47</v>
      </c>
      <c r="E869" s="53" t="s">
        <v>25</v>
      </c>
      <c r="F869" s="53" t="s">
        <v>25</v>
      </c>
      <c r="G869" s="53" t="s">
        <v>25</v>
      </c>
      <c r="H869" s="53" t="s">
        <v>35</v>
      </c>
      <c r="I869" s="75">
        <v>44774</v>
      </c>
      <c r="J869" s="76">
        <f>EFEITO!$J$869*EFEITO!$Y$869</f>
        <v>0</v>
      </c>
      <c r="K869" s="76">
        <f ca="1">EFEITO!$L$869*EFEITO!$Z$869</f>
        <v>6030.3825596989227</v>
      </c>
      <c r="L869" s="76">
        <f>EFEITO!$N$869*EFEITO!$AA$869</f>
        <v>3311.6587047780049</v>
      </c>
      <c r="M869" s="76">
        <f>$J$869-EFEITO!$K$869*EFEITO!$Y$869</f>
        <v>0</v>
      </c>
      <c r="N869" s="76">
        <f ca="1">$K$869-EFEITO!$M$869*EFEITO!$Z$869</f>
        <v>0</v>
      </c>
      <c r="O869" s="76">
        <f>$L$869-EFEITO!$O$869*EFEITO!$AA$869</f>
        <v>0</v>
      </c>
      <c r="P869" s="57"/>
      <c r="Q869" s="57"/>
      <c r="R869" s="57"/>
      <c r="S869" s="57"/>
      <c r="T869" s="57"/>
      <c r="U869" s="57"/>
      <c r="V869" s="57"/>
      <c r="W869" s="57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3" t="s">
        <v>21</v>
      </c>
      <c r="B870" s="53" t="s">
        <v>37</v>
      </c>
      <c r="C870" s="53" t="s">
        <v>33</v>
      </c>
      <c r="D870" s="53" t="s">
        <v>47</v>
      </c>
      <c r="E870" s="53" t="s">
        <v>25</v>
      </c>
      <c r="F870" s="53" t="s">
        <v>25</v>
      </c>
      <c r="G870" s="53" t="s">
        <v>25</v>
      </c>
      <c r="H870" s="53" t="s">
        <v>35</v>
      </c>
      <c r="I870" s="75">
        <v>44805</v>
      </c>
      <c r="J870" s="76">
        <f>EFEITO!$J$870*EFEITO!$Y$870</f>
        <v>0</v>
      </c>
      <c r="K870" s="76">
        <f ca="1">EFEITO!$L$870*EFEITO!$Z$870</f>
        <v>5493.6942160069684</v>
      </c>
      <c r="L870" s="76">
        <f>EFEITO!$N$870*EFEITO!$AA$870</f>
        <v>3016.9297041639729</v>
      </c>
      <c r="M870" s="76">
        <f>$J$870-EFEITO!$K$870*EFEITO!$Y$870</f>
        <v>0</v>
      </c>
      <c r="N870" s="76">
        <f ca="1">$K$870-EFEITO!$M$870*EFEITO!$Z$870</f>
        <v>0</v>
      </c>
      <c r="O870" s="76">
        <f>$L$870-EFEITO!$O$870*EFEITO!$AA$870</f>
        <v>0</v>
      </c>
      <c r="P870" s="57"/>
      <c r="Q870" s="57"/>
      <c r="R870" s="57"/>
      <c r="S870" s="57"/>
      <c r="T870" s="57"/>
      <c r="U870" s="57"/>
      <c r="V870" s="57"/>
      <c r="W870" s="57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3" t="s">
        <v>21</v>
      </c>
      <c r="B871" s="53" t="s">
        <v>37</v>
      </c>
      <c r="C871" s="53" t="s">
        <v>33</v>
      </c>
      <c r="D871" s="53" t="s">
        <v>47</v>
      </c>
      <c r="E871" s="53" t="s">
        <v>25</v>
      </c>
      <c r="F871" s="53" t="s">
        <v>25</v>
      </c>
      <c r="G871" s="53" t="s">
        <v>25</v>
      </c>
      <c r="H871" s="53" t="s">
        <v>36</v>
      </c>
      <c r="I871" s="75">
        <v>44621</v>
      </c>
      <c r="J871" s="76">
        <f>EFEITO!$J$871*EFEITO!$Y$871</f>
        <v>0</v>
      </c>
      <c r="K871" s="76">
        <f ca="1">EFEITO!$L$871*EFEITO!$Z$871</f>
        <v>29.680915670669041</v>
      </c>
      <c r="L871" s="76">
        <f>EFEITO!$N$871*EFEITO!$AA$871</f>
        <v>8.1929056498414177</v>
      </c>
      <c r="M871" s="76">
        <f>$J$871-EFEITO!$K$871*EFEITO!$Y$871</f>
        <v>0</v>
      </c>
      <c r="N871" s="76">
        <f ca="1">$K$871-EFEITO!$M$871*EFEITO!$Z$871</f>
        <v>0</v>
      </c>
      <c r="O871" s="76">
        <f>$L$871-EFEITO!$O$871*EFEITO!$AA$871</f>
        <v>0</v>
      </c>
      <c r="P871" s="57"/>
      <c r="Q871" s="57"/>
      <c r="R871" s="57"/>
      <c r="S871" s="57"/>
      <c r="T871" s="57"/>
      <c r="U871" s="57"/>
      <c r="V871" s="57"/>
      <c r="W871" s="57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3" t="s">
        <v>21</v>
      </c>
      <c r="B872" s="53" t="s">
        <v>37</v>
      </c>
      <c r="C872" s="53" t="s">
        <v>33</v>
      </c>
      <c r="D872" s="53" t="s">
        <v>47</v>
      </c>
      <c r="E872" s="53" t="s">
        <v>25</v>
      </c>
      <c r="F872" s="53" t="s">
        <v>25</v>
      </c>
      <c r="G872" s="53" t="s">
        <v>25</v>
      </c>
      <c r="H872" s="53" t="s">
        <v>36</v>
      </c>
      <c r="I872" s="75">
        <v>44652</v>
      </c>
      <c r="J872" s="76">
        <f>EFEITO!$J$872*EFEITO!$Y$872</f>
        <v>0</v>
      </c>
      <c r="K872" s="76">
        <f ca="1">EFEITO!$L$872*EFEITO!$Z$872</f>
        <v>1111.472184193738</v>
      </c>
      <c r="L872" s="76">
        <f>EFEITO!$N$872*EFEITO!$AA$872</f>
        <v>306.80275630853521</v>
      </c>
      <c r="M872" s="76">
        <f>$J$872-EFEITO!$K$872*EFEITO!$Y$872</f>
        <v>0</v>
      </c>
      <c r="N872" s="76">
        <f ca="1">$K$872-EFEITO!$M$872*EFEITO!$Z$872</f>
        <v>0</v>
      </c>
      <c r="O872" s="76">
        <f>$L$872-EFEITO!$O$872*EFEITO!$AA$872</f>
        <v>0</v>
      </c>
      <c r="P872" s="57"/>
      <c r="Q872" s="57"/>
      <c r="R872" s="57"/>
      <c r="S872" s="57"/>
      <c r="T872" s="57"/>
      <c r="U872" s="57"/>
      <c r="V872" s="57"/>
      <c r="W872" s="57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3" t="s">
        <v>21</v>
      </c>
      <c r="B873" s="53" t="s">
        <v>37</v>
      </c>
      <c r="C873" s="53" t="s">
        <v>33</v>
      </c>
      <c r="D873" s="53" t="s">
        <v>47</v>
      </c>
      <c r="E873" s="53" t="s">
        <v>25</v>
      </c>
      <c r="F873" s="53" t="s">
        <v>25</v>
      </c>
      <c r="G873" s="53" t="s">
        <v>25</v>
      </c>
      <c r="H873" s="53" t="s">
        <v>36</v>
      </c>
      <c r="I873" s="75">
        <v>44682</v>
      </c>
      <c r="J873" s="76">
        <f>EFEITO!$J$873*EFEITO!$Y$873</f>
        <v>0</v>
      </c>
      <c r="K873" s="76">
        <f ca="1">EFEITO!$L$873*EFEITO!$Z$873</f>
        <v>302.27669380391893</v>
      </c>
      <c r="L873" s="76">
        <f>EFEITO!$N$873*EFEITO!$AA$873</f>
        <v>83.438275960227074</v>
      </c>
      <c r="M873" s="76">
        <f>$J$873-EFEITO!$K$873*EFEITO!$Y$873</f>
        <v>0</v>
      </c>
      <c r="N873" s="76">
        <f ca="1">$K$873-EFEITO!$M$873*EFEITO!$Z$873</f>
        <v>0</v>
      </c>
      <c r="O873" s="76">
        <f>$L$873-EFEITO!$O$873*EFEITO!$AA$873</f>
        <v>0</v>
      </c>
      <c r="P873" s="57"/>
      <c r="Q873" s="57"/>
      <c r="R873" s="57"/>
      <c r="S873" s="57"/>
      <c r="T873" s="57"/>
      <c r="U873" s="57"/>
      <c r="V873" s="57"/>
      <c r="W873" s="57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3" t="s">
        <v>27</v>
      </c>
      <c r="B874" s="53" t="s">
        <v>37</v>
      </c>
      <c r="C874" s="53" t="s">
        <v>33</v>
      </c>
      <c r="D874" s="53" t="s">
        <v>47</v>
      </c>
      <c r="E874" s="53" t="s">
        <v>25</v>
      </c>
      <c r="F874" s="53" t="s">
        <v>25</v>
      </c>
      <c r="G874" s="53" t="s">
        <v>25</v>
      </c>
      <c r="H874" s="53" t="s">
        <v>36</v>
      </c>
      <c r="I874" s="75">
        <v>44682</v>
      </c>
      <c r="J874" s="76">
        <f>EFEITO!$J$874*EFEITO!$Y$874</f>
        <v>0</v>
      </c>
      <c r="K874" s="76">
        <f ca="1">EFEITO!$L$874*EFEITO!$Z$874</f>
        <v>-93.729207381060135</v>
      </c>
      <c r="L874" s="76">
        <f>EFEITO!$N$874*EFEITO!$AA$874</f>
        <v>-25.872333631078163</v>
      </c>
      <c r="M874" s="76">
        <f>$J$874-EFEITO!$K$874*EFEITO!$Y$874</f>
        <v>0</v>
      </c>
      <c r="N874" s="76">
        <f ca="1">$K$874-EFEITO!$M$874*EFEITO!$Z$874</f>
        <v>0</v>
      </c>
      <c r="O874" s="76">
        <f>$L$874-EFEITO!$O$874*EFEITO!$AA$874</f>
        <v>0</v>
      </c>
      <c r="P874" s="57"/>
      <c r="Q874" s="57"/>
      <c r="R874" s="57"/>
      <c r="S874" s="57"/>
      <c r="T874" s="57"/>
      <c r="U874" s="57"/>
      <c r="V874" s="57"/>
      <c r="W874" s="57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3" t="s">
        <v>21</v>
      </c>
      <c r="B875" s="53" t="s">
        <v>37</v>
      </c>
      <c r="C875" s="53" t="s">
        <v>33</v>
      </c>
      <c r="D875" s="53" t="s">
        <v>47</v>
      </c>
      <c r="E875" s="53" t="s">
        <v>25</v>
      </c>
      <c r="F875" s="53" t="s">
        <v>25</v>
      </c>
      <c r="G875" s="53" t="s">
        <v>25</v>
      </c>
      <c r="H875" s="53" t="s">
        <v>36</v>
      </c>
      <c r="I875" s="75">
        <v>44713</v>
      </c>
      <c r="J875" s="76">
        <f>EFEITO!$J$875*EFEITO!$Y$875</f>
        <v>0</v>
      </c>
      <c r="K875" s="76">
        <f ca="1">EFEITO!$L$875*EFEITO!$Z$875</f>
        <v>282.7497755995314</v>
      </c>
      <c r="L875" s="76">
        <f>EFEITO!$N$875*EFEITO!$AA$875</f>
        <v>78.048206453752456</v>
      </c>
      <c r="M875" s="76">
        <f>$J$875-EFEITO!$K$875*EFEITO!$Y$875</f>
        <v>0</v>
      </c>
      <c r="N875" s="76">
        <f ca="1">$K$875-EFEITO!$M$875*EFEITO!$Z$875</f>
        <v>0</v>
      </c>
      <c r="O875" s="76">
        <f>$L$875-EFEITO!$O$875*EFEITO!$AA$875</f>
        <v>0</v>
      </c>
      <c r="P875" s="57"/>
      <c r="Q875" s="57"/>
      <c r="R875" s="57"/>
      <c r="S875" s="57"/>
      <c r="T875" s="57"/>
      <c r="U875" s="57"/>
      <c r="V875" s="57"/>
      <c r="W875" s="57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3" t="s">
        <v>21</v>
      </c>
      <c r="B876" s="53" t="s">
        <v>37</v>
      </c>
      <c r="C876" s="53" t="s">
        <v>33</v>
      </c>
      <c r="D876" s="53" t="s">
        <v>47</v>
      </c>
      <c r="E876" s="53" t="s">
        <v>25</v>
      </c>
      <c r="F876" s="53" t="s">
        <v>25</v>
      </c>
      <c r="G876" s="53" t="s">
        <v>25</v>
      </c>
      <c r="H876" s="53" t="s">
        <v>36</v>
      </c>
      <c r="I876" s="75">
        <v>44743</v>
      </c>
      <c r="J876" s="76">
        <f>EFEITO!$J$876*EFEITO!$Y$876</f>
        <v>0</v>
      </c>
      <c r="K876" s="76">
        <f ca="1">EFEITO!$L$876*EFEITO!$Z$876</f>
        <v>296.02807997851494</v>
      </c>
      <c r="L876" s="76">
        <f>EFEITO!$N$876*EFEITO!$AA$876</f>
        <v>81.713453718155193</v>
      </c>
      <c r="M876" s="76">
        <f>$J$876-EFEITO!$K$876*EFEITO!$Y$876</f>
        <v>0</v>
      </c>
      <c r="N876" s="76">
        <f ca="1">$K$876-EFEITO!$M$876*EFEITO!$Z$876</f>
        <v>0</v>
      </c>
      <c r="O876" s="76">
        <f>$L$876-EFEITO!$O$876*EFEITO!$AA$876</f>
        <v>0</v>
      </c>
      <c r="P876" s="57"/>
      <c r="Q876" s="57"/>
      <c r="R876" s="57"/>
      <c r="S876" s="57"/>
      <c r="T876" s="57"/>
      <c r="U876" s="57"/>
      <c r="V876" s="57"/>
      <c r="W876" s="57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3" t="s">
        <v>21</v>
      </c>
      <c r="B877" s="53" t="s">
        <v>37</v>
      </c>
      <c r="C877" s="53" t="s">
        <v>33</v>
      </c>
      <c r="D877" s="53" t="s">
        <v>47</v>
      </c>
      <c r="E877" s="53" t="s">
        <v>25</v>
      </c>
      <c r="F877" s="53" t="s">
        <v>25</v>
      </c>
      <c r="G877" s="53" t="s">
        <v>25</v>
      </c>
      <c r="H877" s="53" t="s">
        <v>36</v>
      </c>
      <c r="I877" s="75">
        <v>44774</v>
      </c>
      <c r="J877" s="76">
        <f>EFEITO!$J$877*EFEITO!$Y$877</f>
        <v>0</v>
      </c>
      <c r="K877" s="76">
        <f ca="1">EFEITO!$L$877*EFEITO!$Z$877</f>
        <v>357.73314150437955</v>
      </c>
      <c r="L877" s="76">
        <f>EFEITO!$N$877*EFEITO!$AA$877</f>
        <v>98.746073358614993</v>
      </c>
      <c r="M877" s="76">
        <f>$J$877-EFEITO!$K$877*EFEITO!$Y$877</f>
        <v>0</v>
      </c>
      <c r="N877" s="76">
        <f ca="1">$K$877-EFEITO!$M$877*EFEITO!$Z$877</f>
        <v>0</v>
      </c>
      <c r="O877" s="76">
        <f>$L$877-EFEITO!$O$877*EFEITO!$AA$877</f>
        <v>0</v>
      </c>
      <c r="P877" s="57"/>
      <c r="Q877" s="57"/>
      <c r="R877" s="57"/>
      <c r="S877" s="57"/>
      <c r="T877" s="57"/>
      <c r="U877" s="57"/>
      <c r="V877" s="57"/>
      <c r="W877" s="57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3" t="s">
        <v>21</v>
      </c>
      <c r="B878" s="53" t="s">
        <v>37</v>
      </c>
      <c r="C878" s="53" t="s">
        <v>33</v>
      </c>
      <c r="D878" s="53" t="s">
        <v>47</v>
      </c>
      <c r="E878" s="53" t="s">
        <v>25</v>
      </c>
      <c r="F878" s="53" t="s">
        <v>25</v>
      </c>
      <c r="G878" s="53" t="s">
        <v>25</v>
      </c>
      <c r="H878" s="53" t="s">
        <v>36</v>
      </c>
      <c r="I878" s="75">
        <v>44805</v>
      </c>
      <c r="J878" s="76">
        <f>EFEITO!$J$878*EFEITO!$Y$878</f>
        <v>0</v>
      </c>
      <c r="K878" s="76">
        <f ca="1">EFEITO!$L$878*EFEITO!$Z$878</f>
        <v>352.26560440715099</v>
      </c>
      <c r="L878" s="76">
        <f>EFEITO!$N$878*EFEITO!$AA$878</f>
        <v>97.236853896802103</v>
      </c>
      <c r="M878" s="76">
        <f>$J$878-EFEITO!$K$878*EFEITO!$Y$878</f>
        <v>0</v>
      </c>
      <c r="N878" s="76">
        <f ca="1">$K$878-EFEITO!$M$878*EFEITO!$Z$878</f>
        <v>0</v>
      </c>
      <c r="O878" s="76">
        <f>$L$878-EFEITO!$O$878*EFEITO!$AA$878</f>
        <v>0</v>
      </c>
      <c r="P878" s="57"/>
      <c r="Q878" s="57"/>
      <c r="R878" s="57"/>
      <c r="S878" s="57"/>
      <c r="T878" s="57"/>
      <c r="U878" s="57"/>
      <c r="V878" s="57"/>
      <c r="W878" s="57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3" t="s">
        <v>21</v>
      </c>
      <c r="B879" s="53" t="s">
        <v>37</v>
      </c>
      <c r="C879" s="53" t="s">
        <v>33</v>
      </c>
      <c r="D879" s="53" t="s">
        <v>47</v>
      </c>
      <c r="E879" s="53" t="s">
        <v>25</v>
      </c>
      <c r="F879" s="53" t="s">
        <v>25</v>
      </c>
      <c r="G879" s="53" t="s">
        <v>25</v>
      </c>
      <c r="H879" s="53" t="s">
        <v>34</v>
      </c>
      <c r="I879" s="75">
        <v>44621</v>
      </c>
      <c r="J879" s="76">
        <f>EFEITO!$J$879*EFEITO!$Y$879</f>
        <v>0</v>
      </c>
      <c r="K879" s="76">
        <f ca="1">EFEITO!$L$879*EFEITO!$Z$879</f>
        <v>26.899659643061892</v>
      </c>
      <c r="L879" s="76">
        <f>EFEITO!$N$879*EFEITO!$AA$879</f>
        <v>7.4088697995215593</v>
      </c>
      <c r="M879" s="76">
        <f>$J$879-EFEITO!$K$879*EFEITO!$Y$879</f>
        <v>0</v>
      </c>
      <c r="N879" s="76">
        <f ca="1">$K$879-EFEITO!$M$879*EFEITO!$Z$879</f>
        <v>0</v>
      </c>
      <c r="O879" s="76">
        <f>$L$879-EFEITO!$O$879*EFEITO!$AA$879</f>
        <v>0</v>
      </c>
      <c r="P879" s="57"/>
      <c r="Q879" s="57"/>
      <c r="R879" s="57"/>
      <c r="S879" s="57"/>
      <c r="T879" s="57"/>
      <c r="U879" s="57"/>
      <c r="V879" s="57"/>
      <c r="W879" s="57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3" t="s">
        <v>21</v>
      </c>
      <c r="B880" s="53" t="s">
        <v>37</v>
      </c>
      <c r="C880" s="53" t="s">
        <v>33</v>
      </c>
      <c r="D880" s="53" t="s">
        <v>47</v>
      </c>
      <c r="E880" s="53" t="s">
        <v>25</v>
      </c>
      <c r="F880" s="53" t="s">
        <v>25</v>
      </c>
      <c r="G880" s="53" t="s">
        <v>25</v>
      </c>
      <c r="H880" s="53" t="s">
        <v>34</v>
      </c>
      <c r="I880" s="75">
        <v>44652</v>
      </c>
      <c r="J880" s="76">
        <f>EFEITO!$J$880*EFEITO!$Y$880</f>
        <v>0</v>
      </c>
      <c r="K880" s="76">
        <f ca="1">EFEITO!$L$880*EFEITO!$Z$880</f>
        <v>170.75436121247984</v>
      </c>
      <c r="L880" s="76">
        <f>EFEITO!$N$880*EFEITO!$AA$880</f>
        <v>47.030216988267284</v>
      </c>
      <c r="M880" s="76">
        <f>$J$880-EFEITO!$K$880*EFEITO!$Y$880</f>
        <v>0</v>
      </c>
      <c r="N880" s="76">
        <f ca="1">$K$880-EFEITO!$M$880*EFEITO!$Z$880</f>
        <v>0</v>
      </c>
      <c r="O880" s="76">
        <f>$L$880-EFEITO!$O$880*EFEITO!$AA$880</f>
        <v>0</v>
      </c>
      <c r="P880" s="57"/>
      <c r="Q880" s="57"/>
      <c r="R880" s="57"/>
      <c r="S880" s="57"/>
      <c r="T880" s="57"/>
      <c r="U880" s="57"/>
      <c r="V880" s="57"/>
      <c r="W880" s="57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3" t="s">
        <v>21</v>
      </c>
      <c r="B881" s="53" t="s">
        <v>37</v>
      </c>
      <c r="C881" s="53" t="s">
        <v>33</v>
      </c>
      <c r="D881" s="53" t="s">
        <v>47</v>
      </c>
      <c r="E881" s="53" t="s">
        <v>25</v>
      </c>
      <c r="F881" s="53" t="s">
        <v>25</v>
      </c>
      <c r="G881" s="53" t="s">
        <v>25</v>
      </c>
      <c r="H881" s="53" t="s">
        <v>34</v>
      </c>
      <c r="I881" s="75">
        <v>44682</v>
      </c>
      <c r="J881" s="76">
        <f>EFEITO!$J$881*EFEITO!$Y$881</f>
        <v>0</v>
      </c>
      <c r="K881" s="76">
        <f ca="1">EFEITO!$L$881*EFEITO!$Z$881</f>
        <v>477.17657105953271</v>
      </c>
      <c r="L881" s="76">
        <f>EFEITO!$N$881*EFEITO!$AA$881</f>
        <v>131.42690774803461</v>
      </c>
      <c r="M881" s="76">
        <f>$J$881-EFEITO!$K$881*EFEITO!$Y$881</f>
        <v>0</v>
      </c>
      <c r="N881" s="76">
        <f ca="1">$K$881-EFEITO!$M$881*EFEITO!$Z$881</f>
        <v>0</v>
      </c>
      <c r="O881" s="76">
        <f>$L$881-EFEITO!$O$881*EFEITO!$AA$881</f>
        <v>0</v>
      </c>
      <c r="P881" s="57"/>
      <c r="Q881" s="57"/>
      <c r="R881" s="57"/>
      <c r="S881" s="57"/>
      <c r="T881" s="57"/>
      <c r="U881" s="57"/>
      <c r="V881" s="57"/>
      <c r="W881" s="57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3" t="s">
        <v>27</v>
      </c>
      <c r="B882" s="53" t="s">
        <v>37</v>
      </c>
      <c r="C882" s="53" t="s">
        <v>33</v>
      </c>
      <c r="D882" s="53" t="s">
        <v>47</v>
      </c>
      <c r="E882" s="53" t="s">
        <v>25</v>
      </c>
      <c r="F882" s="53" t="s">
        <v>25</v>
      </c>
      <c r="G882" s="53" t="s">
        <v>25</v>
      </c>
      <c r="H882" s="53" t="s">
        <v>34</v>
      </c>
      <c r="I882" s="75">
        <v>44682</v>
      </c>
      <c r="J882" s="76">
        <f>EFEITO!$J$882*EFEITO!$Y$882</f>
        <v>0</v>
      </c>
      <c r="K882" s="76">
        <f ca="1">EFEITO!$L$882*EFEITO!$Z$882</f>
        <v>90.055382283294165</v>
      </c>
      <c r="L882" s="76">
        <f>EFEITO!$N$882*EFEITO!$AA$882</f>
        <v>24.803607589702612</v>
      </c>
      <c r="M882" s="76">
        <f>$J$882-EFEITO!$K$882*EFEITO!$Y$882</f>
        <v>0</v>
      </c>
      <c r="N882" s="76">
        <f ca="1">$K$882-EFEITO!$M$882*EFEITO!$Z$882</f>
        <v>0</v>
      </c>
      <c r="O882" s="76">
        <f>$L$882-EFEITO!$O$882*EFEITO!$AA$882</f>
        <v>0</v>
      </c>
      <c r="P882" s="57"/>
      <c r="Q882" s="57"/>
      <c r="R882" s="57"/>
      <c r="S882" s="57"/>
      <c r="T882" s="57"/>
      <c r="U882" s="57"/>
      <c r="V882" s="57"/>
      <c r="W882" s="57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3" t="s">
        <v>21</v>
      </c>
      <c r="B883" s="53" t="s">
        <v>37</v>
      </c>
      <c r="C883" s="53" t="s">
        <v>33</v>
      </c>
      <c r="D883" s="53" t="s">
        <v>47</v>
      </c>
      <c r="E883" s="53" t="s">
        <v>25</v>
      </c>
      <c r="F883" s="53" t="s">
        <v>25</v>
      </c>
      <c r="G883" s="53" t="s">
        <v>25</v>
      </c>
      <c r="H883" s="53" t="s">
        <v>34</v>
      </c>
      <c r="I883" s="75">
        <v>44713</v>
      </c>
      <c r="J883" s="76">
        <f>EFEITO!$J$883*EFEITO!$Y$883</f>
        <v>0</v>
      </c>
      <c r="K883" s="76">
        <f ca="1">EFEITO!$L$883*EFEITO!$Z$883</f>
        <v>787.10743216437629</v>
      </c>
      <c r="L883" s="76">
        <f>EFEITO!$N$883*EFEITO!$AA$883</f>
        <v>216.78997282947867</v>
      </c>
      <c r="M883" s="76">
        <f>$J$883-EFEITO!$K$883*EFEITO!$Y$883</f>
        <v>0</v>
      </c>
      <c r="N883" s="76">
        <f ca="1">$K$883-EFEITO!$M$883*EFEITO!$Z$883</f>
        <v>0</v>
      </c>
      <c r="O883" s="76">
        <f>$L$883-EFEITO!$O$883*EFEITO!$AA$883</f>
        <v>0</v>
      </c>
      <c r="P883" s="57"/>
      <c r="Q883" s="57"/>
      <c r="R883" s="57"/>
      <c r="S883" s="57"/>
      <c r="T883" s="57"/>
      <c r="U883" s="57"/>
      <c r="V883" s="57"/>
      <c r="W883" s="57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3" t="s">
        <v>21</v>
      </c>
      <c r="B884" s="53" t="s">
        <v>37</v>
      </c>
      <c r="C884" s="53" t="s">
        <v>33</v>
      </c>
      <c r="D884" s="53" t="s">
        <v>47</v>
      </c>
      <c r="E884" s="53" t="s">
        <v>25</v>
      </c>
      <c r="F884" s="53" t="s">
        <v>25</v>
      </c>
      <c r="G884" s="53" t="s">
        <v>25</v>
      </c>
      <c r="H884" s="53" t="s">
        <v>34</v>
      </c>
      <c r="I884" s="75">
        <v>44743</v>
      </c>
      <c r="J884" s="76">
        <f>EFEITO!$J$884*EFEITO!$Y$884</f>
        <v>0</v>
      </c>
      <c r="K884" s="76">
        <f ca="1">EFEITO!$L$884*EFEITO!$Z$884</f>
        <v>775.41192797174074</v>
      </c>
      <c r="L884" s="76">
        <f>EFEITO!$N$884*EFEITO!$AA$884</f>
        <v>213.56872509055626</v>
      </c>
      <c r="M884" s="76">
        <f>$J$884-EFEITO!$K$884*EFEITO!$Y$884</f>
        <v>0</v>
      </c>
      <c r="N884" s="76">
        <f ca="1">$K$884-EFEITO!$M$884*EFEITO!$Z$884</f>
        <v>0</v>
      </c>
      <c r="O884" s="76">
        <f>$L$884-EFEITO!$O$884*EFEITO!$AA$884</f>
        <v>0</v>
      </c>
      <c r="P884" s="57"/>
      <c r="Q884" s="57"/>
      <c r="R884" s="57"/>
      <c r="S884" s="57"/>
      <c r="T884" s="57"/>
      <c r="U884" s="57"/>
      <c r="V884" s="57"/>
      <c r="W884" s="57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3" t="s">
        <v>21</v>
      </c>
      <c r="B885" s="53" t="s">
        <v>37</v>
      </c>
      <c r="C885" s="53" t="s">
        <v>33</v>
      </c>
      <c r="D885" s="53" t="s">
        <v>47</v>
      </c>
      <c r="E885" s="53" t="s">
        <v>25</v>
      </c>
      <c r="F885" s="53" t="s">
        <v>25</v>
      </c>
      <c r="G885" s="53" t="s">
        <v>25</v>
      </c>
      <c r="H885" s="53" t="s">
        <v>34</v>
      </c>
      <c r="I885" s="75">
        <v>44774</v>
      </c>
      <c r="J885" s="76">
        <f>EFEITO!$J$885*EFEITO!$Y$885</f>
        <v>0</v>
      </c>
      <c r="K885" s="76">
        <f ca="1">EFEITO!$L$885*EFEITO!$Z$885</f>
        <v>650.27003311053977</v>
      </c>
      <c r="L885" s="76">
        <f>EFEITO!$N$885*EFEITO!$AA$885</f>
        <v>179.1013742840864</v>
      </c>
      <c r="M885" s="76">
        <f>$J$885-EFEITO!$K$885*EFEITO!$Y$885</f>
        <v>0</v>
      </c>
      <c r="N885" s="76">
        <f ca="1">$K$885-EFEITO!$M$885*EFEITO!$Z$885</f>
        <v>0</v>
      </c>
      <c r="O885" s="76">
        <f>$L$885-EFEITO!$O$885*EFEITO!$AA$885</f>
        <v>0</v>
      </c>
      <c r="P885" s="57"/>
      <c r="Q885" s="57"/>
      <c r="R885" s="57"/>
      <c r="S885" s="57"/>
      <c r="T885" s="57"/>
      <c r="U885" s="57"/>
      <c r="V885" s="57"/>
      <c r="W885" s="57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3" t="s">
        <v>21</v>
      </c>
      <c r="B886" s="53" t="s">
        <v>37</v>
      </c>
      <c r="C886" s="53" t="s">
        <v>33</v>
      </c>
      <c r="D886" s="53" t="s">
        <v>47</v>
      </c>
      <c r="E886" s="53" t="s">
        <v>25</v>
      </c>
      <c r="F886" s="53" t="s">
        <v>25</v>
      </c>
      <c r="G886" s="53" t="s">
        <v>25</v>
      </c>
      <c r="H886" s="53" t="s">
        <v>34</v>
      </c>
      <c r="I886" s="75">
        <v>44805</v>
      </c>
      <c r="J886" s="76">
        <f>EFEITO!$J$886*EFEITO!$Y$886</f>
        <v>0</v>
      </c>
      <c r="K886" s="76">
        <f ca="1">EFEITO!$L$886*EFEITO!$Z$886</f>
        <v>642.08318017569479</v>
      </c>
      <c r="L886" s="76">
        <f>EFEITO!$N$886*EFEITO!$AA$886</f>
        <v>176.8465008668407</v>
      </c>
      <c r="M886" s="76">
        <f>$J$886-EFEITO!$K$886*EFEITO!$Y$886</f>
        <v>0</v>
      </c>
      <c r="N886" s="76">
        <f ca="1">$K$886-EFEITO!$M$886*EFEITO!$Z$886</f>
        <v>0</v>
      </c>
      <c r="O886" s="76">
        <f>$L$886-EFEITO!$O$886*EFEITO!$AA$886</f>
        <v>0</v>
      </c>
      <c r="P886" s="57"/>
      <c r="Q886" s="57"/>
      <c r="R886" s="57"/>
      <c r="S886" s="57"/>
      <c r="T886" s="57"/>
      <c r="U886" s="57"/>
      <c r="V886" s="57"/>
      <c r="W886" s="57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3" t="s">
        <v>21</v>
      </c>
      <c r="B887" s="53" t="s">
        <v>37</v>
      </c>
      <c r="C887" s="53" t="s">
        <v>23</v>
      </c>
      <c r="D887" s="53" t="s">
        <v>44</v>
      </c>
      <c r="E887" s="53" t="s">
        <v>25</v>
      </c>
      <c r="F887" s="53" t="s">
        <v>25</v>
      </c>
      <c r="G887" s="53" t="s">
        <v>25</v>
      </c>
      <c r="H887" s="53" t="s">
        <v>25</v>
      </c>
      <c r="I887" s="75">
        <v>44531</v>
      </c>
      <c r="J887" s="76">
        <f>EFEITO!$J$887*EFEITO!$Y$887</f>
        <v>0</v>
      </c>
      <c r="K887" s="76">
        <f ca="1">EFEITO!$L$887*EFEITO!$Z$887</f>
        <v>5745933.6235685069</v>
      </c>
      <c r="L887" s="76">
        <f>EFEITO!$N$887*EFEITO!$AA$887</f>
        <v>2594259.0333640985</v>
      </c>
      <c r="M887" s="76">
        <f>$J$887-EFEITO!$K$887*EFEITO!$Y$887</f>
        <v>0</v>
      </c>
      <c r="N887" s="76">
        <f ca="1">$K$887-EFEITO!$M$887*EFEITO!$Z$887</f>
        <v>0</v>
      </c>
      <c r="O887" s="76">
        <f>$L$887-EFEITO!$O$887*EFEITO!$AA$887</f>
        <v>0</v>
      </c>
      <c r="P887" s="57"/>
      <c r="Q887" s="57"/>
      <c r="R887" s="57"/>
      <c r="S887" s="57"/>
      <c r="T887" s="57"/>
      <c r="U887" s="57"/>
      <c r="V887" s="57"/>
      <c r="W887" s="57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3" t="s">
        <v>27</v>
      </c>
      <c r="B888" s="53" t="s">
        <v>37</v>
      </c>
      <c r="C888" s="53" t="s">
        <v>23</v>
      </c>
      <c r="D888" s="53" t="s">
        <v>44</v>
      </c>
      <c r="E888" s="53" t="s">
        <v>25</v>
      </c>
      <c r="F888" s="53" t="s">
        <v>25</v>
      </c>
      <c r="G888" s="53" t="s">
        <v>25</v>
      </c>
      <c r="H888" s="53" t="s">
        <v>25</v>
      </c>
      <c r="I888" s="75">
        <v>44531</v>
      </c>
      <c r="J888" s="76">
        <f>EFEITO!$J$888*EFEITO!$Y$888</f>
        <v>0</v>
      </c>
      <c r="K888" s="76">
        <f ca="1">EFEITO!$L$888*EFEITO!$Z$888</f>
        <v>-160286.7605383918</v>
      </c>
      <c r="L888" s="76">
        <f>EFEITO!$N$888*EFEITO!$AA$888</f>
        <v>-72368.635577301189</v>
      </c>
      <c r="M888" s="76">
        <f>$J$888-EFEITO!$K$888*EFEITO!$Y$888</f>
        <v>0</v>
      </c>
      <c r="N888" s="76">
        <f ca="1">$K$888-EFEITO!$M$888*EFEITO!$Z$888</f>
        <v>0</v>
      </c>
      <c r="O888" s="76">
        <f>$L$888-EFEITO!$O$888*EFEITO!$AA$888</f>
        <v>0</v>
      </c>
      <c r="P888" s="57"/>
      <c r="Q888" s="57"/>
      <c r="R888" s="57"/>
      <c r="S888" s="57"/>
      <c r="T888" s="57"/>
      <c r="U888" s="57"/>
      <c r="V888" s="57"/>
      <c r="W888" s="57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3" t="s">
        <v>28</v>
      </c>
      <c r="B889" s="53" t="s">
        <v>37</v>
      </c>
      <c r="C889" s="53" t="s">
        <v>23</v>
      </c>
      <c r="D889" s="53" t="s">
        <v>44</v>
      </c>
      <c r="E889" s="53" t="s">
        <v>25</v>
      </c>
      <c r="F889" s="53" t="s">
        <v>25</v>
      </c>
      <c r="G889" s="53" t="s">
        <v>25</v>
      </c>
      <c r="H889" s="53" t="s">
        <v>25</v>
      </c>
      <c r="I889" s="75">
        <v>44531</v>
      </c>
      <c r="J889" s="76">
        <f>EFEITO!$J$889*EFEITO!$Y$889</f>
        <v>0</v>
      </c>
      <c r="K889" s="76">
        <f ca="1">EFEITO!$L$889*EFEITO!$Z$889</f>
        <v>127424.85226197296</v>
      </c>
      <c r="L889" s="76">
        <f>EFEITO!$N$889*EFEITO!$AA$889</f>
        <v>57531.655551984419</v>
      </c>
      <c r="M889" s="76">
        <f>$J$889-EFEITO!$K$889*EFEITO!$Y$889</f>
        <v>0</v>
      </c>
      <c r="N889" s="76">
        <f ca="1">$K$889-EFEITO!$M$889*EFEITO!$Z$889</f>
        <v>0</v>
      </c>
      <c r="O889" s="76">
        <f>$L$889-EFEITO!$O$889*EFEITO!$AA$889</f>
        <v>0</v>
      </c>
      <c r="P889" s="57"/>
      <c r="Q889" s="57"/>
      <c r="R889" s="57"/>
      <c r="S889" s="57"/>
      <c r="T889" s="57"/>
      <c r="U889" s="57"/>
      <c r="V889" s="57"/>
      <c r="W889" s="57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3" t="s">
        <v>28</v>
      </c>
      <c r="B890" s="53" t="s">
        <v>37</v>
      </c>
      <c r="C890" s="53" t="s">
        <v>23</v>
      </c>
      <c r="D890" s="53" t="s">
        <v>44</v>
      </c>
      <c r="E890" s="53" t="s">
        <v>25</v>
      </c>
      <c r="F890" s="53" t="s">
        <v>25</v>
      </c>
      <c r="G890" s="53" t="s">
        <v>25</v>
      </c>
      <c r="H890" s="53" t="s">
        <v>25</v>
      </c>
      <c r="I890" s="75">
        <v>44531</v>
      </c>
      <c r="J890" s="76">
        <f>EFEITO!$J$890*EFEITO!$Y$890</f>
        <v>0</v>
      </c>
      <c r="K890" s="76">
        <f ca="1">EFEITO!$L$890*EFEITO!$Z$890</f>
        <v>103.4159455555657</v>
      </c>
      <c r="L890" s="76">
        <f>EFEITO!$N$890*EFEITO!$AA$890</f>
        <v>46.691759516845273</v>
      </c>
      <c r="M890" s="76">
        <f>$J$890-EFEITO!$K$890*EFEITO!$Y$890</f>
        <v>0</v>
      </c>
      <c r="N890" s="76">
        <f ca="1">$K$890-EFEITO!$M$890*EFEITO!$Z$890</f>
        <v>0</v>
      </c>
      <c r="O890" s="76">
        <f>$L$890-EFEITO!$O$890*EFEITO!$AA$890</f>
        <v>0</v>
      </c>
      <c r="P890" s="57"/>
      <c r="Q890" s="57"/>
      <c r="R890" s="57"/>
      <c r="S890" s="57"/>
      <c r="T890" s="57"/>
      <c r="U890" s="57"/>
      <c r="V890" s="57"/>
      <c r="W890" s="57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3" t="s">
        <v>21</v>
      </c>
      <c r="B891" s="53" t="s">
        <v>37</v>
      </c>
      <c r="C891" s="53" t="s">
        <v>23</v>
      </c>
      <c r="D891" s="53" t="s">
        <v>44</v>
      </c>
      <c r="E891" s="53" t="s">
        <v>25</v>
      </c>
      <c r="F891" s="53" t="s">
        <v>25</v>
      </c>
      <c r="G891" s="53" t="s">
        <v>25</v>
      </c>
      <c r="H891" s="53" t="s">
        <v>25</v>
      </c>
      <c r="I891" s="75">
        <v>44562</v>
      </c>
      <c r="J891" s="76">
        <f>EFEITO!$J$891*EFEITO!$Y$891</f>
        <v>0</v>
      </c>
      <c r="K891" s="76">
        <f ca="1">EFEITO!$L$891*EFEITO!$Z$891</f>
        <v>5093426.7375492975</v>
      </c>
      <c r="L891" s="76">
        <f>EFEITO!$N$891*EFEITO!$AA$891</f>
        <v>2299655.5808556587</v>
      </c>
      <c r="M891" s="76">
        <f>$J$891-EFEITO!$K$891*EFEITO!$Y$891</f>
        <v>0</v>
      </c>
      <c r="N891" s="76">
        <f ca="1">$K$891-EFEITO!$M$891*EFEITO!$Z$891</f>
        <v>0</v>
      </c>
      <c r="O891" s="76">
        <f>$L$891-EFEITO!$O$891*EFEITO!$AA$891</f>
        <v>0</v>
      </c>
      <c r="P891" s="57"/>
      <c r="Q891" s="57"/>
      <c r="R891" s="57"/>
      <c r="S891" s="57"/>
      <c r="T891" s="57"/>
      <c r="U891" s="57"/>
      <c r="V891" s="57"/>
      <c r="W891" s="57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3" t="s">
        <v>27</v>
      </c>
      <c r="B892" s="53" t="s">
        <v>37</v>
      </c>
      <c r="C892" s="53" t="s">
        <v>23</v>
      </c>
      <c r="D892" s="53" t="s">
        <v>44</v>
      </c>
      <c r="E892" s="53" t="s">
        <v>25</v>
      </c>
      <c r="F892" s="53" t="s">
        <v>25</v>
      </c>
      <c r="G892" s="53" t="s">
        <v>25</v>
      </c>
      <c r="H892" s="53" t="s">
        <v>25</v>
      </c>
      <c r="I892" s="75">
        <v>44562</v>
      </c>
      <c r="J892" s="76">
        <f>EFEITO!$J$892*EFEITO!$Y$892</f>
        <v>0</v>
      </c>
      <c r="K892" s="76">
        <f ca="1">EFEITO!$L$892*EFEITO!$Z$892</f>
        <v>-113014.73519448758</v>
      </c>
      <c r="L892" s="76">
        <f>EFEITO!$N$892*EFEITO!$AA$892</f>
        <v>-51025.562926615545</v>
      </c>
      <c r="M892" s="76">
        <f>$J$892-EFEITO!$K$892*EFEITO!$Y$892</f>
        <v>0</v>
      </c>
      <c r="N892" s="76">
        <f ca="1">$K$892-EFEITO!$M$892*EFEITO!$Z$892</f>
        <v>0</v>
      </c>
      <c r="O892" s="76">
        <f>$L$892-EFEITO!$O$892*EFEITO!$AA$892</f>
        <v>0</v>
      </c>
      <c r="P892" s="57"/>
      <c r="Q892" s="57"/>
      <c r="R892" s="57"/>
      <c r="S892" s="57"/>
      <c r="T892" s="57"/>
      <c r="U892" s="57"/>
      <c r="V892" s="57"/>
      <c r="W892" s="57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3" t="s">
        <v>28</v>
      </c>
      <c r="B893" s="53" t="s">
        <v>37</v>
      </c>
      <c r="C893" s="53" t="s">
        <v>23</v>
      </c>
      <c r="D893" s="53" t="s">
        <v>44</v>
      </c>
      <c r="E893" s="53" t="s">
        <v>25</v>
      </c>
      <c r="F893" s="53" t="s">
        <v>25</v>
      </c>
      <c r="G893" s="53" t="s">
        <v>25</v>
      </c>
      <c r="H893" s="53" t="s">
        <v>25</v>
      </c>
      <c r="I893" s="75">
        <v>44562</v>
      </c>
      <c r="J893" s="76">
        <f>EFEITO!$J$893*EFEITO!$Y$893</f>
        <v>0</v>
      </c>
      <c r="K893" s="76">
        <f ca="1">EFEITO!$L$893*EFEITO!$Z$893</f>
        <v>128524.64106759272</v>
      </c>
      <c r="L893" s="76">
        <f>EFEITO!$N$893*EFEITO!$AA$893</f>
        <v>58028.204456077015</v>
      </c>
      <c r="M893" s="76">
        <f>$J$893-EFEITO!$K$893*EFEITO!$Y$893</f>
        <v>0</v>
      </c>
      <c r="N893" s="76">
        <f ca="1">$K$893-EFEITO!$M$893*EFEITO!$Z$893</f>
        <v>0</v>
      </c>
      <c r="O893" s="76">
        <f>$L$893-EFEITO!$O$893*EFEITO!$AA$893</f>
        <v>0</v>
      </c>
      <c r="P893" s="57"/>
      <c r="Q893" s="57"/>
      <c r="R893" s="57"/>
      <c r="S893" s="57"/>
      <c r="T893" s="57"/>
      <c r="U893" s="57"/>
      <c r="V893" s="57"/>
      <c r="W893" s="57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3" t="s">
        <v>28</v>
      </c>
      <c r="B894" s="53" t="s">
        <v>37</v>
      </c>
      <c r="C894" s="53" t="s">
        <v>23</v>
      </c>
      <c r="D894" s="53" t="s">
        <v>44</v>
      </c>
      <c r="E894" s="53" t="s">
        <v>25</v>
      </c>
      <c r="F894" s="53" t="s">
        <v>25</v>
      </c>
      <c r="G894" s="53" t="s">
        <v>25</v>
      </c>
      <c r="H894" s="53" t="s">
        <v>25</v>
      </c>
      <c r="I894" s="75">
        <v>44562</v>
      </c>
      <c r="J894" s="76">
        <f>EFEITO!$J$894*EFEITO!$Y$894</f>
        <v>0</v>
      </c>
      <c r="K894" s="76">
        <f ca="1">EFEITO!$L$894*EFEITO!$Z$894</f>
        <v>733.3582677618241</v>
      </c>
      <c r="L894" s="76">
        <f>EFEITO!$N$894*EFEITO!$AA$894</f>
        <v>331.10742926609032</v>
      </c>
      <c r="M894" s="76">
        <f>$J$894-EFEITO!$K$894*EFEITO!$Y$894</f>
        <v>0</v>
      </c>
      <c r="N894" s="76">
        <f ca="1">$K$894-EFEITO!$M$894*EFEITO!$Z$894</f>
        <v>0</v>
      </c>
      <c r="O894" s="76">
        <f>$L$894-EFEITO!$O$894*EFEITO!$AA$894</f>
        <v>0</v>
      </c>
      <c r="P894" s="57"/>
      <c r="Q894" s="57"/>
      <c r="R894" s="57"/>
      <c r="S894" s="57"/>
      <c r="T894" s="57"/>
      <c r="U894" s="57"/>
      <c r="V894" s="57"/>
      <c r="W894" s="57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3" t="s">
        <v>21</v>
      </c>
      <c r="B895" s="53" t="s">
        <v>37</v>
      </c>
      <c r="C895" s="53" t="s">
        <v>23</v>
      </c>
      <c r="D895" s="53" t="s">
        <v>44</v>
      </c>
      <c r="E895" s="53" t="s">
        <v>25</v>
      </c>
      <c r="F895" s="53" t="s">
        <v>25</v>
      </c>
      <c r="G895" s="53" t="s">
        <v>25</v>
      </c>
      <c r="H895" s="53" t="s">
        <v>25</v>
      </c>
      <c r="I895" s="75">
        <v>44593</v>
      </c>
      <c r="J895" s="76">
        <f>EFEITO!$J$895*EFEITO!$Y$895</f>
        <v>0</v>
      </c>
      <c r="K895" s="76">
        <f ca="1">EFEITO!$L$895*EFEITO!$Z$895</f>
        <v>4507433.7062439257</v>
      </c>
      <c r="L895" s="76">
        <f>EFEITO!$N$895*EFEITO!$AA$895</f>
        <v>2035082.7865030076</v>
      </c>
      <c r="M895" s="76">
        <f>$J$895-EFEITO!$K$895*EFEITO!$Y$895</f>
        <v>0</v>
      </c>
      <c r="N895" s="76">
        <f ca="1">$K$895-EFEITO!$M$895*EFEITO!$Z$895</f>
        <v>0</v>
      </c>
      <c r="O895" s="76">
        <f>$L$895-EFEITO!$O$895*EFEITO!$AA$895</f>
        <v>0</v>
      </c>
      <c r="P895" s="57"/>
      <c r="Q895" s="57"/>
      <c r="R895" s="57"/>
      <c r="S895" s="57"/>
      <c r="T895" s="57"/>
      <c r="U895" s="57"/>
      <c r="V895" s="57"/>
      <c r="W895" s="57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3" t="s">
        <v>27</v>
      </c>
      <c r="B896" s="53" t="s">
        <v>37</v>
      </c>
      <c r="C896" s="53" t="s">
        <v>23</v>
      </c>
      <c r="D896" s="53" t="s">
        <v>44</v>
      </c>
      <c r="E896" s="53" t="s">
        <v>25</v>
      </c>
      <c r="F896" s="53" t="s">
        <v>25</v>
      </c>
      <c r="G896" s="53" t="s">
        <v>25</v>
      </c>
      <c r="H896" s="53" t="s">
        <v>25</v>
      </c>
      <c r="I896" s="75">
        <v>44593</v>
      </c>
      <c r="J896" s="76">
        <f>EFEITO!$J$896*EFEITO!$Y$896</f>
        <v>0</v>
      </c>
      <c r="K896" s="76">
        <f ca="1">EFEITO!$L$896*EFEITO!$Z$896</f>
        <v>-184026.18915589945</v>
      </c>
      <c r="L896" s="76">
        <f>EFEITO!$N$896*EFEITO!$AA$896</f>
        <v>-83086.86366216086</v>
      </c>
      <c r="M896" s="76">
        <f>$J$896-EFEITO!$K$896*EFEITO!$Y$896</f>
        <v>0</v>
      </c>
      <c r="N896" s="76">
        <f ca="1">$K$896-EFEITO!$M$896*EFEITO!$Z$896</f>
        <v>0</v>
      </c>
      <c r="O896" s="76">
        <f>$L$896-EFEITO!$O$896*EFEITO!$AA$896</f>
        <v>0</v>
      </c>
      <c r="P896" s="57"/>
      <c r="Q896" s="57"/>
      <c r="R896" s="57"/>
      <c r="S896" s="57"/>
      <c r="T896" s="57"/>
      <c r="U896" s="57"/>
      <c r="V896" s="57"/>
      <c r="W896" s="57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3" t="s">
        <v>28</v>
      </c>
      <c r="B897" s="53" t="s">
        <v>37</v>
      </c>
      <c r="C897" s="53" t="s">
        <v>23</v>
      </c>
      <c r="D897" s="53" t="s">
        <v>44</v>
      </c>
      <c r="E897" s="53" t="s">
        <v>25</v>
      </c>
      <c r="F897" s="53" t="s">
        <v>25</v>
      </c>
      <c r="G897" s="53" t="s">
        <v>25</v>
      </c>
      <c r="H897" s="53" t="s">
        <v>25</v>
      </c>
      <c r="I897" s="75">
        <v>44593</v>
      </c>
      <c r="J897" s="76">
        <f>EFEITO!$J$897*EFEITO!$Y$897</f>
        <v>0</v>
      </c>
      <c r="K897" s="76">
        <f ca="1">EFEITO!$L$897*EFEITO!$Z$897</f>
        <v>163628.88547120194</v>
      </c>
      <c r="L897" s="76">
        <f>EFEITO!$N$897*EFEITO!$AA$897</f>
        <v>73877.587536302308</v>
      </c>
      <c r="M897" s="76">
        <f>$J$897-EFEITO!$K$897*EFEITO!$Y$897</f>
        <v>0</v>
      </c>
      <c r="N897" s="76">
        <f ca="1">$K$897-EFEITO!$M$897*EFEITO!$Z$897</f>
        <v>0</v>
      </c>
      <c r="O897" s="76">
        <f>$L$897-EFEITO!$O$897*EFEITO!$AA$897</f>
        <v>0</v>
      </c>
      <c r="P897" s="57"/>
      <c r="Q897" s="57"/>
      <c r="R897" s="57"/>
      <c r="S897" s="57"/>
      <c r="T897" s="57"/>
      <c r="U897" s="57"/>
      <c r="V897" s="57"/>
      <c r="W897" s="57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3" t="s">
        <v>21</v>
      </c>
      <c r="B898" s="53" t="s">
        <v>37</v>
      </c>
      <c r="C898" s="53" t="s">
        <v>23</v>
      </c>
      <c r="D898" s="53" t="s">
        <v>44</v>
      </c>
      <c r="E898" s="53" t="s">
        <v>25</v>
      </c>
      <c r="F898" s="53" t="s">
        <v>25</v>
      </c>
      <c r="G898" s="53" t="s">
        <v>25</v>
      </c>
      <c r="H898" s="53" t="s">
        <v>25</v>
      </c>
      <c r="I898" s="75">
        <v>44621</v>
      </c>
      <c r="J898" s="76">
        <f>EFEITO!$J$898*EFEITO!$Y$898</f>
        <v>0</v>
      </c>
      <c r="K898" s="76">
        <f ca="1">EFEITO!$L$898*EFEITO!$Z$898</f>
        <v>5080871.6440052148</v>
      </c>
      <c r="L898" s="76">
        <f>EFEITO!$N$898*EFEITO!$AA$898</f>
        <v>2293987.0216666232</v>
      </c>
      <c r="M898" s="76">
        <f>$J$898-EFEITO!$K$898*EFEITO!$Y$898</f>
        <v>0</v>
      </c>
      <c r="N898" s="76">
        <f ca="1">$K$898-EFEITO!$M$898*EFEITO!$Z$898</f>
        <v>0</v>
      </c>
      <c r="O898" s="76">
        <f>$L$898-EFEITO!$O$898*EFEITO!$AA$898</f>
        <v>0</v>
      </c>
      <c r="P898" s="57"/>
      <c r="Q898" s="57"/>
      <c r="R898" s="57"/>
      <c r="S898" s="57"/>
      <c r="T898" s="57"/>
      <c r="U898" s="57"/>
      <c r="V898" s="57"/>
      <c r="W898" s="57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3" t="s">
        <v>27</v>
      </c>
      <c r="B899" s="53" t="s">
        <v>37</v>
      </c>
      <c r="C899" s="53" t="s">
        <v>23</v>
      </c>
      <c r="D899" s="53" t="s">
        <v>44</v>
      </c>
      <c r="E899" s="53" t="s">
        <v>25</v>
      </c>
      <c r="F899" s="53" t="s">
        <v>25</v>
      </c>
      <c r="G899" s="53" t="s">
        <v>25</v>
      </c>
      <c r="H899" s="53" t="s">
        <v>25</v>
      </c>
      <c r="I899" s="75">
        <v>44621</v>
      </c>
      <c r="J899" s="76">
        <f>EFEITO!$J$899*EFEITO!$Y$899</f>
        <v>0</v>
      </c>
      <c r="K899" s="76">
        <f ca="1">EFEITO!$L$899*EFEITO!$Z$899</f>
        <v>-176337.61135747988</v>
      </c>
      <c r="L899" s="76">
        <f>EFEITO!$N$899*EFEITO!$AA$899</f>
        <v>-79615.510925773866</v>
      </c>
      <c r="M899" s="76">
        <f>$J$899-EFEITO!$K$899*EFEITO!$Y$899</f>
        <v>0</v>
      </c>
      <c r="N899" s="76">
        <f ca="1">$K$899-EFEITO!$M$899*EFEITO!$Z$899</f>
        <v>0</v>
      </c>
      <c r="O899" s="76">
        <f>$L$899-EFEITO!$O$899*EFEITO!$AA$899</f>
        <v>0</v>
      </c>
      <c r="P899" s="57"/>
      <c r="Q899" s="57"/>
      <c r="R899" s="57"/>
      <c r="S899" s="57"/>
      <c r="T899" s="57"/>
      <c r="U899" s="57"/>
      <c r="V899" s="57"/>
      <c r="W899" s="57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3" t="s">
        <v>28</v>
      </c>
      <c r="B900" s="53" t="s">
        <v>37</v>
      </c>
      <c r="C900" s="53" t="s">
        <v>23</v>
      </c>
      <c r="D900" s="53" t="s">
        <v>44</v>
      </c>
      <c r="E900" s="53" t="s">
        <v>25</v>
      </c>
      <c r="F900" s="53" t="s">
        <v>25</v>
      </c>
      <c r="G900" s="53" t="s">
        <v>25</v>
      </c>
      <c r="H900" s="53" t="s">
        <v>25</v>
      </c>
      <c r="I900" s="75">
        <v>44621</v>
      </c>
      <c r="J900" s="76">
        <f>EFEITO!$J$900*EFEITO!$Y$900</f>
        <v>0</v>
      </c>
      <c r="K900" s="76">
        <f ca="1">EFEITO!$L$900*EFEITO!$Z$900</f>
        <v>137284.66772501348</v>
      </c>
      <c r="L900" s="76">
        <f>EFEITO!$N$900*EFEITO!$AA$900</f>
        <v>61983.310758612104</v>
      </c>
      <c r="M900" s="76">
        <f>$J$900-EFEITO!$K$900*EFEITO!$Y$900</f>
        <v>0</v>
      </c>
      <c r="N900" s="76">
        <f ca="1">$K$900-EFEITO!$M$900*EFEITO!$Z$900</f>
        <v>0</v>
      </c>
      <c r="O900" s="76">
        <f>$L$900-EFEITO!$O$900*EFEITO!$AA$900</f>
        <v>0</v>
      </c>
      <c r="P900" s="57"/>
      <c r="Q900" s="57"/>
      <c r="R900" s="57"/>
      <c r="S900" s="57"/>
      <c r="T900" s="57"/>
      <c r="U900" s="57"/>
      <c r="V900" s="57"/>
      <c r="W900" s="57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3" t="s">
        <v>21</v>
      </c>
      <c r="B901" s="53" t="s">
        <v>37</v>
      </c>
      <c r="C901" s="53" t="s">
        <v>23</v>
      </c>
      <c r="D901" s="53" t="s">
        <v>44</v>
      </c>
      <c r="E901" s="53" t="s">
        <v>25</v>
      </c>
      <c r="F901" s="53" t="s">
        <v>25</v>
      </c>
      <c r="G901" s="53" t="s">
        <v>25</v>
      </c>
      <c r="H901" s="53" t="s">
        <v>25</v>
      </c>
      <c r="I901" s="75">
        <v>44652</v>
      </c>
      <c r="J901" s="76">
        <f>EFEITO!$J$901*EFEITO!$Y$901</f>
        <v>0</v>
      </c>
      <c r="K901" s="76">
        <f ca="1">EFEITO!$L$901*EFEITO!$Z$901</f>
        <v>4954540.6142443111</v>
      </c>
      <c r="L901" s="76">
        <f>EFEITO!$N$901*EFEITO!$AA$901</f>
        <v>2236949.2212633747</v>
      </c>
      <c r="M901" s="76">
        <f>$J$901-EFEITO!$K$901*EFEITO!$Y$901</f>
        <v>0</v>
      </c>
      <c r="N901" s="76">
        <f ca="1">$K$901-EFEITO!$M$901*EFEITO!$Z$901</f>
        <v>0</v>
      </c>
      <c r="O901" s="76">
        <f>$L$901-EFEITO!$O$901*EFEITO!$AA$901</f>
        <v>0</v>
      </c>
      <c r="P901" s="57"/>
      <c r="Q901" s="57"/>
      <c r="R901" s="57"/>
      <c r="S901" s="57"/>
      <c r="T901" s="57"/>
      <c r="U901" s="57"/>
      <c r="V901" s="57"/>
      <c r="W901" s="57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3" t="s">
        <v>27</v>
      </c>
      <c r="B902" s="53" t="s">
        <v>37</v>
      </c>
      <c r="C902" s="53" t="s">
        <v>23</v>
      </c>
      <c r="D902" s="53" t="s">
        <v>44</v>
      </c>
      <c r="E902" s="53" t="s">
        <v>25</v>
      </c>
      <c r="F902" s="53" t="s">
        <v>25</v>
      </c>
      <c r="G902" s="53" t="s">
        <v>25</v>
      </c>
      <c r="H902" s="53" t="s">
        <v>25</v>
      </c>
      <c r="I902" s="75">
        <v>44652</v>
      </c>
      <c r="J902" s="76">
        <f>EFEITO!$J$902*EFEITO!$Y$902</f>
        <v>0</v>
      </c>
      <c r="K902" s="76">
        <f ca="1">EFEITO!$L$902*EFEITO!$Z$902</f>
        <v>-216986.54145741442</v>
      </c>
      <c r="L902" s="76">
        <f>EFEITO!$N$902*EFEITO!$AA$902</f>
        <v>-97968.290650863855</v>
      </c>
      <c r="M902" s="76">
        <f>$J$902-EFEITO!$K$902*EFEITO!$Y$902</f>
        <v>0</v>
      </c>
      <c r="N902" s="76">
        <f ca="1">$K$902-EFEITO!$M$902*EFEITO!$Z$902</f>
        <v>0</v>
      </c>
      <c r="O902" s="76">
        <f>$L$902-EFEITO!$O$902*EFEITO!$AA$902</f>
        <v>0</v>
      </c>
      <c r="P902" s="57"/>
      <c r="Q902" s="57"/>
      <c r="R902" s="57"/>
      <c r="S902" s="57"/>
      <c r="T902" s="57"/>
      <c r="U902" s="57"/>
      <c r="V902" s="57"/>
      <c r="W902" s="57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3" t="s">
        <v>28</v>
      </c>
      <c r="B903" s="53" t="s">
        <v>37</v>
      </c>
      <c r="C903" s="53" t="s">
        <v>23</v>
      </c>
      <c r="D903" s="53" t="s">
        <v>44</v>
      </c>
      <c r="E903" s="53" t="s">
        <v>25</v>
      </c>
      <c r="F903" s="53" t="s">
        <v>25</v>
      </c>
      <c r="G903" s="53" t="s">
        <v>25</v>
      </c>
      <c r="H903" s="53" t="s">
        <v>25</v>
      </c>
      <c r="I903" s="75">
        <v>44652</v>
      </c>
      <c r="J903" s="76">
        <f>EFEITO!$J$903*EFEITO!$Y$903</f>
        <v>0</v>
      </c>
      <c r="K903" s="76">
        <f ca="1">EFEITO!$L$903*EFEITO!$Z$903</f>
        <v>148862.77889882337</v>
      </c>
      <c r="L903" s="76">
        <f>EFEITO!$N$903*EFEITO!$AA$903</f>
        <v>67210.767507981218</v>
      </c>
      <c r="M903" s="76">
        <f>$J$903-EFEITO!$K$903*EFEITO!$Y$903</f>
        <v>0</v>
      </c>
      <c r="N903" s="76">
        <f ca="1">$K$903-EFEITO!$M$903*EFEITO!$Z$903</f>
        <v>0</v>
      </c>
      <c r="O903" s="76">
        <f>$L$903-EFEITO!$O$903*EFEITO!$AA$903</f>
        <v>0</v>
      </c>
      <c r="P903" s="57"/>
      <c r="Q903" s="57"/>
      <c r="R903" s="57"/>
      <c r="S903" s="57"/>
      <c r="T903" s="57"/>
      <c r="U903" s="57"/>
      <c r="V903" s="57"/>
      <c r="W903" s="57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3" t="s">
        <v>28</v>
      </c>
      <c r="B904" s="53" t="s">
        <v>37</v>
      </c>
      <c r="C904" s="53" t="s">
        <v>23</v>
      </c>
      <c r="D904" s="53" t="s">
        <v>44</v>
      </c>
      <c r="E904" s="53" t="s">
        <v>25</v>
      </c>
      <c r="F904" s="53" t="s">
        <v>25</v>
      </c>
      <c r="G904" s="53" t="s">
        <v>25</v>
      </c>
      <c r="H904" s="53" t="s">
        <v>25</v>
      </c>
      <c r="I904" s="75">
        <v>44652</v>
      </c>
      <c r="J904" s="76">
        <f>EFEITO!$J$904*EFEITO!$Y$904</f>
        <v>0</v>
      </c>
      <c r="K904" s="76">
        <f ca="1">EFEITO!$L$904*EFEITO!$Z$904</f>
        <v>-2366.6341386754457</v>
      </c>
      <c r="L904" s="76">
        <f>EFEITO!$N$904*EFEITO!$AA$904</f>
        <v>-1068.5229581739591</v>
      </c>
      <c r="M904" s="76">
        <f>$J$904-EFEITO!$K$904*EFEITO!$Y$904</f>
        <v>0</v>
      </c>
      <c r="N904" s="76">
        <f ca="1">$K$904-EFEITO!$M$904*EFEITO!$Z$904</f>
        <v>0</v>
      </c>
      <c r="O904" s="76">
        <f>$L$904-EFEITO!$O$904*EFEITO!$AA$904</f>
        <v>0</v>
      </c>
      <c r="P904" s="57"/>
      <c r="Q904" s="57"/>
      <c r="R904" s="57"/>
      <c r="S904" s="57"/>
      <c r="T904" s="57"/>
      <c r="U904" s="57"/>
      <c r="V904" s="57"/>
      <c r="W904" s="57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3" t="s">
        <v>21</v>
      </c>
      <c r="B905" s="53" t="s">
        <v>37</v>
      </c>
      <c r="C905" s="53" t="s">
        <v>23</v>
      </c>
      <c r="D905" s="53" t="s">
        <v>44</v>
      </c>
      <c r="E905" s="53" t="s">
        <v>25</v>
      </c>
      <c r="F905" s="53" t="s">
        <v>25</v>
      </c>
      <c r="G905" s="53" t="s">
        <v>25</v>
      </c>
      <c r="H905" s="53" t="s">
        <v>25</v>
      </c>
      <c r="I905" s="75">
        <v>44682</v>
      </c>
      <c r="J905" s="76">
        <f>EFEITO!$J$905*EFEITO!$Y$905</f>
        <v>0</v>
      </c>
      <c r="K905" s="76">
        <f ca="1">EFEITO!$L$905*EFEITO!$Z$905</f>
        <v>5508903.7791631045</v>
      </c>
      <c r="L905" s="76">
        <f>EFEITO!$N$905*EFEITO!$AA$905</f>
        <v>2487241.2960718758</v>
      </c>
      <c r="M905" s="76">
        <f>$J$905-EFEITO!$K$905*EFEITO!$Y$905</f>
        <v>0</v>
      </c>
      <c r="N905" s="76">
        <f ca="1">$K$905-EFEITO!$M$905*EFEITO!$Z$905</f>
        <v>0</v>
      </c>
      <c r="O905" s="76">
        <f>$L$905-EFEITO!$O$905*EFEITO!$AA$905</f>
        <v>0</v>
      </c>
      <c r="P905" s="57"/>
      <c r="Q905" s="57"/>
      <c r="R905" s="57"/>
      <c r="S905" s="57"/>
      <c r="T905" s="57"/>
      <c r="U905" s="57"/>
      <c r="V905" s="57"/>
      <c r="W905" s="57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3" t="s">
        <v>27</v>
      </c>
      <c r="B906" s="53" t="s">
        <v>37</v>
      </c>
      <c r="C906" s="53" t="s">
        <v>23</v>
      </c>
      <c r="D906" s="53" t="s">
        <v>44</v>
      </c>
      <c r="E906" s="53" t="s">
        <v>25</v>
      </c>
      <c r="F906" s="53" t="s">
        <v>25</v>
      </c>
      <c r="G906" s="53" t="s">
        <v>25</v>
      </c>
      <c r="H906" s="53" t="s">
        <v>25</v>
      </c>
      <c r="I906" s="75">
        <v>44682</v>
      </c>
      <c r="J906" s="76">
        <f>EFEITO!$J$906*EFEITO!$Y$906</f>
        <v>0</v>
      </c>
      <c r="K906" s="76">
        <f ca="1">EFEITO!$L$906*EFEITO!$Z$906</f>
        <v>-295373.83942034945</v>
      </c>
      <c r="L906" s="76">
        <f>EFEITO!$N$906*EFEITO!$AA$906</f>
        <v>-133359.74644618033</v>
      </c>
      <c r="M906" s="76">
        <f>$J$906-EFEITO!$K$906*EFEITO!$Y$906</f>
        <v>0</v>
      </c>
      <c r="N906" s="76">
        <f ca="1">$K$906-EFEITO!$M$906*EFEITO!$Z$906</f>
        <v>0</v>
      </c>
      <c r="O906" s="76">
        <f>$L$906-EFEITO!$O$906*EFEITO!$AA$906</f>
        <v>0</v>
      </c>
      <c r="P906" s="57"/>
      <c r="Q906" s="57"/>
      <c r="R906" s="57"/>
      <c r="S906" s="57"/>
      <c r="T906" s="57"/>
      <c r="U906" s="57"/>
      <c r="V906" s="57"/>
      <c r="W906" s="57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3" t="s">
        <v>28</v>
      </c>
      <c r="B907" s="53" t="s">
        <v>37</v>
      </c>
      <c r="C907" s="53" t="s">
        <v>23</v>
      </c>
      <c r="D907" s="53" t="s">
        <v>44</v>
      </c>
      <c r="E907" s="53" t="s">
        <v>25</v>
      </c>
      <c r="F907" s="53" t="s">
        <v>25</v>
      </c>
      <c r="G907" s="53" t="s">
        <v>25</v>
      </c>
      <c r="H907" s="53" t="s">
        <v>25</v>
      </c>
      <c r="I907" s="75">
        <v>44682</v>
      </c>
      <c r="J907" s="76">
        <f>EFEITO!$J$907*EFEITO!$Y$907</f>
        <v>0</v>
      </c>
      <c r="K907" s="76">
        <f ca="1">EFEITO!$L$907*EFEITO!$Z$907</f>
        <v>156308.7269788241</v>
      </c>
      <c r="L907" s="76">
        <f>EFEITO!$N$907*EFEITO!$AA$907</f>
        <v>70572.574193194072</v>
      </c>
      <c r="M907" s="76">
        <f>$J$907-EFEITO!$K$907*EFEITO!$Y$907</f>
        <v>0</v>
      </c>
      <c r="N907" s="76">
        <f ca="1">$K$907-EFEITO!$M$907*EFEITO!$Z$907</f>
        <v>0</v>
      </c>
      <c r="O907" s="76">
        <f>$L$907-EFEITO!$O$907*EFEITO!$AA$907</f>
        <v>0</v>
      </c>
      <c r="P907" s="57"/>
      <c r="Q907" s="57"/>
      <c r="R907" s="57"/>
      <c r="S907" s="57"/>
      <c r="T907" s="57"/>
      <c r="U907" s="57"/>
      <c r="V907" s="57"/>
      <c r="W907" s="57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3" t="s">
        <v>28</v>
      </c>
      <c r="B908" s="53" t="s">
        <v>37</v>
      </c>
      <c r="C908" s="53" t="s">
        <v>23</v>
      </c>
      <c r="D908" s="53" t="s">
        <v>44</v>
      </c>
      <c r="E908" s="53" t="s">
        <v>25</v>
      </c>
      <c r="F908" s="53" t="s">
        <v>25</v>
      </c>
      <c r="G908" s="53" t="s">
        <v>25</v>
      </c>
      <c r="H908" s="53" t="s">
        <v>25</v>
      </c>
      <c r="I908" s="75">
        <v>44682</v>
      </c>
      <c r="J908" s="76">
        <f>EFEITO!$J$908*EFEITO!$Y$908</f>
        <v>0</v>
      </c>
      <c r="K908" s="76">
        <f ca="1">EFEITO!$L$908*EFEITO!$Z$908</f>
        <v>-8949.4568269239553</v>
      </c>
      <c r="L908" s="76">
        <f>EFEITO!$N$908*EFEITO!$AA$908</f>
        <v>-4040.6330351116103</v>
      </c>
      <c r="M908" s="76">
        <f>$J$908-EFEITO!$K$908*EFEITO!$Y$908</f>
        <v>0</v>
      </c>
      <c r="N908" s="76">
        <f ca="1">$K$908-EFEITO!$M$908*EFEITO!$Z$908</f>
        <v>0</v>
      </c>
      <c r="O908" s="76">
        <f>$L$908-EFEITO!$O$908*EFEITO!$AA$908</f>
        <v>0</v>
      </c>
      <c r="P908" s="57"/>
      <c r="Q908" s="57"/>
      <c r="R908" s="57"/>
      <c r="S908" s="57"/>
      <c r="T908" s="57"/>
      <c r="U908" s="57"/>
      <c r="V908" s="57"/>
      <c r="W908" s="57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3" t="s">
        <v>21</v>
      </c>
      <c r="B909" s="53" t="s">
        <v>37</v>
      </c>
      <c r="C909" s="53" t="s">
        <v>23</v>
      </c>
      <c r="D909" s="53" t="s">
        <v>44</v>
      </c>
      <c r="E909" s="53" t="s">
        <v>25</v>
      </c>
      <c r="F909" s="53" t="s">
        <v>25</v>
      </c>
      <c r="G909" s="53" t="s">
        <v>25</v>
      </c>
      <c r="H909" s="53" t="s">
        <v>25</v>
      </c>
      <c r="I909" s="75">
        <v>44713</v>
      </c>
      <c r="J909" s="76">
        <f>EFEITO!$J$909*EFEITO!$Y$909</f>
        <v>0</v>
      </c>
      <c r="K909" s="76">
        <f ca="1">EFEITO!$L$909*EFEITO!$Z$909</f>
        <v>5655386.9969300581</v>
      </c>
      <c r="L909" s="76">
        <f>EFEITO!$N$909*EFEITO!$AA$909</f>
        <v>2553377.7041517436</v>
      </c>
      <c r="M909" s="76">
        <f>$J$909-EFEITO!$K$909*EFEITO!$Y$909</f>
        <v>0</v>
      </c>
      <c r="N909" s="76">
        <f ca="1">$K$909-EFEITO!$M$909*EFEITO!$Z$909</f>
        <v>0</v>
      </c>
      <c r="O909" s="76">
        <f>$L$909-EFEITO!$O$909*EFEITO!$AA$909</f>
        <v>0</v>
      </c>
      <c r="P909" s="57"/>
      <c r="Q909" s="57"/>
      <c r="R909" s="57"/>
      <c r="S909" s="57"/>
      <c r="T909" s="57"/>
      <c r="U909" s="57"/>
      <c r="V909" s="57"/>
      <c r="W909" s="57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3" t="s">
        <v>27</v>
      </c>
      <c r="B910" s="53" t="s">
        <v>37</v>
      </c>
      <c r="C910" s="53" t="s">
        <v>23</v>
      </c>
      <c r="D910" s="53" t="s">
        <v>44</v>
      </c>
      <c r="E910" s="53" t="s">
        <v>25</v>
      </c>
      <c r="F910" s="53" t="s">
        <v>25</v>
      </c>
      <c r="G910" s="53" t="s">
        <v>25</v>
      </c>
      <c r="H910" s="53" t="s">
        <v>25</v>
      </c>
      <c r="I910" s="75">
        <v>44713</v>
      </c>
      <c r="J910" s="76">
        <f>EFEITO!$J$910*EFEITO!$Y$910</f>
        <v>0</v>
      </c>
      <c r="K910" s="76">
        <f ca="1">EFEITO!$L$910*EFEITO!$Z$910</f>
        <v>-57714.549884786647</v>
      </c>
      <c r="L910" s="76">
        <f>EFEITO!$N$910*EFEITO!$AA$910</f>
        <v>-26057.817963821715</v>
      </c>
      <c r="M910" s="76">
        <f>$J$910-EFEITO!$K$910*EFEITO!$Y$910</f>
        <v>0</v>
      </c>
      <c r="N910" s="76">
        <f ca="1">$K$910-EFEITO!$M$910*EFEITO!$Z$910</f>
        <v>0</v>
      </c>
      <c r="O910" s="76">
        <f>$L$910-EFEITO!$O$910*EFEITO!$AA$910</f>
        <v>0</v>
      </c>
      <c r="P910" s="57"/>
      <c r="Q910" s="57"/>
      <c r="R910" s="57"/>
      <c r="S910" s="57"/>
      <c r="T910" s="57"/>
      <c r="U910" s="57"/>
      <c r="V910" s="57"/>
      <c r="W910" s="57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3" t="s">
        <v>28</v>
      </c>
      <c r="B911" s="53" t="s">
        <v>37</v>
      </c>
      <c r="C911" s="53" t="s">
        <v>23</v>
      </c>
      <c r="D911" s="53" t="s">
        <v>44</v>
      </c>
      <c r="E911" s="53" t="s">
        <v>25</v>
      </c>
      <c r="F911" s="53" t="s">
        <v>25</v>
      </c>
      <c r="G911" s="53" t="s">
        <v>25</v>
      </c>
      <c r="H911" s="53" t="s">
        <v>25</v>
      </c>
      <c r="I911" s="75">
        <v>44713</v>
      </c>
      <c r="J911" s="76">
        <f>EFEITO!$J$911*EFEITO!$Y$911</f>
        <v>0</v>
      </c>
      <c r="K911" s="76">
        <f ca="1">EFEITO!$L$911*EFEITO!$Z$911</f>
        <v>176876.56753527909</v>
      </c>
      <c r="L911" s="76">
        <f>EFEITO!$N$911*EFEITO!$AA$911</f>
        <v>79858.84682633281</v>
      </c>
      <c r="M911" s="76">
        <f>$J$911-EFEITO!$K$911*EFEITO!$Y$911</f>
        <v>0</v>
      </c>
      <c r="N911" s="76">
        <f ca="1">$K$911-EFEITO!$M$911*EFEITO!$Z$911</f>
        <v>0</v>
      </c>
      <c r="O911" s="76">
        <f>$L$911-EFEITO!$O$911*EFEITO!$AA$911</f>
        <v>0</v>
      </c>
      <c r="P911" s="57"/>
      <c r="Q911" s="57"/>
      <c r="R911" s="57"/>
      <c r="S911" s="57"/>
      <c r="T911" s="57"/>
      <c r="U911" s="57"/>
      <c r="V911" s="57"/>
      <c r="W911" s="57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3" t="s">
        <v>21</v>
      </c>
      <c r="B912" s="53" t="s">
        <v>37</v>
      </c>
      <c r="C912" s="53" t="s">
        <v>23</v>
      </c>
      <c r="D912" s="53" t="s">
        <v>44</v>
      </c>
      <c r="E912" s="53" t="s">
        <v>25</v>
      </c>
      <c r="F912" s="53" t="s">
        <v>25</v>
      </c>
      <c r="G912" s="53" t="s">
        <v>25</v>
      </c>
      <c r="H912" s="53" t="s">
        <v>25</v>
      </c>
      <c r="I912" s="75">
        <v>44743</v>
      </c>
      <c r="J912" s="76">
        <f>EFEITO!$J$912*EFEITO!$Y$912</f>
        <v>0</v>
      </c>
      <c r="K912" s="76">
        <f ca="1">EFEITO!$L$912*EFEITO!$Z$912</f>
        <v>5396017.8167085154</v>
      </c>
      <c r="L912" s="76">
        <f>EFEITO!$N$912*EFEITO!$AA$912</f>
        <v>2436273.8733650437</v>
      </c>
      <c r="M912" s="76">
        <f>$J$912-EFEITO!$K$912*EFEITO!$Y$912</f>
        <v>0</v>
      </c>
      <c r="N912" s="76">
        <f ca="1">$K$912-EFEITO!$M$912*EFEITO!$Z$912</f>
        <v>0</v>
      </c>
      <c r="O912" s="76">
        <f>$L$912-EFEITO!$O$912*EFEITO!$AA$912</f>
        <v>0</v>
      </c>
      <c r="P912" s="57"/>
      <c r="Q912" s="57"/>
      <c r="R912" s="57"/>
      <c r="S912" s="57"/>
      <c r="T912" s="57"/>
      <c r="U912" s="57"/>
      <c r="V912" s="57"/>
      <c r="W912" s="57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3" t="s">
        <v>27</v>
      </c>
      <c r="B913" s="53" t="s">
        <v>37</v>
      </c>
      <c r="C913" s="53" t="s">
        <v>23</v>
      </c>
      <c r="D913" s="53" t="s">
        <v>44</v>
      </c>
      <c r="E913" s="53" t="s">
        <v>25</v>
      </c>
      <c r="F913" s="53" t="s">
        <v>25</v>
      </c>
      <c r="G913" s="53" t="s">
        <v>25</v>
      </c>
      <c r="H913" s="53" t="s">
        <v>25</v>
      </c>
      <c r="I913" s="75">
        <v>44743</v>
      </c>
      <c r="J913" s="76">
        <f>EFEITO!$J$913*EFEITO!$Y$913</f>
        <v>0</v>
      </c>
      <c r="K913" s="76">
        <f ca="1">EFEITO!$L$913*EFEITO!$Z$913</f>
        <v>-153081.95060067205</v>
      </c>
      <c r="L913" s="76">
        <f>EFEITO!$N$913*EFEITO!$AA$913</f>
        <v>-69115.701504423283</v>
      </c>
      <c r="M913" s="76">
        <f>$J$913-EFEITO!$K$913*EFEITO!$Y$913</f>
        <v>0</v>
      </c>
      <c r="N913" s="76">
        <f ca="1">$K$913-EFEITO!$M$913*EFEITO!$Z$913</f>
        <v>0</v>
      </c>
      <c r="O913" s="76">
        <f>$L$913-EFEITO!$O$913*EFEITO!$AA$913</f>
        <v>0</v>
      </c>
      <c r="P913" s="57"/>
      <c r="Q913" s="57"/>
      <c r="R913" s="57"/>
      <c r="S913" s="57"/>
      <c r="T913" s="57"/>
      <c r="U913" s="57"/>
      <c r="V913" s="57"/>
      <c r="W913" s="57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3" t="s">
        <v>28</v>
      </c>
      <c r="B914" s="53" t="s">
        <v>37</v>
      </c>
      <c r="C914" s="53" t="s">
        <v>23</v>
      </c>
      <c r="D914" s="53" t="s">
        <v>44</v>
      </c>
      <c r="E914" s="53" t="s">
        <v>25</v>
      </c>
      <c r="F914" s="53" t="s">
        <v>25</v>
      </c>
      <c r="G914" s="53" t="s">
        <v>25</v>
      </c>
      <c r="H914" s="53" t="s">
        <v>25</v>
      </c>
      <c r="I914" s="75">
        <v>44743</v>
      </c>
      <c r="J914" s="76">
        <f>EFEITO!$J$914*EFEITO!$Y$914</f>
        <v>0</v>
      </c>
      <c r="K914" s="76">
        <f ca="1">EFEITO!$L$914*EFEITO!$Z$914</f>
        <v>154931.50501156968</v>
      </c>
      <c r="L914" s="76">
        <f>EFEITO!$N$914*EFEITO!$AA$914</f>
        <v>69950.765665013023</v>
      </c>
      <c r="M914" s="76">
        <f>$J$914-EFEITO!$K$914*EFEITO!$Y$914</f>
        <v>0</v>
      </c>
      <c r="N914" s="76">
        <f ca="1">$K$914-EFEITO!$M$914*EFEITO!$Z$914</f>
        <v>0</v>
      </c>
      <c r="O914" s="76">
        <f>$L$914-EFEITO!$O$914*EFEITO!$AA$914</f>
        <v>0</v>
      </c>
      <c r="P914" s="57"/>
      <c r="Q914" s="57"/>
      <c r="R914" s="57"/>
      <c r="S914" s="57"/>
      <c r="T914" s="57"/>
      <c r="U914" s="57"/>
      <c r="V914" s="57"/>
      <c r="W914" s="57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3" t="s">
        <v>21</v>
      </c>
      <c r="B915" s="53" t="s">
        <v>37</v>
      </c>
      <c r="C915" s="53" t="s">
        <v>23</v>
      </c>
      <c r="D915" s="53" t="s">
        <v>44</v>
      </c>
      <c r="E915" s="53" t="s">
        <v>25</v>
      </c>
      <c r="F915" s="53" t="s">
        <v>25</v>
      </c>
      <c r="G915" s="53" t="s">
        <v>25</v>
      </c>
      <c r="H915" s="53" t="s">
        <v>25</v>
      </c>
      <c r="I915" s="75">
        <v>44774</v>
      </c>
      <c r="J915" s="76">
        <f>EFEITO!$J$915*EFEITO!$Y$915</f>
        <v>0</v>
      </c>
      <c r="K915" s="76">
        <f ca="1">EFEITO!$L$915*EFEITO!$Z$915</f>
        <v>5830056.528973409</v>
      </c>
      <c r="L915" s="76">
        <f>EFEITO!$N$915*EFEITO!$AA$915</f>
        <v>2632240.0859756954</v>
      </c>
      <c r="M915" s="76">
        <f>$J$915-EFEITO!$K$915*EFEITO!$Y$915</f>
        <v>0</v>
      </c>
      <c r="N915" s="76">
        <f ca="1">$K$915-EFEITO!$M$915*EFEITO!$Z$915</f>
        <v>0</v>
      </c>
      <c r="O915" s="76">
        <f>$L$915-EFEITO!$O$915*EFEITO!$AA$915</f>
        <v>0</v>
      </c>
      <c r="P915" s="57"/>
      <c r="Q915" s="57"/>
      <c r="R915" s="57"/>
      <c r="S915" s="57"/>
      <c r="T915" s="57"/>
      <c r="U915" s="57"/>
      <c r="V915" s="57"/>
      <c r="W915" s="57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3" t="s">
        <v>27</v>
      </c>
      <c r="B916" s="53" t="s">
        <v>37</v>
      </c>
      <c r="C916" s="53" t="s">
        <v>23</v>
      </c>
      <c r="D916" s="53" t="s">
        <v>44</v>
      </c>
      <c r="E916" s="53" t="s">
        <v>25</v>
      </c>
      <c r="F916" s="53" t="s">
        <v>25</v>
      </c>
      <c r="G916" s="53" t="s">
        <v>25</v>
      </c>
      <c r="H916" s="53" t="s">
        <v>25</v>
      </c>
      <c r="I916" s="75">
        <v>44774</v>
      </c>
      <c r="J916" s="76">
        <f>EFEITO!$J$916*EFEITO!$Y$916</f>
        <v>0</v>
      </c>
      <c r="K916" s="76">
        <f ca="1">EFEITO!$L$916*EFEITO!$Z$916</f>
        <v>-142835.81691793603</v>
      </c>
      <c r="L916" s="76">
        <f>EFEITO!$N$916*EFEITO!$AA$916</f>
        <v>-64489.625638446618</v>
      </c>
      <c r="M916" s="76">
        <f>$J$916-EFEITO!$K$916*EFEITO!$Y$916</f>
        <v>0</v>
      </c>
      <c r="N916" s="76">
        <f ca="1">$K$916-EFEITO!$M$916*EFEITO!$Z$916</f>
        <v>0</v>
      </c>
      <c r="O916" s="76">
        <f>$L$916-EFEITO!$O$916*EFEITO!$AA$916</f>
        <v>0</v>
      </c>
      <c r="P916" s="57"/>
      <c r="Q916" s="57"/>
      <c r="R916" s="57"/>
      <c r="S916" s="57"/>
      <c r="T916" s="57"/>
      <c r="U916" s="57"/>
      <c r="V916" s="57"/>
      <c r="W916" s="57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3" t="s">
        <v>28</v>
      </c>
      <c r="B917" s="53" t="s">
        <v>37</v>
      </c>
      <c r="C917" s="53" t="s">
        <v>23</v>
      </c>
      <c r="D917" s="53" t="s">
        <v>44</v>
      </c>
      <c r="E917" s="53" t="s">
        <v>25</v>
      </c>
      <c r="F917" s="53" t="s">
        <v>25</v>
      </c>
      <c r="G917" s="53" t="s">
        <v>25</v>
      </c>
      <c r="H917" s="53" t="s">
        <v>25</v>
      </c>
      <c r="I917" s="75">
        <v>44774</v>
      </c>
      <c r="J917" s="76">
        <f>EFEITO!$J$917*EFEITO!$Y$917</f>
        <v>0</v>
      </c>
      <c r="K917" s="76">
        <f ca="1">EFEITO!$L$917*EFEITO!$Z$917</f>
        <v>177516.9508904501</v>
      </c>
      <c r="L917" s="76">
        <f>EFEITO!$N$917*EFEITO!$AA$917</f>
        <v>80147.976567956342</v>
      </c>
      <c r="M917" s="76">
        <f>$J$917-EFEITO!$K$917*EFEITO!$Y$917</f>
        <v>0</v>
      </c>
      <c r="N917" s="76">
        <f ca="1">$K$917-EFEITO!$M$917*EFEITO!$Z$917</f>
        <v>0</v>
      </c>
      <c r="O917" s="76">
        <f>$L$917-EFEITO!$O$917*EFEITO!$AA$917</f>
        <v>0</v>
      </c>
      <c r="P917" s="57"/>
      <c r="Q917" s="57"/>
      <c r="R917" s="57"/>
      <c r="S917" s="57"/>
      <c r="T917" s="57"/>
      <c r="U917" s="57"/>
      <c r="V917" s="57"/>
      <c r="W917" s="57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3" t="s">
        <v>21</v>
      </c>
      <c r="B918" s="53" t="s">
        <v>37</v>
      </c>
      <c r="C918" s="53" t="s">
        <v>23</v>
      </c>
      <c r="D918" s="53" t="s">
        <v>44</v>
      </c>
      <c r="E918" s="53" t="s">
        <v>25</v>
      </c>
      <c r="F918" s="53" t="s">
        <v>25</v>
      </c>
      <c r="G918" s="53" t="s">
        <v>25</v>
      </c>
      <c r="H918" s="53" t="s">
        <v>25</v>
      </c>
      <c r="I918" s="75">
        <v>44805</v>
      </c>
      <c r="J918" s="76">
        <f>EFEITO!$J$918*EFEITO!$Y$918</f>
        <v>0</v>
      </c>
      <c r="K918" s="76">
        <f ca="1">EFEITO!$L$918*EFEITO!$Z$918</f>
        <v>6258600.7719386164</v>
      </c>
      <c r="L918" s="76">
        <f>EFEITO!$N$918*EFEITO!$AA$918</f>
        <v>2825725.574382402</v>
      </c>
      <c r="M918" s="76">
        <f>$J$918-EFEITO!$K$918*EFEITO!$Y$918</f>
        <v>0</v>
      </c>
      <c r="N918" s="76">
        <f ca="1">$K$918-EFEITO!$M$918*EFEITO!$Z$918</f>
        <v>0</v>
      </c>
      <c r="O918" s="76">
        <f>$L$918-EFEITO!$O$918*EFEITO!$AA$918</f>
        <v>0</v>
      </c>
      <c r="P918" s="57"/>
      <c r="Q918" s="57"/>
      <c r="R918" s="57"/>
      <c r="S918" s="57"/>
      <c r="T918" s="57"/>
      <c r="U918" s="57"/>
      <c r="V918" s="57"/>
      <c r="W918" s="57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3" t="s">
        <v>27</v>
      </c>
      <c r="B919" s="53" t="s">
        <v>37</v>
      </c>
      <c r="C919" s="53" t="s">
        <v>23</v>
      </c>
      <c r="D919" s="53" t="s">
        <v>44</v>
      </c>
      <c r="E919" s="53" t="s">
        <v>25</v>
      </c>
      <c r="F919" s="53" t="s">
        <v>25</v>
      </c>
      <c r="G919" s="53" t="s">
        <v>25</v>
      </c>
      <c r="H919" s="53" t="s">
        <v>25</v>
      </c>
      <c r="I919" s="75">
        <v>44805</v>
      </c>
      <c r="J919" s="76">
        <f>EFEITO!$J$919*EFEITO!$Y$919</f>
        <v>0</v>
      </c>
      <c r="K919" s="76">
        <f ca="1">EFEITO!$L$919*EFEITO!$Z$919</f>
        <v>-178075.7947500869</v>
      </c>
      <c r="L919" s="76">
        <f>EFEITO!$N$919*EFEITO!$AA$919</f>
        <v>-80400.29165303777</v>
      </c>
      <c r="M919" s="76">
        <f>$J$919-EFEITO!$K$919*EFEITO!$Y$919</f>
        <v>0</v>
      </c>
      <c r="N919" s="76">
        <f ca="1">$K$919-EFEITO!$M$919*EFEITO!$Z$919</f>
        <v>0</v>
      </c>
      <c r="O919" s="76">
        <f>$L$919-EFEITO!$O$919*EFEITO!$AA$919</f>
        <v>0</v>
      </c>
      <c r="P919" s="57"/>
      <c r="Q919" s="57"/>
      <c r="R919" s="57"/>
      <c r="S919" s="57"/>
      <c r="T919" s="57"/>
      <c r="U919" s="57"/>
      <c r="V919" s="57"/>
      <c r="W919" s="57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3" t="s">
        <v>28</v>
      </c>
      <c r="B920" s="53" t="s">
        <v>37</v>
      </c>
      <c r="C920" s="53" t="s">
        <v>23</v>
      </c>
      <c r="D920" s="53" t="s">
        <v>44</v>
      </c>
      <c r="E920" s="53" t="s">
        <v>25</v>
      </c>
      <c r="F920" s="53" t="s">
        <v>25</v>
      </c>
      <c r="G920" s="53" t="s">
        <v>25</v>
      </c>
      <c r="H920" s="53" t="s">
        <v>25</v>
      </c>
      <c r="I920" s="75">
        <v>44805</v>
      </c>
      <c r="J920" s="76">
        <f>EFEITO!$J$920*EFEITO!$Y$920</f>
        <v>0</v>
      </c>
      <c r="K920" s="76">
        <f ca="1">EFEITO!$L$920*EFEITO!$Z$920</f>
        <v>182079.18510399756</v>
      </c>
      <c r="L920" s="76">
        <f>EFEITO!$N$920*EFEITO!$AA$920</f>
        <v>82207.801497411027</v>
      </c>
      <c r="M920" s="76">
        <f>$J$920-EFEITO!$K$920*EFEITO!$Y$920</f>
        <v>0</v>
      </c>
      <c r="N920" s="76">
        <f ca="1">$K$920-EFEITO!$M$920*EFEITO!$Z$920</f>
        <v>0</v>
      </c>
      <c r="O920" s="76">
        <f>$L$920-EFEITO!$O$920*EFEITO!$AA$920</f>
        <v>0</v>
      </c>
      <c r="P920" s="57"/>
      <c r="Q920" s="57"/>
      <c r="R920" s="57"/>
      <c r="S920" s="57"/>
      <c r="T920" s="57"/>
      <c r="U920" s="57"/>
      <c r="V920" s="57"/>
      <c r="W920" s="57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3" t="s">
        <v>28</v>
      </c>
      <c r="B921" s="53" t="s">
        <v>37</v>
      </c>
      <c r="C921" s="53" t="s">
        <v>23</v>
      </c>
      <c r="D921" s="53" t="s">
        <v>44</v>
      </c>
      <c r="E921" s="53" t="s">
        <v>25</v>
      </c>
      <c r="F921" s="53" t="s">
        <v>25</v>
      </c>
      <c r="G921" s="53" t="s">
        <v>25</v>
      </c>
      <c r="H921" s="53" t="s">
        <v>25</v>
      </c>
      <c r="I921" s="75">
        <v>44805</v>
      </c>
      <c r="J921" s="76">
        <f>EFEITO!$J$921*EFEITO!$Y$921</f>
        <v>0</v>
      </c>
      <c r="K921" s="76">
        <f ca="1">EFEITO!$L$921*EFEITO!$Z$921</f>
        <v>-49.719204594021974</v>
      </c>
      <c r="L921" s="76">
        <f>EFEITO!$N$921*EFEITO!$AA$921</f>
        <v>-22.447961306175614</v>
      </c>
      <c r="M921" s="76">
        <f>$J$921-EFEITO!$K$921*EFEITO!$Y$921</f>
        <v>0</v>
      </c>
      <c r="N921" s="76">
        <f ca="1">$K$921-EFEITO!$M$921*EFEITO!$Z$921</f>
        <v>0</v>
      </c>
      <c r="O921" s="76">
        <f>$L$921-EFEITO!$O$921*EFEITO!$AA$921</f>
        <v>0</v>
      </c>
      <c r="P921" s="57"/>
      <c r="Q921" s="57"/>
      <c r="R921" s="57"/>
      <c r="S921" s="57"/>
      <c r="T921" s="57"/>
      <c r="U921" s="57"/>
      <c r="V921" s="57"/>
      <c r="W921" s="57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3" t="s">
        <v>21</v>
      </c>
      <c r="B922" s="53" t="s">
        <v>37</v>
      </c>
      <c r="C922" s="53" t="s">
        <v>23</v>
      </c>
      <c r="D922" s="53" t="s">
        <v>44</v>
      </c>
      <c r="E922" s="53" t="s">
        <v>25</v>
      </c>
      <c r="F922" s="53" t="s">
        <v>25</v>
      </c>
      <c r="G922" s="53" t="s">
        <v>25</v>
      </c>
      <c r="H922" s="53" t="s">
        <v>25</v>
      </c>
      <c r="I922" s="75">
        <v>44835</v>
      </c>
      <c r="J922" s="76">
        <f>EFEITO!$J$922*EFEITO!$Y$922</f>
        <v>0</v>
      </c>
      <c r="K922" s="76">
        <f ca="1">EFEITO!$L$922*EFEITO!$Z$922</f>
        <v>6650483.5650123293</v>
      </c>
      <c r="L922" s="76">
        <f>EFEITO!$N$922*EFEITO!$AA$922</f>
        <v>3002658.6095607732</v>
      </c>
      <c r="M922" s="76">
        <f>$J$922-EFEITO!$K$922*EFEITO!$Y$922</f>
        <v>0</v>
      </c>
      <c r="N922" s="76">
        <f ca="1">$K$922-EFEITO!$M$922*EFEITO!$Z$922</f>
        <v>0</v>
      </c>
      <c r="O922" s="76">
        <f>$L$922-EFEITO!$O$922*EFEITO!$AA$922</f>
        <v>0</v>
      </c>
      <c r="P922" s="57"/>
      <c r="Q922" s="57"/>
      <c r="R922" s="57"/>
      <c r="S922" s="57"/>
      <c r="T922" s="57"/>
      <c r="U922" s="57"/>
      <c r="V922" s="57"/>
      <c r="W922" s="57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3" t="s">
        <v>27</v>
      </c>
      <c r="B923" s="53" t="s">
        <v>37</v>
      </c>
      <c r="C923" s="53" t="s">
        <v>23</v>
      </c>
      <c r="D923" s="53" t="s">
        <v>44</v>
      </c>
      <c r="E923" s="53" t="s">
        <v>25</v>
      </c>
      <c r="F923" s="53" t="s">
        <v>25</v>
      </c>
      <c r="G923" s="53" t="s">
        <v>25</v>
      </c>
      <c r="H923" s="53" t="s">
        <v>25</v>
      </c>
      <c r="I923" s="75">
        <v>44835</v>
      </c>
      <c r="J923" s="76">
        <f>EFEITO!$J$923*EFEITO!$Y$923</f>
        <v>0</v>
      </c>
      <c r="K923" s="76">
        <f ca="1">EFEITO!$L$923*EFEITO!$Z$923</f>
        <v>-236704.68080735762</v>
      </c>
      <c r="L923" s="76">
        <f>EFEITO!$N$923*EFEITO!$AA$923</f>
        <v>-106870.92762528005</v>
      </c>
      <c r="M923" s="76">
        <f>$J$923-EFEITO!$K$923*EFEITO!$Y$923</f>
        <v>0</v>
      </c>
      <c r="N923" s="76">
        <f ca="1">$K$923-EFEITO!$M$923*EFEITO!$Z$923</f>
        <v>0</v>
      </c>
      <c r="O923" s="76">
        <f>$L$923-EFEITO!$O$923*EFEITO!$AA$923</f>
        <v>0</v>
      </c>
      <c r="P923" s="57"/>
      <c r="Q923" s="57"/>
      <c r="R923" s="57"/>
      <c r="S923" s="57"/>
      <c r="T923" s="57"/>
      <c r="U923" s="57"/>
      <c r="V923" s="57"/>
      <c r="W923" s="57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3" t="s">
        <v>28</v>
      </c>
      <c r="B924" s="53" t="s">
        <v>37</v>
      </c>
      <c r="C924" s="53" t="s">
        <v>23</v>
      </c>
      <c r="D924" s="53" t="s">
        <v>44</v>
      </c>
      <c r="E924" s="53" t="s">
        <v>25</v>
      </c>
      <c r="F924" s="53" t="s">
        <v>25</v>
      </c>
      <c r="G924" s="53" t="s">
        <v>25</v>
      </c>
      <c r="H924" s="53" t="s">
        <v>25</v>
      </c>
      <c r="I924" s="75">
        <v>44835</v>
      </c>
      <c r="J924" s="76">
        <f>EFEITO!$J$924*EFEITO!$Y$924</f>
        <v>0</v>
      </c>
      <c r="K924" s="76">
        <f ca="1">EFEITO!$L$924*EFEITO!$Z$924</f>
        <v>180971.44122564277</v>
      </c>
      <c r="L924" s="76">
        <f>EFEITO!$N$924*EFEITO!$AA$924</f>
        <v>81707.660919509435</v>
      </c>
      <c r="M924" s="76">
        <f>$J$924-EFEITO!$K$924*EFEITO!$Y$924</f>
        <v>0</v>
      </c>
      <c r="N924" s="76">
        <f ca="1">$K$924-EFEITO!$M$924*EFEITO!$Z$924</f>
        <v>0</v>
      </c>
      <c r="O924" s="76">
        <f>$L$924-EFEITO!$O$924*EFEITO!$AA$924</f>
        <v>0</v>
      </c>
      <c r="P924" s="57"/>
      <c r="Q924" s="57"/>
      <c r="R924" s="57"/>
      <c r="S924" s="57"/>
      <c r="T924" s="57"/>
      <c r="U924" s="57"/>
      <c r="V924" s="57"/>
      <c r="W924" s="57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3" t="s">
        <v>54</v>
      </c>
      <c r="B925" s="53" t="s">
        <v>37</v>
      </c>
      <c r="C925" s="53" t="s">
        <v>23</v>
      </c>
      <c r="D925" s="53" t="s">
        <v>44</v>
      </c>
      <c r="E925" s="53" t="s">
        <v>25</v>
      </c>
      <c r="F925" s="53" t="s">
        <v>25</v>
      </c>
      <c r="G925" s="53" t="s">
        <v>25</v>
      </c>
      <c r="H925" s="53" t="s">
        <v>25</v>
      </c>
      <c r="I925" s="75">
        <v>44866</v>
      </c>
      <c r="J925" s="76">
        <f>EFEITO!$J$925*EFEITO!$Y$925</f>
        <v>0</v>
      </c>
      <c r="K925" s="76">
        <f ca="1">EFEITO!$L$925*EFEITO!$Z$925</f>
        <v>6650483.5650123293</v>
      </c>
      <c r="L925" s="76">
        <f>EFEITO!$N$925*EFEITO!$AA$925</f>
        <v>3002658.6095607732</v>
      </c>
      <c r="M925" s="76">
        <f>$J$925-EFEITO!$K$925*EFEITO!$Y$925</f>
        <v>0</v>
      </c>
      <c r="N925" s="76">
        <f ca="1">$K$925-EFEITO!$M$925*EFEITO!$Z$925</f>
        <v>0</v>
      </c>
      <c r="O925" s="76">
        <f>$L$925-EFEITO!$O$925*EFEITO!$AA$925</f>
        <v>0</v>
      </c>
      <c r="P925" s="57"/>
      <c r="Q925" s="57"/>
      <c r="R925" s="57"/>
      <c r="S925" s="57"/>
      <c r="T925" s="57"/>
      <c r="U925" s="57"/>
      <c r="V925" s="57"/>
      <c r="W925" s="57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3" t="s">
        <v>54</v>
      </c>
      <c r="B926" s="53" t="s">
        <v>37</v>
      </c>
      <c r="C926" s="53" t="s">
        <v>23</v>
      </c>
      <c r="D926" s="53" t="s">
        <v>44</v>
      </c>
      <c r="E926" s="53" t="s">
        <v>25</v>
      </c>
      <c r="F926" s="53" t="s">
        <v>25</v>
      </c>
      <c r="G926" s="53" t="s">
        <v>25</v>
      </c>
      <c r="H926" s="53" t="s">
        <v>25</v>
      </c>
      <c r="I926" s="75">
        <v>44866</v>
      </c>
      <c r="J926" s="76">
        <f>EFEITO!$J$926*EFEITO!$Y$926</f>
        <v>0</v>
      </c>
      <c r="K926" s="76">
        <f ca="1">EFEITO!$L$926*EFEITO!$Z$926</f>
        <v>-236704.68080735762</v>
      </c>
      <c r="L926" s="76">
        <f>EFEITO!$N$926*EFEITO!$AA$926</f>
        <v>-106870.92762528005</v>
      </c>
      <c r="M926" s="76">
        <f>$J$926-EFEITO!$K$926*EFEITO!$Y$926</f>
        <v>0</v>
      </c>
      <c r="N926" s="76">
        <f ca="1">$K$926-EFEITO!$M$926*EFEITO!$Z$926</f>
        <v>0</v>
      </c>
      <c r="O926" s="76">
        <f>$L$926-EFEITO!$O$926*EFEITO!$AA$926</f>
        <v>0</v>
      </c>
      <c r="P926" s="57"/>
      <c r="Q926" s="57"/>
      <c r="R926" s="57"/>
      <c r="S926" s="57"/>
      <c r="T926" s="57"/>
      <c r="U926" s="57"/>
      <c r="V926" s="57"/>
      <c r="W926" s="57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3" t="s">
        <v>54</v>
      </c>
      <c r="B927" s="53" t="s">
        <v>37</v>
      </c>
      <c r="C927" s="53" t="s">
        <v>23</v>
      </c>
      <c r="D927" s="53" t="s">
        <v>44</v>
      </c>
      <c r="E927" s="53" t="s">
        <v>25</v>
      </c>
      <c r="F927" s="53" t="s">
        <v>25</v>
      </c>
      <c r="G927" s="53" t="s">
        <v>25</v>
      </c>
      <c r="H927" s="53" t="s">
        <v>25</v>
      </c>
      <c r="I927" s="75">
        <v>44866</v>
      </c>
      <c r="J927" s="76">
        <f>EFEITO!$J$927*EFEITO!$Y$927</f>
        <v>0</v>
      </c>
      <c r="K927" s="76">
        <f ca="1">EFEITO!$L$927*EFEITO!$Z$927</f>
        <v>180971.44122564277</v>
      </c>
      <c r="L927" s="76">
        <f>EFEITO!$N$927*EFEITO!$AA$927</f>
        <v>81707.660919509435</v>
      </c>
      <c r="M927" s="76">
        <f>$J$927-EFEITO!$K$927*EFEITO!$Y$927</f>
        <v>0</v>
      </c>
      <c r="N927" s="76">
        <f ca="1">$K$927-EFEITO!$M$927*EFEITO!$Z$927</f>
        <v>0</v>
      </c>
      <c r="O927" s="76">
        <f>$L$927-EFEITO!$O$927*EFEITO!$AA$927</f>
        <v>0</v>
      </c>
      <c r="P927" s="57"/>
      <c r="Q927" s="57"/>
      <c r="R927" s="57"/>
      <c r="S927" s="57"/>
      <c r="T927" s="57"/>
      <c r="U927" s="57"/>
      <c r="V927" s="57"/>
      <c r="W927" s="57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3" t="s">
        <v>21</v>
      </c>
      <c r="B928" s="53" t="s">
        <v>37</v>
      </c>
      <c r="C928" s="53" t="s">
        <v>23</v>
      </c>
      <c r="D928" s="53" t="s">
        <v>53</v>
      </c>
      <c r="E928" s="53" t="s">
        <v>25</v>
      </c>
      <c r="F928" s="53" t="s">
        <v>25</v>
      </c>
      <c r="G928" s="53" t="s">
        <v>25</v>
      </c>
      <c r="H928" s="53" t="s">
        <v>25</v>
      </c>
      <c r="I928" s="75">
        <v>44531</v>
      </c>
      <c r="J928" s="76">
        <f>EFEITO!$J$928*EFEITO!$Y$928</f>
        <v>0</v>
      </c>
      <c r="K928" s="76">
        <f ca="1">EFEITO!$L$928*EFEITO!$Z$928</f>
        <v>126142.59397549315</v>
      </c>
      <c r="L928" s="76">
        <f>EFEITO!$N$928*EFEITO!$AA$928</f>
        <v>56952.722629898155</v>
      </c>
      <c r="M928" s="76">
        <f>$J$928-EFEITO!$K$928*EFEITO!$Y$928</f>
        <v>0</v>
      </c>
      <c r="N928" s="76">
        <f ca="1">$K$928-EFEITO!$M$928*EFEITO!$Z$928</f>
        <v>0</v>
      </c>
      <c r="O928" s="76">
        <f>$L$928-EFEITO!$O$928*EFEITO!$AA$928</f>
        <v>0</v>
      </c>
      <c r="P928" s="57"/>
      <c r="Q928" s="57"/>
      <c r="R928" s="57"/>
      <c r="S928" s="57"/>
      <c r="T928" s="57"/>
      <c r="U928" s="57"/>
      <c r="V928" s="57"/>
      <c r="W928" s="57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3" t="s">
        <v>21</v>
      </c>
      <c r="B929" s="53" t="s">
        <v>37</v>
      </c>
      <c r="C929" s="53" t="s">
        <v>23</v>
      </c>
      <c r="D929" s="53" t="s">
        <v>53</v>
      </c>
      <c r="E929" s="53" t="s">
        <v>25</v>
      </c>
      <c r="F929" s="53" t="s">
        <v>25</v>
      </c>
      <c r="G929" s="53" t="s">
        <v>25</v>
      </c>
      <c r="H929" s="53" t="s">
        <v>25</v>
      </c>
      <c r="I929" s="75">
        <v>44562</v>
      </c>
      <c r="J929" s="76">
        <f>EFEITO!$J$929*EFEITO!$Y$929</f>
        <v>0</v>
      </c>
      <c r="K929" s="76">
        <f ca="1">EFEITO!$L$929*EFEITO!$Z$929</f>
        <v>93381.118492354246</v>
      </c>
      <c r="L929" s="76">
        <f>EFEITO!$N$929*EFEITO!$AA$929</f>
        <v>42161.087486419856</v>
      </c>
      <c r="M929" s="76">
        <f>$J$929-EFEITO!$K$929*EFEITO!$Y$929</f>
        <v>0</v>
      </c>
      <c r="N929" s="76">
        <f ca="1">$K$929-EFEITO!$M$929*EFEITO!$Z$929</f>
        <v>0</v>
      </c>
      <c r="O929" s="76">
        <f>$L$929-EFEITO!$O$929*EFEITO!$AA$929</f>
        <v>0</v>
      </c>
      <c r="P929" s="57"/>
      <c r="Q929" s="57"/>
      <c r="R929" s="57"/>
      <c r="S929" s="57"/>
      <c r="T929" s="57"/>
      <c r="U929" s="57"/>
      <c r="V929" s="57"/>
      <c r="W929" s="57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3" t="s">
        <v>21</v>
      </c>
      <c r="B930" s="53" t="s">
        <v>37</v>
      </c>
      <c r="C930" s="53" t="s">
        <v>23</v>
      </c>
      <c r="D930" s="53" t="s">
        <v>53</v>
      </c>
      <c r="E930" s="53" t="s">
        <v>25</v>
      </c>
      <c r="F930" s="53" t="s">
        <v>25</v>
      </c>
      <c r="G930" s="53" t="s">
        <v>25</v>
      </c>
      <c r="H930" s="53" t="s">
        <v>25</v>
      </c>
      <c r="I930" s="75">
        <v>44593</v>
      </c>
      <c r="J930" s="76">
        <f>EFEITO!$J$930*EFEITO!$Y$930</f>
        <v>0</v>
      </c>
      <c r="K930" s="76">
        <f ca="1">EFEITO!$L$930*EFEITO!$Z$930</f>
        <v>103136.52362574729</v>
      </c>
      <c r="L930" s="76">
        <f>EFEITO!$N$930*EFEITO!$AA$930</f>
        <v>46565.601974304569</v>
      </c>
      <c r="M930" s="76">
        <f>$J$930-EFEITO!$K$930*EFEITO!$Y$930</f>
        <v>0</v>
      </c>
      <c r="N930" s="76">
        <f ca="1">$K$930-EFEITO!$M$930*EFEITO!$Z$930</f>
        <v>0</v>
      </c>
      <c r="O930" s="76">
        <f>$L$930-EFEITO!$O$930*EFEITO!$AA$930</f>
        <v>0</v>
      </c>
      <c r="P930" s="57"/>
      <c r="Q930" s="57"/>
      <c r="R930" s="57"/>
      <c r="S930" s="57"/>
      <c r="T930" s="57"/>
      <c r="U930" s="57"/>
      <c r="V930" s="57"/>
      <c r="W930" s="57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3" t="s">
        <v>21</v>
      </c>
      <c r="B931" s="53" t="s">
        <v>37</v>
      </c>
      <c r="C931" s="53" t="s">
        <v>23</v>
      </c>
      <c r="D931" s="53" t="s">
        <v>53</v>
      </c>
      <c r="E931" s="53" t="s">
        <v>25</v>
      </c>
      <c r="F931" s="53" t="s">
        <v>25</v>
      </c>
      <c r="G931" s="53" t="s">
        <v>25</v>
      </c>
      <c r="H931" s="53" t="s">
        <v>25</v>
      </c>
      <c r="I931" s="75">
        <v>44621</v>
      </c>
      <c r="J931" s="76">
        <f>EFEITO!$J$931*EFEITO!$Y$931</f>
        <v>0</v>
      </c>
      <c r="K931" s="76">
        <f ca="1">EFEITO!$L$931*EFEITO!$Z$931</f>
        <v>75764.609920600371</v>
      </c>
      <c r="L931" s="76">
        <f>EFEITO!$N$931*EFEITO!$AA$931</f>
        <v>34207.325836415708</v>
      </c>
      <c r="M931" s="76">
        <f>$J$931-EFEITO!$K$931*EFEITO!$Y$931</f>
        <v>0</v>
      </c>
      <c r="N931" s="76">
        <f ca="1">$K$931-EFEITO!$M$931*EFEITO!$Z$931</f>
        <v>0</v>
      </c>
      <c r="O931" s="76">
        <f>$L$931-EFEITO!$O$931*EFEITO!$AA$931</f>
        <v>0</v>
      </c>
      <c r="P931" s="57"/>
      <c r="Q931" s="57"/>
      <c r="R931" s="57"/>
      <c r="S931" s="57"/>
      <c r="T931" s="57"/>
      <c r="U931" s="57"/>
      <c r="V931" s="57"/>
      <c r="W931" s="57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3" t="s">
        <v>21</v>
      </c>
      <c r="B932" s="53" t="s">
        <v>37</v>
      </c>
      <c r="C932" s="53" t="s">
        <v>23</v>
      </c>
      <c r="D932" s="53" t="s">
        <v>53</v>
      </c>
      <c r="E932" s="53" t="s">
        <v>25</v>
      </c>
      <c r="F932" s="53" t="s">
        <v>25</v>
      </c>
      <c r="G932" s="53" t="s">
        <v>25</v>
      </c>
      <c r="H932" s="53" t="s">
        <v>25</v>
      </c>
      <c r="I932" s="75">
        <v>44652</v>
      </c>
      <c r="J932" s="76">
        <f>EFEITO!$J$932*EFEITO!$Y$932</f>
        <v>0</v>
      </c>
      <c r="K932" s="76">
        <f ca="1">EFEITO!$L$932*EFEITO!$Z$932</f>
        <v>98255.092118706219</v>
      </c>
      <c r="L932" s="76">
        <f>EFEITO!$N$932*EFEITO!$AA$932</f>
        <v>44361.66113326425</v>
      </c>
      <c r="M932" s="76">
        <f>$J$932-EFEITO!$K$932*EFEITO!$Y$932</f>
        <v>0</v>
      </c>
      <c r="N932" s="76">
        <f ca="1">$K$932-EFEITO!$M$932*EFEITO!$Z$932</f>
        <v>0</v>
      </c>
      <c r="O932" s="76">
        <f>$L$932-EFEITO!$O$932*EFEITO!$AA$932</f>
        <v>0</v>
      </c>
      <c r="P932" s="57"/>
      <c r="Q932" s="57"/>
      <c r="R932" s="57"/>
      <c r="S932" s="57"/>
      <c r="T932" s="57"/>
      <c r="U932" s="57"/>
      <c r="V932" s="57"/>
      <c r="W932" s="57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3" t="s">
        <v>21</v>
      </c>
      <c r="B933" s="53" t="s">
        <v>37</v>
      </c>
      <c r="C933" s="53" t="s">
        <v>23</v>
      </c>
      <c r="D933" s="53" t="s">
        <v>53</v>
      </c>
      <c r="E933" s="53" t="s">
        <v>25</v>
      </c>
      <c r="F933" s="53" t="s">
        <v>25</v>
      </c>
      <c r="G933" s="53" t="s">
        <v>25</v>
      </c>
      <c r="H933" s="53" t="s">
        <v>25</v>
      </c>
      <c r="I933" s="75">
        <v>44682</v>
      </c>
      <c r="J933" s="76">
        <f>EFEITO!$J$933*EFEITO!$Y$933</f>
        <v>0</v>
      </c>
      <c r="K933" s="76">
        <f ca="1">EFEITO!$L$933*EFEITO!$Z$933</f>
        <v>83439.266341733615</v>
      </c>
      <c r="L933" s="76">
        <f>EFEITO!$N$933*EFEITO!$AA$933</f>
        <v>37672.393143636975</v>
      </c>
      <c r="M933" s="76">
        <f>$J$933-EFEITO!$K$933*EFEITO!$Y$933</f>
        <v>0</v>
      </c>
      <c r="N933" s="76">
        <f ca="1">$K$933-EFEITO!$M$933*EFEITO!$Z$933</f>
        <v>0</v>
      </c>
      <c r="O933" s="76">
        <f>$L$933-EFEITO!$O$933*EFEITO!$AA$933</f>
        <v>0</v>
      </c>
      <c r="P933" s="57"/>
      <c r="Q933" s="57"/>
      <c r="R933" s="57"/>
      <c r="S933" s="57"/>
      <c r="T933" s="57"/>
      <c r="U933" s="57"/>
      <c r="V933" s="57"/>
      <c r="W933" s="57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3" t="s">
        <v>21</v>
      </c>
      <c r="B934" s="53" t="s">
        <v>37</v>
      </c>
      <c r="C934" s="53" t="s">
        <v>23</v>
      </c>
      <c r="D934" s="53" t="s">
        <v>53</v>
      </c>
      <c r="E934" s="53" t="s">
        <v>25</v>
      </c>
      <c r="F934" s="53" t="s">
        <v>25</v>
      </c>
      <c r="G934" s="53" t="s">
        <v>25</v>
      </c>
      <c r="H934" s="53" t="s">
        <v>25</v>
      </c>
      <c r="I934" s="75">
        <v>44713</v>
      </c>
      <c r="J934" s="76">
        <f>EFEITO!$J$934*EFEITO!$Y$934</f>
        <v>0</v>
      </c>
      <c r="K934" s="76">
        <f ca="1">EFEITO!$L$934*EFEITO!$Z$934</f>
        <v>64251.133712762719</v>
      </c>
      <c r="L934" s="76">
        <f>EFEITO!$N$934*EFEITO!$AA$934</f>
        <v>29009.051436744623</v>
      </c>
      <c r="M934" s="76">
        <f>$J$934-EFEITO!$K$934*EFEITO!$Y$934</f>
        <v>0</v>
      </c>
      <c r="N934" s="76">
        <f ca="1">$K$934-EFEITO!$M$934*EFEITO!$Z$934</f>
        <v>0</v>
      </c>
      <c r="O934" s="76">
        <f>$L$934-EFEITO!$O$934*EFEITO!$AA$934</f>
        <v>0</v>
      </c>
      <c r="P934" s="57"/>
      <c r="Q934" s="57"/>
      <c r="R934" s="57"/>
      <c r="S934" s="57"/>
      <c r="T934" s="57"/>
      <c r="U934" s="57"/>
      <c r="V934" s="57"/>
      <c r="W934" s="57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3" t="s">
        <v>21</v>
      </c>
      <c r="B935" s="53" t="s">
        <v>37</v>
      </c>
      <c r="C935" s="53" t="s">
        <v>23</v>
      </c>
      <c r="D935" s="53" t="s">
        <v>53</v>
      </c>
      <c r="E935" s="53" t="s">
        <v>25</v>
      </c>
      <c r="F935" s="53" t="s">
        <v>25</v>
      </c>
      <c r="G935" s="53" t="s">
        <v>25</v>
      </c>
      <c r="H935" s="53" t="s">
        <v>25</v>
      </c>
      <c r="I935" s="75">
        <v>44743</v>
      </c>
      <c r="J935" s="76">
        <f>EFEITO!$J$935*EFEITO!$Y$935</f>
        <v>0</v>
      </c>
      <c r="K935" s="76">
        <f ca="1">EFEITO!$L$935*EFEITO!$Z$935</f>
        <v>73572.987382095889</v>
      </c>
      <c r="L935" s="76">
        <f>EFEITO!$N$935*EFEITO!$AA$935</f>
        <v>33217.819702039487</v>
      </c>
      <c r="M935" s="76">
        <f>$J$935-EFEITO!$K$935*EFEITO!$Y$935</f>
        <v>0</v>
      </c>
      <c r="N935" s="76">
        <f ca="1">$K$935-EFEITO!$M$935*EFEITO!$Z$935</f>
        <v>0</v>
      </c>
      <c r="O935" s="76">
        <f>$L$935-EFEITO!$O$935*EFEITO!$AA$935</f>
        <v>0</v>
      </c>
      <c r="P935" s="57"/>
      <c r="Q935" s="57"/>
      <c r="R935" s="57"/>
      <c r="S935" s="57"/>
      <c r="T935" s="57"/>
      <c r="U935" s="57"/>
      <c r="V935" s="57"/>
      <c r="W935" s="57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3" t="s">
        <v>21</v>
      </c>
      <c r="B936" s="53" t="s">
        <v>37</v>
      </c>
      <c r="C936" s="53" t="s">
        <v>23</v>
      </c>
      <c r="D936" s="53" t="s">
        <v>53</v>
      </c>
      <c r="E936" s="53" t="s">
        <v>25</v>
      </c>
      <c r="F936" s="53" t="s">
        <v>25</v>
      </c>
      <c r="G936" s="53" t="s">
        <v>25</v>
      </c>
      <c r="H936" s="53" t="s">
        <v>25</v>
      </c>
      <c r="I936" s="75">
        <v>44774</v>
      </c>
      <c r="J936" s="76">
        <f>EFEITO!$J$936*EFEITO!$Y$936</f>
        <v>0</v>
      </c>
      <c r="K936" s="76">
        <f ca="1">EFEITO!$L$936*EFEITO!$Z$936</f>
        <v>84999.952173939964</v>
      </c>
      <c r="L936" s="76">
        <f>EFEITO!$N$936*EFEITO!$AA$936</f>
        <v>38377.034649037829</v>
      </c>
      <c r="M936" s="76">
        <f>$J$936-EFEITO!$K$936*EFEITO!$Y$936</f>
        <v>0</v>
      </c>
      <c r="N936" s="76">
        <f ca="1">$K$936-EFEITO!$M$936*EFEITO!$Z$936</f>
        <v>0</v>
      </c>
      <c r="O936" s="76">
        <f>$L$936-EFEITO!$O$936*EFEITO!$AA$936</f>
        <v>0</v>
      </c>
      <c r="P936" s="57"/>
      <c r="Q936" s="57"/>
      <c r="R936" s="57"/>
      <c r="S936" s="57"/>
      <c r="T936" s="57"/>
      <c r="U936" s="57"/>
      <c r="V936" s="57"/>
      <c r="W936" s="57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3" t="s">
        <v>21</v>
      </c>
      <c r="B937" s="53" t="s">
        <v>37</v>
      </c>
      <c r="C937" s="53" t="s">
        <v>23</v>
      </c>
      <c r="D937" s="53" t="s">
        <v>53</v>
      </c>
      <c r="E937" s="53" t="s">
        <v>25</v>
      </c>
      <c r="F937" s="53" t="s">
        <v>25</v>
      </c>
      <c r="G937" s="53" t="s">
        <v>25</v>
      </c>
      <c r="H937" s="53" t="s">
        <v>25</v>
      </c>
      <c r="I937" s="75">
        <v>44805</v>
      </c>
      <c r="J937" s="76">
        <f>EFEITO!$J$937*EFEITO!$Y$937</f>
        <v>0</v>
      </c>
      <c r="K937" s="76">
        <f ca="1">EFEITO!$L$937*EFEITO!$Z$937</f>
        <v>79441.345100328312</v>
      </c>
      <c r="L937" s="76">
        <f>EFEITO!$N$937*EFEITO!$AA$937</f>
        <v>35867.352575007397</v>
      </c>
      <c r="M937" s="76">
        <f>$J$937-EFEITO!$K$937*EFEITO!$Y$937</f>
        <v>0</v>
      </c>
      <c r="N937" s="76">
        <f ca="1">$K$937-EFEITO!$M$937*EFEITO!$Z$937</f>
        <v>0</v>
      </c>
      <c r="O937" s="76">
        <f>$L$937-EFEITO!$O$937*EFEITO!$AA$937</f>
        <v>0</v>
      </c>
      <c r="P937" s="57"/>
      <c r="Q937" s="57"/>
      <c r="R937" s="57"/>
      <c r="S937" s="57"/>
      <c r="T937" s="57"/>
      <c r="U937" s="57"/>
      <c r="V937" s="57"/>
      <c r="W937" s="57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3" t="s">
        <v>21</v>
      </c>
      <c r="B938" s="53" t="s">
        <v>37</v>
      </c>
      <c r="C938" s="53" t="s">
        <v>23</v>
      </c>
      <c r="D938" s="53" t="s">
        <v>53</v>
      </c>
      <c r="E938" s="53" t="s">
        <v>25</v>
      </c>
      <c r="F938" s="53" t="s">
        <v>25</v>
      </c>
      <c r="G938" s="53" t="s">
        <v>25</v>
      </c>
      <c r="H938" s="53" t="s">
        <v>25</v>
      </c>
      <c r="I938" s="75">
        <v>44835</v>
      </c>
      <c r="J938" s="76">
        <f>EFEITO!$J$938*EFEITO!$Y$938</f>
        <v>0</v>
      </c>
      <c r="K938" s="76">
        <f ca="1">EFEITO!$L$938*EFEITO!$Z$938</f>
        <v>93303.55653318757</v>
      </c>
      <c r="L938" s="76">
        <f>EFEITO!$N$938*EFEITO!$AA$938</f>
        <v>42126.068666782223</v>
      </c>
      <c r="M938" s="76">
        <f>$J$938-EFEITO!$K$938*EFEITO!$Y$938</f>
        <v>0</v>
      </c>
      <c r="N938" s="76">
        <f ca="1">$K$938-EFEITO!$M$938*EFEITO!$Z$938</f>
        <v>0</v>
      </c>
      <c r="O938" s="76">
        <f>$L$938-EFEITO!$O$938*EFEITO!$AA$938</f>
        <v>0</v>
      </c>
      <c r="P938" s="57"/>
      <c r="Q938" s="57"/>
      <c r="R938" s="57"/>
      <c r="S938" s="57"/>
      <c r="T938" s="57"/>
      <c r="U938" s="57"/>
      <c r="V938" s="57"/>
      <c r="W938" s="57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3" t="s">
        <v>54</v>
      </c>
      <c r="B939" s="53" t="s">
        <v>37</v>
      </c>
      <c r="C939" s="53" t="s">
        <v>23</v>
      </c>
      <c r="D939" s="53" t="s">
        <v>53</v>
      </c>
      <c r="E939" s="53" t="s">
        <v>25</v>
      </c>
      <c r="F939" s="53" t="s">
        <v>25</v>
      </c>
      <c r="G939" s="53" t="s">
        <v>25</v>
      </c>
      <c r="H939" s="53" t="s">
        <v>25</v>
      </c>
      <c r="I939" s="75">
        <v>44866</v>
      </c>
      <c r="J939" s="76">
        <f>EFEITO!$J$939*EFEITO!$Y$939</f>
        <v>0</v>
      </c>
      <c r="K939" s="76">
        <f ca="1">EFEITO!$L$939*EFEITO!$Z$939</f>
        <v>93303.55653318757</v>
      </c>
      <c r="L939" s="76">
        <f>EFEITO!$N$939*EFEITO!$AA$939</f>
        <v>42126.068666782223</v>
      </c>
      <c r="M939" s="76">
        <f>$J$939-EFEITO!$K$939*EFEITO!$Y$939</f>
        <v>0</v>
      </c>
      <c r="N939" s="76">
        <f ca="1">$K$939-EFEITO!$M$939*EFEITO!$Z$939</f>
        <v>0</v>
      </c>
      <c r="O939" s="76">
        <f>$L$939-EFEITO!$O$939*EFEITO!$AA$939</f>
        <v>0</v>
      </c>
      <c r="P939" s="57"/>
      <c r="Q939" s="57"/>
      <c r="R939" s="57"/>
      <c r="S939" s="57"/>
      <c r="T939" s="57"/>
      <c r="U939" s="57"/>
      <c r="V939" s="57"/>
      <c r="W939" s="57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3" t="s">
        <v>21</v>
      </c>
      <c r="B940" s="53" t="s">
        <v>37</v>
      </c>
      <c r="C940" s="53" t="s">
        <v>23</v>
      </c>
      <c r="D940" s="53" t="s">
        <v>38</v>
      </c>
      <c r="E940" s="53" t="s">
        <v>25</v>
      </c>
      <c r="F940" s="53" t="s">
        <v>25</v>
      </c>
      <c r="G940" s="53" t="s">
        <v>25</v>
      </c>
      <c r="H940" s="53" t="s">
        <v>25</v>
      </c>
      <c r="I940" s="75">
        <v>44531</v>
      </c>
      <c r="J940" s="76">
        <f>EFEITO!$J$940*EFEITO!$Y$940</f>
        <v>0</v>
      </c>
      <c r="K940" s="76">
        <f ca="1">EFEITO!$L$940*EFEITO!$Z$940</f>
        <v>136316.63481156787</v>
      </c>
      <c r="L940" s="76">
        <f>EFEITO!$N$940*EFEITO!$AA$940</f>
        <v>61546.248951980866</v>
      </c>
      <c r="M940" s="76">
        <f>$J$940-EFEITO!$K$940*EFEITO!$Y$940</f>
        <v>0</v>
      </c>
      <c r="N940" s="76">
        <f ca="1">$K$940-EFEITO!$M$940*EFEITO!$Z$940</f>
        <v>0</v>
      </c>
      <c r="O940" s="76">
        <f>$L$940-EFEITO!$O$940*EFEITO!$AA$940</f>
        <v>0</v>
      </c>
      <c r="P940" s="57"/>
      <c r="Q940" s="57"/>
      <c r="R940" s="57"/>
      <c r="S940" s="57"/>
      <c r="T940" s="57"/>
      <c r="U940" s="57"/>
      <c r="V940" s="57"/>
      <c r="W940" s="57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3" t="s">
        <v>27</v>
      </c>
      <c r="B941" s="53" t="s">
        <v>37</v>
      </c>
      <c r="C941" s="53" t="s">
        <v>23</v>
      </c>
      <c r="D941" s="53" t="s">
        <v>38</v>
      </c>
      <c r="E941" s="53" t="s">
        <v>25</v>
      </c>
      <c r="F941" s="53" t="s">
        <v>25</v>
      </c>
      <c r="G941" s="53" t="s">
        <v>25</v>
      </c>
      <c r="H941" s="53" t="s">
        <v>25</v>
      </c>
      <c r="I941" s="75">
        <v>44531</v>
      </c>
      <c r="J941" s="76">
        <f>EFEITO!$J$941*EFEITO!$Y$941</f>
        <v>0</v>
      </c>
      <c r="K941" s="76">
        <f ca="1">EFEITO!$L$941*EFEITO!$Z$941</f>
        <v>-186.9442092735226</v>
      </c>
      <c r="L941" s="76">
        <f>EFEITO!$N$941*EFEITO!$AA$941</f>
        <v>-84.404334511220313</v>
      </c>
      <c r="M941" s="76">
        <f>$J$941-EFEITO!$K$941*EFEITO!$Y$941</f>
        <v>0</v>
      </c>
      <c r="N941" s="76">
        <f ca="1">$K$941-EFEITO!$M$941*EFEITO!$Z$941</f>
        <v>0</v>
      </c>
      <c r="O941" s="76">
        <f>$L$941-EFEITO!$O$941*EFEITO!$AA$941</f>
        <v>0</v>
      </c>
      <c r="P941" s="57"/>
      <c r="Q941" s="57"/>
      <c r="R941" s="57"/>
      <c r="S941" s="57"/>
      <c r="T941" s="57"/>
      <c r="U941" s="57"/>
      <c r="V941" s="57"/>
      <c r="W941" s="57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3" t="s">
        <v>28</v>
      </c>
      <c r="B942" s="53" t="s">
        <v>37</v>
      </c>
      <c r="C942" s="53" t="s">
        <v>23</v>
      </c>
      <c r="D942" s="53" t="s">
        <v>38</v>
      </c>
      <c r="E942" s="53" t="s">
        <v>25</v>
      </c>
      <c r="F942" s="53" t="s">
        <v>25</v>
      </c>
      <c r="G942" s="53" t="s">
        <v>25</v>
      </c>
      <c r="H942" s="53" t="s">
        <v>25</v>
      </c>
      <c r="I942" s="75">
        <v>44531</v>
      </c>
      <c r="J942" s="76">
        <f>EFEITO!$J$942*EFEITO!$Y$942</f>
        <v>0</v>
      </c>
      <c r="K942" s="76">
        <f ca="1">EFEITO!$L$942*EFEITO!$Z$942</f>
        <v>49.719204594021974</v>
      </c>
      <c r="L942" s="76">
        <f>EFEITO!$N$942*EFEITO!$AA$942</f>
        <v>22.447961306175614</v>
      </c>
      <c r="M942" s="76">
        <f>$J$942-EFEITO!$K$942*EFEITO!$Y$942</f>
        <v>0</v>
      </c>
      <c r="N942" s="76">
        <f ca="1">$K$942-EFEITO!$M$942*EFEITO!$Z$942</f>
        <v>0</v>
      </c>
      <c r="O942" s="76">
        <f>$L$942-EFEITO!$O$942*EFEITO!$AA$942</f>
        <v>0</v>
      </c>
      <c r="P942" s="57"/>
      <c r="Q942" s="57"/>
      <c r="R942" s="57"/>
      <c r="S942" s="57"/>
      <c r="T942" s="57"/>
      <c r="U942" s="57"/>
      <c r="V942" s="57"/>
      <c r="W942" s="57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3" t="s">
        <v>21</v>
      </c>
      <c r="B943" s="53" t="s">
        <v>37</v>
      </c>
      <c r="C943" s="53" t="s">
        <v>23</v>
      </c>
      <c r="D943" s="53" t="s">
        <v>38</v>
      </c>
      <c r="E943" s="53" t="s">
        <v>25</v>
      </c>
      <c r="F943" s="53" t="s">
        <v>25</v>
      </c>
      <c r="G943" s="53" t="s">
        <v>25</v>
      </c>
      <c r="H943" s="53" t="s">
        <v>25</v>
      </c>
      <c r="I943" s="75">
        <v>44562</v>
      </c>
      <c r="J943" s="76">
        <f>EFEITO!$J$943*EFEITO!$Y$943</f>
        <v>0</v>
      </c>
      <c r="K943" s="76">
        <f ca="1">EFEITO!$L$943*EFEITO!$Z$943</f>
        <v>127922.04430791318</v>
      </c>
      <c r="L943" s="76">
        <f>EFEITO!$N$943*EFEITO!$AA$943</f>
        <v>57756.135165046173</v>
      </c>
      <c r="M943" s="76">
        <f>$J$943-EFEITO!$K$943*EFEITO!$Y$943</f>
        <v>0</v>
      </c>
      <c r="N943" s="76">
        <f ca="1">$K$943-EFEITO!$M$943*EFEITO!$Z$943</f>
        <v>0</v>
      </c>
      <c r="O943" s="76">
        <f>$L$943-EFEITO!$O$943*EFEITO!$AA$943</f>
        <v>0</v>
      </c>
      <c r="P943" s="57"/>
      <c r="Q943" s="57"/>
      <c r="R943" s="57"/>
      <c r="S943" s="57"/>
      <c r="T943" s="57"/>
      <c r="U943" s="57"/>
      <c r="V943" s="57"/>
      <c r="W943" s="57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3" t="s">
        <v>27</v>
      </c>
      <c r="B944" s="53" t="s">
        <v>37</v>
      </c>
      <c r="C944" s="53" t="s">
        <v>23</v>
      </c>
      <c r="D944" s="53" t="s">
        <v>38</v>
      </c>
      <c r="E944" s="53" t="s">
        <v>25</v>
      </c>
      <c r="F944" s="53" t="s">
        <v>25</v>
      </c>
      <c r="G944" s="53" t="s">
        <v>25</v>
      </c>
      <c r="H944" s="53" t="s">
        <v>25</v>
      </c>
      <c r="I944" s="75">
        <v>44562</v>
      </c>
      <c r="J944" s="76">
        <f>EFEITO!$J$944*EFEITO!$Y$944</f>
        <v>0</v>
      </c>
      <c r="K944" s="76">
        <f ca="1">EFEITO!$L$944*EFEITO!$Z$944</f>
        <v>-4194.8092915976331</v>
      </c>
      <c r="L944" s="76">
        <f>EFEITO!$N$944*EFEITO!$AA$944</f>
        <v>-1893.9344954020364</v>
      </c>
      <c r="M944" s="76">
        <f>$J$944-EFEITO!$K$944*EFEITO!$Y$944</f>
        <v>0</v>
      </c>
      <c r="N944" s="76">
        <f ca="1">$K$944-EFEITO!$M$944*EFEITO!$Z$944</f>
        <v>0</v>
      </c>
      <c r="O944" s="76">
        <f>$L$944-EFEITO!$O$944*EFEITO!$AA$944</f>
        <v>0</v>
      </c>
      <c r="P944" s="57"/>
      <c r="Q944" s="57"/>
      <c r="R944" s="57"/>
      <c r="S944" s="57"/>
      <c r="T944" s="57"/>
      <c r="U944" s="57"/>
      <c r="V944" s="57"/>
      <c r="W944" s="57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3" t="s">
        <v>28</v>
      </c>
      <c r="B945" s="53" t="s">
        <v>37</v>
      </c>
      <c r="C945" s="53" t="s">
        <v>23</v>
      </c>
      <c r="D945" s="53" t="s">
        <v>38</v>
      </c>
      <c r="E945" s="53" t="s">
        <v>25</v>
      </c>
      <c r="F945" s="53" t="s">
        <v>25</v>
      </c>
      <c r="G945" s="53" t="s">
        <v>25</v>
      </c>
      <c r="H945" s="53" t="s">
        <v>25</v>
      </c>
      <c r="I945" s="75">
        <v>44562</v>
      </c>
      <c r="J945" s="76">
        <f>EFEITO!$J$945*EFEITO!$Y$945</f>
        <v>0</v>
      </c>
      <c r="K945" s="76">
        <f ca="1">EFEITO!$L$945*EFEITO!$Z$945</f>
        <v>5761.9586204012066</v>
      </c>
      <c r="L945" s="76">
        <f>EFEITO!$N$945*EFEITO!$AA$945</f>
        <v>2601.4942357726918</v>
      </c>
      <c r="M945" s="76">
        <f>$J$945-EFEITO!$K$945*EFEITO!$Y$945</f>
        <v>0</v>
      </c>
      <c r="N945" s="76">
        <f ca="1">$K$945-EFEITO!$M$945*EFEITO!$Z$945</f>
        <v>0</v>
      </c>
      <c r="O945" s="76">
        <f>$L$945-EFEITO!$O$945*EFEITO!$AA$945</f>
        <v>0</v>
      </c>
      <c r="P945" s="57"/>
      <c r="Q945" s="57"/>
      <c r="R945" s="57"/>
      <c r="S945" s="57"/>
      <c r="T945" s="57"/>
      <c r="U945" s="57"/>
      <c r="V945" s="57"/>
      <c r="W945" s="57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3" t="s">
        <v>21</v>
      </c>
      <c r="B946" s="53" t="s">
        <v>37</v>
      </c>
      <c r="C946" s="53" t="s">
        <v>23</v>
      </c>
      <c r="D946" s="53" t="s">
        <v>38</v>
      </c>
      <c r="E946" s="53" t="s">
        <v>25</v>
      </c>
      <c r="F946" s="53" t="s">
        <v>25</v>
      </c>
      <c r="G946" s="53" t="s">
        <v>25</v>
      </c>
      <c r="H946" s="53" t="s">
        <v>25</v>
      </c>
      <c r="I946" s="75">
        <v>44593</v>
      </c>
      <c r="J946" s="76">
        <f>EFEITO!$J$946*EFEITO!$Y$946</f>
        <v>0</v>
      </c>
      <c r="K946" s="76">
        <f ca="1">EFEITO!$L$946*EFEITO!$Z$946</f>
        <v>107329.84134120712</v>
      </c>
      <c r="L946" s="76">
        <f>EFEITO!$N$946*EFEITO!$AA$946</f>
        <v>48458.863030867426</v>
      </c>
      <c r="M946" s="76">
        <f>$J$946-EFEITO!$K$946*EFEITO!$Y$946</f>
        <v>0</v>
      </c>
      <c r="N946" s="76">
        <f ca="1">$K$946-EFEITO!$M$946*EFEITO!$Z$946</f>
        <v>0</v>
      </c>
      <c r="O946" s="76">
        <f>$L$946-EFEITO!$O$946*EFEITO!$AA$946</f>
        <v>0</v>
      </c>
      <c r="P946" s="57"/>
      <c r="Q946" s="57"/>
      <c r="R946" s="57"/>
      <c r="S946" s="57"/>
      <c r="T946" s="57"/>
      <c r="U946" s="57"/>
      <c r="V946" s="57"/>
      <c r="W946" s="57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3" t="s">
        <v>28</v>
      </c>
      <c r="B947" s="53" t="s">
        <v>37</v>
      </c>
      <c r="C947" s="53" t="s">
        <v>23</v>
      </c>
      <c r="D947" s="53" t="s">
        <v>38</v>
      </c>
      <c r="E947" s="53" t="s">
        <v>25</v>
      </c>
      <c r="F947" s="53" t="s">
        <v>25</v>
      </c>
      <c r="G947" s="53" t="s">
        <v>25</v>
      </c>
      <c r="H947" s="53" t="s">
        <v>25</v>
      </c>
      <c r="I947" s="75">
        <v>44593</v>
      </c>
      <c r="J947" s="76">
        <f>EFEITO!$J$947*EFEITO!$Y$947</f>
        <v>0</v>
      </c>
      <c r="K947" s="76">
        <f ca="1">EFEITO!$L$947*EFEITO!$Z$947</f>
        <v>5761.4614283552655</v>
      </c>
      <c r="L947" s="76">
        <f>EFEITO!$N$947*EFEITO!$AA$947</f>
        <v>2601.2697561596301</v>
      </c>
      <c r="M947" s="76">
        <f>$J$947-EFEITO!$K$947*EFEITO!$Y$947</f>
        <v>0</v>
      </c>
      <c r="N947" s="76">
        <f ca="1">$K$947-EFEITO!$M$947*EFEITO!$Z$947</f>
        <v>0</v>
      </c>
      <c r="O947" s="76">
        <f>$L$947-EFEITO!$O$947*EFEITO!$AA$947</f>
        <v>0</v>
      </c>
      <c r="P947" s="57"/>
      <c r="Q947" s="57"/>
      <c r="R947" s="57"/>
      <c r="S947" s="57"/>
      <c r="T947" s="57"/>
      <c r="U947" s="57"/>
      <c r="V947" s="57"/>
      <c r="W947" s="57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3" t="s">
        <v>21</v>
      </c>
      <c r="B948" s="53" t="s">
        <v>37</v>
      </c>
      <c r="C948" s="53" t="s">
        <v>23</v>
      </c>
      <c r="D948" s="53" t="s">
        <v>38</v>
      </c>
      <c r="E948" s="53" t="s">
        <v>25</v>
      </c>
      <c r="F948" s="53" t="s">
        <v>25</v>
      </c>
      <c r="G948" s="53" t="s">
        <v>25</v>
      </c>
      <c r="H948" s="53" t="s">
        <v>25</v>
      </c>
      <c r="I948" s="75">
        <v>44621</v>
      </c>
      <c r="J948" s="76">
        <f>EFEITO!$J$948*EFEITO!$Y$948</f>
        <v>0</v>
      </c>
      <c r="K948" s="76">
        <f ca="1">EFEITO!$L$948*EFEITO!$Z$948</f>
        <v>113704.8377542526</v>
      </c>
      <c r="L948" s="76">
        <f>EFEITO!$N$948*EFEITO!$AA$948</f>
        <v>51337.140629545254</v>
      </c>
      <c r="M948" s="76">
        <f>$J$948-EFEITO!$K$948*EFEITO!$Y$948</f>
        <v>0</v>
      </c>
      <c r="N948" s="76">
        <f ca="1">$K$948-EFEITO!$M$948*EFEITO!$Z$948</f>
        <v>0</v>
      </c>
      <c r="O948" s="76">
        <f>$L$948-EFEITO!$O$948*EFEITO!$AA$948</f>
        <v>0</v>
      </c>
      <c r="P948" s="57"/>
      <c r="Q948" s="57"/>
      <c r="R948" s="57"/>
      <c r="S948" s="57"/>
      <c r="T948" s="57"/>
      <c r="U948" s="57"/>
      <c r="V948" s="57"/>
      <c r="W948" s="57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3" t="s">
        <v>27</v>
      </c>
      <c r="B949" s="53" t="s">
        <v>37</v>
      </c>
      <c r="C949" s="53" t="s">
        <v>23</v>
      </c>
      <c r="D949" s="53" t="s">
        <v>38</v>
      </c>
      <c r="E949" s="53" t="s">
        <v>25</v>
      </c>
      <c r="F949" s="53" t="s">
        <v>25</v>
      </c>
      <c r="G949" s="53" t="s">
        <v>25</v>
      </c>
      <c r="H949" s="53" t="s">
        <v>25</v>
      </c>
      <c r="I949" s="75">
        <v>44621</v>
      </c>
      <c r="J949" s="76">
        <f>EFEITO!$J$949*EFEITO!$Y$949</f>
        <v>0</v>
      </c>
      <c r="K949" s="76">
        <f ca="1">EFEITO!$L$949*EFEITO!$Z$949</f>
        <v>-1544.7756867362627</v>
      </c>
      <c r="L949" s="76">
        <f>EFEITO!$N$949*EFEITO!$AA$949</f>
        <v>-697.45815778287636</v>
      </c>
      <c r="M949" s="76">
        <f>$J$949-EFEITO!$K$949*EFEITO!$Y$949</f>
        <v>0</v>
      </c>
      <c r="N949" s="76">
        <f ca="1">$K$949-EFEITO!$M$949*EFEITO!$Z$949</f>
        <v>0</v>
      </c>
      <c r="O949" s="76">
        <f>$L$949-EFEITO!$O$949*EFEITO!$AA$949</f>
        <v>0</v>
      </c>
      <c r="P949" s="57"/>
      <c r="Q949" s="57"/>
      <c r="R949" s="57"/>
      <c r="S949" s="57"/>
      <c r="T949" s="57"/>
      <c r="U949" s="57"/>
      <c r="V949" s="57"/>
      <c r="W949" s="57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3" t="s">
        <v>28</v>
      </c>
      <c r="B950" s="53" t="s">
        <v>37</v>
      </c>
      <c r="C950" s="53" t="s">
        <v>23</v>
      </c>
      <c r="D950" s="53" t="s">
        <v>38</v>
      </c>
      <c r="E950" s="53" t="s">
        <v>25</v>
      </c>
      <c r="F950" s="53" t="s">
        <v>25</v>
      </c>
      <c r="G950" s="53" t="s">
        <v>25</v>
      </c>
      <c r="H950" s="53" t="s">
        <v>25</v>
      </c>
      <c r="I950" s="75">
        <v>44621</v>
      </c>
      <c r="J950" s="76">
        <f>EFEITO!$J$950*EFEITO!$Y$950</f>
        <v>0</v>
      </c>
      <c r="K950" s="76">
        <f ca="1">EFEITO!$L$950*EFEITO!$Z$950</f>
        <v>5777.3715738253522</v>
      </c>
      <c r="L950" s="76">
        <f>EFEITO!$N$950*EFEITO!$AA$950</f>
        <v>2608.453103777606</v>
      </c>
      <c r="M950" s="76">
        <f>$J$950-EFEITO!$K$950*EFEITO!$Y$950</f>
        <v>0</v>
      </c>
      <c r="N950" s="76">
        <f ca="1">$K$950-EFEITO!$M$950*EFEITO!$Z$950</f>
        <v>0</v>
      </c>
      <c r="O950" s="76">
        <f>$L$950-EFEITO!$O$950*EFEITO!$AA$950</f>
        <v>0</v>
      </c>
      <c r="P950" s="57"/>
      <c r="Q950" s="57"/>
      <c r="R950" s="57"/>
      <c r="S950" s="57"/>
      <c r="T950" s="57"/>
      <c r="U950" s="57"/>
      <c r="V950" s="57"/>
      <c r="W950" s="57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3" t="s">
        <v>21</v>
      </c>
      <c r="B951" s="53" t="s">
        <v>37</v>
      </c>
      <c r="C951" s="53" t="s">
        <v>23</v>
      </c>
      <c r="D951" s="53" t="s">
        <v>38</v>
      </c>
      <c r="E951" s="53" t="s">
        <v>25</v>
      </c>
      <c r="F951" s="53" t="s">
        <v>25</v>
      </c>
      <c r="G951" s="53" t="s">
        <v>25</v>
      </c>
      <c r="H951" s="53" t="s">
        <v>25</v>
      </c>
      <c r="I951" s="75">
        <v>44652</v>
      </c>
      <c r="J951" s="76">
        <f>EFEITO!$J$951*EFEITO!$Y$951</f>
        <v>0</v>
      </c>
      <c r="K951" s="76">
        <f ca="1">EFEITO!$L$951*EFEITO!$Z$951</f>
        <v>118880.10976044436</v>
      </c>
      <c r="L951" s="76">
        <f>EFEITO!$N$951*EFEITO!$AA$951</f>
        <v>53673.748921905077</v>
      </c>
      <c r="M951" s="76">
        <f>$J$951-EFEITO!$K$951*EFEITO!$Y$951</f>
        <v>0</v>
      </c>
      <c r="N951" s="76">
        <f ca="1">$K$951-EFEITO!$M$951*EFEITO!$Z$951</f>
        <v>0</v>
      </c>
      <c r="O951" s="76">
        <f>$L$951-EFEITO!$O$951*EFEITO!$AA$951</f>
        <v>0</v>
      </c>
      <c r="P951" s="57"/>
      <c r="Q951" s="57"/>
      <c r="R951" s="57"/>
      <c r="S951" s="57"/>
      <c r="T951" s="57"/>
      <c r="U951" s="57"/>
      <c r="V951" s="57"/>
      <c r="W951" s="57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3" t="s">
        <v>28</v>
      </c>
      <c r="B952" s="53" t="s">
        <v>37</v>
      </c>
      <c r="C952" s="53" t="s">
        <v>23</v>
      </c>
      <c r="D952" s="53" t="s">
        <v>38</v>
      </c>
      <c r="E952" s="53" t="s">
        <v>25</v>
      </c>
      <c r="F952" s="53" t="s">
        <v>25</v>
      </c>
      <c r="G952" s="53" t="s">
        <v>25</v>
      </c>
      <c r="H952" s="53" t="s">
        <v>25</v>
      </c>
      <c r="I952" s="75">
        <v>44652</v>
      </c>
      <c r="J952" s="76">
        <f>EFEITO!$J$952*EFEITO!$Y$952</f>
        <v>0</v>
      </c>
      <c r="K952" s="76">
        <f ca="1">EFEITO!$L$952*EFEITO!$Z$952</f>
        <v>5955.3663262719519</v>
      </c>
      <c r="L952" s="76">
        <f>EFEITO!$N$952*EFEITO!$AA$952</f>
        <v>2688.8168052537148</v>
      </c>
      <c r="M952" s="76">
        <f>$J$952-EFEITO!$K$952*EFEITO!$Y$952</f>
        <v>0</v>
      </c>
      <c r="N952" s="76">
        <f ca="1">$K$952-EFEITO!$M$952*EFEITO!$Z$952</f>
        <v>0</v>
      </c>
      <c r="O952" s="76">
        <f>$L$952-EFEITO!$O$952*EFEITO!$AA$952</f>
        <v>0</v>
      </c>
      <c r="P952" s="57"/>
      <c r="Q952" s="57"/>
      <c r="R952" s="57"/>
      <c r="S952" s="57"/>
      <c r="T952" s="57"/>
      <c r="U952" s="57"/>
      <c r="V952" s="57"/>
      <c r="W952" s="57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3" t="s">
        <v>21</v>
      </c>
      <c r="B953" s="53" t="s">
        <v>37</v>
      </c>
      <c r="C953" s="53" t="s">
        <v>23</v>
      </c>
      <c r="D953" s="53" t="s">
        <v>38</v>
      </c>
      <c r="E953" s="53" t="s">
        <v>25</v>
      </c>
      <c r="F953" s="53" t="s">
        <v>25</v>
      </c>
      <c r="G953" s="53" t="s">
        <v>25</v>
      </c>
      <c r="H953" s="53" t="s">
        <v>25</v>
      </c>
      <c r="I953" s="75">
        <v>44682</v>
      </c>
      <c r="J953" s="76">
        <f>EFEITO!$J$953*EFEITO!$Y$953</f>
        <v>0</v>
      </c>
      <c r="K953" s="76">
        <f ca="1">EFEITO!$L$953*EFEITO!$Z$953</f>
        <v>123165.90519644905</v>
      </c>
      <c r="L953" s="76">
        <f>EFEITO!$N$953*EFEITO!$AA$953</f>
        <v>55608.763186497417</v>
      </c>
      <c r="M953" s="76">
        <f>$J$953-EFEITO!$K$953*EFEITO!$Y$953</f>
        <v>0</v>
      </c>
      <c r="N953" s="76">
        <f ca="1">$K$953-EFEITO!$M$953*EFEITO!$Z$953</f>
        <v>0</v>
      </c>
      <c r="O953" s="76">
        <f>$L$953-EFEITO!$O$953*EFEITO!$AA$953</f>
        <v>0</v>
      </c>
      <c r="P953" s="57"/>
      <c r="Q953" s="57"/>
      <c r="R953" s="57"/>
      <c r="S953" s="57"/>
      <c r="T953" s="57"/>
      <c r="U953" s="57"/>
      <c r="V953" s="57"/>
      <c r="W953" s="57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3" t="s">
        <v>27</v>
      </c>
      <c r="B954" s="53" t="s">
        <v>37</v>
      </c>
      <c r="C954" s="53" t="s">
        <v>23</v>
      </c>
      <c r="D954" s="53" t="s">
        <v>38</v>
      </c>
      <c r="E954" s="53" t="s">
        <v>25</v>
      </c>
      <c r="F954" s="53" t="s">
        <v>25</v>
      </c>
      <c r="G954" s="53" t="s">
        <v>25</v>
      </c>
      <c r="H954" s="53" t="s">
        <v>25</v>
      </c>
      <c r="I954" s="75">
        <v>44682</v>
      </c>
      <c r="J954" s="76">
        <f>EFEITO!$J$954*EFEITO!$Y$954</f>
        <v>0</v>
      </c>
      <c r="K954" s="76">
        <f ca="1">EFEITO!$L$954*EFEITO!$Z$954</f>
        <v>-3220.8100736007432</v>
      </c>
      <c r="L954" s="76">
        <f>EFEITO!$N$954*EFEITO!$AA$954</f>
        <v>-1454.1789334140562</v>
      </c>
      <c r="M954" s="76">
        <f>$J$954-EFEITO!$K$954*EFEITO!$Y$954</f>
        <v>0</v>
      </c>
      <c r="N954" s="76">
        <f ca="1">$K$954-EFEITO!$M$954*EFEITO!$Z$954</f>
        <v>0</v>
      </c>
      <c r="O954" s="76">
        <f>$L$954-EFEITO!$O$954*EFEITO!$AA$954</f>
        <v>0</v>
      </c>
      <c r="P954" s="57"/>
      <c r="Q954" s="57"/>
      <c r="R954" s="57"/>
      <c r="S954" s="57"/>
      <c r="T954" s="57"/>
      <c r="U954" s="57"/>
      <c r="V954" s="57"/>
      <c r="W954" s="57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3" t="s">
        <v>28</v>
      </c>
      <c r="B955" s="53" t="s">
        <v>37</v>
      </c>
      <c r="C955" s="53" t="s">
        <v>23</v>
      </c>
      <c r="D955" s="53" t="s">
        <v>38</v>
      </c>
      <c r="E955" s="53" t="s">
        <v>25</v>
      </c>
      <c r="F955" s="53" t="s">
        <v>25</v>
      </c>
      <c r="G955" s="53" t="s">
        <v>25</v>
      </c>
      <c r="H955" s="53" t="s">
        <v>25</v>
      </c>
      <c r="I955" s="75">
        <v>44682</v>
      </c>
      <c r="J955" s="76">
        <f>EFEITO!$J$955*EFEITO!$Y$955</f>
        <v>0</v>
      </c>
      <c r="K955" s="76">
        <f ca="1">EFEITO!$L$955*EFEITO!$Z$955</f>
        <v>3731.4263047813488</v>
      </c>
      <c r="L955" s="76">
        <f>EFEITO!$N$955*EFEITO!$AA$955</f>
        <v>1684.7194960284799</v>
      </c>
      <c r="M955" s="76">
        <f>$J$955-EFEITO!$K$955*EFEITO!$Y$955</f>
        <v>0</v>
      </c>
      <c r="N955" s="76">
        <f ca="1">$K$955-EFEITO!$M$955*EFEITO!$Z$955</f>
        <v>0</v>
      </c>
      <c r="O955" s="76">
        <f>$L$955-EFEITO!$O$955*EFEITO!$AA$955</f>
        <v>0</v>
      </c>
      <c r="P955" s="57"/>
      <c r="Q955" s="57"/>
      <c r="R955" s="57"/>
      <c r="S955" s="57"/>
      <c r="T955" s="57"/>
      <c r="U955" s="57"/>
      <c r="V955" s="57"/>
      <c r="W955" s="57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3" t="s">
        <v>21</v>
      </c>
      <c r="B956" s="53" t="s">
        <v>37</v>
      </c>
      <c r="C956" s="53" t="s">
        <v>23</v>
      </c>
      <c r="D956" s="53" t="s">
        <v>38</v>
      </c>
      <c r="E956" s="53" t="s">
        <v>25</v>
      </c>
      <c r="F956" s="53" t="s">
        <v>25</v>
      </c>
      <c r="G956" s="53" t="s">
        <v>25</v>
      </c>
      <c r="H956" s="53" t="s">
        <v>25</v>
      </c>
      <c r="I956" s="75">
        <v>44713</v>
      </c>
      <c r="J956" s="76">
        <f>EFEITO!$J$956*EFEITO!$Y$956</f>
        <v>0</v>
      </c>
      <c r="K956" s="76">
        <f ca="1">EFEITO!$L$956*EFEITO!$Z$956</f>
        <v>139633.40295003506</v>
      </c>
      <c r="L956" s="76">
        <f>EFEITO!$N$956*EFEITO!$AA$956</f>
        <v>63043.752450715838</v>
      </c>
      <c r="M956" s="76">
        <f>$J$956-EFEITO!$K$956*EFEITO!$Y$956</f>
        <v>0</v>
      </c>
      <c r="N956" s="76">
        <f ca="1">$K$956-EFEITO!$M$956*EFEITO!$Z$956</f>
        <v>0</v>
      </c>
      <c r="O956" s="76">
        <f>$L$956-EFEITO!$O$956*EFEITO!$AA$956</f>
        <v>0</v>
      </c>
      <c r="P956" s="57"/>
      <c r="Q956" s="57"/>
      <c r="R956" s="57"/>
      <c r="S956" s="57"/>
      <c r="T956" s="57"/>
      <c r="U956" s="57"/>
      <c r="V956" s="57"/>
      <c r="W956" s="57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3" t="s">
        <v>28</v>
      </c>
      <c r="B957" s="53" t="s">
        <v>37</v>
      </c>
      <c r="C957" s="53" t="s">
        <v>23</v>
      </c>
      <c r="D957" s="53" t="s">
        <v>38</v>
      </c>
      <c r="E957" s="53" t="s">
        <v>25</v>
      </c>
      <c r="F957" s="53" t="s">
        <v>25</v>
      </c>
      <c r="G957" s="53" t="s">
        <v>25</v>
      </c>
      <c r="H957" s="53" t="s">
        <v>25</v>
      </c>
      <c r="I957" s="75">
        <v>44713</v>
      </c>
      <c r="J957" s="76">
        <f>EFEITO!$J$957*EFEITO!$Y$957</f>
        <v>0</v>
      </c>
      <c r="K957" s="76">
        <f ca="1">EFEITO!$L$957*EFEITO!$Z$957</f>
        <v>8065.4493692422448</v>
      </c>
      <c r="L957" s="76">
        <f>EFEITO!$N$957*EFEITO!$AA$957</f>
        <v>3641.5082830878082</v>
      </c>
      <c r="M957" s="76">
        <f>$J$957-EFEITO!$K$957*EFEITO!$Y$957</f>
        <v>0</v>
      </c>
      <c r="N957" s="76">
        <f ca="1">$K$957-EFEITO!$M$957*EFEITO!$Z$957</f>
        <v>0</v>
      </c>
      <c r="O957" s="76">
        <f>$L$957-EFEITO!$O$957*EFEITO!$AA$957</f>
        <v>0</v>
      </c>
      <c r="P957" s="57"/>
      <c r="Q957" s="57"/>
      <c r="R957" s="57"/>
      <c r="S957" s="57"/>
      <c r="T957" s="57"/>
      <c r="U957" s="57"/>
      <c r="V957" s="57"/>
      <c r="W957" s="57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3" t="s">
        <v>21</v>
      </c>
      <c r="B958" s="53" t="s">
        <v>37</v>
      </c>
      <c r="C958" s="53" t="s">
        <v>23</v>
      </c>
      <c r="D958" s="53" t="s">
        <v>38</v>
      </c>
      <c r="E958" s="53" t="s">
        <v>25</v>
      </c>
      <c r="F958" s="53" t="s">
        <v>25</v>
      </c>
      <c r="G958" s="53" t="s">
        <v>25</v>
      </c>
      <c r="H958" s="53" t="s">
        <v>25</v>
      </c>
      <c r="I958" s="75">
        <v>44743</v>
      </c>
      <c r="J958" s="76">
        <f>EFEITO!$J$958*EFEITO!$Y$958</f>
        <v>0</v>
      </c>
      <c r="K958" s="76">
        <f ca="1">EFEITO!$L$958*EFEITO!$Z$958</f>
        <v>118320.27151671567</v>
      </c>
      <c r="L958" s="76">
        <f>EFEITO!$N$958*EFEITO!$AA$958</f>
        <v>53420.984877597541</v>
      </c>
      <c r="M958" s="76">
        <f>$J$958-EFEITO!$K$958*EFEITO!$Y$958</f>
        <v>0</v>
      </c>
      <c r="N958" s="76">
        <f ca="1">$K$958-EFEITO!$M$958*EFEITO!$Z$958</f>
        <v>0</v>
      </c>
      <c r="O958" s="76">
        <f>$L$958-EFEITO!$O$958*EFEITO!$AA$958</f>
        <v>0</v>
      </c>
      <c r="P958" s="57"/>
      <c r="Q958" s="57"/>
      <c r="R958" s="57"/>
      <c r="S958" s="57"/>
      <c r="T958" s="57"/>
      <c r="U958" s="57"/>
      <c r="V958" s="57"/>
      <c r="W958" s="57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3" t="s">
        <v>27</v>
      </c>
      <c r="B959" s="53" t="s">
        <v>37</v>
      </c>
      <c r="C959" s="53" t="s">
        <v>23</v>
      </c>
      <c r="D959" s="53" t="s">
        <v>38</v>
      </c>
      <c r="E959" s="53" t="s">
        <v>25</v>
      </c>
      <c r="F959" s="53" t="s">
        <v>25</v>
      </c>
      <c r="G959" s="53" t="s">
        <v>25</v>
      </c>
      <c r="H959" s="53" t="s">
        <v>25</v>
      </c>
      <c r="I959" s="75">
        <v>44743</v>
      </c>
      <c r="J959" s="76">
        <f>EFEITO!$J$959*EFEITO!$Y$959</f>
        <v>0</v>
      </c>
      <c r="K959" s="76">
        <f ca="1">EFEITO!$L$959*EFEITO!$Z$959</f>
        <v>-6783.1910827624179</v>
      </c>
      <c r="L959" s="76">
        <f>EFEITO!$N$959*EFEITO!$AA$959</f>
        <v>-3062.575361001539</v>
      </c>
      <c r="M959" s="76">
        <f>$J$959-EFEITO!$K$959*EFEITO!$Y$959</f>
        <v>0</v>
      </c>
      <c r="N959" s="76">
        <f ca="1">$K$959-EFEITO!$M$959*EFEITO!$Z$959</f>
        <v>0</v>
      </c>
      <c r="O959" s="76">
        <f>$L$959-EFEITO!$O$959*EFEITO!$AA$959</f>
        <v>0</v>
      </c>
      <c r="P959" s="57"/>
      <c r="Q959" s="57"/>
      <c r="R959" s="57"/>
      <c r="S959" s="57"/>
      <c r="T959" s="57"/>
      <c r="U959" s="57"/>
      <c r="V959" s="57"/>
      <c r="W959" s="57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3" t="s">
        <v>28</v>
      </c>
      <c r="B960" s="53" t="s">
        <v>37</v>
      </c>
      <c r="C960" s="53" t="s">
        <v>23</v>
      </c>
      <c r="D960" s="53" t="s">
        <v>38</v>
      </c>
      <c r="E960" s="53" t="s">
        <v>25</v>
      </c>
      <c r="F960" s="53" t="s">
        <v>25</v>
      </c>
      <c r="G960" s="53" t="s">
        <v>25</v>
      </c>
      <c r="H960" s="53" t="s">
        <v>25</v>
      </c>
      <c r="I960" s="75">
        <v>44743</v>
      </c>
      <c r="J960" s="76">
        <f>EFEITO!$J$960*EFEITO!$Y$960</f>
        <v>0</v>
      </c>
      <c r="K960" s="76">
        <f ca="1">EFEITO!$L$960*EFEITO!$Z$960</f>
        <v>8199.6912216461042</v>
      </c>
      <c r="L960" s="76">
        <f>EFEITO!$N$960*EFEITO!$AA$960</f>
        <v>3702.1177786144826</v>
      </c>
      <c r="M960" s="76">
        <f>$J$960-EFEITO!$K$960*EFEITO!$Y$960</f>
        <v>0</v>
      </c>
      <c r="N960" s="76">
        <f ca="1">$K$960-EFEITO!$M$960*EFEITO!$Z$960</f>
        <v>0</v>
      </c>
      <c r="O960" s="76">
        <f>$L$960-EFEITO!$O$960*EFEITO!$AA$960</f>
        <v>0</v>
      </c>
      <c r="P960" s="57"/>
      <c r="Q960" s="57"/>
      <c r="R960" s="57"/>
      <c r="S960" s="57"/>
      <c r="T960" s="57"/>
      <c r="U960" s="57"/>
      <c r="V960" s="57"/>
      <c r="W960" s="57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3" t="s">
        <v>21</v>
      </c>
      <c r="B961" s="53" t="s">
        <v>37</v>
      </c>
      <c r="C961" s="53" t="s">
        <v>23</v>
      </c>
      <c r="D961" s="53" t="s">
        <v>38</v>
      </c>
      <c r="E961" s="53" t="s">
        <v>25</v>
      </c>
      <c r="F961" s="53" t="s">
        <v>25</v>
      </c>
      <c r="G961" s="53" t="s">
        <v>25</v>
      </c>
      <c r="H961" s="53" t="s">
        <v>25</v>
      </c>
      <c r="I961" s="75">
        <v>44774</v>
      </c>
      <c r="J961" s="76">
        <f>EFEITO!$J$961*EFEITO!$Y$961</f>
        <v>0</v>
      </c>
      <c r="K961" s="76">
        <f ca="1">EFEITO!$L$961*EFEITO!$Z$961</f>
        <v>132041.28040852791</v>
      </c>
      <c r="L961" s="76">
        <f>EFEITO!$N$961*EFEITO!$AA$961</f>
        <v>59615.948759262828</v>
      </c>
      <c r="M961" s="76">
        <f>$J$961-EFEITO!$K$961*EFEITO!$Y$961</f>
        <v>0</v>
      </c>
      <c r="N961" s="76">
        <f ca="1">$K$961-EFEITO!$M$961*EFEITO!$Z$961</f>
        <v>0</v>
      </c>
      <c r="O961" s="76">
        <f>$L$961-EFEITO!$O$961*EFEITO!$AA$961</f>
        <v>0</v>
      </c>
      <c r="P961" s="57"/>
      <c r="Q961" s="57"/>
      <c r="R961" s="57"/>
      <c r="S961" s="57"/>
      <c r="T961" s="57"/>
      <c r="U961" s="57"/>
      <c r="V961" s="57"/>
      <c r="W961" s="57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3" t="s">
        <v>27</v>
      </c>
      <c r="B962" s="53" t="s">
        <v>37</v>
      </c>
      <c r="C962" s="53" t="s">
        <v>23</v>
      </c>
      <c r="D962" s="53" t="s">
        <v>38</v>
      </c>
      <c r="E962" s="53" t="s">
        <v>25</v>
      </c>
      <c r="F962" s="53" t="s">
        <v>25</v>
      </c>
      <c r="G962" s="53" t="s">
        <v>25</v>
      </c>
      <c r="H962" s="53" t="s">
        <v>25</v>
      </c>
      <c r="I962" s="75">
        <v>44774</v>
      </c>
      <c r="J962" s="76">
        <f>EFEITO!$J$962*EFEITO!$Y$962</f>
        <v>0</v>
      </c>
      <c r="K962" s="76">
        <f ca="1">EFEITO!$L$962*EFEITO!$Z$962</f>
        <v>-2176.2095850803416</v>
      </c>
      <c r="L962" s="76">
        <f>EFEITO!$N$962*EFEITO!$AA$962</f>
        <v>-982.54726637130659</v>
      </c>
      <c r="M962" s="76">
        <f>$J$962-EFEITO!$K$962*EFEITO!$Y$962</f>
        <v>0</v>
      </c>
      <c r="N962" s="76">
        <f ca="1">$K$962-EFEITO!$M$962*EFEITO!$Z$962</f>
        <v>0</v>
      </c>
      <c r="O962" s="76">
        <f>$L$962-EFEITO!$O$962*EFEITO!$AA$962</f>
        <v>0</v>
      </c>
      <c r="P962" s="57"/>
      <c r="Q962" s="57"/>
      <c r="R962" s="57"/>
      <c r="S962" s="57"/>
      <c r="T962" s="57"/>
      <c r="U962" s="57"/>
      <c r="V962" s="57"/>
      <c r="W962" s="57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3" t="s">
        <v>28</v>
      </c>
      <c r="B963" s="53" t="s">
        <v>37</v>
      </c>
      <c r="C963" s="53" t="s">
        <v>23</v>
      </c>
      <c r="D963" s="53" t="s">
        <v>38</v>
      </c>
      <c r="E963" s="53" t="s">
        <v>25</v>
      </c>
      <c r="F963" s="53" t="s">
        <v>25</v>
      </c>
      <c r="G963" s="53" t="s">
        <v>25</v>
      </c>
      <c r="H963" s="53" t="s">
        <v>25</v>
      </c>
      <c r="I963" s="75">
        <v>44774</v>
      </c>
      <c r="J963" s="76">
        <f>EFEITO!$J$963*EFEITO!$Y$963</f>
        <v>0</v>
      </c>
      <c r="K963" s="76">
        <f ca="1">EFEITO!$L$963*EFEITO!$Z$963</f>
        <v>18368.26294521548</v>
      </c>
      <c r="L963" s="76">
        <f>EFEITO!$N$963*EFEITO!$AA$963</f>
        <v>8293.1748249535194</v>
      </c>
      <c r="M963" s="76">
        <f>$J$963-EFEITO!$K$963*EFEITO!$Y$963</f>
        <v>0</v>
      </c>
      <c r="N963" s="76">
        <f ca="1">$K$963-EFEITO!$M$963*EFEITO!$Z$963</f>
        <v>0</v>
      </c>
      <c r="O963" s="76">
        <f>$L$963-EFEITO!$O$963*EFEITO!$AA$963</f>
        <v>0</v>
      </c>
      <c r="P963" s="57"/>
      <c r="Q963" s="57"/>
      <c r="R963" s="57"/>
      <c r="S963" s="57"/>
      <c r="T963" s="57"/>
      <c r="U963" s="57"/>
      <c r="V963" s="57"/>
      <c r="W963" s="57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3" t="s">
        <v>21</v>
      </c>
      <c r="B964" s="53" t="s">
        <v>37</v>
      </c>
      <c r="C964" s="53" t="s">
        <v>23</v>
      </c>
      <c r="D964" s="53" t="s">
        <v>38</v>
      </c>
      <c r="E964" s="53" t="s">
        <v>25</v>
      </c>
      <c r="F964" s="53" t="s">
        <v>25</v>
      </c>
      <c r="G964" s="53" t="s">
        <v>25</v>
      </c>
      <c r="H964" s="53" t="s">
        <v>25</v>
      </c>
      <c r="I964" s="75">
        <v>44805</v>
      </c>
      <c r="J964" s="76">
        <f>EFEITO!$J$964*EFEITO!$Y$964</f>
        <v>0</v>
      </c>
      <c r="K964" s="76">
        <f ca="1">EFEITO!$L$964*EFEITO!$Z$964</f>
        <v>154405.47582696495</v>
      </c>
      <c r="L964" s="76">
        <f>EFEITO!$N$964*EFEITO!$AA$964</f>
        <v>69713.266234393683</v>
      </c>
      <c r="M964" s="76">
        <f>$J$964-EFEITO!$K$964*EFEITO!$Y$964</f>
        <v>0</v>
      </c>
      <c r="N964" s="76">
        <f ca="1">$K$964-EFEITO!$M$964*EFEITO!$Z$964</f>
        <v>0</v>
      </c>
      <c r="O964" s="76">
        <f>$L$964-EFEITO!$O$964*EFEITO!$AA$964</f>
        <v>0</v>
      </c>
      <c r="P964" s="57"/>
      <c r="Q964" s="57"/>
      <c r="R964" s="57"/>
      <c r="S964" s="57"/>
      <c r="T964" s="57"/>
      <c r="U964" s="57"/>
      <c r="V964" s="57"/>
      <c r="W964" s="57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3" t="s">
        <v>27</v>
      </c>
      <c r="B965" s="53" t="s">
        <v>37</v>
      </c>
      <c r="C965" s="53" t="s">
        <v>23</v>
      </c>
      <c r="D965" s="53" t="s">
        <v>38</v>
      </c>
      <c r="E965" s="53" t="s">
        <v>25</v>
      </c>
      <c r="F965" s="53" t="s">
        <v>25</v>
      </c>
      <c r="G965" s="53" t="s">
        <v>25</v>
      </c>
      <c r="H965" s="53" t="s">
        <v>25</v>
      </c>
      <c r="I965" s="75">
        <v>44805</v>
      </c>
      <c r="J965" s="76">
        <f>EFEITO!$J$965*EFEITO!$Y$965</f>
        <v>0</v>
      </c>
      <c r="K965" s="76">
        <f ca="1">EFEITO!$L$965*EFEITO!$Z$965</f>
        <v>-546.91125053424173</v>
      </c>
      <c r="L965" s="76">
        <f>EFEITO!$N$965*EFEITO!$AA$965</f>
        <v>-246.92757436793178</v>
      </c>
      <c r="M965" s="76">
        <f>$J$965-EFEITO!$K$965*EFEITO!$Y$965</f>
        <v>0</v>
      </c>
      <c r="N965" s="76">
        <f ca="1">$K$965-EFEITO!$M$965*EFEITO!$Z$965</f>
        <v>0</v>
      </c>
      <c r="O965" s="76">
        <f>$L$965-EFEITO!$O$965*EFEITO!$AA$965</f>
        <v>0</v>
      </c>
      <c r="P965" s="57"/>
      <c r="Q965" s="57"/>
      <c r="R965" s="57"/>
      <c r="S965" s="57"/>
      <c r="T965" s="57"/>
      <c r="U965" s="57"/>
      <c r="V965" s="57"/>
      <c r="W965" s="57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3" t="s">
        <v>28</v>
      </c>
      <c r="B966" s="53" t="s">
        <v>37</v>
      </c>
      <c r="C966" s="53" t="s">
        <v>23</v>
      </c>
      <c r="D966" s="53" t="s">
        <v>38</v>
      </c>
      <c r="E966" s="53" t="s">
        <v>25</v>
      </c>
      <c r="F966" s="53" t="s">
        <v>25</v>
      </c>
      <c r="G966" s="53" t="s">
        <v>25</v>
      </c>
      <c r="H966" s="53" t="s">
        <v>25</v>
      </c>
      <c r="I966" s="75">
        <v>44805</v>
      </c>
      <c r="J966" s="76">
        <f>EFEITO!$J$966*EFEITO!$Y$966</f>
        <v>0</v>
      </c>
      <c r="K966" s="76">
        <f ca="1">EFEITO!$L$966*EFEITO!$Z$966</f>
        <v>25029.641976722542</v>
      </c>
      <c r="L966" s="76">
        <f>EFEITO!$N$966*EFEITO!$AA$966</f>
        <v>11300.752680754927</v>
      </c>
      <c r="M966" s="76">
        <f>$J$966-EFEITO!$K$966*EFEITO!$Y$966</f>
        <v>0</v>
      </c>
      <c r="N966" s="76">
        <f ca="1">$K$966-EFEITO!$M$966*EFEITO!$Z$966</f>
        <v>0</v>
      </c>
      <c r="O966" s="76">
        <f>$L$966-EFEITO!$O$966*EFEITO!$AA$966</f>
        <v>0</v>
      </c>
      <c r="P966" s="57"/>
      <c r="Q966" s="57"/>
      <c r="R966" s="57"/>
      <c r="S966" s="57"/>
      <c r="T966" s="57"/>
      <c r="U966" s="57"/>
      <c r="V966" s="57"/>
      <c r="W966" s="57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3" t="s">
        <v>21</v>
      </c>
      <c r="B967" s="53" t="s">
        <v>37</v>
      </c>
      <c r="C967" s="53" t="s">
        <v>23</v>
      </c>
      <c r="D967" s="53" t="s">
        <v>38</v>
      </c>
      <c r="E967" s="53" t="s">
        <v>25</v>
      </c>
      <c r="F967" s="53" t="s">
        <v>25</v>
      </c>
      <c r="G967" s="53" t="s">
        <v>25</v>
      </c>
      <c r="H967" s="53" t="s">
        <v>25</v>
      </c>
      <c r="I967" s="75">
        <v>44835</v>
      </c>
      <c r="J967" s="76">
        <f>EFEITO!$J$967*EFEITO!$Y$967</f>
        <v>0</v>
      </c>
      <c r="K967" s="76">
        <f ca="1">EFEITO!$L$967*EFEITO!$Z$967</f>
        <v>146129.21703024404</v>
      </c>
      <c r="L967" s="76">
        <f>EFEITO!$N$967*EFEITO!$AA$967</f>
        <v>65976.578595367682</v>
      </c>
      <c r="M967" s="76">
        <f>$J$967-EFEITO!$K$967*EFEITO!$Y$967</f>
        <v>0</v>
      </c>
      <c r="N967" s="76">
        <f ca="1">$K$967-EFEITO!$M$967*EFEITO!$Z$967</f>
        <v>0</v>
      </c>
      <c r="O967" s="76">
        <f>$L$967-EFEITO!$O$967*EFEITO!$AA$967</f>
        <v>0</v>
      </c>
      <c r="P967" s="57"/>
      <c r="Q967" s="57"/>
      <c r="R967" s="57"/>
      <c r="S967" s="57"/>
      <c r="T967" s="57"/>
      <c r="U967" s="57"/>
      <c r="V967" s="57"/>
      <c r="W967" s="57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3" t="s">
        <v>27</v>
      </c>
      <c r="B968" s="53" t="s">
        <v>37</v>
      </c>
      <c r="C968" s="53" t="s">
        <v>23</v>
      </c>
      <c r="D968" s="53" t="s">
        <v>38</v>
      </c>
      <c r="E968" s="53" t="s">
        <v>25</v>
      </c>
      <c r="F968" s="53" t="s">
        <v>25</v>
      </c>
      <c r="G968" s="53" t="s">
        <v>25</v>
      </c>
      <c r="H968" s="53" t="s">
        <v>25</v>
      </c>
      <c r="I968" s="75">
        <v>44835</v>
      </c>
      <c r="J968" s="76">
        <f>EFEITO!$J$968*EFEITO!$Y$968</f>
        <v>0</v>
      </c>
      <c r="K968" s="76">
        <f ca="1">EFEITO!$L$968*EFEITO!$Z$968</f>
        <v>-26056.343551589092</v>
      </c>
      <c r="L968" s="76">
        <f>EFEITO!$N$968*EFEITO!$AA$968</f>
        <v>-11764.303081727454</v>
      </c>
      <c r="M968" s="76">
        <f>$J$968-EFEITO!$K$968*EFEITO!$Y$968</f>
        <v>0</v>
      </c>
      <c r="N968" s="76">
        <f ca="1">$K$968-EFEITO!$M$968*EFEITO!$Z$968</f>
        <v>0</v>
      </c>
      <c r="O968" s="76">
        <f>$L$968-EFEITO!$O$968*EFEITO!$AA$968</f>
        <v>0</v>
      </c>
      <c r="P968" s="57"/>
      <c r="Q968" s="57"/>
      <c r="R968" s="57"/>
      <c r="S968" s="57"/>
      <c r="T968" s="57"/>
      <c r="U968" s="57"/>
      <c r="V968" s="57"/>
      <c r="W968" s="57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3" t="s">
        <v>28</v>
      </c>
      <c r="B969" s="53" t="s">
        <v>37</v>
      </c>
      <c r="C969" s="53" t="s">
        <v>23</v>
      </c>
      <c r="D969" s="53" t="s">
        <v>38</v>
      </c>
      <c r="E969" s="53" t="s">
        <v>25</v>
      </c>
      <c r="F969" s="53" t="s">
        <v>25</v>
      </c>
      <c r="G969" s="53" t="s">
        <v>25</v>
      </c>
      <c r="H969" s="53" t="s">
        <v>25</v>
      </c>
      <c r="I969" s="75">
        <v>44835</v>
      </c>
      <c r="J969" s="76">
        <f>EFEITO!$J$969*EFEITO!$Y$969</f>
        <v>0</v>
      </c>
      <c r="K969" s="76">
        <f ca="1">EFEITO!$L$969*EFEITO!$Z$969</f>
        <v>13639.966588323989</v>
      </c>
      <c r="L969" s="76">
        <f>EFEITO!$N$969*EFEITO!$AA$969</f>
        <v>6158.3737047362183</v>
      </c>
      <c r="M969" s="76">
        <f>$J$969-EFEITO!$K$969*EFEITO!$Y$969</f>
        <v>0</v>
      </c>
      <c r="N969" s="76">
        <f ca="1">$K$969-EFEITO!$M$969*EFEITO!$Z$969</f>
        <v>0</v>
      </c>
      <c r="O969" s="76">
        <f>$L$969-EFEITO!$O$969*EFEITO!$AA$969</f>
        <v>0</v>
      </c>
      <c r="P969" s="57"/>
      <c r="Q969" s="57"/>
      <c r="R969" s="57"/>
      <c r="S969" s="57"/>
      <c r="T969" s="57"/>
      <c r="U969" s="57"/>
      <c r="V969" s="57"/>
      <c r="W969" s="57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3" t="s">
        <v>54</v>
      </c>
      <c r="B970" s="53" t="s">
        <v>37</v>
      </c>
      <c r="C970" s="53" t="s">
        <v>23</v>
      </c>
      <c r="D970" s="53" t="s">
        <v>38</v>
      </c>
      <c r="E970" s="53" t="s">
        <v>25</v>
      </c>
      <c r="F970" s="53" t="s">
        <v>25</v>
      </c>
      <c r="G970" s="53" t="s">
        <v>25</v>
      </c>
      <c r="H970" s="53" t="s">
        <v>25</v>
      </c>
      <c r="I970" s="75">
        <v>44866</v>
      </c>
      <c r="J970" s="76">
        <f>EFEITO!$J$970*EFEITO!$Y$970</f>
        <v>0</v>
      </c>
      <c r="K970" s="76">
        <f ca="1">EFEITO!$L$970*EFEITO!$Z$970</f>
        <v>146129.21703024404</v>
      </c>
      <c r="L970" s="76">
        <f>EFEITO!$N$970*EFEITO!$AA$970</f>
        <v>65976.578595367682</v>
      </c>
      <c r="M970" s="76">
        <f>$J$970-EFEITO!$K$970*EFEITO!$Y$970</f>
        <v>0</v>
      </c>
      <c r="N970" s="76">
        <f ca="1">$K$970-EFEITO!$M$970*EFEITO!$Z$970</f>
        <v>0</v>
      </c>
      <c r="O970" s="76">
        <f>$L$970-EFEITO!$O$970*EFEITO!$AA$970</f>
        <v>0</v>
      </c>
      <c r="P970" s="57"/>
      <c r="Q970" s="57"/>
      <c r="R970" s="57"/>
      <c r="S970" s="57"/>
      <c r="T970" s="57"/>
      <c r="U970" s="57"/>
      <c r="V970" s="57"/>
      <c r="W970" s="57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3" t="s">
        <v>54</v>
      </c>
      <c r="B971" s="53" t="s">
        <v>37</v>
      </c>
      <c r="C971" s="53" t="s">
        <v>23</v>
      </c>
      <c r="D971" s="53" t="s">
        <v>38</v>
      </c>
      <c r="E971" s="53" t="s">
        <v>25</v>
      </c>
      <c r="F971" s="53" t="s">
        <v>25</v>
      </c>
      <c r="G971" s="53" t="s">
        <v>25</v>
      </c>
      <c r="H971" s="53" t="s">
        <v>25</v>
      </c>
      <c r="I971" s="75">
        <v>44866</v>
      </c>
      <c r="J971" s="76">
        <f>EFEITO!$J$971*EFEITO!$Y$971</f>
        <v>0</v>
      </c>
      <c r="K971" s="76">
        <f ca="1">EFEITO!$L$971*EFEITO!$Z$971</f>
        <v>-26056.343551589092</v>
      </c>
      <c r="L971" s="76">
        <f>EFEITO!$N$971*EFEITO!$AA$971</f>
        <v>-11764.303081727454</v>
      </c>
      <c r="M971" s="76">
        <f>$J$971-EFEITO!$K$971*EFEITO!$Y$971</f>
        <v>0</v>
      </c>
      <c r="N971" s="76">
        <f ca="1">$K$971-EFEITO!$M$971*EFEITO!$Z$971</f>
        <v>0</v>
      </c>
      <c r="O971" s="76">
        <f>$L$971-EFEITO!$O$971*EFEITO!$AA$971</f>
        <v>0</v>
      </c>
      <c r="P971" s="57"/>
      <c r="Q971" s="57"/>
      <c r="R971" s="57"/>
      <c r="S971" s="57"/>
      <c r="T971" s="57"/>
      <c r="U971" s="57"/>
      <c r="V971" s="57"/>
      <c r="W971" s="57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3" t="s">
        <v>54</v>
      </c>
      <c r="B972" s="53" t="s">
        <v>37</v>
      </c>
      <c r="C972" s="53" t="s">
        <v>23</v>
      </c>
      <c r="D972" s="53" t="s">
        <v>38</v>
      </c>
      <c r="E972" s="53" t="s">
        <v>25</v>
      </c>
      <c r="F972" s="53" t="s">
        <v>25</v>
      </c>
      <c r="G972" s="53" t="s">
        <v>25</v>
      </c>
      <c r="H972" s="53" t="s">
        <v>25</v>
      </c>
      <c r="I972" s="75">
        <v>44866</v>
      </c>
      <c r="J972" s="76">
        <f>EFEITO!$J$972*EFEITO!$Y$972</f>
        <v>0</v>
      </c>
      <c r="K972" s="76">
        <f ca="1">EFEITO!$L$972*EFEITO!$Z$972</f>
        <v>13639.966588323989</v>
      </c>
      <c r="L972" s="76">
        <f>EFEITO!$N$972*EFEITO!$AA$972</f>
        <v>6158.3737047362183</v>
      </c>
      <c r="M972" s="76">
        <f>$J$972-EFEITO!$K$972*EFEITO!$Y$972</f>
        <v>0</v>
      </c>
      <c r="N972" s="76">
        <f ca="1">$K$972-EFEITO!$M$972*EFEITO!$Z$972</f>
        <v>0</v>
      </c>
      <c r="O972" s="76">
        <f>$L$972-EFEITO!$O$972*EFEITO!$AA$972</f>
        <v>0</v>
      </c>
      <c r="P972" s="57"/>
      <c r="Q972" s="57"/>
      <c r="R972" s="57"/>
      <c r="S972" s="57"/>
      <c r="T972" s="57"/>
      <c r="U972" s="57"/>
      <c r="V972" s="57"/>
      <c r="W972" s="57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3" t="s">
        <v>21</v>
      </c>
      <c r="B973" s="53" t="s">
        <v>37</v>
      </c>
      <c r="C973" s="53" t="s">
        <v>23</v>
      </c>
      <c r="D973" s="53" t="s">
        <v>47</v>
      </c>
      <c r="E973" s="53" t="s">
        <v>25</v>
      </c>
      <c r="F973" s="53" t="s">
        <v>25</v>
      </c>
      <c r="G973" s="53" t="s">
        <v>25</v>
      </c>
      <c r="H973" s="53" t="s">
        <v>25</v>
      </c>
      <c r="I973" s="75">
        <v>44531</v>
      </c>
      <c r="J973" s="76">
        <f>EFEITO!$J$973*EFEITO!$Y$973</f>
        <v>0</v>
      </c>
      <c r="K973" s="76">
        <f ca="1">EFEITO!$L$973*EFEITO!$Z$973</f>
        <v>1422260.1087359034</v>
      </c>
      <c r="L973" s="76">
        <f>EFEITO!$N$973*EFEITO!$AA$973</f>
        <v>642143.0139302637</v>
      </c>
      <c r="M973" s="76">
        <f>$J$973-EFEITO!$K$973*EFEITO!$Y$973</f>
        <v>0</v>
      </c>
      <c r="N973" s="76">
        <f ca="1">$K$973-EFEITO!$M$973*EFEITO!$Z$973</f>
        <v>0</v>
      </c>
      <c r="O973" s="76">
        <f>$L$973-EFEITO!$O$973*EFEITO!$AA$973</f>
        <v>0</v>
      </c>
      <c r="P973" s="57"/>
      <c r="Q973" s="57"/>
      <c r="R973" s="57"/>
      <c r="S973" s="57"/>
      <c r="T973" s="57"/>
      <c r="U973" s="57"/>
      <c r="V973" s="57"/>
      <c r="W973" s="57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3" t="s">
        <v>27</v>
      </c>
      <c r="B974" s="53" t="s">
        <v>37</v>
      </c>
      <c r="C974" s="53" t="s">
        <v>23</v>
      </c>
      <c r="D974" s="53" t="s">
        <v>47</v>
      </c>
      <c r="E974" s="53" t="s">
        <v>25</v>
      </c>
      <c r="F974" s="53" t="s">
        <v>25</v>
      </c>
      <c r="G974" s="53" t="s">
        <v>25</v>
      </c>
      <c r="H974" s="53" t="s">
        <v>25</v>
      </c>
      <c r="I974" s="75">
        <v>44531</v>
      </c>
      <c r="J974" s="76">
        <f>EFEITO!$J$974*EFEITO!$Y$974</f>
        <v>0</v>
      </c>
      <c r="K974" s="76">
        <f ca="1">EFEITO!$L$974*EFEITO!$Z$974</f>
        <v>-12334.34027568497</v>
      </c>
      <c r="L974" s="76">
        <f>EFEITO!$N$974*EFEITO!$AA$974</f>
        <v>-5568.8902408360464</v>
      </c>
      <c r="M974" s="76">
        <f>$J$974-EFEITO!$K$974*EFEITO!$Y$974</f>
        <v>0</v>
      </c>
      <c r="N974" s="76">
        <f ca="1">$K$974-EFEITO!$M$974*EFEITO!$Z$974</f>
        <v>0</v>
      </c>
      <c r="O974" s="76">
        <f>$L$974-EFEITO!$O$974*EFEITO!$AA$974</f>
        <v>0</v>
      </c>
      <c r="P974" s="57"/>
      <c r="Q974" s="57"/>
      <c r="R974" s="57"/>
      <c r="S974" s="57"/>
      <c r="T974" s="57"/>
      <c r="U974" s="57"/>
      <c r="V974" s="57"/>
      <c r="W974" s="57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3" t="s">
        <v>28</v>
      </c>
      <c r="B975" s="53" t="s">
        <v>37</v>
      </c>
      <c r="C975" s="53" t="s">
        <v>23</v>
      </c>
      <c r="D975" s="53" t="s">
        <v>47</v>
      </c>
      <c r="E975" s="53" t="s">
        <v>25</v>
      </c>
      <c r="F975" s="53" t="s">
        <v>25</v>
      </c>
      <c r="G975" s="53" t="s">
        <v>25</v>
      </c>
      <c r="H975" s="53" t="s">
        <v>25</v>
      </c>
      <c r="I975" s="75">
        <v>44531</v>
      </c>
      <c r="J975" s="76">
        <f>EFEITO!$J$975*EFEITO!$Y$975</f>
        <v>0</v>
      </c>
      <c r="K975" s="76">
        <f ca="1">EFEITO!$L$975*EFEITO!$Z$975</f>
        <v>4049.6292141830895</v>
      </c>
      <c r="L975" s="76">
        <f>EFEITO!$N$975*EFEITO!$AA$975</f>
        <v>1828.3864483880036</v>
      </c>
      <c r="M975" s="76">
        <f>$J$975-EFEITO!$K$975*EFEITO!$Y$975</f>
        <v>0</v>
      </c>
      <c r="N975" s="76">
        <f ca="1">$K$975-EFEITO!$M$975*EFEITO!$Z$975</f>
        <v>0</v>
      </c>
      <c r="O975" s="76">
        <f>$L$975-EFEITO!$O$975*EFEITO!$AA$975</f>
        <v>0</v>
      </c>
      <c r="P975" s="57"/>
      <c r="Q975" s="57"/>
      <c r="R975" s="57"/>
      <c r="S975" s="57"/>
      <c r="T975" s="57"/>
      <c r="U975" s="57"/>
      <c r="V975" s="57"/>
      <c r="W975" s="57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3" t="s">
        <v>21</v>
      </c>
      <c r="B976" s="53" t="s">
        <v>37</v>
      </c>
      <c r="C976" s="53" t="s">
        <v>23</v>
      </c>
      <c r="D976" s="53" t="s">
        <v>47</v>
      </c>
      <c r="E976" s="53" t="s">
        <v>25</v>
      </c>
      <c r="F976" s="53" t="s">
        <v>25</v>
      </c>
      <c r="G976" s="53" t="s">
        <v>25</v>
      </c>
      <c r="H976" s="53" t="s">
        <v>25</v>
      </c>
      <c r="I976" s="75">
        <v>44562</v>
      </c>
      <c r="J976" s="76">
        <f>EFEITO!$J$976*EFEITO!$Y$976</f>
        <v>0</v>
      </c>
      <c r="K976" s="76">
        <f ca="1">EFEITO!$L$976*EFEITO!$Z$976</f>
        <v>1260631.9240575649</v>
      </c>
      <c r="L976" s="76">
        <f>EFEITO!$N$976*EFEITO!$AA$976</f>
        <v>569168.73235692189</v>
      </c>
      <c r="M976" s="76">
        <f>$J$976-EFEITO!$K$976*EFEITO!$Y$976</f>
        <v>0</v>
      </c>
      <c r="N976" s="76">
        <f ca="1">$K$976-EFEITO!$M$976*EFEITO!$Z$976</f>
        <v>0</v>
      </c>
      <c r="O976" s="76">
        <f>$L$976-EFEITO!$O$976*EFEITO!$AA$976</f>
        <v>0</v>
      </c>
      <c r="P976" s="57"/>
      <c r="Q976" s="57"/>
      <c r="R976" s="57"/>
      <c r="S976" s="57"/>
      <c r="T976" s="57"/>
      <c r="U976" s="57"/>
      <c r="V976" s="57"/>
      <c r="W976" s="57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3" t="s">
        <v>27</v>
      </c>
      <c r="B977" s="53" t="s">
        <v>37</v>
      </c>
      <c r="C977" s="53" t="s">
        <v>23</v>
      </c>
      <c r="D977" s="53" t="s">
        <v>47</v>
      </c>
      <c r="E977" s="53" t="s">
        <v>25</v>
      </c>
      <c r="F977" s="53" t="s">
        <v>25</v>
      </c>
      <c r="G977" s="53" t="s">
        <v>25</v>
      </c>
      <c r="H977" s="53" t="s">
        <v>25</v>
      </c>
      <c r="I977" s="75">
        <v>44562</v>
      </c>
      <c r="J977" s="76">
        <f>EFEITO!$J$977*EFEITO!$Y$977</f>
        <v>0</v>
      </c>
      <c r="K977" s="76">
        <f ca="1">EFEITO!$L$977*EFEITO!$Z$977</f>
        <v>101.92436941774504</v>
      </c>
      <c r="L977" s="76">
        <f>EFEITO!$N$977*EFEITO!$AA$977</f>
        <v>46.018320677660007</v>
      </c>
      <c r="M977" s="76">
        <f>$J$977-EFEITO!$K$977*EFEITO!$Y$977</f>
        <v>0</v>
      </c>
      <c r="N977" s="76">
        <f ca="1">$K$977-EFEITO!$M$977*EFEITO!$Z$977</f>
        <v>0</v>
      </c>
      <c r="O977" s="76">
        <f>$L$977-EFEITO!$O$977*EFEITO!$AA$977</f>
        <v>0</v>
      </c>
      <c r="P977" s="57"/>
      <c r="Q977" s="57"/>
      <c r="R977" s="57"/>
      <c r="S977" s="57"/>
      <c r="T977" s="57"/>
      <c r="U977" s="57"/>
      <c r="V977" s="57"/>
      <c r="W977" s="57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3" t="s">
        <v>28</v>
      </c>
      <c r="B978" s="53" t="s">
        <v>37</v>
      </c>
      <c r="C978" s="53" t="s">
        <v>23</v>
      </c>
      <c r="D978" s="53" t="s">
        <v>47</v>
      </c>
      <c r="E978" s="53" t="s">
        <v>25</v>
      </c>
      <c r="F978" s="53" t="s">
        <v>25</v>
      </c>
      <c r="G978" s="53" t="s">
        <v>25</v>
      </c>
      <c r="H978" s="53" t="s">
        <v>25</v>
      </c>
      <c r="I978" s="75">
        <v>44562</v>
      </c>
      <c r="J978" s="76">
        <f>EFEITO!$J$978*EFEITO!$Y$978</f>
        <v>0</v>
      </c>
      <c r="K978" s="76">
        <f ca="1">EFEITO!$L$978*EFEITO!$Z$978</f>
        <v>2391.9909330183968</v>
      </c>
      <c r="L978" s="76">
        <f>EFEITO!$N$978*EFEITO!$AA$978</f>
        <v>1079.9714184401089</v>
      </c>
      <c r="M978" s="76">
        <f>$J$978-EFEITO!$K$978*EFEITO!$Y$978</f>
        <v>0</v>
      </c>
      <c r="N978" s="76">
        <f ca="1">$K$978-EFEITO!$M$978*EFEITO!$Z$978</f>
        <v>0</v>
      </c>
      <c r="O978" s="76">
        <f>$L$978-EFEITO!$O$978*EFEITO!$AA$978</f>
        <v>0</v>
      </c>
      <c r="P978" s="57"/>
      <c r="Q978" s="57"/>
      <c r="R978" s="57"/>
      <c r="S978" s="57"/>
      <c r="T978" s="57"/>
      <c r="U978" s="57"/>
      <c r="V978" s="57"/>
      <c r="W978" s="57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3" t="s">
        <v>21</v>
      </c>
      <c r="B979" s="53" t="s">
        <v>37</v>
      </c>
      <c r="C979" s="53" t="s">
        <v>23</v>
      </c>
      <c r="D979" s="53" t="s">
        <v>47</v>
      </c>
      <c r="E979" s="53" t="s">
        <v>25</v>
      </c>
      <c r="F979" s="53" t="s">
        <v>25</v>
      </c>
      <c r="G979" s="53" t="s">
        <v>25</v>
      </c>
      <c r="H979" s="53" t="s">
        <v>25</v>
      </c>
      <c r="I979" s="75">
        <v>44593</v>
      </c>
      <c r="J979" s="76">
        <f>EFEITO!$J$979*EFEITO!$Y$979</f>
        <v>0</v>
      </c>
      <c r="K979" s="76">
        <f ca="1">EFEITO!$L$979*EFEITO!$Z$979</f>
        <v>1037132.1667983335</v>
      </c>
      <c r="L979" s="76">
        <f>EFEITO!$N$979*EFEITO!$AA$979</f>
        <v>468259.75877494895</v>
      </c>
      <c r="M979" s="76">
        <f>$J$979-EFEITO!$K$979*EFEITO!$Y$979</f>
        <v>0</v>
      </c>
      <c r="N979" s="76">
        <f ca="1">$K$979-EFEITO!$M$979*EFEITO!$Z$979</f>
        <v>0</v>
      </c>
      <c r="O979" s="76">
        <f>$L$979-EFEITO!$O$979*EFEITO!$AA$979</f>
        <v>0</v>
      </c>
      <c r="P979" s="57"/>
      <c r="Q979" s="57"/>
      <c r="R979" s="57"/>
      <c r="S979" s="57"/>
      <c r="T979" s="57"/>
      <c r="U979" s="57"/>
      <c r="V979" s="57"/>
      <c r="W979" s="57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3" t="s">
        <v>27</v>
      </c>
      <c r="B980" s="53" t="s">
        <v>37</v>
      </c>
      <c r="C980" s="53" t="s">
        <v>23</v>
      </c>
      <c r="D980" s="53" t="s">
        <v>47</v>
      </c>
      <c r="E980" s="53" t="s">
        <v>25</v>
      </c>
      <c r="F980" s="53" t="s">
        <v>25</v>
      </c>
      <c r="G980" s="53" t="s">
        <v>25</v>
      </c>
      <c r="H980" s="53" t="s">
        <v>25</v>
      </c>
      <c r="I980" s="75">
        <v>44593</v>
      </c>
      <c r="J980" s="76">
        <f>EFEITO!$J$980*EFEITO!$Y$980</f>
        <v>0</v>
      </c>
      <c r="K980" s="76">
        <f ca="1">EFEITO!$L$980*EFEITO!$Z$980</f>
        <v>-9149.8252214378626</v>
      </c>
      <c r="L980" s="76">
        <f>EFEITO!$N$980*EFEITO!$AA$980</f>
        <v>-4131.0983191754976</v>
      </c>
      <c r="M980" s="76">
        <f>$J$980-EFEITO!$K$980*EFEITO!$Y$980</f>
        <v>0</v>
      </c>
      <c r="N980" s="76">
        <f ca="1">$K$980-EFEITO!$M$980*EFEITO!$Z$980</f>
        <v>0</v>
      </c>
      <c r="O980" s="76">
        <f>$L$980-EFEITO!$O$980*EFEITO!$AA$980</f>
        <v>0</v>
      </c>
      <c r="P980" s="57"/>
      <c r="Q980" s="57"/>
      <c r="R980" s="57"/>
      <c r="S980" s="57"/>
      <c r="T980" s="57"/>
      <c r="U980" s="57"/>
      <c r="V980" s="57"/>
      <c r="W980" s="57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3" t="s">
        <v>28</v>
      </c>
      <c r="B981" s="53" t="s">
        <v>37</v>
      </c>
      <c r="C981" s="53" t="s">
        <v>23</v>
      </c>
      <c r="D981" s="53" t="s">
        <v>47</v>
      </c>
      <c r="E981" s="53" t="s">
        <v>25</v>
      </c>
      <c r="F981" s="53" t="s">
        <v>25</v>
      </c>
      <c r="G981" s="53" t="s">
        <v>25</v>
      </c>
      <c r="H981" s="53" t="s">
        <v>25</v>
      </c>
      <c r="I981" s="75">
        <v>44593</v>
      </c>
      <c r="J981" s="76">
        <f>EFEITO!$J$981*EFEITO!$Y$981</f>
        <v>0</v>
      </c>
      <c r="K981" s="76">
        <f ca="1">EFEITO!$L$981*EFEITO!$Z$981</f>
        <v>3806.5023037183219</v>
      </c>
      <c r="L981" s="76">
        <f>EFEITO!$N$981*EFEITO!$AA$981</f>
        <v>1718.615917600805</v>
      </c>
      <c r="M981" s="76">
        <f>$J$981-EFEITO!$K$981*EFEITO!$Y$981</f>
        <v>0</v>
      </c>
      <c r="N981" s="76">
        <f ca="1">$K$981-EFEITO!$M$981*EFEITO!$Z$981</f>
        <v>0</v>
      </c>
      <c r="O981" s="76">
        <f>$L$981-EFEITO!$O$981*EFEITO!$AA$981</f>
        <v>0</v>
      </c>
      <c r="P981" s="57"/>
      <c r="Q981" s="57"/>
      <c r="R981" s="57"/>
      <c r="S981" s="57"/>
      <c r="T981" s="57"/>
      <c r="U981" s="57"/>
      <c r="V981" s="57"/>
      <c r="W981" s="57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3" t="s">
        <v>21</v>
      </c>
      <c r="B982" s="53" t="s">
        <v>37</v>
      </c>
      <c r="C982" s="53" t="s">
        <v>23</v>
      </c>
      <c r="D982" s="53" t="s">
        <v>47</v>
      </c>
      <c r="E982" s="53" t="s">
        <v>25</v>
      </c>
      <c r="F982" s="53" t="s">
        <v>25</v>
      </c>
      <c r="G982" s="53" t="s">
        <v>25</v>
      </c>
      <c r="H982" s="53" t="s">
        <v>25</v>
      </c>
      <c r="I982" s="75">
        <v>44621</v>
      </c>
      <c r="J982" s="76">
        <f>EFEITO!$J$982*EFEITO!$Y$982</f>
        <v>0</v>
      </c>
      <c r="K982" s="76">
        <f ca="1">EFEITO!$L$982*EFEITO!$Z$982</f>
        <v>1242295.4814032896</v>
      </c>
      <c r="L982" s="76">
        <f>EFEITO!$N$982*EFEITO!$AA$982</f>
        <v>560889.92422720429</v>
      </c>
      <c r="M982" s="76">
        <f>$J$982-EFEITO!$K$982*EFEITO!$Y$982</f>
        <v>0</v>
      </c>
      <c r="N982" s="76">
        <f ca="1">$K$982-EFEITO!$M$982*EFEITO!$Z$982</f>
        <v>0</v>
      </c>
      <c r="O982" s="76">
        <f>$L$982-EFEITO!$O$982*EFEITO!$AA$982</f>
        <v>0</v>
      </c>
      <c r="P982" s="57"/>
      <c r="Q982" s="57"/>
      <c r="R982" s="57"/>
      <c r="S982" s="57"/>
      <c r="T982" s="57"/>
      <c r="U982" s="57"/>
      <c r="V982" s="57"/>
      <c r="W982" s="57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3" t="s">
        <v>27</v>
      </c>
      <c r="B983" s="53" t="s">
        <v>37</v>
      </c>
      <c r="C983" s="53" t="s">
        <v>23</v>
      </c>
      <c r="D983" s="53" t="s">
        <v>47</v>
      </c>
      <c r="E983" s="53" t="s">
        <v>25</v>
      </c>
      <c r="F983" s="53" t="s">
        <v>25</v>
      </c>
      <c r="G983" s="53" t="s">
        <v>25</v>
      </c>
      <c r="H983" s="53" t="s">
        <v>25</v>
      </c>
      <c r="I983" s="75">
        <v>44621</v>
      </c>
      <c r="J983" s="76">
        <f>EFEITO!$J$983*EFEITO!$Y$983</f>
        <v>0</v>
      </c>
      <c r="K983" s="76">
        <f ca="1">EFEITO!$L$983*EFEITO!$Z$983</f>
        <v>45033.1695610354</v>
      </c>
      <c r="L983" s="76">
        <f>EFEITO!$N$983*EFEITO!$AA$983</f>
        <v>20332.240953068562</v>
      </c>
      <c r="M983" s="76">
        <f>$J$983-EFEITO!$K$983*EFEITO!$Y$983</f>
        <v>0</v>
      </c>
      <c r="N983" s="76">
        <f ca="1">$K$983-EFEITO!$M$983*EFEITO!$Z$983</f>
        <v>0</v>
      </c>
      <c r="O983" s="76">
        <f>$L$983-EFEITO!$O$983*EFEITO!$AA$983</f>
        <v>0</v>
      </c>
      <c r="P983" s="57"/>
      <c r="Q983" s="57"/>
      <c r="R983" s="57"/>
      <c r="S983" s="57"/>
      <c r="T983" s="57"/>
      <c r="U983" s="57"/>
      <c r="V983" s="57"/>
      <c r="W983" s="57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3" t="s">
        <v>28</v>
      </c>
      <c r="B984" s="53" t="s">
        <v>37</v>
      </c>
      <c r="C984" s="53" t="s">
        <v>23</v>
      </c>
      <c r="D984" s="53" t="s">
        <v>47</v>
      </c>
      <c r="E984" s="53" t="s">
        <v>25</v>
      </c>
      <c r="F984" s="53" t="s">
        <v>25</v>
      </c>
      <c r="G984" s="53" t="s">
        <v>25</v>
      </c>
      <c r="H984" s="53" t="s">
        <v>25</v>
      </c>
      <c r="I984" s="75">
        <v>44621</v>
      </c>
      <c r="J984" s="76">
        <f>EFEITO!$J$984*EFEITO!$Y$984</f>
        <v>0</v>
      </c>
      <c r="K984" s="76">
        <f ca="1">EFEITO!$L$984*EFEITO!$Z$984</f>
        <v>3499.7348113732064</v>
      </c>
      <c r="L984" s="76">
        <f>EFEITO!$N$984*EFEITO!$AA$984</f>
        <v>1580.1119963417013</v>
      </c>
      <c r="M984" s="76">
        <f>$J$984-EFEITO!$K$984*EFEITO!$Y$984</f>
        <v>0</v>
      </c>
      <c r="N984" s="76">
        <f ca="1">$K$984-EFEITO!$M$984*EFEITO!$Z$984</f>
        <v>0</v>
      </c>
      <c r="O984" s="76">
        <f>$L$984-EFEITO!$O$984*EFEITO!$AA$984</f>
        <v>0</v>
      </c>
      <c r="P984" s="57"/>
      <c r="Q984" s="57"/>
      <c r="R984" s="57"/>
      <c r="S984" s="57"/>
      <c r="T984" s="57"/>
      <c r="U984" s="57"/>
      <c r="V984" s="57"/>
      <c r="W984" s="57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3" t="s">
        <v>21</v>
      </c>
      <c r="B985" s="53" t="s">
        <v>37</v>
      </c>
      <c r="C985" s="53" t="s">
        <v>23</v>
      </c>
      <c r="D985" s="53" t="s">
        <v>47</v>
      </c>
      <c r="E985" s="53" t="s">
        <v>25</v>
      </c>
      <c r="F985" s="53" t="s">
        <v>25</v>
      </c>
      <c r="G985" s="53" t="s">
        <v>25</v>
      </c>
      <c r="H985" s="53" t="s">
        <v>25</v>
      </c>
      <c r="I985" s="75">
        <v>44652</v>
      </c>
      <c r="J985" s="76">
        <f>EFEITO!$J$985*EFEITO!$Y$985</f>
        <v>0</v>
      </c>
      <c r="K985" s="76">
        <f ca="1">EFEITO!$L$985*EFEITO!$Z$985</f>
        <v>1340394.9524116165</v>
      </c>
      <c r="L985" s="76">
        <f>EFEITO!$N$985*EFEITO!$AA$985</f>
        <v>605181.32324158016</v>
      </c>
      <c r="M985" s="76">
        <f>$J$985-EFEITO!$K$985*EFEITO!$Y$985</f>
        <v>0</v>
      </c>
      <c r="N985" s="76">
        <f ca="1">$K$985-EFEITO!$M$985*EFEITO!$Z$985</f>
        <v>0</v>
      </c>
      <c r="O985" s="76">
        <f>$L$985-EFEITO!$O$985*EFEITO!$AA$985</f>
        <v>0</v>
      </c>
      <c r="P985" s="57"/>
      <c r="Q985" s="57"/>
      <c r="R985" s="57"/>
      <c r="S985" s="57"/>
      <c r="T985" s="57"/>
      <c r="U985" s="57"/>
      <c r="V985" s="57"/>
      <c r="W985" s="57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3" t="s">
        <v>27</v>
      </c>
      <c r="B986" s="53" t="s">
        <v>37</v>
      </c>
      <c r="C986" s="53" t="s">
        <v>23</v>
      </c>
      <c r="D986" s="53" t="s">
        <v>47</v>
      </c>
      <c r="E986" s="53" t="s">
        <v>25</v>
      </c>
      <c r="F986" s="53" t="s">
        <v>25</v>
      </c>
      <c r="G986" s="53" t="s">
        <v>25</v>
      </c>
      <c r="H986" s="53" t="s">
        <v>25</v>
      </c>
      <c r="I986" s="75">
        <v>44652</v>
      </c>
      <c r="J986" s="76">
        <f>EFEITO!$J$986*EFEITO!$Y$986</f>
        <v>0</v>
      </c>
      <c r="K986" s="76">
        <f ca="1">EFEITO!$L$986*EFEITO!$Z$986</f>
        <v>-81955.645276647992</v>
      </c>
      <c r="L986" s="76">
        <f>EFEITO!$N$986*EFEITO!$AA$986</f>
        <v>-37002.545978260692</v>
      </c>
      <c r="M986" s="76">
        <f>$J$986-EFEITO!$K$986*EFEITO!$Y$986</f>
        <v>0</v>
      </c>
      <c r="N986" s="76">
        <f ca="1">$K$986-EFEITO!$M$986*EFEITO!$Z$986</f>
        <v>0</v>
      </c>
      <c r="O986" s="76">
        <f>$L$986-EFEITO!$O$986*EFEITO!$AA$986</f>
        <v>0</v>
      </c>
      <c r="P986" s="57"/>
      <c r="Q986" s="57"/>
      <c r="R986" s="57"/>
      <c r="S986" s="57"/>
      <c r="T986" s="57"/>
      <c r="U986" s="57"/>
      <c r="V986" s="57"/>
      <c r="W986" s="57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3" t="s">
        <v>28</v>
      </c>
      <c r="B987" s="53" t="s">
        <v>37</v>
      </c>
      <c r="C987" s="53" t="s">
        <v>23</v>
      </c>
      <c r="D987" s="53" t="s">
        <v>47</v>
      </c>
      <c r="E987" s="53" t="s">
        <v>25</v>
      </c>
      <c r="F987" s="53" t="s">
        <v>25</v>
      </c>
      <c r="G987" s="53" t="s">
        <v>25</v>
      </c>
      <c r="H987" s="53" t="s">
        <v>25</v>
      </c>
      <c r="I987" s="75">
        <v>44652</v>
      </c>
      <c r="J987" s="76">
        <f>EFEITO!$J$987*EFEITO!$Y$987</f>
        <v>0</v>
      </c>
      <c r="K987" s="76">
        <f ca="1">EFEITO!$L$987*EFEITO!$Z$987</f>
        <v>2294.0440999681737</v>
      </c>
      <c r="L987" s="76">
        <f>EFEITO!$N$987*EFEITO!$AA$987</f>
        <v>1035.7489346669429</v>
      </c>
      <c r="M987" s="76">
        <f>$J$987-EFEITO!$K$987*EFEITO!$Y$987</f>
        <v>0</v>
      </c>
      <c r="N987" s="76">
        <f ca="1">$K$987-EFEITO!$M$987*EFEITO!$Z$987</f>
        <v>0</v>
      </c>
      <c r="O987" s="76">
        <f>$L$987-EFEITO!$O$987*EFEITO!$AA$987</f>
        <v>0</v>
      </c>
      <c r="P987" s="57"/>
      <c r="Q987" s="57"/>
      <c r="R987" s="57"/>
      <c r="S987" s="57"/>
      <c r="T987" s="57"/>
      <c r="U987" s="57"/>
      <c r="V987" s="57"/>
      <c r="W987" s="57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3" t="s">
        <v>21</v>
      </c>
      <c r="B988" s="53" t="s">
        <v>37</v>
      </c>
      <c r="C988" s="53" t="s">
        <v>23</v>
      </c>
      <c r="D988" s="53" t="s">
        <v>47</v>
      </c>
      <c r="E988" s="53" t="s">
        <v>25</v>
      </c>
      <c r="F988" s="53" t="s">
        <v>25</v>
      </c>
      <c r="G988" s="53" t="s">
        <v>25</v>
      </c>
      <c r="H988" s="53" t="s">
        <v>25</v>
      </c>
      <c r="I988" s="75">
        <v>44682</v>
      </c>
      <c r="J988" s="76">
        <f>EFEITO!$J$988*EFEITO!$Y$988</f>
        <v>0</v>
      </c>
      <c r="K988" s="76">
        <f ca="1">EFEITO!$L$988*EFEITO!$Z$988</f>
        <v>1472854.37133078</v>
      </c>
      <c r="L988" s="76">
        <f>EFEITO!$N$988*EFEITO!$AA$988</f>
        <v>664986.05935542798</v>
      </c>
      <c r="M988" s="76">
        <f>$J$988-EFEITO!$K$988*EFEITO!$Y$988</f>
        <v>0</v>
      </c>
      <c r="N988" s="76">
        <f ca="1">$K$988-EFEITO!$M$988*EFEITO!$Z$988</f>
        <v>0</v>
      </c>
      <c r="O988" s="76">
        <f>$L$988-EFEITO!$O$988*EFEITO!$AA$988</f>
        <v>0</v>
      </c>
      <c r="P988" s="57"/>
      <c r="Q988" s="57"/>
      <c r="R988" s="57"/>
      <c r="S988" s="57"/>
      <c r="T988" s="57"/>
      <c r="U988" s="57"/>
      <c r="V988" s="57"/>
      <c r="W988" s="57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3" t="s">
        <v>27</v>
      </c>
      <c r="B989" s="53" t="s">
        <v>37</v>
      </c>
      <c r="C989" s="53" t="s">
        <v>23</v>
      </c>
      <c r="D989" s="53" t="s">
        <v>47</v>
      </c>
      <c r="E989" s="53" t="s">
        <v>25</v>
      </c>
      <c r="F989" s="53" t="s">
        <v>25</v>
      </c>
      <c r="G989" s="53" t="s">
        <v>25</v>
      </c>
      <c r="H989" s="53" t="s">
        <v>25</v>
      </c>
      <c r="I989" s="75">
        <v>44682</v>
      </c>
      <c r="J989" s="76">
        <f>EFEITO!$J$989*EFEITO!$Y$989</f>
        <v>0</v>
      </c>
      <c r="K989" s="76">
        <f ca="1">EFEITO!$L$989*EFEITO!$Z$989</f>
        <v>4072.0028562503994</v>
      </c>
      <c r="L989" s="76">
        <f>EFEITO!$N$989*EFEITO!$AA$989</f>
        <v>1838.4880309757827</v>
      </c>
      <c r="M989" s="76">
        <f>$J$989-EFEITO!$K$989*EFEITO!$Y$989</f>
        <v>0</v>
      </c>
      <c r="N989" s="76">
        <f ca="1">$K$989-EFEITO!$M$989*EFEITO!$Z$989</f>
        <v>0</v>
      </c>
      <c r="O989" s="76">
        <f>$L$989-EFEITO!$O$989*EFEITO!$AA$989</f>
        <v>0</v>
      </c>
      <c r="P989" s="57"/>
      <c r="Q989" s="57"/>
      <c r="R989" s="57"/>
      <c r="S989" s="57"/>
      <c r="T989" s="57"/>
      <c r="U989" s="57"/>
      <c r="V989" s="57"/>
      <c r="W989" s="57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3" t="s">
        <v>28</v>
      </c>
      <c r="B990" s="53" t="s">
        <v>37</v>
      </c>
      <c r="C990" s="53" t="s">
        <v>23</v>
      </c>
      <c r="D990" s="53" t="s">
        <v>47</v>
      </c>
      <c r="E990" s="53" t="s">
        <v>25</v>
      </c>
      <c r="F990" s="53" t="s">
        <v>25</v>
      </c>
      <c r="G990" s="53" t="s">
        <v>25</v>
      </c>
      <c r="H990" s="53" t="s">
        <v>25</v>
      </c>
      <c r="I990" s="75">
        <v>44682</v>
      </c>
      <c r="J990" s="76">
        <f>EFEITO!$J$990*EFEITO!$Y$990</f>
        <v>0</v>
      </c>
      <c r="K990" s="76">
        <f ca="1">EFEITO!$L$990*EFEITO!$Z$990</f>
        <v>3252.6303645409171</v>
      </c>
      <c r="L990" s="76">
        <f>EFEITO!$N$990*EFEITO!$AA$990</f>
        <v>1468.5456286500087</v>
      </c>
      <c r="M990" s="76">
        <f>$J$990-EFEITO!$K$990*EFEITO!$Y$990</f>
        <v>0</v>
      </c>
      <c r="N990" s="76">
        <f ca="1">$K$990-EFEITO!$M$990*EFEITO!$Z$990</f>
        <v>0</v>
      </c>
      <c r="O990" s="76">
        <f>$L$990-EFEITO!$O$990*EFEITO!$AA$990</f>
        <v>0</v>
      </c>
      <c r="P990" s="57"/>
      <c r="Q990" s="57"/>
      <c r="R990" s="57"/>
      <c r="S990" s="57"/>
      <c r="T990" s="57"/>
      <c r="U990" s="57"/>
      <c r="V990" s="57"/>
      <c r="W990" s="57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3" t="s">
        <v>21</v>
      </c>
      <c r="B991" s="53" t="s">
        <v>37</v>
      </c>
      <c r="C991" s="53" t="s">
        <v>23</v>
      </c>
      <c r="D991" s="53" t="s">
        <v>47</v>
      </c>
      <c r="E991" s="53" t="s">
        <v>25</v>
      </c>
      <c r="F991" s="53" t="s">
        <v>25</v>
      </c>
      <c r="G991" s="53" t="s">
        <v>25</v>
      </c>
      <c r="H991" s="53" t="s">
        <v>25</v>
      </c>
      <c r="I991" s="75">
        <v>44713</v>
      </c>
      <c r="J991" s="76">
        <f>EFEITO!$J$991*EFEITO!$Y$991</f>
        <v>0</v>
      </c>
      <c r="K991" s="76">
        <f ca="1">EFEITO!$L$991*EFEITO!$Z$991</f>
        <v>1582920.2605007961</v>
      </c>
      <c r="L991" s="76">
        <f>EFEITO!$N$991*EFEITO!$AA$991</f>
        <v>714680.23369697423</v>
      </c>
      <c r="M991" s="76">
        <f>$J$991-EFEITO!$K$991*EFEITO!$Y$991</f>
        <v>0</v>
      </c>
      <c r="N991" s="76">
        <f ca="1">$K$991-EFEITO!$M$991*EFEITO!$Z$991</f>
        <v>0</v>
      </c>
      <c r="O991" s="76">
        <f>$L$991-EFEITO!$O$991*EFEITO!$AA$991</f>
        <v>0</v>
      </c>
      <c r="P991" s="57"/>
      <c r="Q991" s="57"/>
      <c r="R991" s="57"/>
      <c r="S991" s="57"/>
      <c r="T991" s="57"/>
      <c r="U991" s="57"/>
      <c r="V991" s="57"/>
      <c r="W991" s="57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3" t="s">
        <v>27</v>
      </c>
      <c r="B992" s="53" t="s">
        <v>37</v>
      </c>
      <c r="C992" s="53" t="s">
        <v>23</v>
      </c>
      <c r="D992" s="53" t="s">
        <v>47</v>
      </c>
      <c r="E992" s="53" t="s">
        <v>25</v>
      </c>
      <c r="F992" s="53" t="s">
        <v>25</v>
      </c>
      <c r="G992" s="53" t="s">
        <v>25</v>
      </c>
      <c r="H992" s="53" t="s">
        <v>25</v>
      </c>
      <c r="I992" s="75">
        <v>44713</v>
      </c>
      <c r="J992" s="76">
        <f>EFEITO!$J$992*EFEITO!$Y$992</f>
        <v>0</v>
      </c>
      <c r="K992" s="76">
        <f ca="1">EFEITO!$L$992*EFEITO!$Z$992</f>
        <v>-4597.037656763272</v>
      </c>
      <c r="L992" s="76">
        <f>EFEITO!$N$992*EFEITO!$AA$992</f>
        <v>-2075.5385023689973</v>
      </c>
      <c r="M992" s="76">
        <f>$J$992-EFEITO!$K$992*EFEITO!$Y$992</f>
        <v>0</v>
      </c>
      <c r="N992" s="76">
        <f ca="1">$K$992-EFEITO!$M$992*EFEITO!$Z$992</f>
        <v>0</v>
      </c>
      <c r="O992" s="76">
        <f>$L$992-EFEITO!$O$992*EFEITO!$AA$992</f>
        <v>0</v>
      </c>
      <c r="P992" s="57"/>
      <c r="Q992" s="57"/>
      <c r="R992" s="57"/>
      <c r="S992" s="57"/>
      <c r="T992" s="57"/>
      <c r="U992" s="57"/>
      <c r="V992" s="57"/>
      <c r="W992" s="57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3" t="s">
        <v>28</v>
      </c>
      <c r="B993" s="53" t="s">
        <v>37</v>
      </c>
      <c r="C993" s="53" t="s">
        <v>23</v>
      </c>
      <c r="D993" s="53" t="s">
        <v>47</v>
      </c>
      <c r="E993" s="53" t="s">
        <v>25</v>
      </c>
      <c r="F993" s="53" t="s">
        <v>25</v>
      </c>
      <c r="G993" s="53" t="s">
        <v>25</v>
      </c>
      <c r="H993" s="53" t="s">
        <v>25</v>
      </c>
      <c r="I993" s="75">
        <v>44713</v>
      </c>
      <c r="J993" s="76">
        <f>EFEITO!$J$993*EFEITO!$Y$993</f>
        <v>0</v>
      </c>
      <c r="K993" s="76">
        <f ca="1">EFEITO!$L$993*EFEITO!$Z$993</f>
        <v>4141.1125506360904</v>
      </c>
      <c r="L993" s="76">
        <f>EFEITO!$N$993*EFEITO!$AA$993</f>
        <v>1869.690697191367</v>
      </c>
      <c r="M993" s="76">
        <f>$J$993-EFEITO!$K$993*EFEITO!$Y$993</f>
        <v>0</v>
      </c>
      <c r="N993" s="76">
        <f ca="1">$K$993-EFEITO!$M$993*EFEITO!$Z$993</f>
        <v>0</v>
      </c>
      <c r="O993" s="76">
        <f>$L$993-EFEITO!$O$993*EFEITO!$AA$993</f>
        <v>0</v>
      </c>
      <c r="P993" s="57"/>
      <c r="Q993" s="57"/>
      <c r="R993" s="57"/>
      <c r="S993" s="57"/>
      <c r="T993" s="57"/>
      <c r="U993" s="57"/>
      <c r="V993" s="57"/>
      <c r="W993" s="57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3" t="s">
        <v>21</v>
      </c>
      <c r="B994" s="53" t="s">
        <v>37</v>
      </c>
      <c r="C994" s="53" t="s">
        <v>23</v>
      </c>
      <c r="D994" s="53" t="s">
        <v>47</v>
      </c>
      <c r="E994" s="53" t="s">
        <v>25</v>
      </c>
      <c r="F994" s="53" t="s">
        <v>25</v>
      </c>
      <c r="G994" s="53" t="s">
        <v>25</v>
      </c>
      <c r="H994" s="53" t="s">
        <v>25</v>
      </c>
      <c r="I994" s="75">
        <v>44743</v>
      </c>
      <c r="J994" s="76">
        <f>EFEITO!$J$994*EFEITO!$Y$994</f>
        <v>0</v>
      </c>
      <c r="K994" s="76">
        <f ca="1">EFEITO!$L$994*EFEITO!$Z$994</f>
        <v>1244348.8845530227</v>
      </c>
      <c r="L994" s="76">
        <f>EFEITO!$N$994*EFEITO!$AA$994</f>
        <v>561817.02502914937</v>
      </c>
      <c r="M994" s="76">
        <f>$J$994-EFEITO!$K$994*EFEITO!$Y$994</f>
        <v>0</v>
      </c>
      <c r="N994" s="76">
        <f ca="1">$K$994-EFEITO!$M$994*EFEITO!$Z$994</f>
        <v>0</v>
      </c>
      <c r="O994" s="76">
        <f>$L$994-EFEITO!$O$994*EFEITO!$AA$994</f>
        <v>0</v>
      </c>
      <c r="P994" s="57"/>
      <c r="Q994" s="57"/>
      <c r="R994" s="57"/>
      <c r="S994" s="57"/>
      <c r="T994" s="57"/>
      <c r="U994" s="57"/>
      <c r="V994" s="57"/>
      <c r="W994" s="57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3" t="s">
        <v>27</v>
      </c>
      <c r="B995" s="53" t="s">
        <v>37</v>
      </c>
      <c r="C995" s="53" t="s">
        <v>23</v>
      </c>
      <c r="D995" s="53" t="s">
        <v>47</v>
      </c>
      <c r="E995" s="53" t="s">
        <v>25</v>
      </c>
      <c r="F995" s="53" t="s">
        <v>25</v>
      </c>
      <c r="G995" s="53" t="s">
        <v>25</v>
      </c>
      <c r="H995" s="53" t="s">
        <v>25</v>
      </c>
      <c r="I995" s="75">
        <v>44743</v>
      </c>
      <c r="J995" s="76">
        <f>EFEITO!$J$995*EFEITO!$Y$995</f>
        <v>0</v>
      </c>
      <c r="K995" s="76">
        <f ca="1">EFEITO!$L$995*EFEITO!$Z$995</f>
        <v>2293.0497158762932</v>
      </c>
      <c r="L995" s="76">
        <f>EFEITO!$N$995*EFEITO!$AA$995</f>
        <v>1035.2999754408193</v>
      </c>
      <c r="M995" s="76">
        <f>$J$995-EFEITO!$K$995*EFEITO!$Y$995</f>
        <v>0</v>
      </c>
      <c r="N995" s="76">
        <f ca="1">$K$995-EFEITO!$M$995*EFEITO!$Z$995</f>
        <v>0</v>
      </c>
      <c r="O995" s="76">
        <f>$L$995-EFEITO!$O$995*EFEITO!$AA$995</f>
        <v>0</v>
      </c>
      <c r="P995" s="57"/>
      <c r="Q995" s="57"/>
      <c r="R995" s="57"/>
      <c r="S995" s="57"/>
      <c r="T995" s="57"/>
      <c r="U995" s="57"/>
      <c r="V995" s="57"/>
      <c r="W995" s="57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3" t="s">
        <v>28</v>
      </c>
      <c r="B996" s="53" t="s">
        <v>37</v>
      </c>
      <c r="C996" s="53" t="s">
        <v>23</v>
      </c>
      <c r="D996" s="53" t="s">
        <v>47</v>
      </c>
      <c r="E996" s="53" t="s">
        <v>25</v>
      </c>
      <c r="F996" s="53" t="s">
        <v>25</v>
      </c>
      <c r="G996" s="53" t="s">
        <v>25</v>
      </c>
      <c r="H996" s="53" t="s">
        <v>25</v>
      </c>
      <c r="I996" s="75">
        <v>44743</v>
      </c>
      <c r="J996" s="76">
        <f>EFEITO!$J$996*EFEITO!$Y$996</f>
        <v>0</v>
      </c>
      <c r="K996" s="76">
        <f ca="1">EFEITO!$L$996*EFEITO!$Z$996</f>
        <v>4083.9354653529649</v>
      </c>
      <c r="L996" s="76">
        <f>EFEITO!$N$996*EFEITO!$AA$996</f>
        <v>1843.875541689265</v>
      </c>
      <c r="M996" s="76">
        <f>$J$996-EFEITO!$K$996*EFEITO!$Y$996</f>
        <v>0</v>
      </c>
      <c r="N996" s="76">
        <f ca="1">$K$996-EFEITO!$M$996*EFEITO!$Z$996</f>
        <v>0</v>
      </c>
      <c r="O996" s="76">
        <f>$L$996-EFEITO!$O$996*EFEITO!$AA$996</f>
        <v>0</v>
      </c>
      <c r="P996" s="57"/>
      <c r="Q996" s="57"/>
      <c r="R996" s="57"/>
      <c r="S996" s="57"/>
      <c r="T996" s="57"/>
      <c r="U996" s="57"/>
      <c r="V996" s="57"/>
      <c r="W996" s="57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3" t="s">
        <v>21</v>
      </c>
      <c r="B997" s="53" t="s">
        <v>37</v>
      </c>
      <c r="C997" s="53" t="s">
        <v>23</v>
      </c>
      <c r="D997" s="53" t="s">
        <v>47</v>
      </c>
      <c r="E997" s="53" t="s">
        <v>25</v>
      </c>
      <c r="F997" s="53" t="s">
        <v>25</v>
      </c>
      <c r="G997" s="53" t="s">
        <v>25</v>
      </c>
      <c r="H997" s="53" t="s">
        <v>25</v>
      </c>
      <c r="I997" s="75">
        <v>44774</v>
      </c>
      <c r="J997" s="76">
        <f>EFEITO!$J$997*EFEITO!$Y$997</f>
        <v>0</v>
      </c>
      <c r="K997" s="76">
        <f ca="1">EFEITO!$L$997*EFEITO!$Z$997</f>
        <v>1528852.1170809353</v>
      </c>
      <c r="L997" s="76">
        <f>EFEITO!$N$997*EFEITO!$AA$997</f>
        <v>690268.74921534746</v>
      </c>
      <c r="M997" s="76">
        <f>$J$997-EFEITO!$K$997*EFEITO!$Y$997</f>
        <v>0</v>
      </c>
      <c r="N997" s="76">
        <f ca="1">$K$997-EFEITO!$M$997*EFEITO!$Z$997</f>
        <v>0</v>
      </c>
      <c r="O997" s="76">
        <f>$L$997-EFEITO!$O$997*EFEITO!$AA$997</f>
        <v>0</v>
      </c>
      <c r="P997" s="57"/>
      <c r="Q997" s="57"/>
      <c r="R997" s="57"/>
      <c r="S997" s="57"/>
      <c r="T997" s="57"/>
      <c r="U997" s="57"/>
      <c r="V997" s="57"/>
      <c r="W997" s="57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3" t="s">
        <v>27</v>
      </c>
      <c r="B998" s="53" t="s">
        <v>37</v>
      </c>
      <c r="C998" s="53" t="s">
        <v>23</v>
      </c>
      <c r="D998" s="53" t="s">
        <v>47</v>
      </c>
      <c r="E998" s="53" t="s">
        <v>25</v>
      </c>
      <c r="F998" s="53" t="s">
        <v>25</v>
      </c>
      <c r="G998" s="53" t="s">
        <v>25</v>
      </c>
      <c r="H998" s="53" t="s">
        <v>25</v>
      </c>
      <c r="I998" s="75">
        <v>44774</v>
      </c>
      <c r="J998" s="76">
        <f>EFEITO!$J$998*EFEITO!$Y$998</f>
        <v>0</v>
      </c>
      <c r="K998" s="76">
        <f ca="1">EFEITO!$L$998*EFEITO!$Z$998</f>
        <v>5282.6654881148343</v>
      </c>
      <c r="L998" s="76">
        <f>EFEITO!$N$998*EFEITO!$AA$998</f>
        <v>2385.0958887811589</v>
      </c>
      <c r="M998" s="76">
        <f>$J$998-EFEITO!$K$998*EFEITO!$Y$998</f>
        <v>0</v>
      </c>
      <c r="N998" s="76">
        <f ca="1">$K$998-EFEITO!$M$998*EFEITO!$Z$998</f>
        <v>0</v>
      </c>
      <c r="O998" s="76">
        <f>$L$998-EFEITO!$O$998*EFEITO!$AA$998</f>
        <v>0</v>
      </c>
      <c r="P998" s="57"/>
      <c r="Q998" s="57"/>
      <c r="R998" s="57"/>
      <c r="S998" s="57"/>
      <c r="T998" s="57"/>
      <c r="U998" s="57"/>
      <c r="V998" s="57"/>
      <c r="W998" s="57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3" t="s">
        <v>28</v>
      </c>
      <c r="B999" s="53" t="s">
        <v>37</v>
      </c>
      <c r="C999" s="53" t="s">
        <v>23</v>
      </c>
      <c r="D999" s="53" t="s">
        <v>47</v>
      </c>
      <c r="E999" s="53" t="s">
        <v>25</v>
      </c>
      <c r="F999" s="53" t="s">
        <v>25</v>
      </c>
      <c r="G999" s="53" t="s">
        <v>25</v>
      </c>
      <c r="H999" s="53" t="s">
        <v>25</v>
      </c>
      <c r="I999" s="75">
        <v>44774</v>
      </c>
      <c r="J999" s="76">
        <f>EFEITO!$J$999*EFEITO!$Y$999</f>
        <v>0</v>
      </c>
      <c r="K999" s="76">
        <f ca="1">EFEITO!$L$999*EFEITO!$Z$999</f>
        <v>6059.2794638734576</v>
      </c>
      <c r="L999" s="76">
        <f>EFEITO!$N$999*EFEITO!$AA$999</f>
        <v>2735.7330443836217</v>
      </c>
      <c r="M999" s="76">
        <f>$J$999-EFEITO!$K$999*EFEITO!$Y$999</f>
        <v>0</v>
      </c>
      <c r="N999" s="76">
        <f ca="1">$K$999-EFEITO!$M$999*EFEITO!$Z$999</f>
        <v>0</v>
      </c>
      <c r="O999" s="76">
        <f>$L$999-EFEITO!$O$999*EFEITO!$AA$999</f>
        <v>0</v>
      </c>
      <c r="P999" s="57"/>
      <c r="Q999" s="57"/>
      <c r="R999" s="57"/>
      <c r="S999" s="57"/>
      <c r="T999" s="57"/>
      <c r="U999" s="57"/>
      <c r="V999" s="57"/>
      <c r="W999" s="57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3" t="s">
        <v>21</v>
      </c>
      <c r="B1000" s="53" t="s">
        <v>37</v>
      </c>
      <c r="C1000" s="53" t="s">
        <v>23</v>
      </c>
      <c r="D1000" s="53" t="s">
        <v>47</v>
      </c>
      <c r="E1000" s="53" t="s">
        <v>25</v>
      </c>
      <c r="F1000" s="53" t="s">
        <v>25</v>
      </c>
      <c r="G1000" s="53" t="s">
        <v>25</v>
      </c>
      <c r="H1000" s="53" t="s">
        <v>25</v>
      </c>
      <c r="I1000" s="75">
        <v>44805</v>
      </c>
      <c r="J1000" s="76">
        <f>EFEITO!$J$1000*EFEITO!$Y$1000</f>
        <v>0</v>
      </c>
      <c r="K1000" s="76">
        <f ca="1">EFEITO!$L$1000*EFEITO!$Z$1000</f>
        <v>1859531.5636834998</v>
      </c>
      <c r="L1000" s="76">
        <f>EFEITO!$N$1000*EFEITO!$AA$1000</f>
        <v>839568.79298504314</v>
      </c>
      <c r="M1000" s="76">
        <f>$J$1000-EFEITO!$K$1000*EFEITO!$Y$1000</f>
        <v>0</v>
      </c>
      <c r="N1000" s="76">
        <f ca="1">$K$1000-EFEITO!$M$1000*EFEITO!$Z$1000</f>
        <v>0</v>
      </c>
      <c r="O1000" s="76">
        <f>$L$1000-EFEITO!$O$1000*EFEITO!$AA$1000</f>
        <v>0</v>
      </c>
      <c r="P1000" s="57"/>
      <c r="Q1000" s="57"/>
      <c r="R1000" s="57"/>
      <c r="S1000" s="57"/>
      <c r="T1000" s="57"/>
      <c r="U1000" s="57"/>
      <c r="V1000" s="57"/>
      <c r="W1000" s="57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3" t="s">
        <v>27</v>
      </c>
      <c r="B1001" s="53" t="s">
        <v>37</v>
      </c>
      <c r="C1001" s="53" t="s">
        <v>23</v>
      </c>
      <c r="D1001" s="53" t="s">
        <v>47</v>
      </c>
      <c r="E1001" s="53" t="s">
        <v>25</v>
      </c>
      <c r="F1001" s="53" t="s">
        <v>25</v>
      </c>
      <c r="G1001" s="53" t="s">
        <v>25</v>
      </c>
      <c r="H1001" s="53" t="s">
        <v>25</v>
      </c>
      <c r="I1001" s="75">
        <v>44805</v>
      </c>
      <c r="J1001" s="76">
        <f>EFEITO!$J$1001*EFEITO!$Y$1001</f>
        <v>0</v>
      </c>
      <c r="K1001" s="76">
        <f ca="1">EFEITO!$L$1001*EFEITO!$Z$1001</f>
        <v>-151637.1105151698</v>
      </c>
      <c r="L1001" s="76">
        <f>EFEITO!$N$1001*EFEITO!$AA$1001</f>
        <v>-68463.363748865828</v>
      </c>
      <c r="M1001" s="76">
        <f>$J$1001-EFEITO!$K$1001*EFEITO!$Y$1001</f>
        <v>0</v>
      </c>
      <c r="N1001" s="76">
        <f ca="1">$K$1001-EFEITO!$M$1001*EFEITO!$Z$1001</f>
        <v>0</v>
      </c>
      <c r="O1001" s="76">
        <f>$L$1001-EFEITO!$O$1001*EFEITO!$AA$1001</f>
        <v>0</v>
      </c>
      <c r="P1001" s="57"/>
      <c r="Q1001" s="57"/>
      <c r="R1001" s="57"/>
      <c r="S1001" s="57"/>
      <c r="T1001" s="57"/>
      <c r="U1001" s="57"/>
      <c r="V1001" s="57"/>
      <c r="W1001" s="57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3" t="s">
        <v>28</v>
      </c>
      <c r="B1002" s="53" t="s">
        <v>37</v>
      </c>
      <c r="C1002" s="53" t="s">
        <v>23</v>
      </c>
      <c r="D1002" s="53" t="s">
        <v>47</v>
      </c>
      <c r="E1002" s="53" t="s">
        <v>25</v>
      </c>
      <c r="F1002" s="53" t="s">
        <v>25</v>
      </c>
      <c r="G1002" s="53" t="s">
        <v>25</v>
      </c>
      <c r="H1002" s="53" t="s">
        <v>25</v>
      </c>
      <c r="I1002" s="75">
        <v>44805</v>
      </c>
      <c r="J1002" s="76">
        <f>EFEITO!$J$1002*EFEITO!$Y$1002</f>
        <v>0</v>
      </c>
      <c r="K1002" s="76">
        <f ca="1">EFEITO!$L$1002*EFEITO!$Z$1002</f>
        <v>8841.0689609089877</v>
      </c>
      <c r="L1002" s="76">
        <f>EFEITO!$N$1002*EFEITO!$AA$1002</f>
        <v>3991.6964794641476</v>
      </c>
      <c r="M1002" s="76">
        <f>$J$1002-EFEITO!$K$1002*EFEITO!$Y$1002</f>
        <v>0</v>
      </c>
      <c r="N1002" s="76">
        <f ca="1">$K$1002-EFEITO!$M$1002*EFEITO!$Z$1002</f>
        <v>0</v>
      </c>
      <c r="O1002" s="76">
        <f>$L$1002-EFEITO!$O$1002*EFEITO!$AA$1002</f>
        <v>0</v>
      </c>
      <c r="P1002" s="57"/>
      <c r="Q1002" s="57"/>
      <c r="R1002" s="57"/>
      <c r="S1002" s="57"/>
      <c r="T1002" s="57"/>
      <c r="U1002" s="57"/>
      <c r="V1002" s="57"/>
      <c r="W1002" s="57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3" t="s">
        <v>21</v>
      </c>
      <c r="B1003" s="53" t="s">
        <v>37</v>
      </c>
      <c r="C1003" s="53" t="s">
        <v>23</v>
      </c>
      <c r="D1003" s="53" t="s">
        <v>47</v>
      </c>
      <c r="E1003" s="53" t="s">
        <v>25</v>
      </c>
      <c r="F1003" s="53" t="s">
        <v>25</v>
      </c>
      <c r="G1003" s="53" t="s">
        <v>25</v>
      </c>
      <c r="H1003" s="53" t="s">
        <v>25</v>
      </c>
      <c r="I1003" s="75">
        <v>44835</v>
      </c>
      <c r="J1003" s="76">
        <f>EFEITO!$J$1003*EFEITO!$Y$1003</f>
        <v>0</v>
      </c>
      <c r="K1003" s="76">
        <f ca="1">EFEITO!$L$1003*EFEITO!$Z$1003</f>
        <v>2052313.8019604525</v>
      </c>
      <c r="L1003" s="76">
        <f>EFEITO!$N$1003*EFEITO!$AA$1003</f>
        <v>926608.96711283457</v>
      </c>
      <c r="M1003" s="76">
        <f>$J$1003-EFEITO!$K$1003*EFEITO!$Y$1003</f>
        <v>0</v>
      </c>
      <c r="N1003" s="76">
        <f ca="1">$K$1003-EFEITO!$M$1003*EFEITO!$Z$1003</f>
        <v>0</v>
      </c>
      <c r="O1003" s="76">
        <f>$L$1003-EFEITO!$O$1003*EFEITO!$AA$1003</f>
        <v>0</v>
      </c>
      <c r="P1003" s="57"/>
      <c r="Q1003" s="57"/>
      <c r="R1003" s="57"/>
      <c r="S1003" s="57"/>
      <c r="T1003" s="57"/>
      <c r="U1003" s="57"/>
      <c r="V1003" s="57"/>
      <c r="W1003" s="57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3" t="s">
        <v>27</v>
      </c>
      <c r="B1004" s="53" t="s">
        <v>37</v>
      </c>
      <c r="C1004" s="53" t="s">
        <v>23</v>
      </c>
      <c r="D1004" s="53" t="s">
        <v>47</v>
      </c>
      <c r="E1004" s="53" t="s">
        <v>25</v>
      </c>
      <c r="F1004" s="53" t="s">
        <v>25</v>
      </c>
      <c r="G1004" s="53" t="s">
        <v>25</v>
      </c>
      <c r="H1004" s="53" t="s">
        <v>25</v>
      </c>
      <c r="I1004" s="75">
        <v>44835</v>
      </c>
      <c r="J1004" s="76">
        <f>EFEITO!$J$1004*EFEITO!$Y$1004</f>
        <v>0</v>
      </c>
      <c r="K1004" s="76">
        <f ca="1">EFEITO!$L$1004*EFEITO!$Z$1004</f>
        <v>-2821.5648607107469</v>
      </c>
      <c r="L1004" s="76">
        <f>EFEITO!$N$1004*EFEITO!$AA$1004</f>
        <v>-1273.921804125466</v>
      </c>
      <c r="M1004" s="76">
        <f>$J$1004-EFEITO!$K$1004*EFEITO!$Y$1004</f>
        <v>0</v>
      </c>
      <c r="N1004" s="76">
        <f ca="1">$K$1004-EFEITO!$M$1004*EFEITO!$Z$1004</f>
        <v>0</v>
      </c>
      <c r="O1004" s="76">
        <f>$L$1004-EFEITO!$O$1004*EFEITO!$AA$1004</f>
        <v>0</v>
      </c>
      <c r="P1004" s="57"/>
      <c r="Q1004" s="57"/>
      <c r="R1004" s="57"/>
      <c r="S1004" s="57"/>
      <c r="T1004" s="57"/>
      <c r="U1004" s="57"/>
      <c r="V1004" s="57"/>
      <c r="W1004" s="57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3" t="s">
        <v>28</v>
      </c>
      <c r="B1005" s="53" t="s">
        <v>37</v>
      </c>
      <c r="C1005" s="53" t="s">
        <v>23</v>
      </c>
      <c r="D1005" s="53" t="s">
        <v>47</v>
      </c>
      <c r="E1005" s="53" t="s">
        <v>25</v>
      </c>
      <c r="F1005" s="53" t="s">
        <v>25</v>
      </c>
      <c r="G1005" s="53" t="s">
        <v>25</v>
      </c>
      <c r="H1005" s="53" t="s">
        <v>25</v>
      </c>
      <c r="I1005" s="75">
        <v>44835</v>
      </c>
      <c r="J1005" s="76">
        <f>EFEITO!$J$1005*EFEITO!$Y$1005</f>
        <v>0</v>
      </c>
      <c r="K1005" s="76">
        <f ca="1">EFEITO!$L$1005*EFEITO!$Z$1005</f>
        <v>9819.0457152733979</v>
      </c>
      <c r="L1005" s="76">
        <f>EFEITO!$N$1005*EFEITO!$AA$1005</f>
        <v>4433.2478783566221</v>
      </c>
      <c r="M1005" s="76">
        <f>$J$1005-EFEITO!$K$1005*EFEITO!$Y$1005</f>
        <v>0</v>
      </c>
      <c r="N1005" s="76">
        <f ca="1">$K$1005-EFEITO!$M$1005*EFEITO!$Z$1005</f>
        <v>0</v>
      </c>
      <c r="O1005" s="76">
        <f>$L$1005-EFEITO!$O$1005*EFEITO!$AA$1005</f>
        <v>0</v>
      </c>
      <c r="P1005" s="57"/>
      <c r="Q1005" s="57"/>
      <c r="R1005" s="57"/>
      <c r="S1005" s="57"/>
      <c r="T1005" s="57"/>
      <c r="U1005" s="57"/>
      <c r="V1005" s="57"/>
      <c r="W1005" s="57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3" t="s">
        <v>54</v>
      </c>
      <c r="B1006" s="53" t="s">
        <v>37</v>
      </c>
      <c r="C1006" s="53" t="s">
        <v>23</v>
      </c>
      <c r="D1006" s="53" t="s">
        <v>47</v>
      </c>
      <c r="E1006" s="53" t="s">
        <v>25</v>
      </c>
      <c r="F1006" s="53" t="s">
        <v>25</v>
      </c>
      <c r="G1006" s="53" t="s">
        <v>25</v>
      </c>
      <c r="H1006" s="53" t="s">
        <v>25</v>
      </c>
      <c r="I1006" s="75">
        <v>44866</v>
      </c>
      <c r="J1006" s="76">
        <f>EFEITO!$J$1006*EFEITO!$Y$1006</f>
        <v>0</v>
      </c>
      <c r="K1006" s="76">
        <f ca="1">EFEITO!$L$1006*EFEITO!$Z$1006</f>
        <v>2052313.8019604525</v>
      </c>
      <c r="L1006" s="76">
        <f>EFEITO!$N$1006*EFEITO!$AA$1006</f>
        <v>926608.96711283457</v>
      </c>
      <c r="M1006" s="76">
        <f>$J$1006-EFEITO!$K$1006*EFEITO!$Y$1006</f>
        <v>0</v>
      </c>
      <c r="N1006" s="76">
        <f ca="1">$K$1006-EFEITO!$M$1006*EFEITO!$Z$1006</f>
        <v>0</v>
      </c>
      <c r="O1006" s="76">
        <f>$L$1006-EFEITO!$O$1006*EFEITO!$AA$1006</f>
        <v>0</v>
      </c>
      <c r="P1006" s="57"/>
      <c r="Q1006" s="57"/>
      <c r="R1006" s="57"/>
      <c r="S1006" s="57"/>
      <c r="T1006" s="57"/>
      <c r="U1006" s="57"/>
      <c r="V1006" s="57"/>
      <c r="W1006" s="57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3" t="s">
        <v>54</v>
      </c>
      <c r="B1007" s="53" t="s">
        <v>37</v>
      </c>
      <c r="C1007" s="53" t="s">
        <v>23</v>
      </c>
      <c r="D1007" s="53" t="s">
        <v>47</v>
      </c>
      <c r="E1007" s="53" t="s">
        <v>25</v>
      </c>
      <c r="F1007" s="53" t="s">
        <v>25</v>
      </c>
      <c r="G1007" s="53" t="s">
        <v>25</v>
      </c>
      <c r="H1007" s="53" t="s">
        <v>25</v>
      </c>
      <c r="I1007" s="75">
        <v>44866</v>
      </c>
      <c r="J1007" s="76">
        <f>EFEITO!$J$1007*EFEITO!$Y$1007</f>
        <v>0</v>
      </c>
      <c r="K1007" s="76">
        <f ca="1">EFEITO!$L$1007*EFEITO!$Z$1007</f>
        <v>-2821.5648607107469</v>
      </c>
      <c r="L1007" s="76">
        <f>EFEITO!$N$1007*EFEITO!$AA$1007</f>
        <v>-1273.921804125466</v>
      </c>
      <c r="M1007" s="76">
        <f>$J$1007-EFEITO!$K$1007*EFEITO!$Y$1007</f>
        <v>0</v>
      </c>
      <c r="N1007" s="76">
        <f ca="1">$K$1007-EFEITO!$M$1007*EFEITO!$Z$1007</f>
        <v>0</v>
      </c>
      <c r="O1007" s="76">
        <f>$L$1007-EFEITO!$O$1007*EFEITO!$AA$1007</f>
        <v>0</v>
      </c>
      <c r="P1007" s="57"/>
      <c r="Q1007" s="57"/>
      <c r="R1007" s="57"/>
      <c r="S1007" s="57"/>
      <c r="T1007" s="57"/>
      <c r="U1007" s="57"/>
      <c r="V1007" s="57"/>
      <c r="W1007" s="57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3" t="s">
        <v>54</v>
      </c>
      <c r="B1008" s="53" t="s">
        <v>37</v>
      </c>
      <c r="C1008" s="53" t="s">
        <v>23</v>
      </c>
      <c r="D1008" s="53" t="s">
        <v>47</v>
      </c>
      <c r="E1008" s="53" t="s">
        <v>25</v>
      </c>
      <c r="F1008" s="53" t="s">
        <v>25</v>
      </c>
      <c r="G1008" s="53" t="s">
        <v>25</v>
      </c>
      <c r="H1008" s="53" t="s">
        <v>25</v>
      </c>
      <c r="I1008" s="75">
        <v>44866</v>
      </c>
      <c r="J1008" s="76">
        <f>EFEITO!$J$1008*EFEITO!$Y$1008</f>
        <v>0</v>
      </c>
      <c r="K1008" s="76">
        <f ca="1">EFEITO!$L$1008*EFEITO!$Z$1008</f>
        <v>9819.0457152733979</v>
      </c>
      <c r="L1008" s="76">
        <f>EFEITO!$N$1008*EFEITO!$AA$1008</f>
        <v>4433.2478783566221</v>
      </c>
      <c r="M1008" s="76">
        <f>$J$1008-EFEITO!$K$1008*EFEITO!$Y$1008</f>
        <v>0</v>
      </c>
      <c r="N1008" s="76">
        <f ca="1">$K$1008-EFEITO!$M$1008*EFEITO!$Z$1008</f>
        <v>0</v>
      </c>
      <c r="O1008" s="76">
        <f>$L$1008-EFEITO!$O$1008*EFEITO!$AA$1008</f>
        <v>0</v>
      </c>
      <c r="P1008" s="57"/>
      <c r="Q1008" s="57"/>
      <c r="R1008" s="57"/>
      <c r="S1008" s="57"/>
      <c r="T1008" s="57"/>
      <c r="U1008" s="57"/>
      <c r="V1008" s="57"/>
      <c r="W1008" s="57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3" t="s">
        <v>21</v>
      </c>
      <c r="B1009" s="53" t="s">
        <v>37</v>
      </c>
      <c r="C1009" s="53" t="s">
        <v>23</v>
      </c>
      <c r="D1009" s="53" t="s">
        <v>51</v>
      </c>
      <c r="E1009" s="53" t="s">
        <v>52</v>
      </c>
      <c r="F1009" s="53" t="s">
        <v>25</v>
      </c>
      <c r="G1009" s="53" t="s">
        <v>25</v>
      </c>
      <c r="H1009" s="53" t="s">
        <v>25</v>
      </c>
      <c r="I1009" s="75">
        <v>44531</v>
      </c>
      <c r="J1009" s="76">
        <f>EFEITO!$J$1009*EFEITO!$Y$1008</f>
        <v>0</v>
      </c>
      <c r="K1009" s="76">
        <f ca="1">EFEITO!$L$1009*EFEITO!$Z$1008</f>
        <v>163511.54814836005</v>
      </c>
      <c r="L1009" s="76">
        <f>EFEITO!$N$1009*EFEITO!$AA$1008</f>
        <v>73824.610347619746</v>
      </c>
      <c r="M1009" s="76">
        <f>$J$1009-EFEITO!$K$1009*EFEITO!$Y$1009</f>
        <v>0</v>
      </c>
      <c r="N1009" s="76">
        <f ca="1">$K$1009-EFEITO!$M$1009*EFEITO!$Z$1009</f>
        <v>4905.3464444507845</v>
      </c>
      <c r="O1009" s="76">
        <f>$L$1009-EFEITO!$O$1009*EFEITO!$AA$1009</f>
        <v>2214.7383104285982</v>
      </c>
      <c r="P1009" s="57"/>
      <c r="Q1009" s="57"/>
      <c r="R1009" s="57"/>
      <c r="S1009" s="57"/>
      <c r="T1009" s="57"/>
      <c r="U1009" s="57"/>
      <c r="V1009" s="57"/>
      <c r="W1009" s="57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3" t="s">
        <v>27</v>
      </c>
      <c r="B1010" s="53" t="s">
        <v>37</v>
      </c>
      <c r="C1010" s="53" t="s">
        <v>23</v>
      </c>
      <c r="D1010" s="53" t="s">
        <v>51</v>
      </c>
      <c r="E1010" s="53" t="s">
        <v>52</v>
      </c>
      <c r="F1010" s="53" t="s">
        <v>25</v>
      </c>
      <c r="G1010" s="53" t="s">
        <v>25</v>
      </c>
      <c r="H1010" s="53" t="s">
        <v>25</v>
      </c>
      <c r="I1010" s="75">
        <v>44531</v>
      </c>
      <c r="J1010" s="76">
        <f>EFEITO!$J$1010*EFEITO!$Y$1008</f>
        <v>0</v>
      </c>
      <c r="K1010" s="76">
        <f ca="1">EFEITO!$L$1010*EFEITO!$Z$1008</f>
        <v>-40579.820405548853</v>
      </c>
      <c r="L1010" s="76">
        <f>EFEITO!$N$1010*EFEITO!$AA$1008</f>
        <v>-18321.577058874413</v>
      </c>
      <c r="M1010" s="76">
        <f>$J$1010-EFEITO!$K$1010*EFEITO!$Y$1010</f>
        <v>0</v>
      </c>
      <c r="N1010" s="76">
        <f ca="1">$K$1010-EFEITO!$M$1010*EFEITO!$Z$1010</f>
        <v>-1217.3946121664703</v>
      </c>
      <c r="O1010" s="76">
        <f>$L$1010-EFEITO!$O$1010*EFEITO!$AA$1010</f>
        <v>-549.64731176623536</v>
      </c>
      <c r="P1010" s="57"/>
      <c r="Q1010" s="57"/>
      <c r="R1010" s="57"/>
      <c r="S1010" s="57"/>
      <c r="T1010" s="57"/>
      <c r="U1010" s="57"/>
      <c r="V1010" s="57"/>
      <c r="W1010" s="57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3" t="s">
        <v>21</v>
      </c>
      <c r="B1011" s="53" t="s">
        <v>37</v>
      </c>
      <c r="C1011" s="53" t="s">
        <v>23</v>
      </c>
      <c r="D1011" s="53" t="s">
        <v>51</v>
      </c>
      <c r="E1011" s="53" t="s">
        <v>52</v>
      </c>
      <c r="F1011" s="53" t="s">
        <v>25</v>
      </c>
      <c r="G1011" s="53" t="s">
        <v>25</v>
      </c>
      <c r="H1011" s="53" t="s">
        <v>25</v>
      </c>
      <c r="I1011" s="75">
        <v>44562</v>
      </c>
      <c r="J1011" s="76">
        <f>EFEITO!$J$1011*EFEITO!$Y$1008</f>
        <v>0</v>
      </c>
      <c r="K1011" s="76">
        <f ca="1">EFEITO!$L$1011*EFEITO!$Z$1008</f>
        <v>157678.98825743535</v>
      </c>
      <c r="L1011" s="76">
        <f>EFEITO!$N$1011*EFEITO!$AA$1008</f>
        <v>71191.240006792286</v>
      </c>
      <c r="M1011" s="76">
        <f>$J$1011-EFEITO!$K$1011*EFEITO!$Y$1011</f>
        <v>0</v>
      </c>
      <c r="N1011" s="76">
        <f ca="1">$K$1011-EFEITO!$M$1011*EFEITO!$Z$1011</f>
        <v>4730.3696477230696</v>
      </c>
      <c r="O1011" s="76">
        <f>$L$1011-EFEITO!$O$1011*EFEITO!$AA$1011</f>
        <v>2135.7372002037737</v>
      </c>
      <c r="P1011" s="57"/>
      <c r="Q1011" s="57"/>
      <c r="R1011" s="57"/>
      <c r="S1011" s="57"/>
      <c r="T1011" s="57"/>
      <c r="U1011" s="57"/>
      <c r="V1011" s="57"/>
      <c r="W1011" s="57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3" t="s">
        <v>21</v>
      </c>
      <c r="B1012" s="53" t="s">
        <v>37</v>
      </c>
      <c r="C1012" s="53" t="s">
        <v>23</v>
      </c>
      <c r="D1012" s="53" t="s">
        <v>51</v>
      </c>
      <c r="E1012" s="53" t="s">
        <v>52</v>
      </c>
      <c r="F1012" s="53" t="s">
        <v>25</v>
      </c>
      <c r="G1012" s="53" t="s">
        <v>25</v>
      </c>
      <c r="H1012" s="53" t="s">
        <v>25</v>
      </c>
      <c r="I1012" s="75">
        <v>44593</v>
      </c>
      <c r="J1012" s="76">
        <f>EFEITO!$J$1012*EFEITO!$Y$1008</f>
        <v>0</v>
      </c>
      <c r="K1012" s="76">
        <f ca="1">EFEITO!$L$1012*EFEITO!$Z$1008</f>
        <v>146769.60038541505</v>
      </c>
      <c r="L1012" s="76">
        <f>EFEITO!$N$1012*EFEITO!$AA$1008</f>
        <v>66265.708336991229</v>
      </c>
      <c r="M1012" s="76">
        <f>$J$1012-EFEITO!$K$1012*EFEITO!$Y$1012</f>
        <v>0</v>
      </c>
      <c r="N1012" s="76">
        <f ca="1">$K$1012-EFEITO!$M$1012*EFEITO!$Z$1012</f>
        <v>4403.0880115624459</v>
      </c>
      <c r="O1012" s="76">
        <f>$L$1012-EFEITO!$O$1012*EFEITO!$AA$1012</f>
        <v>1987.9712501097383</v>
      </c>
      <c r="P1012" s="57"/>
      <c r="Q1012" s="57"/>
      <c r="R1012" s="57"/>
      <c r="S1012" s="57"/>
      <c r="T1012" s="57"/>
      <c r="U1012" s="57"/>
      <c r="V1012" s="57"/>
      <c r="W1012" s="57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3" t="s">
        <v>21</v>
      </c>
      <c r="B1013" s="53" t="s">
        <v>37</v>
      </c>
      <c r="C1013" s="53" t="s">
        <v>23</v>
      </c>
      <c r="D1013" s="53" t="s">
        <v>51</v>
      </c>
      <c r="E1013" s="53" t="s">
        <v>52</v>
      </c>
      <c r="F1013" s="53" t="s">
        <v>25</v>
      </c>
      <c r="G1013" s="53" t="s">
        <v>25</v>
      </c>
      <c r="H1013" s="53" t="s">
        <v>25</v>
      </c>
      <c r="I1013" s="75">
        <v>44621</v>
      </c>
      <c r="J1013" s="76">
        <f>EFEITO!$J$1013*EFEITO!$Y$1008</f>
        <v>0</v>
      </c>
      <c r="K1013" s="76">
        <f ca="1">EFEITO!$L$1013*EFEITO!$Z$1008</f>
        <v>169771.69319879336</v>
      </c>
      <c r="L1013" s="76">
        <f>EFEITO!$N$1013*EFEITO!$AA$1008</f>
        <v>76651.033155680314</v>
      </c>
      <c r="M1013" s="76">
        <f>$J$1013-EFEITO!$K$1013*EFEITO!$Y$1013</f>
        <v>0</v>
      </c>
      <c r="N1013" s="76">
        <f ca="1">$K$1013-EFEITO!$M$1013*EFEITO!$Z$1013</f>
        <v>5093.1507959637966</v>
      </c>
      <c r="O1013" s="76">
        <f>$L$1013-EFEITO!$O$1013*EFEITO!$AA$1013</f>
        <v>2299.5309946704074</v>
      </c>
      <c r="P1013" s="57"/>
      <c r="Q1013" s="57"/>
      <c r="R1013" s="57"/>
      <c r="S1013" s="57"/>
      <c r="T1013" s="57"/>
      <c r="U1013" s="57"/>
      <c r="V1013" s="57"/>
      <c r="W1013" s="57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3" t="s">
        <v>21</v>
      </c>
      <c r="B1014" s="53" t="s">
        <v>37</v>
      </c>
      <c r="C1014" s="53" t="s">
        <v>23</v>
      </c>
      <c r="D1014" s="53" t="s">
        <v>51</v>
      </c>
      <c r="E1014" s="53" t="s">
        <v>52</v>
      </c>
      <c r="F1014" s="53" t="s">
        <v>25</v>
      </c>
      <c r="G1014" s="53" t="s">
        <v>25</v>
      </c>
      <c r="H1014" s="53" t="s">
        <v>25</v>
      </c>
      <c r="I1014" s="75">
        <v>44652</v>
      </c>
      <c r="J1014" s="76">
        <f>EFEITO!$J$1014*EFEITO!$Y$1008</f>
        <v>0</v>
      </c>
      <c r="K1014" s="76">
        <f ca="1">EFEITO!$L$1014*EFEITO!$Z$1008</f>
        <v>312545.85830303276</v>
      </c>
      <c r="L1014" s="76">
        <f>EFEITO!$N$1014*EFEITO!$AA$1008</f>
        <v>141112.82332210726</v>
      </c>
      <c r="M1014" s="76">
        <f>$J$1014-EFEITO!$K$1014*EFEITO!$Y$1014</f>
        <v>0</v>
      </c>
      <c r="N1014" s="76">
        <f ca="1">$K$1014-EFEITO!$M$1014*EFEITO!$Z$1014</f>
        <v>9376.3757490909775</v>
      </c>
      <c r="O1014" s="76">
        <f>$L$1014-EFEITO!$O$1014*EFEITO!$AA$1014</f>
        <v>4233.3846996632346</v>
      </c>
      <c r="P1014" s="57"/>
      <c r="Q1014" s="57"/>
      <c r="R1014" s="57"/>
      <c r="S1014" s="57"/>
      <c r="T1014" s="57"/>
      <c r="U1014" s="57"/>
      <c r="V1014" s="57"/>
      <c r="W1014" s="57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3" t="s">
        <v>21</v>
      </c>
      <c r="B1015" s="53" t="s">
        <v>37</v>
      </c>
      <c r="C1015" s="53" t="s">
        <v>23</v>
      </c>
      <c r="D1015" s="53" t="s">
        <v>51</v>
      </c>
      <c r="E1015" s="53" t="s">
        <v>52</v>
      </c>
      <c r="F1015" s="53" t="s">
        <v>25</v>
      </c>
      <c r="G1015" s="53" t="s">
        <v>25</v>
      </c>
      <c r="H1015" s="53" t="s">
        <v>25</v>
      </c>
      <c r="I1015" s="75">
        <v>44682</v>
      </c>
      <c r="J1015" s="76">
        <f>EFEITO!$J$1015*EFEITO!$Y$1008</f>
        <v>0</v>
      </c>
      <c r="K1015" s="76">
        <f ca="1">EFEITO!$L$1015*EFEITO!$Z$1008</f>
        <v>198069.37849348097</v>
      </c>
      <c r="L1015" s="76">
        <f>EFEITO!$N$1015*EFEITO!$AA$1008</f>
        <v>89427.290333090161</v>
      </c>
      <c r="M1015" s="76">
        <f>$J$1015-EFEITO!$K$1015*EFEITO!$Y$1015</f>
        <v>0</v>
      </c>
      <c r="N1015" s="76">
        <f ca="1">$K$1015-EFEITO!$M$1015*EFEITO!$Z$1015</f>
        <v>5942.0813548044243</v>
      </c>
      <c r="O1015" s="76">
        <f>$L$1015-EFEITO!$O$1015*EFEITO!$AA$1015</f>
        <v>2682.8187099927163</v>
      </c>
      <c r="P1015" s="57"/>
      <c r="Q1015" s="57"/>
      <c r="R1015" s="57"/>
      <c r="S1015" s="57"/>
      <c r="T1015" s="57"/>
      <c r="U1015" s="57"/>
      <c r="V1015" s="57"/>
      <c r="W1015" s="57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3" t="s">
        <v>27</v>
      </c>
      <c r="B1016" s="53" t="s">
        <v>37</v>
      </c>
      <c r="C1016" s="53" t="s">
        <v>23</v>
      </c>
      <c r="D1016" s="53" t="s">
        <v>51</v>
      </c>
      <c r="E1016" s="53" t="s">
        <v>52</v>
      </c>
      <c r="F1016" s="53" t="s">
        <v>25</v>
      </c>
      <c r="G1016" s="53" t="s">
        <v>25</v>
      </c>
      <c r="H1016" s="53" t="s">
        <v>25</v>
      </c>
      <c r="I1016" s="75">
        <v>44682</v>
      </c>
      <c r="J1016" s="76">
        <f>EFEITO!$J$1016*EFEITO!$Y$1008</f>
        <v>0</v>
      </c>
      <c r="K1016" s="76">
        <f ca="1">EFEITO!$L$1016*EFEITO!$Z$1008</f>
        <v>4920.7096786703551</v>
      </c>
      <c r="L1016" s="76">
        <f>EFEITO!$N$1016*EFEITO!$AA$1008</f>
        <v>2221.6747304722007</v>
      </c>
      <c r="M1016" s="76">
        <f>$J$1016-EFEITO!$K$1016*EFEITO!$Y$1016</f>
        <v>0</v>
      </c>
      <c r="N1016" s="76">
        <f ca="1">$K$1016-EFEITO!$M$1016*EFEITO!$Z$1016</f>
        <v>147.62129036011083</v>
      </c>
      <c r="O1016" s="76">
        <f>$L$1016-EFEITO!$O$1016*EFEITO!$AA$1016</f>
        <v>66.650241914166145</v>
      </c>
      <c r="P1016" s="57"/>
      <c r="Q1016" s="57"/>
      <c r="R1016" s="57"/>
      <c r="S1016" s="57"/>
      <c r="T1016" s="57"/>
      <c r="U1016" s="57"/>
      <c r="V1016" s="57"/>
      <c r="W1016" s="57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3" t="s">
        <v>21</v>
      </c>
      <c r="B1017" s="53" t="s">
        <v>37</v>
      </c>
      <c r="C1017" s="53" t="s">
        <v>23</v>
      </c>
      <c r="D1017" s="53" t="s">
        <v>51</v>
      </c>
      <c r="E1017" s="53" t="s">
        <v>52</v>
      </c>
      <c r="F1017" s="53" t="s">
        <v>25</v>
      </c>
      <c r="G1017" s="53" t="s">
        <v>25</v>
      </c>
      <c r="H1017" s="53" t="s">
        <v>25</v>
      </c>
      <c r="I1017" s="75">
        <v>44713</v>
      </c>
      <c r="J1017" s="76">
        <f>EFEITO!$J$1017*EFEITO!$Y$1008</f>
        <v>0</v>
      </c>
      <c r="K1017" s="76">
        <f ca="1">EFEITO!$L$1017*EFEITO!$Z$1008</f>
        <v>233895.54574779538</v>
      </c>
      <c r="L1017" s="76">
        <f>EFEITO!$N$1017*EFEITO!$AA$1008</f>
        <v>105602.61781148112</v>
      </c>
      <c r="M1017" s="76">
        <f>$J$1017-EFEITO!$K$1017*EFEITO!$Y$1017</f>
        <v>0</v>
      </c>
      <c r="N1017" s="76">
        <f ca="1">$K$1017-EFEITO!$M$1017*EFEITO!$Z$1017</f>
        <v>7016.8663724338694</v>
      </c>
      <c r="O1017" s="76">
        <f>$L$1017-EFEITO!$O$1017*EFEITO!$AA$1017</f>
        <v>3168.0785343444295</v>
      </c>
      <c r="P1017" s="57"/>
      <c r="Q1017" s="57"/>
      <c r="R1017" s="57"/>
      <c r="S1017" s="57"/>
      <c r="T1017" s="57"/>
      <c r="U1017" s="57"/>
      <c r="V1017" s="57"/>
      <c r="W1017" s="57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3" t="s">
        <v>27</v>
      </c>
      <c r="B1018" s="53" t="s">
        <v>37</v>
      </c>
      <c r="C1018" s="53" t="s">
        <v>23</v>
      </c>
      <c r="D1018" s="53" t="s">
        <v>51</v>
      </c>
      <c r="E1018" s="53" t="s">
        <v>52</v>
      </c>
      <c r="F1018" s="53" t="s">
        <v>25</v>
      </c>
      <c r="G1018" s="53" t="s">
        <v>25</v>
      </c>
      <c r="H1018" s="53" t="s">
        <v>25</v>
      </c>
      <c r="I1018" s="75">
        <v>44713</v>
      </c>
      <c r="J1018" s="76">
        <f>EFEITO!$J$1018*EFEITO!$Y$1008</f>
        <v>0</v>
      </c>
      <c r="K1018" s="76">
        <f ca="1">EFEITO!$L$1018*EFEITO!$Z$1008</f>
        <v>369.41369013358326</v>
      </c>
      <c r="L1018" s="76">
        <f>EFEITO!$N$1018*EFEITO!$AA$1008</f>
        <v>166.78835250488481</v>
      </c>
      <c r="M1018" s="76">
        <f>$J$1018-EFEITO!$K$1018*EFEITO!$Y$1018</f>
        <v>0</v>
      </c>
      <c r="N1018" s="76">
        <f ca="1">$K$1018-EFEITO!$M$1018*EFEITO!$Z$1018</f>
        <v>11.082410704007486</v>
      </c>
      <c r="O1018" s="76">
        <f>$L$1018-EFEITO!$O$1018*EFEITO!$AA$1018</f>
        <v>5.003650575146537</v>
      </c>
      <c r="P1018" s="57"/>
      <c r="Q1018" s="57"/>
      <c r="R1018" s="57"/>
      <c r="S1018" s="57"/>
      <c r="T1018" s="57"/>
      <c r="U1018" s="57"/>
      <c r="V1018" s="57"/>
      <c r="W1018" s="57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3" t="s">
        <v>21</v>
      </c>
      <c r="B1019" s="53" t="s">
        <v>37</v>
      </c>
      <c r="C1019" s="53" t="s">
        <v>23</v>
      </c>
      <c r="D1019" s="53" t="s">
        <v>51</v>
      </c>
      <c r="E1019" s="53" t="s">
        <v>52</v>
      </c>
      <c r="F1019" s="53" t="s">
        <v>25</v>
      </c>
      <c r="G1019" s="53" t="s">
        <v>25</v>
      </c>
      <c r="H1019" s="53" t="s">
        <v>25</v>
      </c>
      <c r="I1019" s="75">
        <v>44743</v>
      </c>
      <c r="J1019" s="76">
        <f>EFEITO!$J$1019*EFEITO!$Y$1008</f>
        <v>0</v>
      </c>
      <c r="K1019" s="76">
        <f ca="1">EFEITO!$L$1019*EFEITO!$Z$1008</f>
        <v>87545.078257107947</v>
      </c>
      <c r="L1019" s="76">
        <f>EFEITO!$N$1019*EFEITO!$AA$1008</f>
        <v>39526.145788300964</v>
      </c>
      <c r="M1019" s="76">
        <f>$J$1019-EFEITO!$K$1019*EFEITO!$Y$1019</f>
        <v>0</v>
      </c>
      <c r="N1019" s="76">
        <f ca="1">$K$1019-EFEITO!$M$1019*EFEITO!$Z$1019</f>
        <v>2626.3523477132403</v>
      </c>
      <c r="O1019" s="76">
        <f>$L$1019-EFEITO!$O$1019*EFEITO!$AA$1019</f>
        <v>1185.7843736490322</v>
      </c>
      <c r="P1019" s="57"/>
      <c r="Q1019" s="57"/>
      <c r="R1019" s="57"/>
      <c r="S1019" s="57"/>
      <c r="T1019" s="57"/>
      <c r="U1019" s="57"/>
      <c r="V1019" s="57"/>
      <c r="W1019" s="57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3" t="s">
        <v>27</v>
      </c>
      <c r="B1020" s="53" t="s">
        <v>37</v>
      </c>
      <c r="C1020" s="53" t="s">
        <v>23</v>
      </c>
      <c r="D1020" s="53" t="s">
        <v>51</v>
      </c>
      <c r="E1020" s="53" t="s">
        <v>52</v>
      </c>
      <c r="F1020" s="53" t="s">
        <v>25</v>
      </c>
      <c r="G1020" s="53" t="s">
        <v>25</v>
      </c>
      <c r="H1020" s="53" t="s">
        <v>25</v>
      </c>
      <c r="I1020" s="75">
        <v>44743</v>
      </c>
      <c r="J1020" s="76">
        <f>EFEITO!$J$1020*EFEITO!$Y$1008</f>
        <v>0</v>
      </c>
      <c r="K1020" s="76">
        <f ca="1">EFEITO!$L$1020*EFEITO!$Z$1008</f>
        <v>22286.136267224407</v>
      </c>
      <c r="L1020" s="76">
        <f>EFEITO!$N$1020*EFEITO!$AA$1008</f>
        <v>10062.074175880156</v>
      </c>
      <c r="M1020" s="76">
        <f>$J$1020-EFEITO!$K$1020*EFEITO!$Y$1020</f>
        <v>0</v>
      </c>
      <c r="N1020" s="76">
        <f ca="1">$K$1020-EFEITO!$M$1020*EFEITO!$Z$1020</f>
        <v>668.58408801673068</v>
      </c>
      <c r="O1020" s="76">
        <f>$L$1020-EFEITO!$O$1020*EFEITO!$AA$1020</f>
        <v>301.86222527640348</v>
      </c>
      <c r="P1020" s="57"/>
      <c r="Q1020" s="57"/>
      <c r="R1020" s="57"/>
      <c r="S1020" s="57"/>
      <c r="T1020" s="57"/>
      <c r="U1020" s="57"/>
      <c r="V1020" s="57"/>
      <c r="W1020" s="57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3" t="s">
        <v>21</v>
      </c>
      <c r="B1021" s="53" t="s">
        <v>37</v>
      </c>
      <c r="C1021" s="53" t="s">
        <v>23</v>
      </c>
      <c r="D1021" s="53" t="s">
        <v>51</v>
      </c>
      <c r="E1021" s="53" t="s">
        <v>52</v>
      </c>
      <c r="F1021" s="53" t="s">
        <v>25</v>
      </c>
      <c r="G1021" s="53" t="s">
        <v>25</v>
      </c>
      <c r="H1021" s="53" t="s">
        <v>25</v>
      </c>
      <c r="I1021" s="75">
        <v>44774</v>
      </c>
      <c r="J1021" s="76">
        <f>EFEITO!$J$1021*EFEITO!$Y$1008</f>
        <v>0</v>
      </c>
      <c r="K1021" s="76">
        <f ca="1">EFEITO!$L$1021*EFEITO!$Z$1008</f>
        <v>295846.1718639927</v>
      </c>
      <c r="L1021" s="76">
        <f>EFEITO!$N$1021*EFEITO!$AA$1008</f>
        <v>133573.00207858899</v>
      </c>
      <c r="M1021" s="76">
        <f>$J$1021-EFEITO!$K$1021*EFEITO!$Y$1021</f>
        <v>0</v>
      </c>
      <c r="N1021" s="76">
        <f ca="1">$K$1021-EFEITO!$M$1021*EFEITO!$Z$1021</f>
        <v>8875.3851559197647</v>
      </c>
      <c r="O1021" s="76">
        <f>$L$1021-EFEITO!$O$1021*EFEITO!$AA$1021</f>
        <v>4007.1900623576657</v>
      </c>
      <c r="P1021" s="57"/>
      <c r="Q1021" s="57"/>
      <c r="R1021" s="57"/>
      <c r="S1021" s="57"/>
      <c r="T1021" s="57"/>
      <c r="U1021" s="57"/>
      <c r="V1021" s="57"/>
      <c r="W1021" s="57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3" t="s">
        <v>21</v>
      </c>
      <c r="B1022" s="53" t="s">
        <v>37</v>
      </c>
      <c r="C1022" s="53" t="s">
        <v>23</v>
      </c>
      <c r="D1022" s="53" t="s">
        <v>51</v>
      </c>
      <c r="E1022" s="53" t="s">
        <v>52</v>
      </c>
      <c r="F1022" s="53" t="s">
        <v>25</v>
      </c>
      <c r="G1022" s="53" t="s">
        <v>25</v>
      </c>
      <c r="H1022" s="53" t="s">
        <v>25</v>
      </c>
      <c r="I1022" s="75">
        <v>44805</v>
      </c>
      <c r="J1022" s="76">
        <f>EFEITO!$J$1022*EFEITO!$Y$1008</f>
        <v>0</v>
      </c>
      <c r="K1022" s="76">
        <f ca="1">EFEITO!$L$1022*EFEITO!$Z$1008</f>
        <v>232603.84081244268</v>
      </c>
      <c r="L1022" s="76">
        <f>EFEITO!$N$1022*EFEITO!$AA$1008</f>
        <v>105019.41977674668</v>
      </c>
      <c r="M1022" s="76">
        <f>$J$1022-EFEITO!$K$1022*EFEITO!$Y$1022</f>
        <v>0</v>
      </c>
      <c r="N1022" s="76">
        <f ca="1">$K$1022-EFEITO!$M$1022*EFEITO!$Z$1022</f>
        <v>6978.1152243732649</v>
      </c>
      <c r="O1022" s="76">
        <f>$L$1022-EFEITO!$O$1022*EFEITO!$AA$1022</f>
        <v>3150.5825933024025</v>
      </c>
      <c r="P1022" s="57"/>
      <c r="Q1022" s="57"/>
      <c r="R1022" s="57"/>
      <c r="S1022" s="57"/>
      <c r="T1022" s="57"/>
      <c r="U1022" s="57"/>
      <c r="V1022" s="57"/>
      <c r="W1022" s="57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3" t="s">
        <v>21</v>
      </c>
      <c r="B1023" s="53" t="s">
        <v>37</v>
      </c>
      <c r="C1023" s="53" t="s">
        <v>23</v>
      </c>
      <c r="D1023" s="53" t="s">
        <v>51</v>
      </c>
      <c r="E1023" s="53" t="s">
        <v>52</v>
      </c>
      <c r="F1023" s="53" t="s">
        <v>25</v>
      </c>
      <c r="G1023" s="53" t="s">
        <v>25</v>
      </c>
      <c r="H1023" s="53" t="s">
        <v>25</v>
      </c>
      <c r="I1023" s="75">
        <v>44835</v>
      </c>
      <c r="J1023" s="76">
        <f>EFEITO!$J$1023*EFEITO!$Y$1008</f>
        <v>0</v>
      </c>
      <c r="K1023" s="76">
        <f ca="1">EFEITO!$L$1023*EFEITO!$Z$1008</f>
        <v>254022.87415154735</v>
      </c>
      <c r="L1023" s="76">
        <f>EFEITO!$N$1023*EFEITO!$AA$1008</f>
        <v>114690.00150744714</v>
      </c>
      <c r="M1023" s="76">
        <f>$J$1023-EFEITO!$K$1023*EFEITO!$Y$1023</f>
        <v>0</v>
      </c>
      <c r="N1023" s="76">
        <f ca="1">$K$1023-EFEITO!$M$1023*EFEITO!$Z$1023</f>
        <v>7620.6862245463999</v>
      </c>
      <c r="O1023" s="76">
        <f>$L$1023-EFEITO!$O$1023*EFEITO!$AA$1023</f>
        <v>3440.7000452234206</v>
      </c>
      <c r="P1023" s="57"/>
      <c r="Q1023" s="57"/>
      <c r="R1023" s="57"/>
      <c r="S1023" s="57"/>
      <c r="T1023" s="57"/>
      <c r="U1023" s="57"/>
      <c r="V1023" s="57"/>
      <c r="W1023" s="57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3" t="s">
        <v>54</v>
      </c>
      <c r="B1024" s="53" t="s">
        <v>37</v>
      </c>
      <c r="C1024" s="53" t="s">
        <v>23</v>
      </c>
      <c r="D1024" s="53" t="s">
        <v>51</v>
      </c>
      <c r="E1024" s="53" t="s">
        <v>52</v>
      </c>
      <c r="F1024" s="53" t="s">
        <v>25</v>
      </c>
      <c r="G1024" s="53" t="s">
        <v>25</v>
      </c>
      <c r="H1024" s="53" t="s">
        <v>25</v>
      </c>
      <c r="I1024" s="75">
        <v>44866</v>
      </c>
      <c r="J1024" s="76">
        <f>EFEITO!$J$1024*EFEITO!$Y$1008</f>
        <v>0</v>
      </c>
      <c r="K1024" s="76">
        <f ca="1">EFEITO!$L$1024*EFEITO!$Z$1008</f>
        <v>254022.87415154735</v>
      </c>
      <c r="L1024" s="76">
        <f>EFEITO!$N$1024*EFEITO!$AA$1008</f>
        <v>114690.00150744714</v>
      </c>
      <c r="M1024" s="76">
        <f>$J$1024-EFEITO!$K$1024*EFEITO!$Y$1024</f>
        <v>0</v>
      </c>
      <c r="N1024" s="76">
        <f ca="1">$K$1024-EFEITO!$M$1024*EFEITO!$Z$1024</f>
        <v>7620.6862245463999</v>
      </c>
      <c r="O1024" s="76">
        <f>$L$1024-EFEITO!$O$1024*EFEITO!$AA$1024</f>
        <v>3440.7000452234206</v>
      </c>
      <c r="P1024" s="57"/>
      <c r="Q1024" s="57"/>
      <c r="R1024" s="57"/>
      <c r="S1024" s="57"/>
      <c r="T1024" s="57"/>
      <c r="U1024" s="57"/>
      <c r="V1024" s="57"/>
      <c r="W1024" s="57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3" t="s">
        <v>21</v>
      </c>
      <c r="B1025" s="53" t="s">
        <v>48</v>
      </c>
      <c r="C1025" s="53" t="s">
        <v>23</v>
      </c>
      <c r="D1025" s="53" t="s">
        <v>49</v>
      </c>
      <c r="E1025" s="53" t="s">
        <v>50</v>
      </c>
      <c r="F1025" s="53" t="s">
        <v>25</v>
      </c>
      <c r="G1025" s="53" t="s">
        <v>25</v>
      </c>
      <c r="H1025" s="53" t="s">
        <v>25</v>
      </c>
      <c r="I1025" s="75">
        <v>44531</v>
      </c>
      <c r="J1025" s="76">
        <f>EFEITO!$J$1025*EFEITO!$Y$1025</f>
        <v>0</v>
      </c>
      <c r="K1025" s="76">
        <f ca="1">EFEITO!$L$1025*EFEITO!$Z$1025</f>
        <v>786034.79550470086</v>
      </c>
      <c r="L1025" s="76">
        <f>EFEITO!$N$1025*EFEITO!$AA$1025</f>
        <v>354890.60653473792</v>
      </c>
      <c r="M1025" s="76">
        <f>$J$1025-EFEITO!$K$1025*EFEITO!$Y$1025</f>
        <v>0</v>
      </c>
      <c r="N1025" s="76">
        <f ca="1">$K$1025-EFEITO!$M$1025*EFEITO!$Z$1025</f>
        <v>0</v>
      </c>
      <c r="O1025" s="76">
        <f>$L$1025-EFEITO!$O$1025*EFEITO!$AA$1025</f>
        <v>0</v>
      </c>
      <c r="P1025" s="57"/>
      <c r="Q1025" s="57"/>
      <c r="R1025" s="57"/>
      <c r="S1025" s="57"/>
      <c r="T1025" s="57"/>
      <c r="U1025" s="57"/>
      <c r="V1025" s="57"/>
      <c r="W1025" s="57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3" t="s">
        <v>21</v>
      </c>
      <c r="B1026" s="53" t="s">
        <v>48</v>
      </c>
      <c r="C1026" s="53" t="s">
        <v>23</v>
      </c>
      <c r="D1026" s="53" t="s">
        <v>49</v>
      </c>
      <c r="E1026" s="53" t="s">
        <v>50</v>
      </c>
      <c r="F1026" s="53" t="s">
        <v>25</v>
      </c>
      <c r="G1026" s="53" t="s">
        <v>25</v>
      </c>
      <c r="H1026" s="53" t="s">
        <v>25</v>
      </c>
      <c r="I1026" s="75">
        <v>44562</v>
      </c>
      <c r="J1026" s="76">
        <f>EFEITO!$J$1026*EFEITO!$Y$1026</f>
        <v>0</v>
      </c>
      <c r="K1026" s="76">
        <f ca="1">EFEITO!$L$1026*EFEITO!$Z$1026</f>
        <v>785356.35209841304</v>
      </c>
      <c r="L1026" s="76">
        <f>EFEITO!$N$1026*EFEITO!$AA$1026</f>
        <v>354584.29287873447</v>
      </c>
      <c r="M1026" s="76">
        <f>$J$1026-EFEITO!$K$1026*EFEITO!$Y$1026</f>
        <v>0</v>
      </c>
      <c r="N1026" s="76">
        <f ca="1">$K$1026-EFEITO!$M$1026*EFEITO!$Z$1026</f>
        <v>0</v>
      </c>
      <c r="O1026" s="76">
        <f>$L$1026-EFEITO!$O$1026*EFEITO!$AA$1026</f>
        <v>0</v>
      </c>
      <c r="P1026" s="57"/>
      <c r="Q1026" s="57"/>
      <c r="R1026" s="57"/>
      <c r="S1026" s="57"/>
      <c r="T1026" s="57"/>
      <c r="U1026" s="57"/>
      <c r="V1026" s="57"/>
      <c r="W1026" s="57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3" t="s">
        <v>21</v>
      </c>
      <c r="B1027" s="53" t="s">
        <v>48</v>
      </c>
      <c r="C1027" s="53" t="s">
        <v>23</v>
      </c>
      <c r="D1027" s="53" t="s">
        <v>49</v>
      </c>
      <c r="E1027" s="53" t="s">
        <v>50</v>
      </c>
      <c r="F1027" s="53" t="s">
        <v>25</v>
      </c>
      <c r="G1027" s="53" t="s">
        <v>25</v>
      </c>
      <c r="H1027" s="53" t="s">
        <v>25</v>
      </c>
      <c r="I1027" s="75">
        <v>44593</v>
      </c>
      <c r="J1027" s="76">
        <f>EFEITO!$J$1027*EFEITO!$Y$1027</f>
        <v>0</v>
      </c>
      <c r="K1027" s="76">
        <f ca="1">EFEITO!$L$1027*EFEITO!$Z$1027</f>
        <v>707408.64648289606</v>
      </c>
      <c r="L1027" s="76">
        <f>EFEITO!$N$1027*EFEITO!$AA$1027</f>
        <v>319391.31073330651</v>
      </c>
      <c r="M1027" s="76">
        <f>$J$1027-EFEITO!$K$1027*EFEITO!$Y$1027</f>
        <v>0</v>
      </c>
      <c r="N1027" s="76">
        <f ca="1">$K$1027-EFEITO!$M$1027*EFEITO!$Z$1027</f>
        <v>0</v>
      </c>
      <c r="O1027" s="76">
        <f>$L$1027-EFEITO!$O$1027*EFEITO!$AA$1027</f>
        <v>0</v>
      </c>
      <c r="P1027" s="57"/>
      <c r="Q1027" s="57"/>
      <c r="R1027" s="57"/>
      <c r="S1027" s="57"/>
      <c r="T1027" s="57"/>
      <c r="U1027" s="57"/>
      <c r="V1027" s="57"/>
      <c r="W1027" s="57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3" t="s">
        <v>21</v>
      </c>
      <c r="B1028" s="53" t="s">
        <v>48</v>
      </c>
      <c r="C1028" s="53" t="s">
        <v>23</v>
      </c>
      <c r="D1028" s="53" t="s">
        <v>49</v>
      </c>
      <c r="E1028" s="53" t="s">
        <v>50</v>
      </c>
      <c r="F1028" s="53" t="s">
        <v>25</v>
      </c>
      <c r="G1028" s="53" t="s">
        <v>25</v>
      </c>
      <c r="H1028" s="53" t="s">
        <v>25</v>
      </c>
      <c r="I1028" s="75">
        <v>44621</v>
      </c>
      <c r="J1028" s="76">
        <f>EFEITO!$J$1028*EFEITO!$Y$1028</f>
        <v>0</v>
      </c>
      <c r="K1028" s="76">
        <f ca="1">EFEITO!$L$1028*EFEITO!$Z$1028</f>
        <v>755628.7176199992</v>
      </c>
      <c r="L1028" s="76">
        <f>EFEITO!$N$1028*EFEITO!$AA$1028</f>
        <v>341162.42111017834</v>
      </c>
      <c r="M1028" s="76">
        <f>$J$1028-EFEITO!$K$1028*EFEITO!$Y$1028</f>
        <v>0</v>
      </c>
      <c r="N1028" s="76">
        <f ca="1">$K$1028-EFEITO!$M$1028*EFEITO!$Z$1028</f>
        <v>0</v>
      </c>
      <c r="O1028" s="76">
        <f>$L$1028-EFEITO!$O$1028*EFEITO!$AA$1028</f>
        <v>0</v>
      </c>
      <c r="P1028" s="57"/>
      <c r="Q1028" s="57"/>
      <c r="R1028" s="57"/>
      <c r="S1028" s="57"/>
      <c r="T1028" s="57"/>
      <c r="U1028" s="57"/>
      <c r="V1028" s="57"/>
      <c r="W1028" s="57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3" t="s">
        <v>21</v>
      </c>
      <c r="B1029" s="53" t="s">
        <v>48</v>
      </c>
      <c r="C1029" s="53" t="s">
        <v>23</v>
      </c>
      <c r="D1029" s="53" t="s">
        <v>49</v>
      </c>
      <c r="E1029" s="53" t="s">
        <v>50</v>
      </c>
      <c r="F1029" s="53" t="s">
        <v>25</v>
      </c>
      <c r="G1029" s="53" t="s">
        <v>25</v>
      </c>
      <c r="H1029" s="53" t="s">
        <v>25</v>
      </c>
      <c r="I1029" s="75">
        <v>44652</v>
      </c>
      <c r="J1029" s="76">
        <f>EFEITO!$J$1029*EFEITO!$Y$1029</f>
        <v>0</v>
      </c>
      <c r="K1029" s="76">
        <f ca="1">EFEITO!$L$1029*EFEITO!$Z$1029</f>
        <v>747087.33116478054</v>
      </c>
      <c r="L1029" s="76">
        <f>EFEITO!$N$1029*EFEITO!$AA$1029</f>
        <v>337306.02971748717</v>
      </c>
      <c r="M1029" s="76">
        <f>$J$1029-EFEITO!$K$1029*EFEITO!$Y$1029</f>
        <v>0</v>
      </c>
      <c r="N1029" s="76">
        <f ca="1">$K$1029-EFEITO!$M$1029*EFEITO!$Z$1029</f>
        <v>0</v>
      </c>
      <c r="O1029" s="76">
        <f>$L$1029-EFEITO!$O$1029*EFEITO!$AA$1029</f>
        <v>0</v>
      </c>
      <c r="P1029" s="57"/>
      <c r="Q1029" s="57"/>
      <c r="R1029" s="57"/>
      <c r="S1029" s="57"/>
      <c r="T1029" s="57"/>
      <c r="U1029" s="57"/>
      <c r="V1029" s="57"/>
      <c r="W1029" s="57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3" t="s">
        <v>21</v>
      </c>
      <c r="B1030" s="53" t="s">
        <v>48</v>
      </c>
      <c r="C1030" s="53" t="s">
        <v>23</v>
      </c>
      <c r="D1030" s="53" t="s">
        <v>49</v>
      </c>
      <c r="E1030" s="53" t="s">
        <v>50</v>
      </c>
      <c r="F1030" s="53" t="s">
        <v>25</v>
      </c>
      <c r="G1030" s="53" t="s">
        <v>25</v>
      </c>
      <c r="H1030" s="53" t="s">
        <v>25</v>
      </c>
      <c r="I1030" s="75">
        <v>44682</v>
      </c>
      <c r="J1030" s="76">
        <f>EFEITO!$J$1030*EFEITO!$Y$1030</f>
        <v>0</v>
      </c>
      <c r="K1030" s="76">
        <f ca="1">EFEITO!$L$1030*EFEITO!$Z$1030</f>
        <v>766691.09148455528</v>
      </c>
      <c r="L1030" s="76">
        <f>EFEITO!$N$1030*EFEITO!$AA$1030</f>
        <v>346157.02515691856</v>
      </c>
      <c r="M1030" s="76">
        <f>$J$1030-EFEITO!$K$1030*EFEITO!$Y$1030</f>
        <v>0</v>
      </c>
      <c r="N1030" s="76">
        <f ca="1">$K$1030-EFEITO!$M$1030*EFEITO!$Z$1030</f>
        <v>0</v>
      </c>
      <c r="O1030" s="76">
        <f>$L$1030-EFEITO!$O$1030*EFEITO!$AA$1030</f>
        <v>0</v>
      </c>
      <c r="P1030" s="57"/>
      <c r="Q1030" s="57"/>
      <c r="R1030" s="57"/>
      <c r="S1030" s="57"/>
      <c r="T1030" s="57"/>
      <c r="U1030" s="57"/>
      <c r="V1030" s="57"/>
      <c r="W1030" s="57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3" t="s">
        <v>27</v>
      </c>
      <c r="B1031" s="53" t="s">
        <v>48</v>
      </c>
      <c r="C1031" s="53" t="s">
        <v>23</v>
      </c>
      <c r="D1031" s="53" t="s">
        <v>49</v>
      </c>
      <c r="E1031" s="53" t="s">
        <v>50</v>
      </c>
      <c r="F1031" s="53" t="s">
        <v>25</v>
      </c>
      <c r="G1031" s="53" t="s">
        <v>25</v>
      </c>
      <c r="H1031" s="53" t="s">
        <v>25</v>
      </c>
      <c r="I1031" s="75">
        <v>44682</v>
      </c>
      <c r="J1031" s="76">
        <f>EFEITO!$J$1031*EFEITO!$Y$1031</f>
        <v>0</v>
      </c>
      <c r="K1031" s="76">
        <f ca="1">EFEITO!$L$1031*EFEITO!$Z$1031</f>
        <v>6441.520708792299</v>
      </c>
      <c r="L1031" s="76">
        <f>EFEITO!$N$1031*EFEITO!$AA$1031</f>
        <v>2908.3129709055002</v>
      </c>
      <c r="M1031" s="76">
        <f>$J$1031-EFEITO!$K$1031*EFEITO!$Y$1031</f>
        <v>0</v>
      </c>
      <c r="N1031" s="76">
        <f ca="1">$K$1031-EFEITO!$M$1031*EFEITO!$Z$1031</f>
        <v>0</v>
      </c>
      <c r="O1031" s="76">
        <f>$L$1031-EFEITO!$O$1031*EFEITO!$AA$1031</f>
        <v>0</v>
      </c>
      <c r="P1031" s="57"/>
      <c r="Q1031" s="57"/>
      <c r="R1031" s="57"/>
      <c r="S1031" s="57"/>
      <c r="T1031" s="57"/>
      <c r="U1031" s="57"/>
      <c r="V1031" s="57"/>
      <c r="W1031" s="57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3" t="s">
        <v>21</v>
      </c>
      <c r="B1032" s="53" t="s">
        <v>48</v>
      </c>
      <c r="C1032" s="53" t="s">
        <v>23</v>
      </c>
      <c r="D1032" s="53" t="s">
        <v>49</v>
      </c>
      <c r="E1032" s="53" t="s">
        <v>50</v>
      </c>
      <c r="F1032" s="53" t="s">
        <v>25</v>
      </c>
      <c r="G1032" s="53" t="s">
        <v>25</v>
      </c>
      <c r="H1032" s="53" t="s">
        <v>25</v>
      </c>
      <c r="I1032" s="75">
        <v>44713</v>
      </c>
      <c r="J1032" s="76">
        <f>EFEITO!$J$1032*EFEITO!$Y$1032</f>
        <v>0</v>
      </c>
      <c r="K1032" s="76">
        <f ca="1">EFEITO!$L$1032*EFEITO!$Z$1032</f>
        <v>1078376.6335308955</v>
      </c>
      <c r="L1032" s="76">
        <f>EFEITO!$N$1032*EFEITO!$AA$1032</f>
        <v>486881.4201805644</v>
      </c>
      <c r="M1032" s="76">
        <f>$J$1032-EFEITO!$K$1032*EFEITO!$Y$1032</f>
        <v>0</v>
      </c>
      <c r="N1032" s="76">
        <f ca="1">$K$1032-EFEITO!$M$1032*EFEITO!$Z$1032</f>
        <v>0</v>
      </c>
      <c r="O1032" s="76">
        <f>$L$1032-EFEITO!$O$1032*EFEITO!$AA$1032</f>
        <v>0</v>
      </c>
      <c r="P1032" s="57"/>
      <c r="Q1032" s="57"/>
      <c r="R1032" s="57"/>
      <c r="S1032" s="57"/>
      <c r="T1032" s="57"/>
      <c r="U1032" s="57"/>
      <c r="V1032" s="57"/>
      <c r="W1032" s="57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3" t="s">
        <v>21</v>
      </c>
      <c r="B1033" s="53" t="s">
        <v>48</v>
      </c>
      <c r="C1033" s="53" t="s">
        <v>23</v>
      </c>
      <c r="D1033" s="53" t="s">
        <v>49</v>
      </c>
      <c r="E1033" s="53" t="s">
        <v>50</v>
      </c>
      <c r="F1033" s="53" t="s">
        <v>25</v>
      </c>
      <c r="G1033" s="53" t="s">
        <v>25</v>
      </c>
      <c r="H1033" s="53" t="s">
        <v>25</v>
      </c>
      <c r="I1033" s="75">
        <v>44743</v>
      </c>
      <c r="J1033" s="76">
        <f>EFEITO!$J$1033*EFEITO!$Y$1033</f>
        <v>0</v>
      </c>
      <c r="K1033" s="76">
        <f ca="1">EFEITO!$L$1033*EFEITO!$Z$1033</f>
        <v>808313.77220646362</v>
      </c>
      <c r="L1033" s="76">
        <f>EFEITO!$N$1033*EFEITO!$AA$1033</f>
        <v>364949.44820418995</v>
      </c>
      <c r="M1033" s="76">
        <f>$J$1033-EFEITO!$K$1033*EFEITO!$Y$1033</f>
        <v>0</v>
      </c>
      <c r="N1033" s="76">
        <f ca="1">$K$1033-EFEITO!$M$1033*EFEITO!$Z$1033</f>
        <v>0</v>
      </c>
      <c r="O1033" s="76">
        <f>$L$1033-EFEITO!$O$1033*EFEITO!$AA$1033</f>
        <v>0</v>
      </c>
      <c r="P1033" s="57"/>
      <c r="Q1033" s="57"/>
      <c r="R1033" s="57"/>
      <c r="S1033" s="57"/>
      <c r="T1033" s="57"/>
      <c r="U1033" s="57"/>
      <c r="V1033" s="57"/>
      <c r="W1033" s="57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3" t="s">
        <v>27</v>
      </c>
      <c r="B1034" s="53" t="s">
        <v>48</v>
      </c>
      <c r="C1034" s="53" t="s">
        <v>23</v>
      </c>
      <c r="D1034" s="53" t="s">
        <v>49</v>
      </c>
      <c r="E1034" s="53" t="s">
        <v>50</v>
      </c>
      <c r="F1034" s="53" t="s">
        <v>25</v>
      </c>
      <c r="G1034" s="53" t="s">
        <v>25</v>
      </c>
      <c r="H1034" s="53" t="s">
        <v>25</v>
      </c>
      <c r="I1034" s="75">
        <v>44743</v>
      </c>
      <c r="J1034" s="76">
        <f>EFEITO!$J$1034*EFEITO!$Y$1034</f>
        <v>0</v>
      </c>
      <c r="K1034" s="76">
        <f ca="1">EFEITO!$L$1034*EFEITO!$Z$1034</f>
        <v>9713.6907207386666</v>
      </c>
      <c r="L1034" s="76">
        <f>EFEITO!$N$1034*EFEITO!$AA$1034</f>
        <v>4385.6806483488353</v>
      </c>
      <c r="M1034" s="76">
        <f>$J$1034-EFEITO!$K$1034*EFEITO!$Y$1034</f>
        <v>0</v>
      </c>
      <c r="N1034" s="76">
        <f ca="1">$K$1034-EFEITO!$M$1034*EFEITO!$Z$1034</f>
        <v>0</v>
      </c>
      <c r="O1034" s="76">
        <f>$L$1034-EFEITO!$O$1034*EFEITO!$AA$1034</f>
        <v>0</v>
      </c>
      <c r="P1034" s="57"/>
      <c r="Q1034" s="57"/>
      <c r="R1034" s="57"/>
      <c r="S1034" s="57"/>
      <c r="T1034" s="57"/>
      <c r="U1034" s="57"/>
      <c r="V1034" s="57"/>
      <c r="W1034" s="57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3" t="s">
        <v>21</v>
      </c>
      <c r="B1035" s="53" t="s">
        <v>48</v>
      </c>
      <c r="C1035" s="53" t="s">
        <v>23</v>
      </c>
      <c r="D1035" s="53" t="s">
        <v>49</v>
      </c>
      <c r="E1035" s="53" t="s">
        <v>50</v>
      </c>
      <c r="F1035" s="53" t="s">
        <v>25</v>
      </c>
      <c r="G1035" s="53" t="s">
        <v>25</v>
      </c>
      <c r="H1035" s="53" t="s">
        <v>25</v>
      </c>
      <c r="I1035" s="75">
        <v>44774</v>
      </c>
      <c r="J1035" s="76">
        <f>EFEITO!$J$1035*EFEITO!$Y$1035</f>
        <v>0</v>
      </c>
      <c r="K1035" s="76">
        <f ca="1">EFEITO!$L$1035*EFEITO!$Z$1035</f>
        <v>1101704.3125555576</v>
      </c>
      <c r="L1035" s="76">
        <f>EFEITO!$N$1035*EFEITO!$AA$1035</f>
        <v>497413.74547386693</v>
      </c>
      <c r="M1035" s="76">
        <f>$J$1035-EFEITO!$K$1035*EFEITO!$Y$1035</f>
        <v>0</v>
      </c>
      <c r="N1035" s="76">
        <f ca="1">$K$1035-EFEITO!$M$1035*EFEITO!$Z$1035</f>
        <v>0</v>
      </c>
      <c r="O1035" s="76">
        <f>$L$1035-EFEITO!$O$1035*EFEITO!$AA$1035</f>
        <v>0</v>
      </c>
      <c r="P1035" s="57"/>
      <c r="Q1035" s="57"/>
      <c r="R1035" s="57"/>
      <c r="S1035" s="57"/>
      <c r="T1035" s="57"/>
      <c r="U1035" s="57"/>
      <c r="V1035" s="57"/>
      <c r="W1035" s="57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3" t="s">
        <v>21</v>
      </c>
      <c r="B1036" s="53" t="s">
        <v>48</v>
      </c>
      <c r="C1036" s="53" t="s">
        <v>23</v>
      </c>
      <c r="D1036" s="53" t="s">
        <v>49</v>
      </c>
      <c r="E1036" s="53" t="s">
        <v>50</v>
      </c>
      <c r="F1036" s="53" t="s">
        <v>25</v>
      </c>
      <c r="G1036" s="53" t="s">
        <v>25</v>
      </c>
      <c r="H1036" s="53" t="s">
        <v>25</v>
      </c>
      <c r="I1036" s="75">
        <v>44805</v>
      </c>
      <c r="J1036" s="76">
        <f>EFEITO!$J$1036*EFEITO!$Y$1036</f>
        <v>0</v>
      </c>
      <c r="K1036" s="76">
        <f ca="1">EFEITO!$L$1036*EFEITO!$Z$1036</f>
        <v>1026873.4541568353</v>
      </c>
      <c r="L1036" s="76">
        <f>EFEITO!$N$1036*EFEITO!$AA$1036</f>
        <v>463628.00357476185</v>
      </c>
      <c r="M1036" s="76">
        <f>$J$1036-EFEITO!$K$1036*EFEITO!$Y$1036</f>
        <v>0</v>
      </c>
      <c r="N1036" s="76">
        <f ca="1">$K$1036-EFEITO!$M$1036*EFEITO!$Z$1036</f>
        <v>0</v>
      </c>
      <c r="O1036" s="76">
        <f>$L$1036-EFEITO!$O$1036*EFEITO!$AA$1036</f>
        <v>0</v>
      </c>
      <c r="P1036" s="57"/>
      <c r="Q1036" s="57"/>
      <c r="R1036" s="57"/>
      <c r="S1036" s="57"/>
      <c r="T1036" s="57"/>
      <c r="U1036" s="57"/>
      <c r="V1036" s="57"/>
      <c r="W1036" s="57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3" t="s">
        <v>27</v>
      </c>
      <c r="B1037" s="53" t="s">
        <v>48</v>
      </c>
      <c r="C1037" s="53" t="s">
        <v>23</v>
      </c>
      <c r="D1037" s="53" t="s">
        <v>49</v>
      </c>
      <c r="E1037" s="53" t="s">
        <v>50</v>
      </c>
      <c r="F1037" s="53" t="s">
        <v>25</v>
      </c>
      <c r="G1037" s="53" t="s">
        <v>25</v>
      </c>
      <c r="H1037" s="53" t="s">
        <v>25</v>
      </c>
      <c r="I1037" s="75">
        <v>44805</v>
      </c>
      <c r="J1037" s="76">
        <f>EFEITO!$J$1037*EFEITO!$Y$1037</f>
        <v>0</v>
      </c>
      <c r="K1037" s="76">
        <f ca="1">EFEITO!$L$1037*EFEITO!$Z$1037</f>
        <v>-9092.6729957570351</v>
      </c>
      <c r="L1037" s="76">
        <f>EFEITO!$N$1037*EFEITO!$AA$1037</f>
        <v>-4105.2943876540494</v>
      </c>
      <c r="M1037" s="76">
        <f>$J$1037-EFEITO!$K$1037*EFEITO!$Y$1037</f>
        <v>0</v>
      </c>
      <c r="N1037" s="76">
        <f ca="1">$K$1037-EFEITO!$M$1037*EFEITO!$Z$1037</f>
        <v>0</v>
      </c>
      <c r="O1037" s="76">
        <f>$L$1037-EFEITO!$O$1037*EFEITO!$AA$1037</f>
        <v>0</v>
      </c>
      <c r="P1037" s="57"/>
      <c r="Q1037" s="57"/>
      <c r="R1037" s="57"/>
      <c r="S1037" s="57"/>
      <c r="T1037" s="57"/>
      <c r="U1037" s="57"/>
      <c r="V1037" s="57"/>
      <c r="W1037" s="57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3" t="s">
        <v>21</v>
      </c>
      <c r="B1038" s="53" t="s">
        <v>48</v>
      </c>
      <c r="C1038" s="53" t="s">
        <v>23</v>
      </c>
      <c r="D1038" s="53" t="s">
        <v>49</v>
      </c>
      <c r="E1038" s="53" t="s">
        <v>50</v>
      </c>
      <c r="F1038" s="53" t="s">
        <v>25</v>
      </c>
      <c r="G1038" s="53" t="s">
        <v>25</v>
      </c>
      <c r="H1038" s="53" t="s">
        <v>25</v>
      </c>
      <c r="I1038" s="75">
        <v>44835</v>
      </c>
      <c r="J1038" s="76">
        <f>EFEITO!$J$1038*EFEITO!$Y$1038</f>
        <v>0</v>
      </c>
      <c r="K1038" s="76">
        <f ca="1">EFEITO!$L$1038*EFEITO!$Z$1038</f>
        <v>1113247.4214093334</v>
      </c>
      <c r="L1038" s="76">
        <f>EFEITO!$N$1038*EFEITO!$AA$1038</f>
        <v>502625.39885847649</v>
      </c>
      <c r="M1038" s="76">
        <f>$J$1038-EFEITO!$K$1038*EFEITO!$Y$1038</f>
        <v>0</v>
      </c>
      <c r="N1038" s="76">
        <f ca="1">$K$1038-EFEITO!$M$1038*EFEITO!$Z$1038</f>
        <v>0</v>
      </c>
      <c r="O1038" s="76">
        <f>$L$1038-EFEITO!$O$1038*EFEITO!$AA$1038</f>
        <v>0</v>
      </c>
      <c r="P1038" s="57"/>
      <c r="Q1038" s="57"/>
      <c r="R1038" s="57"/>
      <c r="S1038" s="57"/>
      <c r="T1038" s="57"/>
      <c r="U1038" s="57"/>
      <c r="V1038" s="57"/>
      <c r="W1038" s="57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3" t="s">
        <v>54</v>
      </c>
      <c r="B1039" s="53" t="s">
        <v>48</v>
      </c>
      <c r="C1039" s="53" t="s">
        <v>23</v>
      </c>
      <c r="D1039" s="53" t="s">
        <v>49</v>
      </c>
      <c r="E1039" s="53" t="s">
        <v>50</v>
      </c>
      <c r="F1039" s="53" t="s">
        <v>25</v>
      </c>
      <c r="G1039" s="53" t="s">
        <v>25</v>
      </c>
      <c r="H1039" s="53" t="s">
        <v>25</v>
      </c>
      <c r="I1039" s="75">
        <v>44866</v>
      </c>
      <c r="J1039" s="76">
        <f>EFEITO!$J$1039*EFEITO!$Y$1039</f>
        <v>0</v>
      </c>
      <c r="K1039" s="76">
        <f ca="1">EFEITO!$L$1039*EFEITO!$Z$1039</f>
        <v>1113247.4214093334</v>
      </c>
      <c r="L1039" s="76">
        <f>EFEITO!$N$1039*EFEITO!$AA$1039</f>
        <v>502625.39885847649</v>
      </c>
      <c r="M1039" s="76">
        <f>$J$1039-EFEITO!$K$1039*EFEITO!$Y$1039</f>
        <v>0</v>
      </c>
      <c r="N1039" s="76">
        <f ca="1">$K$1039-EFEITO!$M$1039*EFEITO!$Z$1039</f>
        <v>0</v>
      </c>
      <c r="O1039" s="76">
        <f>$L$1039-EFEITO!$O$1039*EFEITO!$AA$1039</f>
        <v>0</v>
      </c>
      <c r="P1039" s="57"/>
      <c r="Q1039" s="57"/>
      <c r="R1039" s="57"/>
      <c r="S1039" s="57"/>
      <c r="T1039" s="57"/>
      <c r="U1039" s="57"/>
      <c r="V1039" s="57"/>
      <c r="W1039" s="57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019F-8DCE-4E65-83A5-CCB1674EB842}">
  <dimension ref="A1:BD135"/>
  <sheetViews>
    <sheetView showGridLines="0" topLeftCell="C44" workbookViewId="0">
      <selection activeCell="L69" sqref="L69:BD135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11.42578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7" width="10" style="9" bestFit="1" customWidth="1"/>
    <col min="38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3" width="10.85546875" style="9" bestFit="1" customWidth="1"/>
    <col min="44" max="44" width="10" style="9" bestFit="1" customWidth="1"/>
    <col min="45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11.42578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" style="9" bestFit="1" customWidth="1"/>
    <col min="57" max="16384" width="9.140625" style="9"/>
  </cols>
  <sheetData>
    <row r="1" spans="1:56" ht="11.25" customHeight="1" x14ac:dyDescent="0.25">
      <c r="A1" s="121" t="s">
        <v>67</v>
      </c>
      <c r="B1" s="121" t="s">
        <v>68</v>
      </c>
      <c r="C1" s="121" t="s">
        <v>69</v>
      </c>
      <c r="D1" s="121" t="s">
        <v>70</v>
      </c>
      <c r="E1" s="121" t="s">
        <v>71</v>
      </c>
      <c r="F1" s="121" t="s">
        <v>15</v>
      </c>
      <c r="G1" s="121" t="s">
        <v>73</v>
      </c>
      <c r="H1" s="121" t="s">
        <v>74</v>
      </c>
      <c r="I1" s="121" t="s">
        <v>744</v>
      </c>
      <c r="J1" s="107"/>
      <c r="L1" s="119" t="s">
        <v>944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I1" s="119" t="s">
        <v>945</v>
      </c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9"/>
      <c r="BC1" s="119"/>
      <c r="BD1" s="119"/>
    </row>
    <row r="2" spans="1:56" ht="11.25" customHeigh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07"/>
      <c r="L2" s="119" t="s">
        <v>644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19"/>
      <c r="AI2" s="119" t="s">
        <v>644</v>
      </c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19"/>
      <c r="BD2" s="119"/>
    </row>
    <row r="3" spans="1:56" ht="11.25" customHeight="1" x14ac:dyDescent="0.25">
      <c r="A3" s="121"/>
      <c r="B3" s="121"/>
      <c r="C3" s="121"/>
      <c r="D3" s="121"/>
      <c r="E3" s="121"/>
      <c r="F3" s="121"/>
      <c r="G3" s="121"/>
      <c r="H3" s="121"/>
      <c r="I3" s="121"/>
      <c r="J3" s="107"/>
      <c r="L3" s="119" t="s">
        <v>645</v>
      </c>
      <c r="M3" s="119"/>
      <c r="N3" s="119"/>
      <c r="O3" s="119"/>
      <c r="P3" s="119"/>
      <c r="Q3" s="119"/>
      <c r="R3" s="119"/>
      <c r="S3" s="119"/>
      <c r="T3" s="119" t="s">
        <v>654</v>
      </c>
      <c r="U3" s="119"/>
      <c r="V3" s="119"/>
      <c r="W3" s="119"/>
      <c r="X3" s="119"/>
      <c r="Y3" s="119"/>
      <c r="Z3" s="119"/>
      <c r="AA3" s="98" t="s">
        <v>662</v>
      </c>
      <c r="AB3" s="119" t="s">
        <v>664</v>
      </c>
      <c r="AC3" s="119"/>
      <c r="AD3" s="119" t="s">
        <v>667</v>
      </c>
      <c r="AE3" s="119"/>
      <c r="AF3" s="119"/>
      <c r="AG3" s="119"/>
      <c r="AI3" s="119" t="s">
        <v>645</v>
      </c>
      <c r="AJ3" s="119"/>
      <c r="AK3" s="119"/>
      <c r="AL3" s="119"/>
      <c r="AM3" s="119"/>
      <c r="AN3" s="119"/>
      <c r="AO3" s="119"/>
      <c r="AP3" s="119"/>
      <c r="AQ3" s="119" t="s">
        <v>654</v>
      </c>
      <c r="AR3" s="119"/>
      <c r="AS3" s="119"/>
      <c r="AT3" s="119"/>
      <c r="AU3" s="119"/>
      <c r="AV3" s="119"/>
      <c r="AW3" s="119"/>
      <c r="AX3" s="98" t="s">
        <v>662</v>
      </c>
      <c r="AY3" s="119" t="s">
        <v>664</v>
      </c>
      <c r="AZ3" s="119"/>
      <c r="BA3" s="119" t="s">
        <v>667</v>
      </c>
      <c r="BB3" s="119"/>
      <c r="BC3" s="119"/>
      <c r="BD3" s="119"/>
    </row>
    <row r="4" spans="1:56" ht="11.25" customHeight="1" x14ac:dyDescent="0.25">
      <c r="A4" s="121"/>
      <c r="B4" s="121"/>
      <c r="C4" s="121"/>
      <c r="D4" s="121"/>
      <c r="E4" s="121"/>
      <c r="F4" s="121"/>
      <c r="G4" s="121"/>
      <c r="H4" s="121"/>
      <c r="I4" s="121"/>
      <c r="J4" s="107"/>
      <c r="L4" s="98" t="s">
        <v>730</v>
      </c>
      <c r="M4" s="98" t="s">
        <v>646</v>
      </c>
      <c r="N4" s="98" t="s">
        <v>647</v>
      </c>
      <c r="O4" s="98" t="s">
        <v>648</v>
      </c>
      <c r="P4" s="98" t="s">
        <v>649</v>
      </c>
      <c r="Q4" s="98" t="s">
        <v>650</v>
      </c>
      <c r="R4" s="98" t="s">
        <v>651</v>
      </c>
      <c r="S4" s="98" t="s">
        <v>652</v>
      </c>
      <c r="T4" s="98" t="s">
        <v>655</v>
      </c>
      <c r="U4" s="98" t="s">
        <v>656</v>
      </c>
      <c r="V4" s="98" t="s">
        <v>657</v>
      </c>
      <c r="W4" s="98" t="s">
        <v>658</v>
      </c>
      <c r="X4" s="98" t="s">
        <v>659</v>
      </c>
      <c r="Y4" s="98" t="s">
        <v>660</v>
      </c>
      <c r="Z4" s="98" t="s">
        <v>661</v>
      </c>
      <c r="AA4" s="98" t="s">
        <v>663</v>
      </c>
      <c r="AB4" s="98" t="s">
        <v>665</v>
      </c>
      <c r="AC4" s="98" t="s">
        <v>666</v>
      </c>
      <c r="AD4" s="98" t="s">
        <v>668</v>
      </c>
      <c r="AE4" s="98" t="s">
        <v>669</v>
      </c>
      <c r="AF4" s="98" t="s">
        <v>670</v>
      </c>
      <c r="AG4" s="98" t="s">
        <v>671</v>
      </c>
      <c r="AH4" s="98"/>
      <c r="AI4" s="98" t="s">
        <v>730</v>
      </c>
      <c r="AJ4" s="98" t="s">
        <v>646</v>
      </c>
      <c r="AK4" s="98" t="s">
        <v>647</v>
      </c>
      <c r="AL4" s="98" t="s">
        <v>648</v>
      </c>
      <c r="AM4" s="98" t="s">
        <v>649</v>
      </c>
      <c r="AN4" s="98" t="s">
        <v>650</v>
      </c>
      <c r="AO4" s="98" t="s">
        <v>651</v>
      </c>
      <c r="AP4" s="98" t="s">
        <v>652</v>
      </c>
      <c r="AQ4" s="98" t="s">
        <v>655</v>
      </c>
      <c r="AR4" s="98" t="s">
        <v>656</v>
      </c>
      <c r="AS4" s="98" t="s">
        <v>657</v>
      </c>
      <c r="AT4" s="98" t="s">
        <v>658</v>
      </c>
      <c r="AU4" s="98" t="s">
        <v>659</v>
      </c>
      <c r="AV4" s="98" t="s">
        <v>660</v>
      </c>
      <c r="AW4" s="98" t="s">
        <v>661</v>
      </c>
      <c r="AX4" s="98" t="s">
        <v>663</v>
      </c>
      <c r="AY4" s="98" t="s">
        <v>665</v>
      </c>
      <c r="AZ4" s="98" t="s">
        <v>666</v>
      </c>
      <c r="BA4" s="98" t="s">
        <v>668</v>
      </c>
      <c r="BB4" s="98" t="s">
        <v>669</v>
      </c>
      <c r="BC4" s="98" t="s">
        <v>670</v>
      </c>
      <c r="BD4" s="98" t="s">
        <v>671</v>
      </c>
    </row>
    <row r="5" spans="1:56" ht="11.25" customHeight="1" x14ac:dyDescent="0.25">
      <c r="A5" s="118" t="s">
        <v>57</v>
      </c>
      <c r="B5" s="118" t="s">
        <v>58</v>
      </c>
      <c r="C5" s="118" t="s">
        <v>25</v>
      </c>
      <c r="D5" s="118" t="s">
        <v>25</v>
      </c>
      <c r="E5" s="118" t="s">
        <v>25</v>
      </c>
      <c r="F5" s="97" t="s">
        <v>59</v>
      </c>
      <c r="G5" s="22" t="s">
        <v>9</v>
      </c>
      <c r="H5" s="22" t="s">
        <v>76</v>
      </c>
      <c r="I5" s="22">
        <f>'MERCADO TUSD'!$U$2</f>
        <v>932640</v>
      </c>
      <c r="J5" s="17"/>
      <c r="L5" s="96">
        <f>('TUSD BE'!$L$5+'TUSD BF'!$L$5+'TUSD CVA'!$L$5)*1</f>
        <v>0</v>
      </c>
      <c r="M5" s="96">
        <f>('TUSD BE'!$M$5+'TUSD BF'!$M$5+'TUSD CVA'!$M$5)*1</f>
        <v>0</v>
      </c>
      <c r="N5" s="96">
        <f ca="1">('TUSD BE'!$N$5+'TUSD BF'!$N$5+'TUSD CVA'!$N$5)*1</f>
        <v>0</v>
      </c>
      <c r="O5" s="96">
        <f>('TUSD BE'!$O$5+'TUSD BF'!$O$5+'TUSD CVA'!$O$5)*1</f>
        <v>0</v>
      </c>
      <c r="P5" s="96">
        <f>('TUSD BE'!$P$5+'TUSD BF'!$P$5+'TUSD CVA'!$P$5)*1</f>
        <v>0</v>
      </c>
      <c r="Q5" s="96">
        <f>('TUSD BE'!$Q$5+'TUSD BF'!$Q$5+'TUSD CVA'!$Q$5)*1</f>
        <v>0</v>
      </c>
      <c r="R5" s="96">
        <f>('TUSD BE'!$R$5+'TUSD BF'!$R$5+'TUSD CVA'!$R$5)*1</f>
        <v>0</v>
      </c>
      <c r="S5" s="96">
        <f>('TUSD BE'!$S$5+'TUSD BF'!$S$5+'TUSD CVA'!$S$5)*1</f>
        <v>0</v>
      </c>
      <c r="T5" s="96">
        <f>('TUSD BE'!$U$5+'TUSD BF'!$U$5+'TUSD CVA'!$U$5)*1</f>
        <v>0</v>
      </c>
      <c r="U5" s="96">
        <f>('TUSD BE'!$V$5+'TUSD BF'!$V$5+'TUSD CVA'!$V$5)*1</f>
        <v>0</v>
      </c>
      <c r="V5" s="96">
        <f>('TUSD BE'!$W$5+'TUSD BF'!$W$5+'TUSD CVA'!$W$5)*1</f>
        <v>0</v>
      </c>
      <c r="W5" s="96">
        <f>('TUSD BE'!$X$5+'TUSD BF'!$X$5+'TUSD CVA'!$X$5)*1</f>
        <v>0</v>
      </c>
      <c r="X5" s="96">
        <f>('TUSD BE'!$Y$5+'TUSD BF'!$Y$5+'TUSD CVA'!$Y$5)*1</f>
        <v>0</v>
      </c>
      <c r="Y5" s="96">
        <f>('TUSD BE'!$Z$5+'TUSD BF'!$Z$5+'TUSD CVA'!$Z$5)*1</f>
        <v>0</v>
      </c>
      <c r="Z5" s="96">
        <f>('TUSD BE'!$AA$5+'TUSD BF'!$AA$5+'TUSD CVA'!$AA$5)*1</f>
        <v>0.14871898812332163</v>
      </c>
      <c r="AA5" s="96">
        <f>('TUSD BE'!$AC$5+'TUSD BF'!$AC$5+'TUSD CVA'!$AC$5)*1</f>
        <v>6.7814604781213141</v>
      </c>
      <c r="AB5" s="96">
        <f ca="1">('TUSD BE'!$AE$5+'TUSD BF'!$AE$5+'TUSD CVA'!$AE$5)*1</f>
        <v>-0.45866590356789622</v>
      </c>
      <c r="AC5" s="96">
        <f ca="1">('TUSD BE'!$AF$5+'TUSD BF'!$AF$5+'TUSD CVA'!$AF$5)*1</f>
        <v>0</v>
      </c>
      <c r="AD5" s="96">
        <f>('TUSD BE'!$AH$5+'TUSD BF'!$AH$5+'TUSD CVA'!$AH$5)*1</f>
        <v>0</v>
      </c>
      <c r="AE5" s="96">
        <f>('TUSD BE'!$AI$5+'TUSD BF'!$AI$5+'TUSD CVA'!$AI$5)*1</f>
        <v>0</v>
      </c>
      <c r="AF5" s="96">
        <f ca="1">('TUSD BE'!$AJ$5+'TUSD BF'!$AJ$5+'TUSD CVA'!$AJ$5)*1</f>
        <v>0</v>
      </c>
      <c r="AG5" s="96">
        <f ca="1">('TUSD BE'!$AK$5+'TUSD BF'!$AK$5+'TUSD CVA'!$AK$5)*1</f>
        <v>0</v>
      </c>
      <c r="AH5" s="96"/>
      <c r="AI5" s="96">
        <v>0</v>
      </c>
      <c r="AJ5" s="96">
        <v>0</v>
      </c>
      <c r="AK5" s="96">
        <v>0</v>
      </c>
      <c r="AL5" s="96">
        <v>0</v>
      </c>
      <c r="AM5" s="96">
        <v>0</v>
      </c>
      <c r="AN5" s="96">
        <v>0</v>
      </c>
      <c r="AO5" s="96">
        <v>0</v>
      </c>
      <c r="AP5" s="96">
        <v>0</v>
      </c>
      <c r="AQ5" s="96">
        <v>0</v>
      </c>
      <c r="AR5" s="96">
        <v>0</v>
      </c>
      <c r="AS5" s="96">
        <v>0</v>
      </c>
      <c r="AT5" s="96">
        <v>0</v>
      </c>
      <c r="AU5" s="96">
        <v>0</v>
      </c>
      <c r="AV5" s="96">
        <v>0</v>
      </c>
      <c r="AW5" s="96">
        <v>0.14871898812332199</v>
      </c>
      <c r="AX5" s="96">
        <v>6.78143981420261</v>
      </c>
      <c r="AY5" s="96">
        <v>-0.458424553608131</v>
      </c>
      <c r="AZ5" s="96">
        <v>0</v>
      </c>
      <c r="BA5" s="96">
        <v>0</v>
      </c>
      <c r="BB5" s="96">
        <v>0</v>
      </c>
      <c r="BC5" s="96">
        <v>0</v>
      </c>
      <c r="BD5" s="96">
        <v>0</v>
      </c>
    </row>
    <row r="6" spans="1:56" ht="11.25" customHeight="1" x14ac:dyDescent="0.25">
      <c r="A6" s="118"/>
      <c r="B6" s="118"/>
      <c r="C6" s="118"/>
      <c r="D6" s="118"/>
      <c r="E6" s="118"/>
      <c r="F6" s="97" t="s">
        <v>77</v>
      </c>
      <c r="G6" s="22" t="s">
        <v>9</v>
      </c>
      <c r="H6" s="22" t="s">
        <v>76</v>
      </c>
      <c r="I6" s="22">
        <f>'MERCADO TUSD'!$U$3</f>
        <v>0</v>
      </c>
      <c r="J6" s="17"/>
      <c r="L6" s="96">
        <f>('TUSD BE'!$L$6+'TUSD BF'!$L$6+'TUSD CVA'!$L$6)*1</f>
        <v>0</v>
      </c>
      <c r="M6" s="96">
        <f>('TUSD BE'!$M$6+'TUSD BF'!$M$6+'TUSD CVA'!$M$6)*1</f>
        <v>3.7084555084387842E-2</v>
      </c>
      <c r="N6" s="96">
        <f ca="1">('TUSD BE'!$N$6+'TUSD BF'!$N$6+'TUSD CVA'!$N$6)*1</f>
        <v>8.8900000000000007E-2</v>
      </c>
      <c r="O6" s="96">
        <f>('TUSD BE'!$O$6+'TUSD BF'!$O$6+'TUSD CVA'!$O$6)*1</f>
        <v>0</v>
      </c>
      <c r="P6" s="96">
        <f>('TUSD BE'!$P$6+'TUSD BF'!$P$6+'TUSD CVA'!$P$6)*1</f>
        <v>0</v>
      </c>
      <c r="Q6" s="96">
        <f>('TUSD BE'!$Q$6+'TUSD BF'!$Q$6+'TUSD CVA'!$Q$6)*1</f>
        <v>0</v>
      </c>
      <c r="R6" s="96">
        <f>('TUSD BE'!$R$6+'TUSD BF'!$R$6+'TUSD CVA'!$R$6)*1</f>
        <v>0</v>
      </c>
      <c r="S6" s="96">
        <f>('TUSD BE'!$S$6+'TUSD BF'!$S$6+'TUSD CVA'!$S$6)*1</f>
        <v>0</v>
      </c>
      <c r="T6" s="96">
        <f>('TUSD BE'!$U$6+'TUSD BF'!$U$6+'TUSD CVA'!$U$6)*1</f>
        <v>0</v>
      </c>
      <c r="U6" s="96">
        <f>('TUSD BE'!$V$6+'TUSD BF'!$V$6+'TUSD CVA'!$V$6)*1</f>
        <v>0</v>
      </c>
      <c r="V6" s="96">
        <f>('TUSD BE'!$W$6+'TUSD BF'!$W$6+'TUSD CVA'!$W$6)*1</f>
        <v>0</v>
      </c>
      <c r="W6" s="96">
        <f>('TUSD BE'!$X$6+'TUSD BF'!$X$6+'TUSD CVA'!$X$6)*1</f>
        <v>0</v>
      </c>
      <c r="X6" s="96">
        <f>('TUSD BE'!$Y$6+'TUSD BF'!$Y$6+'TUSD CVA'!$Y$6)*1</f>
        <v>0</v>
      </c>
      <c r="Y6" s="96">
        <f>('TUSD BE'!$Z$6+'TUSD BF'!$Z$6+'TUSD CVA'!$Z$6)*1</f>
        <v>0</v>
      </c>
      <c r="Z6" s="96">
        <f>('TUSD BE'!$AA$6+'TUSD BF'!$AA$6+'TUSD CVA'!$AA$6)*1</f>
        <v>0</v>
      </c>
      <c r="AA6" s="96">
        <f>('TUSD BE'!$AC$6+'TUSD BF'!$AC$6+'TUSD CVA'!$AC$6)*1</f>
        <v>1.1598440705877762</v>
      </c>
      <c r="AB6" s="96">
        <f ca="1">('TUSD BE'!$AE$6+'TUSD BF'!$AE$6+'TUSD CVA'!$AE$6)*1</f>
        <v>-8.5124092935508294E-2</v>
      </c>
      <c r="AC6" s="96">
        <f ca="1">('TUSD BE'!$AF$6+'TUSD BF'!$AF$6+'TUSD CVA'!$AF$6)*1</f>
        <v>0</v>
      </c>
      <c r="AD6" s="96">
        <f>('TUSD BE'!$AH$6+'TUSD BF'!$AH$6+'TUSD CVA'!$AH$6)*1</f>
        <v>0</v>
      </c>
      <c r="AE6" s="96">
        <f>('TUSD BE'!$AI$6+'TUSD BF'!$AI$6+'TUSD CVA'!$AI$6)*1</f>
        <v>0</v>
      </c>
      <c r="AF6" s="96">
        <f ca="1">('TUSD BE'!$AJ$6+'TUSD BF'!$AJ$6+'TUSD CVA'!$AJ$6)*1</f>
        <v>0</v>
      </c>
      <c r="AG6" s="96">
        <f ca="1">('TUSD BE'!$AK$6+'TUSD BF'!$AK$6+'TUSD CVA'!$AK$6)*1</f>
        <v>0</v>
      </c>
      <c r="AH6" s="96"/>
      <c r="AI6" s="96">
        <v>0</v>
      </c>
      <c r="AJ6" s="96">
        <v>3.7082866381627701E-2</v>
      </c>
      <c r="AK6" s="96">
        <v>8.8900000000000007E-2</v>
      </c>
      <c r="AL6" s="96">
        <v>0</v>
      </c>
      <c r="AM6" s="96">
        <v>0</v>
      </c>
      <c r="AN6" s="96">
        <v>0</v>
      </c>
      <c r="AO6" s="96">
        <v>0</v>
      </c>
      <c r="AP6" s="96">
        <v>0</v>
      </c>
      <c r="AQ6" s="96">
        <v>0</v>
      </c>
      <c r="AR6" s="96">
        <v>0</v>
      </c>
      <c r="AS6" s="96">
        <v>0</v>
      </c>
      <c r="AT6" s="96">
        <v>0</v>
      </c>
      <c r="AU6" s="96">
        <v>0</v>
      </c>
      <c r="AV6" s="96">
        <v>0</v>
      </c>
      <c r="AW6" s="96">
        <v>0</v>
      </c>
      <c r="AX6" s="96">
        <v>1.1598405364045901</v>
      </c>
      <c r="AY6" s="96">
        <v>-8.5079300644986505E-2</v>
      </c>
      <c r="AZ6" s="96">
        <v>0</v>
      </c>
      <c r="BA6" s="96">
        <v>0</v>
      </c>
      <c r="BB6" s="96">
        <v>0</v>
      </c>
      <c r="BC6" s="96">
        <v>0</v>
      </c>
      <c r="BD6" s="96">
        <v>0</v>
      </c>
    </row>
    <row r="7" spans="1:56" ht="11.25" customHeight="1" x14ac:dyDescent="0.25">
      <c r="A7" s="118" t="s">
        <v>39</v>
      </c>
      <c r="B7" s="118" t="s">
        <v>40</v>
      </c>
      <c r="C7" s="118" t="s">
        <v>25</v>
      </c>
      <c r="D7" s="118" t="s">
        <v>25</v>
      </c>
      <c r="E7" s="118" t="s">
        <v>25</v>
      </c>
      <c r="F7" s="118" t="s">
        <v>25</v>
      </c>
      <c r="G7" s="22" t="s">
        <v>82</v>
      </c>
      <c r="H7" s="22" t="s">
        <v>76</v>
      </c>
      <c r="I7" s="22">
        <f>'MERCADO TUSD'!$U$4</f>
        <v>126378</v>
      </c>
      <c r="J7" s="17"/>
      <c r="L7" s="96">
        <f>('TUSD BE'!$L$7+'TUSD BF'!$L$7+'TUSD CVA'!$L$7)*1</f>
        <v>0</v>
      </c>
      <c r="M7" s="96">
        <f>('TUSD BE'!$M$7+'TUSD BF'!$M$7+'TUSD CVA'!$M$7)*1</f>
        <v>0</v>
      </c>
      <c r="N7" s="96">
        <f ca="1">('TUSD BE'!$N$7+'TUSD BF'!$N$7+'TUSD CVA'!$N$7)*1</f>
        <v>0</v>
      </c>
      <c r="O7" s="96">
        <f>('TUSD BE'!$O$7+'TUSD BF'!$O$7+'TUSD CVA'!$O$7)*1</f>
        <v>0</v>
      </c>
      <c r="P7" s="96">
        <f>('TUSD BE'!$P$7+'TUSD BF'!$P$7+'TUSD CVA'!$P$7)*1</f>
        <v>0</v>
      </c>
      <c r="Q7" s="96">
        <f>('TUSD BE'!$Q$7+'TUSD BF'!$Q$7+'TUSD CVA'!$Q$7)*1</f>
        <v>0</v>
      </c>
      <c r="R7" s="96">
        <f>('TUSD BE'!$R$7+'TUSD BF'!$R$7+'TUSD CVA'!$R$7)*1</f>
        <v>0</v>
      </c>
      <c r="S7" s="96">
        <f>('TUSD BE'!$S$7+'TUSD BF'!$S$7+'TUSD CVA'!$S$7)*1</f>
        <v>0</v>
      </c>
      <c r="T7" s="96">
        <f>('TUSD BE'!$U$7+'TUSD BF'!$U$7+'TUSD CVA'!$U$7)*1</f>
        <v>8.7068631406927075</v>
      </c>
      <c r="U7" s="96">
        <f>('TUSD BE'!$V$7+'TUSD BF'!$V$7+'TUSD CVA'!$V$7)*1</f>
        <v>1.3196830958662584</v>
      </c>
      <c r="V7" s="96">
        <f>('TUSD BE'!$W$7+'TUSD BF'!$W$7+'TUSD CVA'!$W$7)*1</f>
        <v>4.8260227887235323E-2</v>
      </c>
      <c r="W7" s="96">
        <f>('TUSD BE'!$X$7+'TUSD BF'!$X$7+'TUSD CVA'!$X$7)*1</f>
        <v>0</v>
      </c>
      <c r="X7" s="96">
        <f>('TUSD BE'!$Y$7+'TUSD BF'!$Y$7+'TUSD CVA'!$Y$7)*1</f>
        <v>0</v>
      </c>
      <c r="Y7" s="96">
        <f>('TUSD BE'!$Z$7+'TUSD BF'!$Z$7+'TUSD CVA'!$Z$7)*1</f>
        <v>0</v>
      </c>
      <c r="Z7" s="96">
        <f>('TUSD BE'!$AA$7+'TUSD BF'!$AA$7+'TUSD CVA'!$AA$7)*1</f>
        <v>0</v>
      </c>
      <c r="AA7" s="96">
        <f>('TUSD BE'!$AC$7+'TUSD BF'!$AC$7+'TUSD CVA'!$AC$7)*1</f>
        <v>39.647648725858133</v>
      </c>
      <c r="AB7" s="96">
        <f ca="1">('TUSD BE'!$AE$7+'TUSD BF'!$AE$7+'TUSD CVA'!$AE$7)*1</f>
        <v>-3.3601942833625937</v>
      </c>
      <c r="AC7" s="96">
        <f ca="1">('TUSD BE'!$AF$7+'TUSD BF'!$AF$7+'TUSD CVA'!$AF$7)*1</f>
        <v>0</v>
      </c>
      <c r="AD7" s="96">
        <f>('TUSD BE'!$AH$7+'TUSD BF'!$AH$7+'TUSD CVA'!$AH$7)*1</f>
        <v>0</v>
      </c>
      <c r="AE7" s="96">
        <f>('TUSD BE'!$AI$7+'TUSD BF'!$AI$7+'TUSD CVA'!$AI$7)*1</f>
        <v>0</v>
      </c>
      <c r="AF7" s="96">
        <f ca="1">('TUSD BE'!$AJ$7+'TUSD BF'!$AJ$7+'TUSD CVA'!$AJ$7)*1</f>
        <v>0</v>
      </c>
      <c r="AG7" s="96">
        <f ca="1">('TUSD BE'!$AK$7+'TUSD BF'!$AK$7+'TUSD CVA'!$AK$7)*1</f>
        <v>0</v>
      </c>
      <c r="AH7" s="96"/>
      <c r="AI7" s="96">
        <v>0</v>
      </c>
      <c r="AJ7" s="96">
        <v>0</v>
      </c>
      <c r="AK7" s="96">
        <v>0</v>
      </c>
      <c r="AL7" s="96">
        <v>0</v>
      </c>
      <c r="AM7" s="96">
        <v>0</v>
      </c>
      <c r="AN7" s="96">
        <v>0</v>
      </c>
      <c r="AO7" s="96">
        <v>0</v>
      </c>
      <c r="AP7" s="96">
        <v>0</v>
      </c>
      <c r="AQ7" s="96">
        <v>8.7068631406927093</v>
      </c>
      <c r="AR7" s="96">
        <v>1.31968309586626</v>
      </c>
      <c r="AS7" s="96">
        <v>4.8304751307277197E-2</v>
      </c>
      <c r="AT7" s="96">
        <v>0</v>
      </c>
      <c r="AU7" s="96">
        <v>0</v>
      </c>
      <c r="AV7" s="96">
        <v>0</v>
      </c>
      <c r="AW7" s="96">
        <v>0</v>
      </c>
      <c r="AX7" s="96">
        <v>39.683917067195502</v>
      </c>
      <c r="AY7" s="96">
        <v>-3.36083961283975</v>
      </c>
      <c r="AZ7" s="96">
        <v>0</v>
      </c>
      <c r="BA7" s="96">
        <v>0</v>
      </c>
      <c r="BB7" s="96">
        <v>0</v>
      </c>
      <c r="BC7" s="96">
        <v>0</v>
      </c>
      <c r="BD7" s="96">
        <v>0</v>
      </c>
    </row>
    <row r="8" spans="1:56" ht="11.25" customHeight="1" x14ac:dyDescent="0.25">
      <c r="A8" s="118"/>
      <c r="B8" s="118"/>
      <c r="C8" s="118"/>
      <c r="D8" s="118"/>
      <c r="E8" s="118"/>
      <c r="F8" s="118"/>
      <c r="G8" s="22" t="s">
        <v>83</v>
      </c>
      <c r="H8" s="22" t="s">
        <v>76</v>
      </c>
      <c r="I8" s="22">
        <f>'MERCADO TUSD'!$U$5</f>
        <v>129346</v>
      </c>
      <c r="J8" s="17"/>
      <c r="L8" s="96">
        <f>('TUSD BE'!$L$8+'TUSD BF'!$L$8+'TUSD CVA'!$L$8)*1</f>
        <v>0</v>
      </c>
      <c r="M8" s="96">
        <f>('TUSD BE'!$M$8+'TUSD BF'!$M$8+'TUSD CVA'!$M$8)*1</f>
        <v>0</v>
      </c>
      <c r="N8" s="96">
        <f ca="1">('TUSD BE'!$N$8+'TUSD BF'!$N$8+'TUSD CVA'!$N$8)*1</f>
        <v>0</v>
      </c>
      <c r="O8" s="96">
        <f>('TUSD BE'!$O$8+'TUSD BF'!$O$8+'TUSD CVA'!$O$8)*1</f>
        <v>0</v>
      </c>
      <c r="P8" s="96">
        <f>('TUSD BE'!$P$8+'TUSD BF'!$P$8+'TUSD CVA'!$P$8)*1</f>
        <v>0</v>
      </c>
      <c r="Q8" s="96">
        <f>('TUSD BE'!$Q$8+'TUSD BF'!$Q$8+'TUSD CVA'!$Q$8)*1</f>
        <v>0</v>
      </c>
      <c r="R8" s="96">
        <f>('TUSD BE'!$R$8+'TUSD BF'!$R$8+'TUSD CVA'!$R$8)*1</f>
        <v>0</v>
      </c>
      <c r="S8" s="96">
        <f>('TUSD BE'!$S$8+'TUSD BF'!$S$8+'TUSD CVA'!$S$8)*1</f>
        <v>0</v>
      </c>
      <c r="T8" s="96">
        <f>('TUSD BE'!$U$8+'TUSD BF'!$U$8+'TUSD CVA'!$U$8)*1</f>
        <v>9.9483884999046612</v>
      </c>
      <c r="U8" s="96">
        <f>('TUSD BE'!$V$8+'TUSD BF'!$V$8+'TUSD CVA'!$V$8)*1</f>
        <v>1.5539121841821106</v>
      </c>
      <c r="V8" s="96">
        <f>('TUSD BE'!$W$8+'TUSD BF'!$W$8+'TUSD CVA'!$W$8)*1</f>
        <v>5.1800097903413958E-2</v>
      </c>
      <c r="W8" s="96">
        <f>('TUSD BE'!$X$8+'TUSD BF'!$X$8+'TUSD CVA'!$X$8)*1</f>
        <v>0</v>
      </c>
      <c r="X8" s="96">
        <f>('TUSD BE'!$Y$8+'TUSD BF'!$Y$8+'TUSD CVA'!$Y$8)*1</f>
        <v>0</v>
      </c>
      <c r="Y8" s="96">
        <f>('TUSD BE'!$Z$8+'TUSD BF'!$Z$8+'TUSD CVA'!$Z$8)*1</f>
        <v>0</v>
      </c>
      <c r="Z8" s="96">
        <f>('TUSD BE'!$AA$8+'TUSD BF'!$AA$8+'TUSD CVA'!$AA$8)*1</f>
        <v>0</v>
      </c>
      <c r="AA8" s="96">
        <f>('TUSD BE'!$AC$8+'TUSD BF'!$AC$8+'TUSD CVA'!$AC$8)*1</f>
        <v>5.1276960112940202</v>
      </c>
      <c r="AB8" s="96">
        <f ca="1">('TUSD BE'!$AE$8+'TUSD BF'!$AE$8+'TUSD CVA'!$AE$8)*1</f>
        <v>-1.1794267516588359</v>
      </c>
      <c r="AC8" s="96">
        <f ca="1">('TUSD BE'!$AF$8+'TUSD BF'!$AF$8+'TUSD CVA'!$AF$8)*1</f>
        <v>0</v>
      </c>
      <c r="AD8" s="96">
        <f>('TUSD BE'!$AH$8+'TUSD BF'!$AH$8+'TUSD CVA'!$AH$8)*1</f>
        <v>0</v>
      </c>
      <c r="AE8" s="96">
        <f>('TUSD BE'!$AI$8+'TUSD BF'!$AI$8+'TUSD CVA'!$AI$8)*1</f>
        <v>0</v>
      </c>
      <c r="AF8" s="96">
        <f ca="1">('TUSD BE'!$AJ$8+'TUSD BF'!$AJ$8+'TUSD CVA'!$AJ$8)*1</f>
        <v>0</v>
      </c>
      <c r="AG8" s="96">
        <f ca="1">('TUSD BE'!$AK$8+'TUSD BF'!$AK$8+'TUSD CVA'!$AK$8)*1</f>
        <v>0</v>
      </c>
      <c r="AH8" s="96"/>
      <c r="AI8" s="96">
        <v>0</v>
      </c>
      <c r="AJ8" s="96">
        <v>0</v>
      </c>
      <c r="AK8" s="96">
        <v>0</v>
      </c>
      <c r="AL8" s="96">
        <v>0</v>
      </c>
      <c r="AM8" s="96">
        <v>0</v>
      </c>
      <c r="AN8" s="96">
        <v>0</v>
      </c>
      <c r="AO8" s="96">
        <v>0</v>
      </c>
      <c r="AP8" s="96">
        <v>0</v>
      </c>
      <c r="AQ8" s="96">
        <v>9.9483884999046595</v>
      </c>
      <c r="AR8" s="96">
        <v>1.55391218418211</v>
      </c>
      <c r="AS8" s="96">
        <v>5.1847887099987E-2</v>
      </c>
      <c r="AT8" s="96">
        <v>0</v>
      </c>
      <c r="AU8" s="96">
        <v>0</v>
      </c>
      <c r="AV8" s="96">
        <v>0</v>
      </c>
      <c r="AW8" s="96">
        <v>0</v>
      </c>
      <c r="AX8" s="96">
        <v>5.1323866558893103</v>
      </c>
      <c r="AY8" s="96">
        <v>-1.17912106833881</v>
      </c>
      <c r="AZ8" s="96">
        <v>0</v>
      </c>
      <c r="BA8" s="96">
        <v>0</v>
      </c>
      <c r="BB8" s="96">
        <v>0</v>
      </c>
      <c r="BC8" s="96">
        <v>0</v>
      </c>
      <c r="BD8" s="96">
        <v>0</v>
      </c>
    </row>
    <row r="9" spans="1:56" ht="11.25" customHeight="1" x14ac:dyDescent="0.25">
      <c r="A9" s="118"/>
      <c r="B9" s="118"/>
      <c r="C9" s="118"/>
      <c r="D9" s="118"/>
      <c r="E9" s="118"/>
      <c r="F9" s="118"/>
      <c r="G9" s="22" t="s">
        <v>84</v>
      </c>
      <c r="H9" s="22" t="s">
        <v>79</v>
      </c>
      <c r="I9" s="22">
        <f>'MERCADO TUSD'!$U$6</f>
        <v>73134.718999999997</v>
      </c>
      <c r="J9" s="17"/>
      <c r="L9" s="96">
        <f>('TUSD BE'!$L$9+'TUSD BF'!$L$9+'TUSD CVA'!$L$9)*1</f>
        <v>15.63100816386264</v>
      </c>
      <c r="M9" s="96">
        <f>('TUSD BE'!$M$9+'TUSD BF'!$M$9+'TUSD CVA'!$M$9)*1</f>
        <v>0.27657178368125213</v>
      </c>
      <c r="N9" s="96">
        <f ca="1">('TUSD BE'!$N$9+'TUSD BF'!$N$9+'TUSD CVA'!$N$9)*1</f>
        <v>0.8478470352604327</v>
      </c>
      <c r="O9" s="96">
        <f>('TUSD BE'!$O$9+'TUSD BF'!$O$9+'TUSD CVA'!$O$9)*1</f>
        <v>0</v>
      </c>
      <c r="P9" s="96">
        <f>('TUSD BE'!$P$9+'TUSD BF'!$P$9+'TUSD CVA'!$P$9)*1</f>
        <v>0</v>
      </c>
      <c r="Q9" s="96">
        <f>('TUSD BE'!$Q$9+'TUSD BF'!$Q$9+'TUSD CVA'!$Q$9)*1</f>
        <v>36.08075362298645</v>
      </c>
      <c r="R9" s="96">
        <f>('TUSD BE'!$R$9+'TUSD BF'!$R$9+'TUSD CVA'!$R$9)*1</f>
        <v>21.66499131547619</v>
      </c>
      <c r="S9" s="96">
        <f>('TUSD BE'!$S$9+'TUSD BF'!$S$9+'TUSD CVA'!$S$9)*1</f>
        <v>0</v>
      </c>
      <c r="T9" s="96">
        <f>('TUSD BE'!$U$9+'TUSD BF'!$U$9+'TUSD CVA'!$U$9)*1</f>
        <v>0</v>
      </c>
      <c r="U9" s="96">
        <f>('TUSD BE'!$V$9+'TUSD BF'!$V$9+'TUSD CVA'!$V$9)*1</f>
        <v>0</v>
      </c>
      <c r="V9" s="96">
        <f>('TUSD BE'!$W$9+'TUSD BF'!$W$9+'TUSD CVA'!$W$9)*1</f>
        <v>0</v>
      </c>
      <c r="W9" s="96">
        <f>('TUSD BE'!$X$9+'TUSD BF'!$X$9+'TUSD CVA'!$X$9)*1</f>
        <v>0</v>
      </c>
      <c r="X9" s="96">
        <f>('TUSD BE'!$Y$9+'TUSD BF'!$Y$9+'TUSD CVA'!$Y$9)*1</f>
        <v>0</v>
      </c>
      <c r="Y9" s="96">
        <f>('TUSD BE'!$Z$9+'TUSD BF'!$Z$9+'TUSD CVA'!$Z$9)*1</f>
        <v>0</v>
      </c>
      <c r="Z9" s="96">
        <f>('TUSD BE'!$AA$9+'TUSD BF'!$AA$9+'TUSD CVA'!$AA$9)*1</f>
        <v>0</v>
      </c>
      <c r="AA9" s="96">
        <f>('TUSD BE'!$AC$9+'TUSD BF'!$AC$9+'TUSD CVA'!$AC$9)*1</f>
        <v>0</v>
      </c>
      <c r="AB9" s="96">
        <f ca="1">('TUSD BE'!$AE$9+'TUSD BF'!$AE$9+'TUSD CVA'!$AE$9)*1</f>
        <v>-8.9989131260535054</v>
      </c>
      <c r="AC9" s="96">
        <f ca="1">('TUSD BE'!$AF$9+'TUSD BF'!$AF$9+'TUSD CVA'!$AF$9)*1</f>
        <v>0</v>
      </c>
      <c r="AD9" s="96">
        <f>('TUSD BE'!$AH$9+'TUSD BF'!$AH$9+'TUSD CVA'!$AH$9)*1</f>
        <v>29.379344067511973</v>
      </c>
      <c r="AE9" s="96">
        <f>('TUSD BE'!$AI$9+'TUSD BF'!$AI$9+'TUSD CVA'!$AI$9)*1</f>
        <v>2.3754531981417113</v>
      </c>
      <c r="AF9" s="96">
        <f ca="1">('TUSD BE'!$AJ$9+'TUSD BF'!$AJ$9+'TUSD CVA'!$AJ$9)*1</f>
        <v>29.58125143305001</v>
      </c>
      <c r="AG9" s="96">
        <f ca="1">('TUSD BE'!$AK$9+'TUSD BF'!$AK$9+'TUSD CVA'!$AK$9)*1</f>
        <v>6.7809001915567455</v>
      </c>
      <c r="AH9" s="96"/>
      <c r="AI9" s="96">
        <v>15.6310081638626</v>
      </c>
      <c r="AJ9" s="96">
        <v>0.27680722960342402</v>
      </c>
      <c r="AK9" s="96">
        <v>0.84853017385343998</v>
      </c>
      <c r="AL9" s="96">
        <v>0</v>
      </c>
      <c r="AM9" s="96">
        <v>0</v>
      </c>
      <c r="AN9" s="96">
        <v>36.0807536229864</v>
      </c>
      <c r="AO9" s="96">
        <v>21.6649913154762</v>
      </c>
      <c r="AP9" s="96">
        <v>0</v>
      </c>
      <c r="AQ9" s="96">
        <v>0</v>
      </c>
      <c r="AR9" s="96">
        <v>0</v>
      </c>
      <c r="AS9" s="96">
        <v>0</v>
      </c>
      <c r="AT9" s="96">
        <v>0</v>
      </c>
      <c r="AU9" s="96">
        <v>0</v>
      </c>
      <c r="AV9" s="96">
        <v>0</v>
      </c>
      <c r="AW9" s="96">
        <v>0</v>
      </c>
      <c r="AX9" s="96">
        <v>0</v>
      </c>
      <c r="AY9" s="96">
        <v>-8.9961095197025198</v>
      </c>
      <c r="AZ9" s="96">
        <v>0</v>
      </c>
      <c r="BA9" s="96">
        <v>29.395095673557002</v>
      </c>
      <c r="BB9" s="96">
        <v>2.3767267869212798</v>
      </c>
      <c r="BC9" s="96">
        <v>29.5912123559858</v>
      </c>
      <c r="BD9" s="96">
        <v>6.7830971875677104</v>
      </c>
    </row>
    <row r="10" spans="1:56" ht="11.25" customHeight="1" x14ac:dyDescent="0.25">
      <c r="A10" s="118"/>
      <c r="B10" s="118"/>
      <c r="C10" s="118"/>
      <c r="D10" s="118"/>
      <c r="E10" s="97" t="s">
        <v>85</v>
      </c>
      <c r="F10" s="97" t="s">
        <v>25</v>
      </c>
      <c r="G10" s="22" t="s">
        <v>84</v>
      </c>
      <c r="H10" s="22" t="s">
        <v>79</v>
      </c>
      <c r="I10" s="22">
        <f>'MERCADO TUSD'!$U$7</f>
        <v>0</v>
      </c>
      <c r="J10" s="17"/>
      <c r="L10" s="96">
        <f>('TUSD BE'!$L$10+'TUSD BF'!$L$10+'TUSD CVA'!$L$10)*1</f>
        <v>0</v>
      </c>
      <c r="M10" s="96">
        <f>('TUSD BE'!$M$10+'TUSD BF'!$M$10+'TUSD CVA'!$M$10)*1</f>
        <v>0.27657178368125213</v>
      </c>
      <c r="N10" s="96">
        <f ca="1">('TUSD BE'!$N$10+'TUSD BF'!$N$10+'TUSD CVA'!$N$10)*1</f>
        <v>0.8363041287621592</v>
      </c>
      <c r="O10" s="96">
        <f>('TUSD BE'!$O$10+'TUSD BF'!$O$10+'TUSD CVA'!$O$10)*1</f>
        <v>0</v>
      </c>
      <c r="P10" s="96">
        <f>('TUSD BE'!$P$10+'TUSD BF'!$P$10+'TUSD CVA'!$P$10)*1</f>
        <v>0</v>
      </c>
      <c r="Q10" s="96">
        <f>('TUSD BE'!$Q$10+'TUSD BF'!$Q$10+'TUSD CVA'!$Q$10)*1</f>
        <v>0</v>
      </c>
      <c r="R10" s="96">
        <f>('TUSD BE'!$R$10+'TUSD BF'!$R$10+'TUSD CVA'!$R$10)*1</f>
        <v>0</v>
      </c>
      <c r="S10" s="96">
        <f>('TUSD BE'!$S$10+'TUSD BF'!$S$10+'TUSD CVA'!$S$10)*1</f>
        <v>0</v>
      </c>
      <c r="T10" s="96">
        <f>('TUSD BE'!$U$10+'TUSD BF'!$U$10+'TUSD CVA'!$U$10)*1</f>
        <v>0</v>
      </c>
      <c r="U10" s="96">
        <f>('TUSD BE'!$V$10+'TUSD BF'!$V$10+'TUSD CVA'!$V$10)*1</f>
        <v>0</v>
      </c>
      <c r="V10" s="96">
        <f>('TUSD BE'!$W$10+'TUSD BF'!$W$10+'TUSD CVA'!$W$10)*1</f>
        <v>0</v>
      </c>
      <c r="W10" s="96">
        <f>('TUSD BE'!$X$10+'TUSD BF'!$X$10+'TUSD CVA'!$X$10)*1</f>
        <v>0</v>
      </c>
      <c r="X10" s="96">
        <f>('TUSD BE'!$Y$10+'TUSD BF'!$Y$10+'TUSD CVA'!$Y$10)*1</f>
        <v>0</v>
      </c>
      <c r="Y10" s="96">
        <f>('TUSD BE'!$Z$10+'TUSD BF'!$Z$10+'TUSD CVA'!$Z$10)*1</f>
        <v>0</v>
      </c>
      <c r="Z10" s="96">
        <f>('TUSD BE'!$AA$10+'TUSD BF'!$AA$10+'TUSD CVA'!$AA$10)*1</f>
        <v>0</v>
      </c>
      <c r="AA10" s="96">
        <f>('TUSD BE'!$AC$10+'TUSD BF'!$AC$10+'TUSD CVA'!$AC$10)*1</f>
        <v>0</v>
      </c>
      <c r="AB10" s="96">
        <f ca="1">('TUSD BE'!$AE$10+'TUSD BF'!$AE$10+'TUSD CVA'!$AE$10)*1</f>
        <v>-5.3235184301976508</v>
      </c>
      <c r="AC10" s="96">
        <f ca="1">('TUSD BE'!$AF$10+'TUSD BF'!$AF$10+'TUSD CVA'!$AF$10)*1</f>
        <v>0</v>
      </c>
      <c r="AD10" s="96">
        <f>('TUSD BE'!$AH$10+'TUSD BF'!$AH$10+'TUSD CVA'!$AH$10)*1</f>
        <v>29.379344067511973</v>
      </c>
      <c r="AE10" s="96">
        <f>('TUSD BE'!$AI$10+'TUSD BF'!$AI$10+'TUSD CVA'!$AI$10)*1</f>
        <v>2.3754531981417113</v>
      </c>
      <c r="AF10" s="96">
        <f ca="1">('TUSD BE'!$AJ$10+'TUSD BF'!$AJ$10+'TUSD CVA'!$AJ$10)*1</f>
        <v>29.58125143305001</v>
      </c>
      <c r="AG10" s="96">
        <f ca="1">('TUSD BE'!$AK$10+'TUSD BF'!$AK$10+'TUSD CVA'!$AK$10)*1</f>
        <v>6.7809001915567455</v>
      </c>
      <c r="AH10" s="96"/>
      <c r="AI10" s="96">
        <v>0</v>
      </c>
      <c r="AJ10" s="96">
        <v>0.27680722960342402</v>
      </c>
      <c r="AK10" s="96">
        <v>0.83698075528576898</v>
      </c>
      <c r="AL10" s="96">
        <v>0</v>
      </c>
      <c r="AM10" s="96">
        <v>0</v>
      </c>
      <c r="AN10" s="96">
        <v>0</v>
      </c>
      <c r="AO10" s="96">
        <v>0</v>
      </c>
      <c r="AP10" s="96">
        <v>0</v>
      </c>
      <c r="AQ10" s="96">
        <v>0</v>
      </c>
      <c r="AR10" s="96">
        <v>0</v>
      </c>
      <c r="AS10" s="96">
        <v>0</v>
      </c>
      <c r="AT10" s="96">
        <v>0</v>
      </c>
      <c r="AU10" s="96">
        <v>0</v>
      </c>
      <c r="AV10" s="96">
        <v>0</v>
      </c>
      <c r="AW10" s="96">
        <v>0</v>
      </c>
      <c r="AX10" s="96">
        <v>0</v>
      </c>
      <c r="AY10" s="96">
        <v>-5.32264838338003</v>
      </c>
      <c r="AZ10" s="96">
        <v>0</v>
      </c>
      <c r="BA10" s="96">
        <v>29.395095673557002</v>
      </c>
      <c r="BB10" s="96">
        <v>2.3767267869212798</v>
      </c>
      <c r="BC10" s="96">
        <v>29.5912123559858</v>
      </c>
      <c r="BD10" s="96">
        <v>6.7830971875677104</v>
      </c>
    </row>
    <row r="11" spans="1:56" ht="11.25" customHeight="1" x14ac:dyDescent="0.25">
      <c r="A11" s="118" t="s">
        <v>42</v>
      </c>
      <c r="B11" s="118" t="s">
        <v>40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2" t="s">
        <v>82</v>
      </c>
      <c r="H11" s="22" t="s">
        <v>76</v>
      </c>
      <c r="I11" s="22">
        <f>'MERCADO TUSD'!$U$8</f>
        <v>0</v>
      </c>
      <c r="J11" s="17"/>
      <c r="L11" s="96">
        <f>('TUSD BE'!$L$11+'TUSD BF'!$L$11+'TUSD CVA'!$L$11)*1</f>
        <v>0</v>
      </c>
      <c r="M11" s="96">
        <f>('TUSD BE'!$M$11+'TUSD BF'!$M$11+'TUSD CVA'!$M$11)*1</f>
        <v>0</v>
      </c>
      <c r="N11" s="96">
        <f ca="1">('TUSD BE'!$N$11+'TUSD BF'!$N$11+'TUSD CVA'!$N$11)*1</f>
        <v>0</v>
      </c>
      <c r="O11" s="96">
        <f>('TUSD BE'!$O$11+'TUSD BF'!$O$11+'TUSD CVA'!$O$11)*1</f>
        <v>0</v>
      </c>
      <c r="P11" s="96">
        <f>('TUSD BE'!$P$11+'TUSD BF'!$P$11+'TUSD CVA'!$P$11)*1</f>
        <v>0</v>
      </c>
      <c r="Q11" s="96">
        <f>('TUSD BE'!$Q$11+'TUSD BF'!$Q$11+'TUSD CVA'!$Q$11)*1</f>
        <v>0</v>
      </c>
      <c r="R11" s="96">
        <f>('TUSD BE'!$R$11+'TUSD BF'!$R$11+'TUSD CVA'!$R$11)*1</f>
        <v>0</v>
      </c>
      <c r="S11" s="96">
        <f>('TUSD BE'!$S$11+'TUSD BF'!$S$11+'TUSD CVA'!$S$11)*1</f>
        <v>0</v>
      </c>
      <c r="T11" s="96">
        <f>('TUSD BE'!$U$11+'TUSD BF'!$U$11+'TUSD CVA'!$U$11)*1</f>
        <v>8.7068631406927075</v>
      </c>
      <c r="U11" s="96">
        <f>('TUSD BE'!$V$11+'TUSD BF'!$V$11+'TUSD CVA'!$V$11)*1</f>
        <v>1.3196830958662584</v>
      </c>
      <c r="V11" s="96">
        <f>('TUSD BE'!$W$11+'TUSD BF'!$W$11+'TUSD CVA'!$W$11)*1</f>
        <v>4.8260227887235323E-2</v>
      </c>
      <c r="W11" s="96">
        <f>('TUSD BE'!$X$11+'TUSD BF'!$X$11+'TUSD CVA'!$X$11)*1</f>
        <v>0</v>
      </c>
      <c r="X11" s="96">
        <f>('TUSD BE'!$Y$11+'TUSD BF'!$Y$11+'TUSD CVA'!$Y$11)*1</f>
        <v>0</v>
      </c>
      <c r="Y11" s="96">
        <f>('TUSD BE'!$Z$11+'TUSD BF'!$Z$11+'TUSD CVA'!$Z$11)*1</f>
        <v>0</v>
      </c>
      <c r="Z11" s="96">
        <f>('TUSD BE'!$AA$11+'TUSD BF'!$AA$11+'TUSD CVA'!$AA$11)*1</f>
        <v>0</v>
      </c>
      <c r="AA11" s="96">
        <f>('TUSD BE'!$AC$11+'TUSD BF'!$AC$11+'TUSD CVA'!$AC$11)*1</f>
        <v>48.093580843543307</v>
      </c>
      <c r="AB11" s="96">
        <f ca="1">('TUSD BE'!$AE$11+'TUSD BF'!$AE$11+'TUSD CVA'!$AE$11)*1</f>
        <v>-3.9199657679498427</v>
      </c>
      <c r="AC11" s="96">
        <f ca="1">('TUSD BE'!$AF$11+'TUSD BF'!$AF$11+'TUSD CVA'!$AF$11)*1</f>
        <v>0</v>
      </c>
      <c r="AD11" s="96">
        <f>('TUSD BE'!$AH$11+'TUSD BF'!$AH$11+'TUSD CVA'!$AH$11)*1</f>
        <v>0</v>
      </c>
      <c r="AE11" s="96">
        <f>('TUSD BE'!$AI$11+'TUSD BF'!$AI$11+'TUSD CVA'!$AI$11)*1</f>
        <v>0</v>
      </c>
      <c r="AF11" s="96">
        <f ca="1">('TUSD BE'!$AJ$11+'TUSD BF'!$AJ$11+'TUSD CVA'!$AJ$11)*1</f>
        <v>0</v>
      </c>
      <c r="AG11" s="96">
        <f ca="1">('TUSD BE'!$AK$11+'TUSD BF'!$AK$11+'TUSD CVA'!$AK$11)*1</f>
        <v>0</v>
      </c>
      <c r="AH11" s="96"/>
      <c r="AI11" s="96">
        <v>0</v>
      </c>
      <c r="AJ11" s="96">
        <v>0</v>
      </c>
      <c r="AK11" s="96">
        <v>0</v>
      </c>
      <c r="AL11" s="96">
        <v>0</v>
      </c>
      <c r="AM11" s="96">
        <v>0</v>
      </c>
      <c r="AN11" s="96">
        <v>0</v>
      </c>
      <c r="AO11" s="96">
        <v>0</v>
      </c>
      <c r="AP11" s="96">
        <v>0</v>
      </c>
      <c r="AQ11" s="96">
        <v>8.7068631406927093</v>
      </c>
      <c r="AR11" s="96">
        <v>1.31968309586626</v>
      </c>
      <c r="AS11" s="96">
        <v>4.8304751307277197E-2</v>
      </c>
      <c r="AT11" s="96">
        <v>0</v>
      </c>
      <c r="AU11" s="96">
        <v>0</v>
      </c>
      <c r="AV11" s="96">
        <v>0</v>
      </c>
      <c r="AW11" s="96">
        <v>0</v>
      </c>
      <c r="AX11" s="96">
        <v>48.137575240745299</v>
      </c>
      <c r="AY11" s="96">
        <v>-3.9208300428391301</v>
      </c>
      <c r="AZ11" s="96">
        <v>0</v>
      </c>
      <c r="BA11" s="96">
        <v>0</v>
      </c>
      <c r="BB11" s="96">
        <v>0</v>
      </c>
      <c r="BC11" s="96">
        <v>0</v>
      </c>
      <c r="BD11" s="96">
        <v>0</v>
      </c>
    </row>
    <row r="12" spans="1:56" ht="11.25" customHeight="1" x14ac:dyDescent="0.25">
      <c r="A12" s="118"/>
      <c r="B12" s="118"/>
      <c r="C12" s="118"/>
      <c r="D12" s="118"/>
      <c r="E12" s="118"/>
      <c r="F12" s="118"/>
      <c r="G12" s="22" t="s">
        <v>83</v>
      </c>
      <c r="H12" s="22" t="s">
        <v>76</v>
      </c>
      <c r="I12" s="22">
        <f>'MERCADO TUSD'!$U$9</f>
        <v>0</v>
      </c>
      <c r="J12" s="17"/>
      <c r="L12" s="96">
        <f>('TUSD BE'!$L$12+'TUSD BF'!$L$12+'TUSD CVA'!$L$12)*1</f>
        <v>0</v>
      </c>
      <c r="M12" s="96">
        <f>('TUSD BE'!$M$12+'TUSD BF'!$M$12+'TUSD CVA'!$M$12)*1</f>
        <v>0</v>
      </c>
      <c r="N12" s="96">
        <f ca="1">('TUSD BE'!$N$12+'TUSD BF'!$N$12+'TUSD CVA'!$N$12)*1</f>
        <v>0</v>
      </c>
      <c r="O12" s="96">
        <f>('TUSD BE'!$O$12+'TUSD BF'!$O$12+'TUSD CVA'!$O$12)*1</f>
        <v>0</v>
      </c>
      <c r="P12" s="96">
        <f>('TUSD BE'!$P$12+'TUSD BF'!$P$12+'TUSD CVA'!$P$12)*1</f>
        <v>0</v>
      </c>
      <c r="Q12" s="96">
        <f>('TUSD BE'!$Q$12+'TUSD BF'!$Q$12+'TUSD CVA'!$Q$12)*1</f>
        <v>0</v>
      </c>
      <c r="R12" s="96">
        <f>('TUSD BE'!$R$12+'TUSD BF'!$R$12+'TUSD CVA'!$R$12)*1</f>
        <v>0</v>
      </c>
      <c r="S12" s="96">
        <f>('TUSD BE'!$S$12+'TUSD BF'!$S$12+'TUSD CVA'!$S$12)*1</f>
        <v>0</v>
      </c>
      <c r="T12" s="96">
        <f>('TUSD BE'!$U$12+'TUSD BF'!$U$12+'TUSD CVA'!$U$12)*1</f>
        <v>4.7863029689599212</v>
      </c>
      <c r="U12" s="96">
        <f>('TUSD BE'!$V$12+'TUSD BF'!$V$12+'TUSD CVA'!$V$12)*1</f>
        <v>0.74758992649689671</v>
      </c>
      <c r="V12" s="96">
        <f>('TUSD BE'!$W$12+'TUSD BF'!$W$12+'TUSD CVA'!$W$12)*1</f>
        <v>2.4897085780456369E-2</v>
      </c>
      <c r="W12" s="96">
        <f>('TUSD BE'!$X$12+'TUSD BF'!$X$12+'TUSD CVA'!$X$12)*1</f>
        <v>0</v>
      </c>
      <c r="X12" s="96">
        <f>('TUSD BE'!$Y$12+'TUSD BF'!$Y$12+'TUSD CVA'!$Y$12)*1</f>
        <v>0</v>
      </c>
      <c r="Y12" s="96">
        <f>('TUSD BE'!$Z$12+'TUSD BF'!$Z$12+'TUSD CVA'!$Z$12)*1</f>
        <v>0</v>
      </c>
      <c r="Z12" s="96">
        <f>('TUSD BE'!$AA$12+'TUSD BF'!$AA$12+'TUSD CVA'!$AA$12)*1</f>
        <v>0</v>
      </c>
      <c r="AA12" s="96">
        <f>('TUSD BE'!$AC$12+'TUSD BF'!$AC$12+'TUSD CVA'!$AC$12)*1</f>
        <v>17.172685303878787</v>
      </c>
      <c r="AB12" s="96">
        <f ca="1">('TUSD BE'!$AE$12+'TUSD BF'!$AE$12+'TUSD CVA'!$AE$12)*1</f>
        <v>-1.5420844705863042</v>
      </c>
      <c r="AC12" s="96">
        <f ca="1">('TUSD BE'!$AF$12+'TUSD BF'!$AF$12+'TUSD CVA'!$AF$12)*1</f>
        <v>0</v>
      </c>
      <c r="AD12" s="96">
        <f>('TUSD BE'!$AH$12+'TUSD BF'!$AH$12+'TUSD CVA'!$AH$12)*1</f>
        <v>0</v>
      </c>
      <c r="AE12" s="96">
        <f>('TUSD BE'!$AI$12+'TUSD BF'!$AI$12+'TUSD CVA'!$AI$12)*1</f>
        <v>0</v>
      </c>
      <c r="AF12" s="96">
        <f ca="1">('TUSD BE'!$AJ$12+'TUSD BF'!$AJ$12+'TUSD CVA'!$AJ$12)*1</f>
        <v>0</v>
      </c>
      <c r="AG12" s="96">
        <f ca="1">('TUSD BE'!$AK$12+'TUSD BF'!$AK$12+'TUSD CVA'!$AK$12)*1</f>
        <v>0</v>
      </c>
      <c r="AH12" s="96"/>
      <c r="AI12" s="96">
        <v>0</v>
      </c>
      <c r="AJ12" s="96">
        <v>0</v>
      </c>
      <c r="AK12" s="96">
        <v>0</v>
      </c>
      <c r="AL12" s="96">
        <v>0</v>
      </c>
      <c r="AM12" s="96">
        <v>0</v>
      </c>
      <c r="AN12" s="96">
        <v>0</v>
      </c>
      <c r="AO12" s="96">
        <v>0</v>
      </c>
      <c r="AP12" s="96">
        <v>0</v>
      </c>
      <c r="AQ12" s="96">
        <v>4.7863029689599204</v>
      </c>
      <c r="AR12" s="96">
        <v>0.74758992649689704</v>
      </c>
      <c r="AS12" s="96">
        <v>2.4920055075392401E-2</v>
      </c>
      <c r="AT12" s="96">
        <v>0</v>
      </c>
      <c r="AU12" s="96">
        <v>0</v>
      </c>
      <c r="AV12" s="96">
        <v>0</v>
      </c>
      <c r="AW12" s="96">
        <v>0</v>
      </c>
      <c r="AX12" s="96">
        <v>17.188394301317398</v>
      </c>
      <c r="AY12" s="96">
        <v>-1.5423186202397801</v>
      </c>
      <c r="AZ12" s="96">
        <v>0</v>
      </c>
      <c r="BA12" s="96">
        <v>0</v>
      </c>
      <c r="BB12" s="96">
        <v>0</v>
      </c>
      <c r="BC12" s="96">
        <v>0</v>
      </c>
      <c r="BD12" s="96">
        <v>0</v>
      </c>
    </row>
    <row r="13" spans="1:56" ht="11.25" customHeight="1" x14ac:dyDescent="0.25">
      <c r="A13" s="118"/>
      <c r="B13" s="118"/>
      <c r="C13" s="118"/>
      <c r="D13" s="118"/>
      <c r="E13" s="118"/>
      <c r="F13" s="118"/>
      <c r="G13" s="22" t="s">
        <v>84</v>
      </c>
      <c r="H13" s="22" t="s">
        <v>79</v>
      </c>
      <c r="I13" s="22">
        <f>'MERCADO TUSD'!$U$10</f>
        <v>0</v>
      </c>
      <c r="J13" s="17"/>
      <c r="L13" s="96">
        <f>('TUSD BE'!$L$13+'TUSD BF'!$L$13+'TUSD CVA'!$L$13)*1</f>
        <v>21.177494931684866</v>
      </c>
      <c r="M13" s="96">
        <f>('TUSD BE'!$M$13+'TUSD BF'!$M$13+'TUSD CVA'!$M$13)*1</f>
        <v>0.80627114812533462</v>
      </c>
      <c r="N13" s="96">
        <f ca="1">('TUSD BE'!$N$13+'TUSD BF'!$N$13+'TUSD CVA'!$N$13)*1</f>
        <v>1.5425758304868071</v>
      </c>
      <c r="O13" s="96">
        <f>('TUSD BE'!$O$13+'TUSD BF'!$O$13+'TUSD CVA'!$O$13)*1</f>
        <v>0</v>
      </c>
      <c r="P13" s="96">
        <f>('TUSD BE'!$P$13+'TUSD BF'!$P$13+'TUSD CVA'!$P$13)*1</f>
        <v>0</v>
      </c>
      <c r="Q13" s="96">
        <f>('TUSD BE'!$Q$13+'TUSD BF'!$Q$13+'TUSD CVA'!$Q$13)*1</f>
        <v>48.883601682755838</v>
      </c>
      <c r="R13" s="96">
        <f>('TUSD BE'!$R$13+'TUSD BF'!$R$13+'TUSD CVA'!$R$13)*1</f>
        <v>21.66499131547619</v>
      </c>
      <c r="S13" s="96">
        <f>('TUSD BE'!$S$13+'TUSD BF'!$S$13+'TUSD CVA'!$S$13)*1</f>
        <v>0</v>
      </c>
      <c r="T13" s="96">
        <f>('TUSD BE'!$U$13+'TUSD BF'!$U$13+'TUSD CVA'!$U$13)*1</f>
        <v>0</v>
      </c>
      <c r="U13" s="96">
        <f>('TUSD BE'!$V$13+'TUSD BF'!$V$13+'TUSD CVA'!$V$13)*1</f>
        <v>0</v>
      </c>
      <c r="V13" s="96">
        <f>('TUSD BE'!$W$13+'TUSD BF'!$W$13+'TUSD CVA'!$W$13)*1</f>
        <v>0</v>
      </c>
      <c r="W13" s="96">
        <f>('TUSD BE'!$X$13+'TUSD BF'!$X$13+'TUSD CVA'!$X$13)*1</f>
        <v>0</v>
      </c>
      <c r="X13" s="96">
        <f>('TUSD BE'!$Y$13+'TUSD BF'!$Y$13+'TUSD CVA'!$Y$13)*1</f>
        <v>0</v>
      </c>
      <c r="Y13" s="96">
        <f>('TUSD BE'!$Z$13+'TUSD BF'!$Z$13+'TUSD CVA'!$Z$13)*1</f>
        <v>0</v>
      </c>
      <c r="Z13" s="96">
        <f>('TUSD BE'!$AA$13+'TUSD BF'!$AA$13+'TUSD CVA'!$AA$13)*1</f>
        <v>0</v>
      </c>
      <c r="AA13" s="96">
        <f>('TUSD BE'!$AC$13+'TUSD BF'!$AC$13+'TUSD CVA'!$AC$13)*1</f>
        <v>0</v>
      </c>
      <c r="AB13" s="96">
        <f ca="1">('TUSD BE'!$AE$13+'TUSD BF'!$AE$13+'TUSD CVA'!$AE$13)*1</f>
        <v>-12.441068681137567</v>
      </c>
      <c r="AC13" s="96">
        <f ca="1">('TUSD BE'!$AF$13+'TUSD BF'!$AF$13+'TUSD CVA'!$AF$13)*1</f>
        <v>0</v>
      </c>
      <c r="AD13" s="96">
        <f>('TUSD BE'!$AH$13+'TUSD BF'!$AH$13+'TUSD CVA'!$AH$13)*1</f>
        <v>29.379344067511973</v>
      </c>
      <c r="AE13" s="96">
        <f>('TUSD BE'!$AI$13+'TUSD BF'!$AI$13+'TUSD CVA'!$AI$13)*1</f>
        <v>2.3754531981417113</v>
      </c>
      <c r="AF13" s="96">
        <f ca="1">('TUSD BE'!$AJ$13+'TUSD BF'!$AJ$13+'TUSD CVA'!$AJ$13)*1</f>
        <v>55.390585219323043</v>
      </c>
      <c r="AG13" s="96">
        <f ca="1">('TUSD BE'!$AK$13+'TUSD BF'!$AK$13+'TUSD CVA'!$AK$13)*1</f>
        <v>12.697164985538995</v>
      </c>
      <c r="AH13" s="96"/>
      <c r="AI13" s="96">
        <v>21.177494931684901</v>
      </c>
      <c r="AJ13" s="96">
        <v>0.80695752781115904</v>
      </c>
      <c r="AK13" s="96">
        <v>1.54405656754939</v>
      </c>
      <c r="AL13" s="96">
        <v>0</v>
      </c>
      <c r="AM13" s="96">
        <v>0</v>
      </c>
      <c r="AN13" s="96">
        <v>48.883601682755803</v>
      </c>
      <c r="AO13" s="96">
        <v>21.6649913154762</v>
      </c>
      <c r="AP13" s="96">
        <v>0</v>
      </c>
      <c r="AQ13" s="96">
        <v>0</v>
      </c>
      <c r="AR13" s="96">
        <v>0</v>
      </c>
      <c r="AS13" s="96">
        <v>0</v>
      </c>
      <c r="AT13" s="96">
        <v>0</v>
      </c>
      <c r="AU13" s="96">
        <v>0</v>
      </c>
      <c r="AV13" s="96">
        <v>0</v>
      </c>
      <c r="AW13" s="96">
        <v>0</v>
      </c>
      <c r="AX13" s="96">
        <v>0</v>
      </c>
      <c r="AY13" s="96">
        <v>-12.4379656899157</v>
      </c>
      <c r="AZ13" s="96">
        <v>0</v>
      </c>
      <c r="BA13" s="96">
        <v>29.395095673557002</v>
      </c>
      <c r="BB13" s="96">
        <v>2.3767267869212798</v>
      </c>
      <c r="BC13" s="96">
        <v>55.417629928292001</v>
      </c>
      <c r="BD13" s="96">
        <v>12.7032027341802</v>
      </c>
    </row>
    <row r="14" spans="1:56" ht="11.25" customHeight="1" x14ac:dyDescent="0.25">
      <c r="A14" s="118"/>
      <c r="B14" s="118"/>
      <c r="C14" s="118"/>
      <c r="D14" s="118"/>
      <c r="E14" s="97" t="s">
        <v>85</v>
      </c>
      <c r="F14" s="97" t="s">
        <v>25</v>
      </c>
      <c r="G14" s="22" t="s">
        <v>84</v>
      </c>
      <c r="H14" s="22" t="s">
        <v>79</v>
      </c>
      <c r="I14" s="22">
        <f>'MERCADO TUSD'!$U$11</f>
        <v>0</v>
      </c>
      <c r="J14" s="17"/>
      <c r="L14" s="96">
        <f>('TUSD BE'!$L$14+'TUSD BF'!$L$14+'TUSD CVA'!$L$14)*1</f>
        <v>0</v>
      </c>
      <c r="M14" s="96">
        <f>('TUSD BE'!$M$14+'TUSD BF'!$M$14+'TUSD CVA'!$M$14)*1</f>
        <v>0.80627114812533462</v>
      </c>
      <c r="N14" s="96">
        <f ca="1">('TUSD BE'!$N$14+'TUSD BF'!$N$14+'TUSD CVA'!$N$14)*1</f>
        <v>1.5310329239885336</v>
      </c>
      <c r="O14" s="96">
        <f>('TUSD BE'!$O$14+'TUSD BF'!$O$14+'TUSD CVA'!$O$14)*1</f>
        <v>0</v>
      </c>
      <c r="P14" s="96">
        <f>('TUSD BE'!$P$14+'TUSD BF'!$P$14+'TUSD CVA'!$P$14)*1</f>
        <v>0</v>
      </c>
      <c r="Q14" s="96">
        <f>('TUSD BE'!$Q$14+'TUSD BF'!$Q$14+'TUSD CVA'!$Q$14)*1</f>
        <v>0</v>
      </c>
      <c r="R14" s="96">
        <f>('TUSD BE'!$R$14+'TUSD BF'!$R$14+'TUSD CVA'!$R$14)*1</f>
        <v>0</v>
      </c>
      <c r="S14" s="96">
        <f>('TUSD BE'!$S$14+'TUSD BF'!$S$14+'TUSD CVA'!$S$14)*1</f>
        <v>0</v>
      </c>
      <c r="T14" s="96">
        <f>('TUSD BE'!$U$14+'TUSD BF'!$U$14+'TUSD CVA'!$U$14)*1</f>
        <v>0</v>
      </c>
      <c r="U14" s="96">
        <f>('TUSD BE'!$V$14+'TUSD BF'!$V$14+'TUSD CVA'!$V$14)*1</f>
        <v>0</v>
      </c>
      <c r="V14" s="96">
        <f>('TUSD BE'!$W$14+'TUSD BF'!$W$14+'TUSD CVA'!$W$14)*1</f>
        <v>0</v>
      </c>
      <c r="W14" s="96">
        <f>('TUSD BE'!$X$14+'TUSD BF'!$X$14+'TUSD CVA'!$X$14)*1</f>
        <v>0</v>
      </c>
      <c r="X14" s="96">
        <f>('TUSD BE'!$Y$14+'TUSD BF'!$Y$14+'TUSD CVA'!$Y$14)*1</f>
        <v>0</v>
      </c>
      <c r="Y14" s="96">
        <f>('TUSD BE'!$Z$14+'TUSD BF'!$Z$14+'TUSD CVA'!$Z$14)*1</f>
        <v>0</v>
      </c>
      <c r="Z14" s="96">
        <f>('TUSD BE'!$AA$14+'TUSD BF'!$AA$14+'TUSD CVA'!$AA$14)*1</f>
        <v>0</v>
      </c>
      <c r="AA14" s="96">
        <f>('TUSD BE'!$AC$14+'TUSD BF'!$AC$14+'TUSD CVA'!$AC$14)*1</f>
        <v>0</v>
      </c>
      <c r="AB14" s="96">
        <f ca="1">('TUSD BE'!$AE$14+'TUSD BF'!$AE$14+'TUSD CVA'!$AE$14)*1</f>
        <v>-7.816033339629139</v>
      </c>
      <c r="AC14" s="96">
        <f ca="1">('TUSD BE'!$AF$14+'TUSD BF'!$AF$14+'TUSD CVA'!$AF$14)*1</f>
        <v>0</v>
      </c>
      <c r="AD14" s="96">
        <f>('TUSD BE'!$AH$14+'TUSD BF'!$AH$14+'TUSD CVA'!$AH$14)*1</f>
        <v>29.379344067511973</v>
      </c>
      <c r="AE14" s="96">
        <f>('TUSD BE'!$AI$14+'TUSD BF'!$AI$14+'TUSD CVA'!$AI$14)*1</f>
        <v>2.3754531981417113</v>
      </c>
      <c r="AF14" s="96">
        <f ca="1">('TUSD BE'!$AJ$14+'TUSD BF'!$AJ$14+'TUSD CVA'!$AJ$14)*1</f>
        <v>55.390585219323043</v>
      </c>
      <c r="AG14" s="96">
        <f ca="1">('TUSD BE'!$AK$14+'TUSD BF'!$AK$14+'TUSD CVA'!$AK$14)*1</f>
        <v>12.697164985538995</v>
      </c>
      <c r="AH14" s="96"/>
      <c r="AI14" s="96">
        <v>0</v>
      </c>
      <c r="AJ14" s="96">
        <v>0.80695752781115904</v>
      </c>
      <c r="AK14" s="96">
        <v>1.5325071489817199</v>
      </c>
      <c r="AL14" s="96">
        <v>0</v>
      </c>
      <c r="AM14" s="96">
        <v>0</v>
      </c>
      <c r="AN14" s="96">
        <v>0</v>
      </c>
      <c r="AO14" s="96">
        <v>0</v>
      </c>
      <c r="AP14" s="96">
        <v>0</v>
      </c>
      <c r="AQ14" s="96">
        <v>0</v>
      </c>
      <c r="AR14" s="96">
        <v>0</v>
      </c>
      <c r="AS14" s="96">
        <v>0</v>
      </c>
      <c r="AT14" s="96">
        <v>0</v>
      </c>
      <c r="AU14" s="96">
        <v>0</v>
      </c>
      <c r="AV14" s="96">
        <v>0</v>
      </c>
      <c r="AW14" s="96">
        <v>0</v>
      </c>
      <c r="AX14" s="96">
        <v>0</v>
      </c>
      <c r="AY14" s="96">
        <v>-7.8153636087683003</v>
      </c>
      <c r="AZ14" s="96">
        <v>0</v>
      </c>
      <c r="BA14" s="96">
        <v>29.395095673557002</v>
      </c>
      <c r="BB14" s="96">
        <v>2.3767267869212798</v>
      </c>
      <c r="BC14" s="96">
        <v>55.417629928292001</v>
      </c>
      <c r="BD14" s="96">
        <v>12.7032027341802</v>
      </c>
    </row>
    <row r="15" spans="1:56" ht="11.25" customHeight="1" x14ac:dyDescent="0.25">
      <c r="A15" s="118"/>
      <c r="B15" s="97" t="s">
        <v>58</v>
      </c>
      <c r="C15" s="97" t="s">
        <v>25</v>
      </c>
      <c r="D15" s="97" t="s">
        <v>25</v>
      </c>
      <c r="E15" s="97" t="s">
        <v>25</v>
      </c>
      <c r="F15" s="97" t="s">
        <v>25</v>
      </c>
      <c r="G15" s="22" t="s">
        <v>9</v>
      </c>
      <c r="H15" s="22" t="s">
        <v>76</v>
      </c>
      <c r="I15" s="22">
        <f>'MERCADO TUSD'!$U$12</f>
        <v>0</v>
      </c>
      <c r="J15" s="17"/>
      <c r="L15" s="96">
        <f>('TUSD BE'!$L$15+'TUSD BF'!$L$15+'TUSD CVA'!$L$15)*1</f>
        <v>0</v>
      </c>
      <c r="M15" s="96">
        <f>('TUSD BE'!$M$15+'TUSD BF'!$M$15+'TUSD CVA'!$M$15)*1</f>
        <v>3.6265512677214458E-2</v>
      </c>
      <c r="N15" s="96">
        <f ca="1">('TUSD BE'!$N$15+'TUSD BF'!$N$15+'TUSD CVA'!$N$15)*1</f>
        <v>9.7883847105358898E-2</v>
      </c>
      <c r="O15" s="96">
        <f>('TUSD BE'!$O$15+'TUSD BF'!$O$15+'TUSD CVA'!$O$15)*1</f>
        <v>0</v>
      </c>
      <c r="P15" s="96">
        <f>('TUSD BE'!$P$15+'TUSD BF'!$P$15+'TUSD CVA'!$P$15)*1</f>
        <v>0</v>
      </c>
      <c r="Q15" s="96">
        <f>('TUSD BE'!$Q$15+'TUSD BF'!$Q$15+'TUSD CVA'!$Q$15)*1</f>
        <v>0</v>
      </c>
      <c r="R15" s="96">
        <f>('TUSD BE'!$R$15+'TUSD BF'!$R$15+'TUSD CVA'!$R$15)*1</f>
        <v>0</v>
      </c>
      <c r="S15" s="96">
        <f>('TUSD BE'!$S$15+'TUSD BF'!$S$15+'TUSD CVA'!$S$15)*1</f>
        <v>0</v>
      </c>
      <c r="T15" s="96">
        <f>('TUSD BE'!$U$15+'TUSD BF'!$U$15+'TUSD CVA'!$U$15)*1</f>
        <v>0</v>
      </c>
      <c r="U15" s="96">
        <f>('TUSD BE'!$V$15+'TUSD BF'!$V$15+'TUSD CVA'!$V$15)*1</f>
        <v>0</v>
      </c>
      <c r="V15" s="96">
        <f>('TUSD BE'!$W$15+'TUSD BF'!$W$15+'TUSD CVA'!$W$15)*1</f>
        <v>0</v>
      </c>
      <c r="W15" s="96">
        <f>('TUSD BE'!$X$15+'TUSD BF'!$X$15+'TUSD CVA'!$X$15)*1</f>
        <v>0</v>
      </c>
      <c r="X15" s="96">
        <f>('TUSD BE'!$Y$15+'TUSD BF'!$Y$15+'TUSD CVA'!$Y$15)*1</f>
        <v>0</v>
      </c>
      <c r="Y15" s="96">
        <f>('TUSD BE'!$Z$15+'TUSD BF'!$Z$15+'TUSD CVA'!$Z$15)*1</f>
        <v>0</v>
      </c>
      <c r="Z15" s="96">
        <f>('TUSD BE'!$AA$15+'TUSD BF'!$AA$15+'TUSD CVA'!$AA$15)*1</f>
        <v>0</v>
      </c>
      <c r="AA15" s="96">
        <f>('TUSD BE'!$AC$15+'TUSD BF'!$AC$15+'TUSD CVA'!$AC$15)*1</f>
        <v>11.034216391275919</v>
      </c>
      <c r="AB15" s="96">
        <f ca="1">('TUSD BE'!$AE$15+'TUSD BF'!$AE$15+'TUSD CVA'!$AE$15)*1</f>
        <v>-0.74011413715918728</v>
      </c>
      <c r="AC15" s="96">
        <f ca="1">('TUSD BE'!$AF$15+'TUSD BF'!$AF$15+'TUSD CVA'!$AF$15)*1</f>
        <v>0</v>
      </c>
      <c r="AD15" s="96">
        <f>('TUSD BE'!$AH$15+'TUSD BF'!$AH$15+'TUSD CVA'!$AH$15)*1</f>
        <v>0</v>
      </c>
      <c r="AE15" s="96">
        <f>('TUSD BE'!$AI$15+'TUSD BF'!$AI$15+'TUSD CVA'!$AI$15)*1</f>
        <v>0</v>
      </c>
      <c r="AF15" s="96">
        <f ca="1">('TUSD BE'!$AJ$15+'TUSD BF'!$AJ$15+'TUSD CVA'!$AJ$15)*1</f>
        <v>0</v>
      </c>
      <c r="AG15" s="96">
        <f ca="1">('TUSD BE'!$AK$15+'TUSD BF'!$AK$15+'TUSD CVA'!$AK$15)*1</f>
        <v>0</v>
      </c>
      <c r="AH15" s="96"/>
      <c r="AI15" s="96">
        <v>0</v>
      </c>
      <c r="AJ15" s="96">
        <v>3.6263861270821297E-2</v>
      </c>
      <c r="AK15" s="96">
        <v>9.7939069453850502E-2</v>
      </c>
      <c r="AL15" s="96">
        <v>0</v>
      </c>
      <c r="AM15" s="96">
        <v>0</v>
      </c>
      <c r="AN15" s="96">
        <v>0</v>
      </c>
      <c r="AO15" s="96">
        <v>0</v>
      </c>
      <c r="AP15" s="96">
        <v>0</v>
      </c>
      <c r="AQ15" s="96">
        <v>0</v>
      </c>
      <c r="AR15" s="96">
        <v>0</v>
      </c>
      <c r="AS15" s="96">
        <v>0</v>
      </c>
      <c r="AT15" s="96">
        <v>0</v>
      </c>
      <c r="AU15" s="96">
        <v>0</v>
      </c>
      <c r="AV15" s="96">
        <v>0</v>
      </c>
      <c r="AW15" s="96">
        <v>0</v>
      </c>
      <c r="AX15" s="96">
        <v>11.0443101229178</v>
      </c>
      <c r="AY15" s="96">
        <v>-0.74039921973071898</v>
      </c>
      <c r="AZ15" s="96">
        <v>0</v>
      </c>
      <c r="BA15" s="96">
        <v>0</v>
      </c>
      <c r="BB15" s="96">
        <v>0</v>
      </c>
      <c r="BC15" s="96">
        <v>0</v>
      </c>
      <c r="BD15" s="96">
        <v>0</v>
      </c>
    </row>
    <row r="16" spans="1:56" ht="11.25" customHeight="1" x14ac:dyDescent="0.25">
      <c r="A16" s="118"/>
      <c r="B16" s="118" t="s">
        <v>43</v>
      </c>
      <c r="C16" s="118" t="s">
        <v>25</v>
      </c>
      <c r="D16" s="118" t="s">
        <v>25</v>
      </c>
      <c r="E16" s="118" t="s">
        <v>25</v>
      </c>
      <c r="F16" s="118" t="s">
        <v>25</v>
      </c>
      <c r="G16" s="22" t="s">
        <v>9</v>
      </c>
      <c r="H16" s="22" t="s">
        <v>76</v>
      </c>
      <c r="I16" s="22">
        <f>'MERCADO TUSD'!$U$13</f>
        <v>1860</v>
      </c>
      <c r="J16" s="17"/>
      <c r="L16" s="96">
        <f>('TUSD BE'!$L$16+'TUSD BF'!$L$16+'TUSD CVA'!$L$16)*1</f>
        <v>0</v>
      </c>
      <c r="M16" s="96">
        <f>('TUSD BE'!$M$16+'TUSD BF'!$M$16+'TUSD CVA'!$M$16)*1</f>
        <v>0</v>
      </c>
      <c r="N16" s="96">
        <f ca="1">('TUSD BE'!$N$16+'TUSD BF'!$N$16+'TUSD CVA'!$N$16)*1</f>
        <v>0</v>
      </c>
      <c r="O16" s="96">
        <f>('TUSD BE'!$O$16+'TUSD BF'!$O$16+'TUSD CVA'!$O$16)*1</f>
        <v>0</v>
      </c>
      <c r="P16" s="96">
        <f>('TUSD BE'!$P$16+'TUSD BF'!$P$16+'TUSD CVA'!$P$16)*1</f>
        <v>0</v>
      </c>
      <c r="Q16" s="96">
        <f>('TUSD BE'!$Q$16+'TUSD BF'!$Q$16+'TUSD CVA'!$Q$16)*1</f>
        <v>0</v>
      </c>
      <c r="R16" s="96">
        <f>('TUSD BE'!$R$16+'TUSD BF'!$R$16+'TUSD CVA'!$R$16)*1</f>
        <v>0</v>
      </c>
      <c r="S16" s="96">
        <f>('TUSD BE'!$S$16+'TUSD BF'!$S$16+'TUSD CVA'!$S$16)*1</f>
        <v>0</v>
      </c>
      <c r="T16" s="96">
        <f>('TUSD BE'!$U$16+'TUSD BF'!$U$16+'TUSD CVA'!$U$16)*1</f>
        <v>4.7863029689599212</v>
      </c>
      <c r="U16" s="96">
        <f>('TUSD BE'!$V$16+'TUSD BF'!$V$16+'TUSD CVA'!$V$16)*1</f>
        <v>0.74758992649689671</v>
      </c>
      <c r="V16" s="96">
        <f>('TUSD BE'!$W$16+'TUSD BF'!$W$16+'TUSD CVA'!$W$16)*1</f>
        <v>2.4897085780456369E-2</v>
      </c>
      <c r="W16" s="96">
        <f>('TUSD BE'!$X$16+'TUSD BF'!$X$16+'TUSD CVA'!$X$16)*1</f>
        <v>0</v>
      </c>
      <c r="X16" s="96">
        <f>('TUSD BE'!$Y$16+'TUSD BF'!$Y$16+'TUSD CVA'!$Y$16)*1</f>
        <v>0</v>
      </c>
      <c r="Y16" s="96">
        <f>('TUSD BE'!$Z$16+'TUSD BF'!$Z$16+'TUSD CVA'!$Z$16)*1</f>
        <v>0</v>
      </c>
      <c r="Z16" s="96">
        <f>('TUSD BE'!$AA$16+'TUSD BF'!$AA$16+'TUSD CVA'!$AA$16)*1</f>
        <v>0</v>
      </c>
      <c r="AA16" s="96">
        <f>('TUSD BE'!$AC$16+'TUSD BF'!$AC$16+'TUSD CVA'!$AC$16)*1</f>
        <v>17.172685303878787</v>
      </c>
      <c r="AB16" s="96">
        <f ca="1">('TUSD BE'!$AE$16+'TUSD BF'!$AE$16+'TUSD CVA'!$AE$16)*1</f>
        <v>-1.5420844705863042</v>
      </c>
      <c r="AC16" s="96">
        <f ca="1">('TUSD BE'!$AF$16+'TUSD BF'!$AF$16+'TUSD CVA'!$AF$16)*1</f>
        <v>0</v>
      </c>
      <c r="AD16" s="96">
        <f>('TUSD BE'!$AH$16+'TUSD BF'!$AH$16+'TUSD CVA'!$AH$16)*1</f>
        <v>0</v>
      </c>
      <c r="AE16" s="96">
        <f>('TUSD BE'!$AI$16+'TUSD BF'!$AI$16+'TUSD CVA'!$AI$16)*1</f>
        <v>0</v>
      </c>
      <c r="AF16" s="96">
        <f ca="1">('TUSD BE'!$AJ$16+'TUSD BF'!$AJ$16+'TUSD CVA'!$AJ$16)*1</f>
        <v>0</v>
      </c>
      <c r="AG16" s="96">
        <f ca="1">('TUSD BE'!$AK$16+'TUSD BF'!$AK$16+'TUSD CVA'!$AK$16)*1</f>
        <v>0</v>
      </c>
      <c r="AH16" s="96"/>
      <c r="AI16" s="96">
        <v>0</v>
      </c>
      <c r="AJ16" s="96">
        <v>0</v>
      </c>
      <c r="AK16" s="96">
        <v>0</v>
      </c>
      <c r="AL16" s="96">
        <v>0</v>
      </c>
      <c r="AM16" s="96">
        <v>0</v>
      </c>
      <c r="AN16" s="96">
        <v>0</v>
      </c>
      <c r="AO16" s="96">
        <v>0</v>
      </c>
      <c r="AP16" s="96">
        <v>0</v>
      </c>
      <c r="AQ16" s="96">
        <v>4.7863029689599204</v>
      </c>
      <c r="AR16" s="96">
        <v>0.74758992649689704</v>
      </c>
      <c r="AS16" s="96">
        <v>2.4920055075392401E-2</v>
      </c>
      <c r="AT16" s="96">
        <v>0</v>
      </c>
      <c r="AU16" s="96">
        <v>0</v>
      </c>
      <c r="AV16" s="96">
        <v>0</v>
      </c>
      <c r="AW16" s="96">
        <v>0</v>
      </c>
      <c r="AX16" s="96">
        <v>17.188394301317398</v>
      </c>
      <c r="AY16" s="96">
        <v>-1.5423186202397801</v>
      </c>
      <c r="AZ16" s="96">
        <v>0</v>
      </c>
      <c r="BA16" s="96">
        <v>0</v>
      </c>
      <c r="BB16" s="96">
        <v>0</v>
      </c>
      <c r="BC16" s="96">
        <v>0</v>
      </c>
      <c r="BD16" s="96">
        <v>0</v>
      </c>
    </row>
    <row r="17" spans="1:56" ht="11.25" customHeight="1" x14ac:dyDescent="0.25">
      <c r="A17" s="118"/>
      <c r="B17" s="118"/>
      <c r="C17" s="118"/>
      <c r="D17" s="118"/>
      <c r="E17" s="118"/>
      <c r="F17" s="118"/>
      <c r="G17" s="22" t="s">
        <v>80</v>
      </c>
      <c r="H17" s="22" t="s">
        <v>79</v>
      </c>
      <c r="I17" s="22">
        <f>'MERCADO TUSD'!$U$14</f>
        <v>30.865000000000002</v>
      </c>
      <c r="J17" s="17"/>
      <c r="L17" s="96">
        <f>('TUSD BE'!$L$17+'TUSD BF'!$L$17+'TUSD CVA'!$L$17)*1</f>
        <v>21.177494931684866</v>
      </c>
      <c r="M17" s="96">
        <f>('TUSD BE'!$M$17+'TUSD BF'!$M$17+'TUSD CVA'!$M$17)*1</f>
        <v>0.80627114812533462</v>
      </c>
      <c r="N17" s="96">
        <f ca="1">('TUSD BE'!$N$17+'TUSD BF'!$N$17+'TUSD CVA'!$N$17)*1</f>
        <v>14.115941831964781</v>
      </c>
      <c r="O17" s="96">
        <f>('TUSD BE'!$O$17+'TUSD BF'!$O$17+'TUSD CVA'!$O$17)*1</f>
        <v>0</v>
      </c>
      <c r="P17" s="96">
        <f>('TUSD BE'!$P$17+'TUSD BF'!$P$17+'TUSD CVA'!$P$17)*1</f>
        <v>0</v>
      </c>
      <c r="Q17" s="96">
        <f>('TUSD BE'!$Q$17+'TUSD BF'!$Q$17+'TUSD CVA'!$Q$17)*1</f>
        <v>48.883601682755838</v>
      </c>
      <c r="R17" s="96">
        <f>('TUSD BE'!$R$17+'TUSD BF'!$R$17+'TUSD CVA'!$R$17)*1</f>
        <v>21.66499131547619</v>
      </c>
      <c r="S17" s="96">
        <f>('TUSD BE'!$S$17+'TUSD BF'!$S$17+'TUSD CVA'!$S$17)*1</f>
        <v>0</v>
      </c>
      <c r="T17" s="96">
        <f>('TUSD BE'!$U$17+'TUSD BF'!$U$17+'TUSD CVA'!$U$17)*1</f>
        <v>209.40022164462141</v>
      </c>
      <c r="U17" s="96">
        <f>('TUSD BE'!$V$17+'TUSD BF'!$V$17+'TUSD CVA'!$V$17)*1</f>
        <v>31.739179351008801</v>
      </c>
      <c r="V17" s="96">
        <f>('TUSD BE'!$W$17+'TUSD BF'!$W$17+'TUSD CVA'!$W$17)*1</f>
        <v>1.160959369639385</v>
      </c>
      <c r="W17" s="96">
        <f>('TUSD BE'!$X$17+'TUSD BF'!$X$17+'TUSD CVA'!$X$17)*1</f>
        <v>0</v>
      </c>
      <c r="X17" s="96">
        <f>('TUSD BE'!$Y$17+'TUSD BF'!$Y$17+'TUSD CVA'!$Y$17)*1</f>
        <v>0</v>
      </c>
      <c r="Y17" s="96">
        <f>('TUSD BE'!$Z$17+'TUSD BF'!$Z$17+'TUSD CVA'!$Z$17)*1</f>
        <v>0</v>
      </c>
      <c r="Z17" s="96">
        <f>('TUSD BE'!$AA$17+'TUSD BF'!$AA$17+'TUSD CVA'!$AA$17)*1</f>
        <v>0</v>
      </c>
      <c r="AA17" s="96">
        <f>('TUSD BE'!$AC$17+'TUSD BF'!$AC$17+'TUSD CVA'!$AC$17)*1</f>
        <v>1156.6514098723562</v>
      </c>
      <c r="AB17" s="96">
        <f ca="1">('TUSD BE'!$AE$17+'TUSD BF'!$AE$17+'TUSD CVA'!$AE$17)*1</f>
        <v>-107.55254961819681</v>
      </c>
      <c r="AC17" s="96">
        <f ca="1">('TUSD BE'!$AF$17+'TUSD BF'!$AF$17+'TUSD CVA'!$AF$17)*1</f>
        <v>0</v>
      </c>
      <c r="AD17" s="96">
        <f>('TUSD BE'!$AH$17+'TUSD BF'!$AH$17+'TUSD CVA'!$AH$17)*1</f>
        <v>29.379344067511973</v>
      </c>
      <c r="AE17" s="96">
        <f>('TUSD BE'!$AI$17+'TUSD BF'!$AI$17+'TUSD CVA'!$AI$17)*1</f>
        <v>2.3754531981417113</v>
      </c>
      <c r="AF17" s="96">
        <f ca="1">('TUSD BE'!$AJ$17+'TUSD BF'!$AJ$17+'TUSD CVA'!$AJ$17)*1</f>
        <v>55.390585219323043</v>
      </c>
      <c r="AG17" s="96">
        <f ca="1">('TUSD BE'!$AK$17+'TUSD BF'!$AK$17+'TUSD CVA'!$AK$17)*1</f>
        <v>12.697164985538995</v>
      </c>
      <c r="AH17" s="96"/>
      <c r="AI17" s="96">
        <v>21.177494931684901</v>
      </c>
      <c r="AJ17" s="96">
        <v>0.80695752781115904</v>
      </c>
      <c r="AK17" s="96">
        <v>14.1245159845354</v>
      </c>
      <c r="AL17" s="96">
        <v>0</v>
      </c>
      <c r="AM17" s="96">
        <v>0</v>
      </c>
      <c r="AN17" s="96">
        <v>48.883601682755803</v>
      </c>
      <c r="AO17" s="96">
        <v>21.6649913154762</v>
      </c>
      <c r="AP17" s="96">
        <v>0</v>
      </c>
      <c r="AQ17" s="96">
        <v>209.40022164462101</v>
      </c>
      <c r="AR17" s="96">
        <v>31.739179351008801</v>
      </c>
      <c r="AS17" s="96">
        <v>1.1620304354824</v>
      </c>
      <c r="AT17" s="96">
        <v>0</v>
      </c>
      <c r="AU17" s="96">
        <v>0</v>
      </c>
      <c r="AV17" s="96">
        <v>0</v>
      </c>
      <c r="AW17" s="96">
        <v>0</v>
      </c>
      <c r="AX17" s="96">
        <v>1157.7094758482599</v>
      </c>
      <c r="AY17" s="96">
        <v>-107.570263927957</v>
      </c>
      <c r="AZ17" s="96">
        <v>0</v>
      </c>
      <c r="BA17" s="96">
        <v>29.395095673557002</v>
      </c>
      <c r="BB17" s="96">
        <v>2.3767267869212798</v>
      </c>
      <c r="BC17" s="96">
        <v>55.417629928292001</v>
      </c>
      <c r="BD17" s="96">
        <v>12.7032027341802</v>
      </c>
    </row>
    <row r="18" spans="1:56" ht="11.25" customHeight="1" x14ac:dyDescent="0.25">
      <c r="A18" s="118"/>
      <c r="B18" s="118"/>
      <c r="C18" s="118"/>
      <c r="D18" s="118"/>
      <c r="E18" s="118"/>
      <c r="F18" s="118"/>
      <c r="G18" s="22" t="s">
        <v>81</v>
      </c>
      <c r="H18" s="22" t="s">
        <v>79</v>
      </c>
      <c r="I18" s="22">
        <f>'MERCADO TUSD'!$U$15</f>
        <v>189.88</v>
      </c>
      <c r="J18" s="17"/>
      <c r="L18" s="96">
        <f>('TUSD BE'!$L$18+'TUSD BF'!$L$18+'TUSD CVA'!$L$18)*1</f>
        <v>21.177494931684866</v>
      </c>
      <c r="M18" s="96">
        <f>('TUSD BE'!$M$18+'TUSD BF'!$M$18+'TUSD CVA'!$M$18)*1</f>
        <v>0.80627114812533462</v>
      </c>
      <c r="N18" s="96">
        <f ca="1">('TUSD BE'!$N$18+'TUSD BF'!$N$18+'TUSD CVA'!$N$18)*1</f>
        <v>1.5425758304868071</v>
      </c>
      <c r="O18" s="96">
        <f>('TUSD BE'!$O$18+'TUSD BF'!$O$18+'TUSD CVA'!$O$18)*1</f>
        <v>0</v>
      </c>
      <c r="P18" s="96">
        <f>('TUSD BE'!$P$18+'TUSD BF'!$P$18+'TUSD CVA'!$P$18)*1</f>
        <v>0</v>
      </c>
      <c r="Q18" s="96">
        <f>('TUSD BE'!$Q$18+'TUSD BF'!$Q$18+'TUSD CVA'!$Q$18)*1</f>
        <v>48.883601682755838</v>
      </c>
      <c r="R18" s="96">
        <f>('TUSD BE'!$R$18+'TUSD BF'!$R$18+'TUSD CVA'!$R$18)*1</f>
        <v>21.66499131547619</v>
      </c>
      <c r="S18" s="96">
        <f>('TUSD BE'!$S$18+'TUSD BF'!$S$18+'TUSD CVA'!$S$18)*1</f>
        <v>0</v>
      </c>
      <c r="T18" s="96">
        <f>('TUSD BE'!$U$18+'TUSD BF'!$U$18+'TUSD CVA'!$U$18)*1</f>
        <v>0</v>
      </c>
      <c r="U18" s="96">
        <f>('TUSD BE'!$V$18+'TUSD BF'!$V$18+'TUSD CVA'!$V$18)*1</f>
        <v>0</v>
      </c>
      <c r="V18" s="96">
        <f>('TUSD BE'!$W$18+'TUSD BF'!$W$18+'TUSD CVA'!$W$18)*1</f>
        <v>0</v>
      </c>
      <c r="W18" s="96">
        <f>('TUSD BE'!$X$18+'TUSD BF'!$X$18+'TUSD CVA'!$X$18)*1</f>
        <v>0</v>
      </c>
      <c r="X18" s="96">
        <f>('TUSD BE'!$Y$18+'TUSD BF'!$Y$18+'TUSD CVA'!$Y$18)*1</f>
        <v>0</v>
      </c>
      <c r="Y18" s="96">
        <f>('TUSD BE'!$Z$18+'TUSD BF'!$Z$18+'TUSD CVA'!$Z$18)*1</f>
        <v>0</v>
      </c>
      <c r="Z18" s="96">
        <f>('TUSD BE'!$AA$18+'TUSD BF'!$AA$18+'TUSD CVA'!$AA$18)*1</f>
        <v>0</v>
      </c>
      <c r="AA18" s="96">
        <f>('TUSD BE'!$AC$18+'TUSD BF'!$AC$18+'TUSD CVA'!$AC$18)*1</f>
        <v>0</v>
      </c>
      <c r="AB18" s="96">
        <f ca="1">('TUSD BE'!$AE$18+'TUSD BF'!$AE$18+'TUSD CVA'!$AE$18)*1</f>
        <v>-12.441068681137567</v>
      </c>
      <c r="AC18" s="96">
        <f ca="1">('TUSD BE'!$AF$18+'TUSD BF'!$AF$18+'TUSD CVA'!$AF$18)*1</f>
        <v>0</v>
      </c>
      <c r="AD18" s="96">
        <f>('TUSD BE'!$AH$18+'TUSD BF'!$AH$18+'TUSD CVA'!$AH$18)*1</f>
        <v>29.379344067511973</v>
      </c>
      <c r="AE18" s="96">
        <f>('TUSD BE'!$AI$18+'TUSD BF'!$AI$18+'TUSD CVA'!$AI$18)*1</f>
        <v>2.3754531981417113</v>
      </c>
      <c r="AF18" s="96">
        <f ca="1">('TUSD BE'!$AJ$18+'TUSD BF'!$AJ$18+'TUSD CVA'!$AJ$18)*1</f>
        <v>55.390585219323043</v>
      </c>
      <c r="AG18" s="96">
        <f ca="1">('TUSD BE'!$AK$18+'TUSD BF'!$AK$18+'TUSD CVA'!$AK$18)*1</f>
        <v>12.697164985538995</v>
      </c>
      <c r="AH18" s="96"/>
      <c r="AI18" s="96">
        <v>21.177494931684901</v>
      </c>
      <c r="AJ18" s="96">
        <v>0.80695752781115904</v>
      </c>
      <c r="AK18" s="96">
        <v>1.54405656754939</v>
      </c>
      <c r="AL18" s="96">
        <v>0</v>
      </c>
      <c r="AM18" s="96">
        <v>0</v>
      </c>
      <c r="AN18" s="96">
        <v>48.883601682755803</v>
      </c>
      <c r="AO18" s="96">
        <v>21.6649913154762</v>
      </c>
      <c r="AP18" s="96">
        <v>0</v>
      </c>
      <c r="AQ18" s="96">
        <v>0</v>
      </c>
      <c r="AR18" s="96">
        <v>0</v>
      </c>
      <c r="AS18" s="96">
        <v>0</v>
      </c>
      <c r="AT18" s="96">
        <v>0</v>
      </c>
      <c r="AU18" s="96">
        <v>0</v>
      </c>
      <c r="AV18" s="96">
        <v>0</v>
      </c>
      <c r="AW18" s="96">
        <v>0</v>
      </c>
      <c r="AX18" s="96">
        <v>0</v>
      </c>
      <c r="AY18" s="96">
        <v>-12.4379656899157</v>
      </c>
      <c r="AZ18" s="96">
        <v>0</v>
      </c>
      <c r="BA18" s="96">
        <v>29.395095673557002</v>
      </c>
      <c r="BB18" s="96">
        <v>2.3767267869212798</v>
      </c>
      <c r="BC18" s="96">
        <v>55.417629928292001</v>
      </c>
      <c r="BD18" s="96">
        <v>12.7032027341802</v>
      </c>
    </row>
    <row r="19" spans="1:56" ht="11.25" customHeight="1" x14ac:dyDescent="0.25">
      <c r="A19" s="118"/>
      <c r="B19" s="118"/>
      <c r="C19" s="118"/>
      <c r="D19" s="118"/>
      <c r="E19" s="118" t="s">
        <v>85</v>
      </c>
      <c r="F19" s="118" t="s">
        <v>25</v>
      </c>
      <c r="G19" s="22" t="s">
        <v>80</v>
      </c>
      <c r="H19" s="22" t="s">
        <v>79</v>
      </c>
      <c r="I19" s="22">
        <f>'MERCADO TUSD'!$U$16</f>
        <v>0</v>
      </c>
      <c r="J19" s="17"/>
      <c r="L19" s="96">
        <f>('TUSD BE'!$L$19+'TUSD BF'!$L$19+'TUSD CVA'!$L$19)*1</f>
        <v>0</v>
      </c>
      <c r="M19" s="96">
        <f>('TUSD BE'!$M$19+'TUSD BF'!$M$19+'TUSD CVA'!$M$19)*1</f>
        <v>0.80627114812533462</v>
      </c>
      <c r="N19" s="96">
        <f ca="1">('TUSD BE'!$N$19+'TUSD BF'!$N$19+'TUSD CVA'!$N$19)*1</f>
        <v>14.104398925466505</v>
      </c>
      <c r="O19" s="96">
        <f>('TUSD BE'!$O$19+'TUSD BF'!$O$19+'TUSD CVA'!$O$19)*1</f>
        <v>0</v>
      </c>
      <c r="P19" s="96">
        <f>('TUSD BE'!$P$19+'TUSD BF'!$P$19+'TUSD CVA'!$P$19)*1</f>
        <v>0</v>
      </c>
      <c r="Q19" s="96">
        <f>('TUSD BE'!$Q$19+'TUSD BF'!$Q$19+'TUSD CVA'!$Q$19)*1</f>
        <v>0</v>
      </c>
      <c r="R19" s="96">
        <f>('TUSD BE'!$R$19+'TUSD BF'!$R$19+'TUSD CVA'!$R$19)*1</f>
        <v>0</v>
      </c>
      <c r="S19" s="96">
        <f>('TUSD BE'!$S$19+'TUSD BF'!$S$19+'TUSD CVA'!$S$19)*1</f>
        <v>0</v>
      </c>
      <c r="T19" s="96">
        <f>('TUSD BE'!$U$19+'TUSD BF'!$U$19+'TUSD CVA'!$U$19)*1</f>
        <v>209.40022164462141</v>
      </c>
      <c r="U19" s="96">
        <f>('TUSD BE'!$V$19+'TUSD BF'!$V$19+'TUSD CVA'!$V$19)*1</f>
        <v>31.739179351008801</v>
      </c>
      <c r="V19" s="96">
        <f>('TUSD BE'!$W$19+'TUSD BF'!$W$19+'TUSD CVA'!$W$19)*1</f>
        <v>1.160959369639385</v>
      </c>
      <c r="W19" s="96">
        <f>('TUSD BE'!$X$19+'TUSD BF'!$X$19+'TUSD CVA'!$X$19)*1</f>
        <v>0</v>
      </c>
      <c r="X19" s="96">
        <f>('TUSD BE'!$Y$19+'TUSD BF'!$Y$19+'TUSD CVA'!$Y$19)*1</f>
        <v>0</v>
      </c>
      <c r="Y19" s="96">
        <f>('TUSD BE'!$Z$19+'TUSD BF'!$Z$19+'TUSD CVA'!$Z$19)*1</f>
        <v>0</v>
      </c>
      <c r="Z19" s="96">
        <f>('TUSD BE'!$AA$19+'TUSD BF'!$AA$19+'TUSD CVA'!$AA$19)*1</f>
        <v>0</v>
      </c>
      <c r="AA19" s="96">
        <f>('TUSD BE'!$AC$19+'TUSD BF'!$AC$19+'TUSD CVA'!$AC$19)*1</f>
        <v>1156.6514098723562</v>
      </c>
      <c r="AB19" s="96">
        <f ca="1">('TUSD BE'!$AE$19+'TUSD BF'!$AE$19+'TUSD CVA'!$AE$19)*1</f>
        <v>-102.92751427668837</v>
      </c>
      <c r="AC19" s="96">
        <f ca="1">('TUSD BE'!$AF$19+'TUSD BF'!$AF$19+'TUSD CVA'!$AF$19)*1</f>
        <v>0</v>
      </c>
      <c r="AD19" s="96">
        <f>('TUSD BE'!$AH$19+'TUSD BF'!$AH$19+'TUSD CVA'!$AH$19)*1</f>
        <v>29.379344067511973</v>
      </c>
      <c r="AE19" s="96">
        <f>('TUSD BE'!$AI$19+'TUSD BF'!$AI$19+'TUSD CVA'!$AI$19)*1</f>
        <v>2.3754531981417113</v>
      </c>
      <c r="AF19" s="96">
        <f ca="1">('TUSD BE'!$AJ$19+'TUSD BF'!$AJ$19+'TUSD CVA'!$AJ$19)*1</f>
        <v>55.390585219323043</v>
      </c>
      <c r="AG19" s="96">
        <f ca="1">('TUSD BE'!$AK$19+'TUSD BF'!$AK$19+'TUSD CVA'!$AK$19)*1</f>
        <v>12.697164985538995</v>
      </c>
      <c r="AH19" s="96"/>
      <c r="AI19" s="96">
        <v>0</v>
      </c>
      <c r="AJ19" s="96">
        <v>0.80695752781115904</v>
      </c>
      <c r="AK19" s="96">
        <v>14.112966565967801</v>
      </c>
      <c r="AL19" s="96">
        <v>0</v>
      </c>
      <c r="AM19" s="96">
        <v>0</v>
      </c>
      <c r="AN19" s="96">
        <v>0</v>
      </c>
      <c r="AO19" s="96">
        <v>0</v>
      </c>
      <c r="AP19" s="96">
        <v>0</v>
      </c>
      <c r="AQ19" s="96">
        <v>209.40022164462101</v>
      </c>
      <c r="AR19" s="96">
        <v>31.739179351008801</v>
      </c>
      <c r="AS19" s="96">
        <v>1.1620304354824</v>
      </c>
      <c r="AT19" s="96">
        <v>0</v>
      </c>
      <c r="AU19" s="96">
        <v>0</v>
      </c>
      <c r="AV19" s="96">
        <v>0</v>
      </c>
      <c r="AW19" s="96">
        <v>0</v>
      </c>
      <c r="AX19" s="96">
        <v>1157.7094758482599</v>
      </c>
      <c r="AY19" s="96">
        <v>-102.947661846809</v>
      </c>
      <c r="AZ19" s="96">
        <v>0</v>
      </c>
      <c r="BA19" s="96">
        <v>29.395095673557002</v>
      </c>
      <c r="BB19" s="96">
        <v>2.3767267869212798</v>
      </c>
      <c r="BC19" s="96">
        <v>55.417629928292001</v>
      </c>
      <c r="BD19" s="96">
        <v>12.7032027341802</v>
      </c>
    </row>
    <row r="20" spans="1:56" ht="11.25" customHeight="1" x14ac:dyDescent="0.25">
      <c r="A20" s="118"/>
      <c r="B20" s="118"/>
      <c r="C20" s="118"/>
      <c r="D20" s="118"/>
      <c r="E20" s="118"/>
      <c r="F20" s="118"/>
      <c r="G20" s="22" t="s">
        <v>81</v>
      </c>
      <c r="H20" s="22" t="s">
        <v>79</v>
      </c>
      <c r="I20" s="22">
        <f>'MERCADO TUSD'!$U$17</f>
        <v>0</v>
      </c>
      <c r="J20" s="17"/>
      <c r="L20" s="96">
        <f>('TUSD BE'!$L$20+'TUSD BF'!$L$20+'TUSD CVA'!$L$20)*1</f>
        <v>0</v>
      </c>
      <c r="M20" s="96">
        <f>('TUSD BE'!$M$20+'TUSD BF'!$M$20+'TUSD CVA'!$M$20)*1</f>
        <v>0.80627114812533462</v>
      </c>
      <c r="N20" s="96">
        <f ca="1">('TUSD BE'!$N$20+'TUSD BF'!$N$20+'TUSD CVA'!$N$20)*1</f>
        <v>1.5310329239885336</v>
      </c>
      <c r="O20" s="96">
        <f>('TUSD BE'!$O$20+'TUSD BF'!$O$20+'TUSD CVA'!$O$20)*1</f>
        <v>0</v>
      </c>
      <c r="P20" s="96">
        <f>('TUSD BE'!$P$20+'TUSD BF'!$P$20+'TUSD CVA'!$P$20)*1</f>
        <v>0</v>
      </c>
      <c r="Q20" s="96">
        <f>('TUSD BE'!$Q$20+'TUSD BF'!$Q$20+'TUSD CVA'!$Q$20)*1</f>
        <v>0</v>
      </c>
      <c r="R20" s="96">
        <f>('TUSD BE'!$R$20+'TUSD BF'!$R$20+'TUSD CVA'!$R$20)*1</f>
        <v>0</v>
      </c>
      <c r="S20" s="96">
        <f>('TUSD BE'!$S$20+'TUSD BF'!$S$20+'TUSD CVA'!$S$20)*1</f>
        <v>0</v>
      </c>
      <c r="T20" s="96">
        <f>('TUSD BE'!$U$20+'TUSD BF'!$U$20+'TUSD CVA'!$U$20)*1</f>
        <v>0</v>
      </c>
      <c r="U20" s="96">
        <f>('TUSD BE'!$V$20+'TUSD BF'!$V$20+'TUSD CVA'!$V$20)*1</f>
        <v>0</v>
      </c>
      <c r="V20" s="96">
        <f>('TUSD BE'!$W$20+'TUSD BF'!$W$20+'TUSD CVA'!$W$20)*1</f>
        <v>0</v>
      </c>
      <c r="W20" s="96">
        <f>('TUSD BE'!$X$20+'TUSD BF'!$X$20+'TUSD CVA'!$X$20)*1</f>
        <v>0</v>
      </c>
      <c r="X20" s="96">
        <f>('TUSD BE'!$Y$20+'TUSD BF'!$Y$20+'TUSD CVA'!$Y$20)*1</f>
        <v>0</v>
      </c>
      <c r="Y20" s="96">
        <f>('TUSD BE'!$Z$20+'TUSD BF'!$Z$20+'TUSD CVA'!$Z$20)*1</f>
        <v>0</v>
      </c>
      <c r="Z20" s="96">
        <f>('TUSD BE'!$AA$20+'TUSD BF'!$AA$20+'TUSD CVA'!$AA$20)*1</f>
        <v>0</v>
      </c>
      <c r="AA20" s="96">
        <f>('TUSD BE'!$AC$20+'TUSD BF'!$AC$20+'TUSD CVA'!$AC$20)*1</f>
        <v>0</v>
      </c>
      <c r="AB20" s="96">
        <f ca="1">('TUSD BE'!$AE$20+'TUSD BF'!$AE$20+'TUSD CVA'!$AE$20)*1</f>
        <v>-7.816033339629139</v>
      </c>
      <c r="AC20" s="96">
        <f ca="1">('TUSD BE'!$AF$20+'TUSD BF'!$AF$20+'TUSD CVA'!$AF$20)*1</f>
        <v>0</v>
      </c>
      <c r="AD20" s="96">
        <f>('TUSD BE'!$AH$20+'TUSD BF'!$AH$20+'TUSD CVA'!$AH$20)*1</f>
        <v>29.379344067511973</v>
      </c>
      <c r="AE20" s="96">
        <f>('TUSD BE'!$AI$20+'TUSD BF'!$AI$20+'TUSD CVA'!$AI$20)*1</f>
        <v>2.3754531981417113</v>
      </c>
      <c r="AF20" s="96">
        <f ca="1">('TUSD BE'!$AJ$20+'TUSD BF'!$AJ$20+'TUSD CVA'!$AJ$20)*1</f>
        <v>55.390585219323043</v>
      </c>
      <c r="AG20" s="96">
        <f ca="1">('TUSD BE'!$AK$20+'TUSD BF'!$AK$20+'TUSD CVA'!$AK$20)*1</f>
        <v>12.697164985538995</v>
      </c>
      <c r="AH20" s="96"/>
      <c r="AI20" s="96">
        <v>0</v>
      </c>
      <c r="AJ20" s="96">
        <v>0.80695752781115904</v>
      </c>
      <c r="AK20" s="96">
        <v>1.5325071489817199</v>
      </c>
      <c r="AL20" s="96">
        <v>0</v>
      </c>
      <c r="AM20" s="96">
        <v>0</v>
      </c>
      <c r="AN20" s="96">
        <v>0</v>
      </c>
      <c r="AO20" s="96">
        <v>0</v>
      </c>
      <c r="AP20" s="96">
        <v>0</v>
      </c>
      <c r="AQ20" s="96">
        <v>0</v>
      </c>
      <c r="AR20" s="96">
        <v>0</v>
      </c>
      <c r="AS20" s="96">
        <v>0</v>
      </c>
      <c r="AT20" s="96">
        <v>0</v>
      </c>
      <c r="AU20" s="96">
        <v>0</v>
      </c>
      <c r="AV20" s="96">
        <v>0</v>
      </c>
      <c r="AW20" s="96">
        <v>0</v>
      </c>
      <c r="AX20" s="96">
        <v>0</v>
      </c>
      <c r="AY20" s="96">
        <v>-7.8153636087683003</v>
      </c>
      <c r="AZ20" s="96">
        <v>0</v>
      </c>
      <c r="BA20" s="96">
        <v>29.395095673557002</v>
      </c>
      <c r="BB20" s="96">
        <v>2.3767267869212798</v>
      </c>
      <c r="BC20" s="96">
        <v>55.417629928292001</v>
      </c>
      <c r="BD20" s="96">
        <v>12.7032027341802</v>
      </c>
    </row>
    <row r="21" spans="1:56" ht="11.25" customHeight="1" x14ac:dyDescent="0.25">
      <c r="A21" s="118" t="s">
        <v>41</v>
      </c>
      <c r="B21" s="118" t="s">
        <v>40</v>
      </c>
      <c r="C21" s="118" t="s">
        <v>25</v>
      </c>
      <c r="D21" s="118" t="s">
        <v>25</v>
      </c>
      <c r="E21" s="118" t="s">
        <v>25</v>
      </c>
      <c r="F21" s="118" t="s">
        <v>25</v>
      </c>
      <c r="G21" s="22" t="s">
        <v>82</v>
      </c>
      <c r="H21" s="22" t="s">
        <v>76</v>
      </c>
      <c r="I21" s="22">
        <f>'MERCADO TUSD'!$U$18</f>
        <v>123641</v>
      </c>
      <c r="J21" s="17"/>
      <c r="L21" s="96">
        <f>('TUSD BE'!$L$21+'TUSD BF'!$L$21+'TUSD CVA'!$L$21)*1</f>
        <v>0</v>
      </c>
      <c r="M21" s="96">
        <f>('TUSD BE'!$M$21+'TUSD BF'!$M$21+'TUSD CVA'!$M$21)*1</f>
        <v>0</v>
      </c>
      <c r="N21" s="96">
        <f ca="1">('TUSD BE'!$N$21+'TUSD BF'!$N$21+'TUSD CVA'!$N$21)*1</f>
        <v>0</v>
      </c>
      <c r="O21" s="96">
        <f>('TUSD BE'!$O$21+'TUSD BF'!$O$21+'TUSD CVA'!$O$21)*1</f>
        <v>0</v>
      </c>
      <c r="P21" s="96">
        <f>('TUSD BE'!$P$21+'TUSD BF'!$P$21+'TUSD CVA'!$P$21)*1</f>
        <v>0</v>
      </c>
      <c r="Q21" s="96">
        <f>('TUSD BE'!$Q$21+'TUSD BF'!$Q$21+'TUSD CVA'!$Q$21)*1</f>
        <v>0</v>
      </c>
      <c r="R21" s="96">
        <f>('TUSD BE'!$R$21+'TUSD BF'!$R$21+'TUSD CVA'!$R$21)*1</f>
        <v>0</v>
      </c>
      <c r="S21" s="96">
        <f>('TUSD BE'!$S$21+'TUSD BF'!$S$21+'TUSD CVA'!$S$21)*1</f>
        <v>0</v>
      </c>
      <c r="T21" s="96">
        <f>('TUSD BE'!$U$21+'TUSD BF'!$U$21+'TUSD CVA'!$U$21)*1</f>
        <v>8.7068631406927075</v>
      </c>
      <c r="U21" s="96">
        <f>('TUSD BE'!$V$21+'TUSD BF'!$V$21+'TUSD CVA'!$V$21)*1</f>
        <v>1.3196830958662584</v>
      </c>
      <c r="V21" s="96">
        <f>('TUSD BE'!$W$21+'TUSD BF'!$W$21+'TUSD CVA'!$W$21)*1</f>
        <v>4.8260227887235323E-2</v>
      </c>
      <c r="W21" s="96">
        <f>('TUSD BE'!$X$21+'TUSD BF'!$X$21+'TUSD CVA'!$X$21)*1</f>
        <v>0</v>
      </c>
      <c r="X21" s="96">
        <f>('TUSD BE'!$Y$21+'TUSD BF'!$Y$21+'TUSD CVA'!$Y$21)*1</f>
        <v>0</v>
      </c>
      <c r="Y21" s="96">
        <f>('TUSD BE'!$Z$21+'TUSD BF'!$Z$21+'TUSD CVA'!$Z$21)*1</f>
        <v>0</v>
      </c>
      <c r="Z21" s="96">
        <f>('TUSD BE'!$AA$21+'TUSD BF'!$AA$21+'TUSD CVA'!$AA$21)*1</f>
        <v>0</v>
      </c>
      <c r="AA21" s="96">
        <f>('TUSD BE'!$AC$21+'TUSD BF'!$AC$21+'TUSD CVA'!$AC$21)*1</f>
        <v>48.093580843543307</v>
      </c>
      <c r="AB21" s="96">
        <f ca="1">('TUSD BE'!$AE$21+'TUSD BF'!$AE$21+'TUSD CVA'!$AE$21)*1</f>
        <v>-3.9199657679498427</v>
      </c>
      <c r="AC21" s="96">
        <f ca="1">('TUSD BE'!$AF$21+'TUSD BF'!$AF$21+'TUSD CVA'!$AF$21)*1</f>
        <v>0</v>
      </c>
      <c r="AD21" s="96">
        <f>('TUSD BE'!$AH$21+'TUSD BF'!$AH$21+'TUSD CVA'!$AH$21)*1</f>
        <v>0</v>
      </c>
      <c r="AE21" s="96">
        <f>('TUSD BE'!$AI$21+'TUSD BF'!$AI$21+'TUSD CVA'!$AI$21)*1</f>
        <v>0</v>
      </c>
      <c r="AF21" s="96">
        <f ca="1">('TUSD BE'!$AJ$21+'TUSD BF'!$AJ$21+'TUSD CVA'!$AJ$21)*1</f>
        <v>0</v>
      </c>
      <c r="AG21" s="96">
        <f ca="1">('TUSD BE'!$AK$21+'TUSD BF'!$AK$21+'TUSD CVA'!$AK$21)*1</f>
        <v>0</v>
      </c>
      <c r="AH21" s="96"/>
      <c r="AI21" s="96">
        <v>0</v>
      </c>
      <c r="AJ21" s="96">
        <v>0</v>
      </c>
      <c r="AK21" s="96">
        <v>0</v>
      </c>
      <c r="AL21" s="96">
        <v>0</v>
      </c>
      <c r="AM21" s="96">
        <v>0</v>
      </c>
      <c r="AN21" s="96">
        <v>0</v>
      </c>
      <c r="AO21" s="96">
        <v>0</v>
      </c>
      <c r="AP21" s="96">
        <v>0</v>
      </c>
      <c r="AQ21" s="96">
        <v>8.7068631406927093</v>
      </c>
      <c r="AR21" s="96">
        <v>1.31968309586626</v>
      </c>
      <c r="AS21" s="96">
        <v>4.8304751307277197E-2</v>
      </c>
      <c r="AT21" s="96">
        <v>0</v>
      </c>
      <c r="AU21" s="96">
        <v>0</v>
      </c>
      <c r="AV21" s="96">
        <v>0</v>
      </c>
      <c r="AW21" s="96">
        <v>0</v>
      </c>
      <c r="AX21" s="96">
        <v>48.137575240745299</v>
      </c>
      <c r="AY21" s="96">
        <v>-3.9208300428391301</v>
      </c>
      <c r="AZ21" s="96">
        <v>0</v>
      </c>
      <c r="BA21" s="96">
        <v>0</v>
      </c>
      <c r="BB21" s="96">
        <v>0</v>
      </c>
      <c r="BC21" s="96">
        <v>0</v>
      </c>
      <c r="BD21" s="96">
        <v>0</v>
      </c>
    </row>
    <row r="22" spans="1:56" ht="11.25" customHeight="1" x14ac:dyDescent="0.25">
      <c r="A22" s="118"/>
      <c r="B22" s="118"/>
      <c r="C22" s="118"/>
      <c r="D22" s="118"/>
      <c r="E22" s="118"/>
      <c r="F22" s="118"/>
      <c r="G22" s="22" t="s">
        <v>83</v>
      </c>
      <c r="H22" s="22" t="s">
        <v>76</v>
      </c>
      <c r="I22" s="22">
        <f>'MERCADO TUSD'!$U$19</f>
        <v>167727</v>
      </c>
      <c r="J22" s="17"/>
      <c r="L22" s="96">
        <f>('TUSD BE'!$L$22+'TUSD BF'!$L$22+'TUSD CVA'!$L$22)*1</f>
        <v>0</v>
      </c>
      <c r="M22" s="96">
        <f>('TUSD BE'!$M$22+'TUSD BF'!$M$22+'TUSD CVA'!$M$22)*1</f>
        <v>0</v>
      </c>
      <c r="N22" s="96">
        <f ca="1">('TUSD BE'!$N$22+'TUSD BF'!$N$22+'TUSD CVA'!$N$22)*1</f>
        <v>0</v>
      </c>
      <c r="O22" s="96">
        <f>('TUSD BE'!$O$22+'TUSD BF'!$O$22+'TUSD CVA'!$O$22)*1</f>
        <v>0</v>
      </c>
      <c r="P22" s="96">
        <f>('TUSD BE'!$P$22+'TUSD BF'!$P$22+'TUSD CVA'!$P$22)*1</f>
        <v>0</v>
      </c>
      <c r="Q22" s="96">
        <f>('TUSD BE'!$Q$22+'TUSD BF'!$Q$22+'TUSD CVA'!$Q$22)*1</f>
        <v>0</v>
      </c>
      <c r="R22" s="96">
        <f>('TUSD BE'!$R$22+'TUSD BF'!$R$22+'TUSD CVA'!$R$22)*1</f>
        <v>0</v>
      </c>
      <c r="S22" s="96">
        <f>('TUSD BE'!$S$22+'TUSD BF'!$S$22+'TUSD CVA'!$S$22)*1</f>
        <v>0</v>
      </c>
      <c r="T22" s="96">
        <f>('TUSD BE'!$U$22+'TUSD BF'!$U$22+'TUSD CVA'!$U$22)*1</f>
        <v>4.7863029689599212</v>
      </c>
      <c r="U22" s="96">
        <f>('TUSD BE'!$V$22+'TUSD BF'!$V$22+'TUSD CVA'!$V$22)*1</f>
        <v>0.74758992649689671</v>
      </c>
      <c r="V22" s="96">
        <f>('TUSD BE'!$W$22+'TUSD BF'!$W$22+'TUSD CVA'!$W$22)*1</f>
        <v>2.4897085780456369E-2</v>
      </c>
      <c r="W22" s="96">
        <f>('TUSD BE'!$X$22+'TUSD BF'!$X$22+'TUSD CVA'!$X$22)*1</f>
        <v>0</v>
      </c>
      <c r="X22" s="96">
        <f>('TUSD BE'!$Y$22+'TUSD BF'!$Y$22+'TUSD CVA'!$Y$22)*1</f>
        <v>0</v>
      </c>
      <c r="Y22" s="96">
        <f>('TUSD BE'!$Z$22+'TUSD BF'!$Z$22+'TUSD CVA'!$Z$22)*1</f>
        <v>0</v>
      </c>
      <c r="Z22" s="96">
        <f>('TUSD BE'!$AA$22+'TUSD BF'!$AA$22+'TUSD CVA'!$AA$22)*1</f>
        <v>0</v>
      </c>
      <c r="AA22" s="96">
        <f>('TUSD BE'!$AC$22+'TUSD BF'!$AC$22+'TUSD CVA'!$AC$22)*1</f>
        <v>17.172685303878787</v>
      </c>
      <c r="AB22" s="96">
        <f ca="1">('TUSD BE'!$AE$22+'TUSD BF'!$AE$22+'TUSD CVA'!$AE$22)*1</f>
        <v>-1.5420844705863042</v>
      </c>
      <c r="AC22" s="96">
        <f ca="1">('TUSD BE'!$AF$22+'TUSD BF'!$AF$22+'TUSD CVA'!$AF$22)*1</f>
        <v>0</v>
      </c>
      <c r="AD22" s="96">
        <f>('TUSD BE'!$AH$22+'TUSD BF'!$AH$22+'TUSD CVA'!$AH$22)*1</f>
        <v>0</v>
      </c>
      <c r="AE22" s="96">
        <f>('TUSD BE'!$AI$22+'TUSD BF'!$AI$22+'TUSD CVA'!$AI$22)*1</f>
        <v>0</v>
      </c>
      <c r="AF22" s="96">
        <f ca="1">('TUSD BE'!$AJ$22+'TUSD BF'!$AJ$22+'TUSD CVA'!$AJ$22)*1</f>
        <v>0</v>
      </c>
      <c r="AG22" s="96">
        <f ca="1">('TUSD BE'!$AK$22+'TUSD BF'!$AK$22+'TUSD CVA'!$AK$22)*1</f>
        <v>0</v>
      </c>
      <c r="AH22" s="96"/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6">
        <v>0</v>
      </c>
      <c r="AP22" s="96">
        <v>0</v>
      </c>
      <c r="AQ22" s="96">
        <v>4.7863029689599204</v>
      </c>
      <c r="AR22" s="96">
        <v>0.74758992649689704</v>
      </c>
      <c r="AS22" s="96">
        <v>2.4920055075392401E-2</v>
      </c>
      <c r="AT22" s="96">
        <v>0</v>
      </c>
      <c r="AU22" s="96">
        <v>0</v>
      </c>
      <c r="AV22" s="96">
        <v>0</v>
      </c>
      <c r="AW22" s="96">
        <v>0</v>
      </c>
      <c r="AX22" s="96">
        <v>17.188394301317398</v>
      </c>
      <c r="AY22" s="96">
        <v>-1.5423186202397801</v>
      </c>
      <c r="AZ22" s="96">
        <v>0</v>
      </c>
      <c r="BA22" s="96">
        <v>0</v>
      </c>
      <c r="BB22" s="96">
        <v>0</v>
      </c>
      <c r="BC22" s="96">
        <v>0</v>
      </c>
      <c r="BD22" s="96">
        <v>0</v>
      </c>
    </row>
    <row r="23" spans="1:56" ht="11.25" customHeight="1" x14ac:dyDescent="0.25">
      <c r="A23" s="118"/>
      <c r="B23" s="118"/>
      <c r="C23" s="118"/>
      <c r="D23" s="118"/>
      <c r="E23" s="118"/>
      <c r="F23" s="118"/>
      <c r="G23" s="22" t="s">
        <v>84</v>
      </c>
      <c r="H23" s="22" t="s">
        <v>79</v>
      </c>
      <c r="I23" s="22">
        <f>'MERCADO TUSD'!$U$20</f>
        <v>51976.055999999997</v>
      </c>
      <c r="J23" s="17"/>
      <c r="L23" s="96">
        <f>('TUSD BE'!$L$23+'TUSD BF'!$L$23+'TUSD CVA'!$L$23)*1</f>
        <v>21.177494931684866</v>
      </c>
      <c r="M23" s="96">
        <f>('TUSD BE'!$M$23+'TUSD BF'!$M$23+'TUSD CVA'!$M$23)*1</f>
        <v>0.80627114812533462</v>
      </c>
      <c r="N23" s="96">
        <f ca="1">('TUSD BE'!$N$23+'TUSD BF'!$N$23+'TUSD CVA'!$N$23)*1</f>
        <v>1.5425758304868071</v>
      </c>
      <c r="O23" s="96">
        <f>('TUSD BE'!$O$23+'TUSD BF'!$O$23+'TUSD CVA'!$O$23)*1</f>
        <v>0</v>
      </c>
      <c r="P23" s="96">
        <f>('TUSD BE'!$P$23+'TUSD BF'!$P$23+'TUSD CVA'!$P$23)*1</f>
        <v>0</v>
      </c>
      <c r="Q23" s="96">
        <f>('TUSD BE'!$Q$23+'TUSD BF'!$Q$23+'TUSD CVA'!$Q$23)*1</f>
        <v>48.883601682755838</v>
      </c>
      <c r="R23" s="96">
        <f>('TUSD BE'!$R$23+'TUSD BF'!$R$23+'TUSD CVA'!$R$23)*1</f>
        <v>21.66499131547619</v>
      </c>
      <c r="S23" s="96">
        <f>('TUSD BE'!$S$23+'TUSD BF'!$S$23+'TUSD CVA'!$S$23)*1</f>
        <v>0</v>
      </c>
      <c r="T23" s="96">
        <f>('TUSD BE'!$U$23+'TUSD BF'!$U$23+'TUSD CVA'!$U$23)*1</f>
        <v>0</v>
      </c>
      <c r="U23" s="96">
        <f>('TUSD BE'!$V$23+'TUSD BF'!$V$23+'TUSD CVA'!$V$23)*1</f>
        <v>0</v>
      </c>
      <c r="V23" s="96">
        <f>('TUSD BE'!$W$23+'TUSD BF'!$W$23+'TUSD CVA'!$W$23)*1</f>
        <v>0</v>
      </c>
      <c r="W23" s="96">
        <f>('TUSD BE'!$X$23+'TUSD BF'!$X$23+'TUSD CVA'!$X$23)*1</f>
        <v>0</v>
      </c>
      <c r="X23" s="96">
        <f>('TUSD BE'!$Y$23+'TUSD BF'!$Y$23+'TUSD CVA'!$Y$23)*1</f>
        <v>0</v>
      </c>
      <c r="Y23" s="96">
        <f>('TUSD BE'!$Z$23+'TUSD BF'!$Z$23+'TUSD CVA'!$Z$23)*1</f>
        <v>0</v>
      </c>
      <c r="Z23" s="96">
        <f>('TUSD BE'!$AA$23+'TUSD BF'!$AA$23+'TUSD CVA'!$AA$23)*1</f>
        <v>0</v>
      </c>
      <c r="AA23" s="96">
        <f>('TUSD BE'!$AC$23+'TUSD BF'!$AC$23+'TUSD CVA'!$AC$23)*1</f>
        <v>0</v>
      </c>
      <c r="AB23" s="96">
        <f ca="1">('TUSD BE'!$AE$23+'TUSD BF'!$AE$23+'TUSD CVA'!$AE$23)*1</f>
        <v>-12.441068681137567</v>
      </c>
      <c r="AC23" s="96">
        <f ca="1">('TUSD BE'!$AF$23+'TUSD BF'!$AF$23+'TUSD CVA'!$AF$23)*1</f>
        <v>0</v>
      </c>
      <c r="AD23" s="96">
        <f>('TUSD BE'!$AH$23+'TUSD BF'!$AH$23+'TUSD CVA'!$AH$23)*1</f>
        <v>29.379344067511973</v>
      </c>
      <c r="AE23" s="96">
        <f>('TUSD BE'!$AI$23+'TUSD BF'!$AI$23+'TUSD CVA'!$AI$23)*1</f>
        <v>2.3754531981417113</v>
      </c>
      <c r="AF23" s="96">
        <f ca="1">('TUSD BE'!$AJ$23+'TUSD BF'!$AJ$23+'TUSD CVA'!$AJ$23)*1</f>
        <v>55.390585219323043</v>
      </c>
      <c r="AG23" s="96">
        <f ca="1">('TUSD BE'!$AK$23+'TUSD BF'!$AK$23+'TUSD CVA'!$AK$23)*1</f>
        <v>12.697164985538995</v>
      </c>
      <c r="AH23" s="96"/>
      <c r="AI23" s="96">
        <v>21.177494931684901</v>
      </c>
      <c r="AJ23" s="96">
        <v>0.80695752781115904</v>
      </c>
      <c r="AK23" s="96">
        <v>1.54405656754939</v>
      </c>
      <c r="AL23" s="96">
        <v>0</v>
      </c>
      <c r="AM23" s="96">
        <v>0</v>
      </c>
      <c r="AN23" s="96">
        <v>48.883601682755803</v>
      </c>
      <c r="AO23" s="96">
        <v>21.6649913154762</v>
      </c>
      <c r="AP23" s="96">
        <v>0</v>
      </c>
      <c r="AQ23" s="96">
        <v>0</v>
      </c>
      <c r="AR23" s="96">
        <v>0</v>
      </c>
      <c r="AS23" s="96">
        <v>0</v>
      </c>
      <c r="AT23" s="96">
        <v>0</v>
      </c>
      <c r="AU23" s="96">
        <v>0</v>
      </c>
      <c r="AV23" s="96">
        <v>0</v>
      </c>
      <c r="AW23" s="96">
        <v>0</v>
      </c>
      <c r="AX23" s="96">
        <v>0</v>
      </c>
      <c r="AY23" s="96">
        <v>-12.4379656899157</v>
      </c>
      <c r="AZ23" s="96">
        <v>0</v>
      </c>
      <c r="BA23" s="96">
        <v>29.395095673557002</v>
      </c>
      <c r="BB23" s="96">
        <v>2.3767267869212798</v>
      </c>
      <c r="BC23" s="96">
        <v>55.417629928292001</v>
      </c>
      <c r="BD23" s="96">
        <v>12.7032027341802</v>
      </c>
    </row>
    <row r="24" spans="1:56" ht="11.25" customHeight="1" x14ac:dyDescent="0.25">
      <c r="A24" s="118"/>
      <c r="B24" s="118"/>
      <c r="C24" s="118"/>
      <c r="D24" s="118"/>
      <c r="E24" s="97" t="s">
        <v>85</v>
      </c>
      <c r="F24" s="97" t="s">
        <v>25</v>
      </c>
      <c r="G24" s="22" t="s">
        <v>84</v>
      </c>
      <c r="H24" s="22" t="s">
        <v>79</v>
      </c>
      <c r="I24" s="22">
        <f>'MERCADO TUSD'!$U$21</f>
        <v>0</v>
      </c>
      <c r="J24" s="17"/>
      <c r="L24" s="96">
        <f>('TUSD BE'!$L$24+'TUSD BF'!$L$24+'TUSD CVA'!$L$24)*1</f>
        <v>0</v>
      </c>
      <c r="M24" s="96">
        <f>('TUSD BE'!$M$24+'TUSD BF'!$M$24+'TUSD CVA'!$M$24)*1</f>
        <v>0.80627114812533462</v>
      </c>
      <c r="N24" s="96">
        <f ca="1">('TUSD BE'!$N$24+'TUSD BF'!$N$24+'TUSD CVA'!$N$24)*1</f>
        <v>1.5310329239885336</v>
      </c>
      <c r="O24" s="96">
        <f>('TUSD BE'!$O$24+'TUSD BF'!$O$24+'TUSD CVA'!$O$24)*1</f>
        <v>0</v>
      </c>
      <c r="P24" s="96">
        <f>('TUSD BE'!$P$24+'TUSD BF'!$P$24+'TUSD CVA'!$P$24)*1</f>
        <v>0</v>
      </c>
      <c r="Q24" s="96">
        <f>('TUSD BE'!$Q$24+'TUSD BF'!$Q$24+'TUSD CVA'!$Q$24)*1</f>
        <v>0</v>
      </c>
      <c r="R24" s="96">
        <f>('TUSD BE'!$R$24+'TUSD BF'!$R$24+'TUSD CVA'!$R$24)*1</f>
        <v>0</v>
      </c>
      <c r="S24" s="96">
        <f>('TUSD BE'!$S$24+'TUSD BF'!$S$24+'TUSD CVA'!$S$24)*1</f>
        <v>0</v>
      </c>
      <c r="T24" s="96">
        <f>('TUSD BE'!$U$24+'TUSD BF'!$U$24+'TUSD CVA'!$U$24)*1</f>
        <v>0</v>
      </c>
      <c r="U24" s="96">
        <f>('TUSD BE'!$V$24+'TUSD BF'!$V$24+'TUSD CVA'!$V$24)*1</f>
        <v>0</v>
      </c>
      <c r="V24" s="96">
        <f>('TUSD BE'!$W$24+'TUSD BF'!$W$24+'TUSD CVA'!$W$24)*1</f>
        <v>0</v>
      </c>
      <c r="W24" s="96">
        <f>('TUSD BE'!$X$24+'TUSD BF'!$X$24+'TUSD CVA'!$X$24)*1</f>
        <v>0</v>
      </c>
      <c r="X24" s="96">
        <f>('TUSD BE'!$Y$24+'TUSD BF'!$Y$24+'TUSD CVA'!$Y$24)*1</f>
        <v>0</v>
      </c>
      <c r="Y24" s="96">
        <f>('TUSD BE'!$Z$24+'TUSD BF'!$Z$24+'TUSD CVA'!$Z$24)*1</f>
        <v>0</v>
      </c>
      <c r="Z24" s="96">
        <f>('TUSD BE'!$AA$24+'TUSD BF'!$AA$24+'TUSD CVA'!$AA$24)*1</f>
        <v>0</v>
      </c>
      <c r="AA24" s="96">
        <f>('TUSD BE'!$AC$24+'TUSD BF'!$AC$24+'TUSD CVA'!$AC$24)*1</f>
        <v>0</v>
      </c>
      <c r="AB24" s="96">
        <f ca="1">('TUSD BE'!$AE$24+'TUSD BF'!$AE$24+'TUSD CVA'!$AE$24)*1</f>
        <v>-7.816033339629139</v>
      </c>
      <c r="AC24" s="96">
        <f ca="1">('TUSD BE'!$AF$24+'TUSD BF'!$AF$24+'TUSD CVA'!$AF$24)*1</f>
        <v>0</v>
      </c>
      <c r="AD24" s="96">
        <f>('TUSD BE'!$AH$24+'TUSD BF'!$AH$24+'TUSD CVA'!$AH$24)*1</f>
        <v>29.379344067511973</v>
      </c>
      <c r="AE24" s="96">
        <f>('TUSD BE'!$AI$24+'TUSD BF'!$AI$24+'TUSD CVA'!$AI$24)*1</f>
        <v>2.3754531981417113</v>
      </c>
      <c r="AF24" s="96">
        <f ca="1">('TUSD BE'!$AJ$24+'TUSD BF'!$AJ$24+'TUSD CVA'!$AJ$24)*1</f>
        <v>55.390585219323043</v>
      </c>
      <c r="AG24" s="96">
        <f ca="1">('TUSD BE'!$AK$24+'TUSD BF'!$AK$24+'TUSD CVA'!$AK$24)*1</f>
        <v>12.697164985538995</v>
      </c>
      <c r="AH24" s="96"/>
      <c r="AI24" s="96">
        <v>0</v>
      </c>
      <c r="AJ24" s="96">
        <v>0.80695752781115904</v>
      </c>
      <c r="AK24" s="96">
        <v>1.5325071489817199</v>
      </c>
      <c r="AL24" s="96">
        <v>0</v>
      </c>
      <c r="AM24" s="96">
        <v>0</v>
      </c>
      <c r="AN24" s="96">
        <v>0</v>
      </c>
      <c r="AO24" s="96">
        <v>0</v>
      </c>
      <c r="AP24" s="96">
        <v>0</v>
      </c>
      <c r="AQ24" s="96">
        <v>0</v>
      </c>
      <c r="AR24" s="96">
        <v>0</v>
      </c>
      <c r="AS24" s="96">
        <v>0</v>
      </c>
      <c r="AT24" s="96">
        <v>0</v>
      </c>
      <c r="AU24" s="96">
        <v>0</v>
      </c>
      <c r="AV24" s="96">
        <v>0</v>
      </c>
      <c r="AW24" s="96">
        <v>0</v>
      </c>
      <c r="AX24" s="96">
        <v>0</v>
      </c>
      <c r="AY24" s="96">
        <v>-7.8153636087683003</v>
      </c>
      <c r="AZ24" s="96">
        <v>0</v>
      </c>
      <c r="BA24" s="96">
        <v>29.395095673557002</v>
      </c>
      <c r="BB24" s="96">
        <v>2.3767267869212798</v>
      </c>
      <c r="BC24" s="96">
        <v>55.417629928292001</v>
      </c>
      <c r="BD24" s="96">
        <v>12.7032027341802</v>
      </c>
    </row>
    <row r="25" spans="1:56" ht="11.25" customHeight="1" x14ac:dyDescent="0.25">
      <c r="A25" s="118"/>
      <c r="B25" s="97" t="s">
        <v>58</v>
      </c>
      <c r="C25" s="97" t="s">
        <v>25</v>
      </c>
      <c r="D25" s="97" t="s">
        <v>25</v>
      </c>
      <c r="E25" s="97" t="s">
        <v>25</v>
      </c>
      <c r="F25" s="97" t="s">
        <v>25</v>
      </c>
      <c r="G25" s="22" t="s">
        <v>9</v>
      </c>
      <c r="H25" s="22" t="s">
        <v>76</v>
      </c>
      <c r="I25" s="22">
        <f>'MERCADO TUSD'!$U$22</f>
        <v>0</v>
      </c>
      <c r="J25" s="17"/>
      <c r="L25" s="96">
        <f>('TUSD BE'!$L$25+'TUSD BF'!$L$25+'TUSD CVA'!$L$25)*1</f>
        <v>0</v>
      </c>
      <c r="M25" s="96">
        <f>('TUSD BE'!$M$25+'TUSD BF'!$M$25+'TUSD CVA'!$M$25)*1</f>
        <v>3.6265512677214458E-2</v>
      </c>
      <c r="N25" s="96">
        <f ca="1">('TUSD BE'!$N$25+'TUSD BF'!$N$25+'TUSD CVA'!$N$25)*1</f>
        <v>9.7883847105358898E-2</v>
      </c>
      <c r="O25" s="96">
        <f>('TUSD BE'!$O$25+'TUSD BF'!$O$25+'TUSD CVA'!$O$25)*1</f>
        <v>0</v>
      </c>
      <c r="P25" s="96">
        <f>('TUSD BE'!$P$25+'TUSD BF'!$P$25+'TUSD CVA'!$P$25)*1</f>
        <v>0</v>
      </c>
      <c r="Q25" s="96">
        <f>('TUSD BE'!$Q$25+'TUSD BF'!$Q$25+'TUSD CVA'!$Q$25)*1</f>
        <v>0</v>
      </c>
      <c r="R25" s="96">
        <f>('TUSD BE'!$R$25+'TUSD BF'!$R$25+'TUSD CVA'!$R$25)*1</f>
        <v>0</v>
      </c>
      <c r="S25" s="96">
        <f>('TUSD BE'!$S$25+'TUSD BF'!$S$25+'TUSD CVA'!$S$25)*1</f>
        <v>0</v>
      </c>
      <c r="T25" s="96">
        <f>('TUSD BE'!$U$25+'TUSD BF'!$U$25+'TUSD CVA'!$U$25)*1</f>
        <v>0</v>
      </c>
      <c r="U25" s="96">
        <f>('TUSD BE'!$V$25+'TUSD BF'!$V$25+'TUSD CVA'!$V$25)*1</f>
        <v>0</v>
      </c>
      <c r="V25" s="96">
        <f>('TUSD BE'!$W$25+'TUSD BF'!$W$25+'TUSD CVA'!$W$25)*1</f>
        <v>0</v>
      </c>
      <c r="W25" s="96">
        <f>('TUSD BE'!$X$25+'TUSD BF'!$X$25+'TUSD CVA'!$X$25)*1</f>
        <v>0</v>
      </c>
      <c r="X25" s="96">
        <f>('TUSD BE'!$Y$25+'TUSD BF'!$Y$25+'TUSD CVA'!$Y$25)*1</f>
        <v>0</v>
      </c>
      <c r="Y25" s="96">
        <f>('TUSD BE'!$Z$25+'TUSD BF'!$Z$25+'TUSD CVA'!$Z$25)*1</f>
        <v>0</v>
      </c>
      <c r="Z25" s="96">
        <f>('TUSD BE'!$AA$25+'TUSD BF'!$AA$25+'TUSD CVA'!$AA$25)*1</f>
        <v>0</v>
      </c>
      <c r="AA25" s="96">
        <f>('TUSD BE'!$AC$25+'TUSD BF'!$AC$25+'TUSD CVA'!$AC$25)*1</f>
        <v>11.034216391275919</v>
      </c>
      <c r="AB25" s="96">
        <f ca="1">('TUSD BE'!$AE$25+'TUSD BF'!$AE$25+'TUSD CVA'!$AE$25)*1</f>
        <v>-0.74011413715918728</v>
      </c>
      <c r="AC25" s="96">
        <f ca="1">('TUSD BE'!$AF$25+'TUSD BF'!$AF$25+'TUSD CVA'!$AF$25)*1</f>
        <v>0</v>
      </c>
      <c r="AD25" s="96">
        <f>('TUSD BE'!$AH$25+'TUSD BF'!$AH$25+'TUSD CVA'!$AH$25)*1</f>
        <v>0</v>
      </c>
      <c r="AE25" s="96">
        <f>('TUSD BE'!$AI$25+'TUSD BF'!$AI$25+'TUSD CVA'!$AI$25)*1</f>
        <v>0</v>
      </c>
      <c r="AF25" s="96">
        <f ca="1">('TUSD BE'!$AJ$25+'TUSD BF'!$AJ$25+'TUSD CVA'!$AJ$25)*1</f>
        <v>0</v>
      </c>
      <c r="AG25" s="96">
        <f ca="1">('TUSD BE'!$AK$25+'TUSD BF'!$AK$25+'TUSD CVA'!$AK$25)*1</f>
        <v>0</v>
      </c>
      <c r="AH25" s="96"/>
      <c r="AI25" s="96">
        <v>0</v>
      </c>
      <c r="AJ25" s="96">
        <v>3.6263861270821297E-2</v>
      </c>
      <c r="AK25" s="96">
        <v>9.7939069453850502E-2</v>
      </c>
      <c r="AL25" s="96">
        <v>0</v>
      </c>
      <c r="AM25" s="96">
        <v>0</v>
      </c>
      <c r="AN25" s="96">
        <v>0</v>
      </c>
      <c r="AO25" s="96">
        <v>0</v>
      </c>
      <c r="AP25" s="96">
        <v>0</v>
      </c>
      <c r="AQ25" s="96">
        <v>0</v>
      </c>
      <c r="AR25" s="96">
        <v>0</v>
      </c>
      <c r="AS25" s="96">
        <v>0</v>
      </c>
      <c r="AT25" s="96">
        <v>0</v>
      </c>
      <c r="AU25" s="96">
        <v>0</v>
      </c>
      <c r="AV25" s="96">
        <v>0</v>
      </c>
      <c r="AW25" s="96">
        <v>0</v>
      </c>
      <c r="AX25" s="96">
        <v>11.0443101229178</v>
      </c>
      <c r="AY25" s="96">
        <v>-0.74039921973071898</v>
      </c>
      <c r="AZ25" s="96">
        <v>0</v>
      </c>
      <c r="BA25" s="96">
        <v>0</v>
      </c>
      <c r="BB25" s="96">
        <v>0</v>
      </c>
      <c r="BC25" s="96">
        <v>0</v>
      </c>
      <c r="BD25" s="96">
        <v>0</v>
      </c>
    </row>
    <row r="26" spans="1:56" ht="11.25" customHeight="1" x14ac:dyDescent="0.25">
      <c r="A26" s="118"/>
      <c r="B26" s="118" t="s">
        <v>43</v>
      </c>
      <c r="C26" s="118" t="s">
        <v>25</v>
      </c>
      <c r="D26" s="118" t="s">
        <v>25</v>
      </c>
      <c r="E26" s="118" t="s">
        <v>25</v>
      </c>
      <c r="F26" s="118" t="s">
        <v>25</v>
      </c>
      <c r="G26" s="22" t="s">
        <v>9</v>
      </c>
      <c r="H26" s="22" t="s">
        <v>76</v>
      </c>
      <c r="I26" s="22">
        <f>'MERCADO TUSD'!$U$23</f>
        <v>950750</v>
      </c>
      <c r="J26" s="17"/>
      <c r="L26" s="96">
        <f>('TUSD BE'!$L$26+'TUSD BF'!$L$26+'TUSD CVA'!$L$26)*1</f>
        <v>0</v>
      </c>
      <c r="M26" s="96">
        <f>('TUSD BE'!$M$26+'TUSD BF'!$M$26+'TUSD CVA'!$M$26)*1</f>
        <v>0</v>
      </c>
      <c r="N26" s="96">
        <f ca="1">('TUSD BE'!$N$26+'TUSD BF'!$N$26+'TUSD CVA'!$N$26)*1</f>
        <v>0</v>
      </c>
      <c r="O26" s="96">
        <f>('TUSD BE'!$O$26+'TUSD BF'!$O$26+'TUSD CVA'!$O$26)*1</f>
        <v>0</v>
      </c>
      <c r="P26" s="96">
        <f>('TUSD BE'!$P$26+'TUSD BF'!$P$26+'TUSD CVA'!$P$26)*1</f>
        <v>0</v>
      </c>
      <c r="Q26" s="96">
        <f>('TUSD BE'!$Q$26+'TUSD BF'!$Q$26+'TUSD CVA'!$Q$26)*1</f>
        <v>0</v>
      </c>
      <c r="R26" s="96">
        <f>('TUSD BE'!$R$26+'TUSD BF'!$R$26+'TUSD CVA'!$R$26)*1</f>
        <v>0</v>
      </c>
      <c r="S26" s="96">
        <f>('TUSD BE'!$S$26+'TUSD BF'!$S$26+'TUSD CVA'!$S$26)*1</f>
        <v>0</v>
      </c>
      <c r="T26" s="96">
        <f>('TUSD BE'!$U$26+'TUSD BF'!$U$26+'TUSD CVA'!$U$26)*1</f>
        <v>4.7863029689599212</v>
      </c>
      <c r="U26" s="96">
        <f>('TUSD BE'!$V$26+'TUSD BF'!$V$26+'TUSD CVA'!$V$26)*1</f>
        <v>0.74758992649689671</v>
      </c>
      <c r="V26" s="96">
        <f>('TUSD BE'!$W$26+'TUSD BF'!$W$26+'TUSD CVA'!$W$26)*1</f>
        <v>2.4897085780456369E-2</v>
      </c>
      <c r="W26" s="96">
        <f>('TUSD BE'!$X$26+'TUSD BF'!$X$26+'TUSD CVA'!$X$26)*1</f>
        <v>0</v>
      </c>
      <c r="X26" s="96">
        <f>('TUSD BE'!$Y$26+'TUSD BF'!$Y$26+'TUSD CVA'!$Y$26)*1</f>
        <v>0</v>
      </c>
      <c r="Y26" s="96">
        <f>('TUSD BE'!$Z$26+'TUSD BF'!$Z$26+'TUSD CVA'!$Z$26)*1</f>
        <v>0</v>
      </c>
      <c r="Z26" s="96">
        <f>('TUSD BE'!$AA$26+'TUSD BF'!$AA$26+'TUSD CVA'!$AA$26)*1</f>
        <v>0</v>
      </c>
      <c r="AA26" s="96">
        <f>('TUSD BE'!$AC$26+'TUSD BF'!$AC$26+'TUSD CVA'!$AC$26)*1</f>
        <v>17.172685303878787</v>
      </c>
      <c r="AB26" s="96">
        <f ca="1">('TUSD BE'!$AE$26+'TUSD BF'!$AE$26+'TUSD CVA'!$AE$26)*1</f>
        <v>-1.5420844705863042</v>
      </c>
      <c r="AC26" s="96">
        <f ca="1">('TUSD BE'!$AF$26+'TUSD BF'!$AF$26+'TUSD CVA'!$AF$26)*1</f>
        <v>0</v>
      </c>
      <c r="AD26" s="96">
        <f>('TUSD BE'!$AH$26+'TUSD BF'!$AH$26+'TUSD CVA'!$AH$26)*1</f>
        <v>0</v>
      </c>
      <c r="AE26" s="96">
        <f>('TUSD BE'!$AI$26+'TUSD BF'!$AI$26+'TUSD CVA'!$AI$26)*1</f>
        <v>0</v>
      </c>
      <c r="AF26" s="96">
        <f ca="1">('TUSD BE'!$AJ$26+'TUSD BF'!$AJ$26+'TUSD CVA'!$AJ$26)*1</f>
        <v>0</v>
      </c>
      <c r="AG26" s="96">
        <f ca="1">('TUSD BE'!$AK$26+'TUSD BF'!$AK$26+'TUSD CVA'!$AK$26)*1</f>
        <v>0</v>
      </c>
      <c r="AH26" s="96"/>
      <c r="AI26" s="96">
        <v>0</v>
      </c>
      <c r="AJ26" s="96">
        <v>0</v>
      </c>
      <c r="AK26" s="96">
        <v>0</v>
      </c>
      <c r="AL26" s="96">
        <v>0</v>
      </c>
      <c r="AM26" s="96">
        <v>0</v>
      </c>
      <c r="AN26" s="96">
        <v>0</v>
      </c>
      <c r="AO26" s="96">
        <v>0</v>
      </c>
      <c r="AP26" s="96">
        <v>0</v>
      </c>
      <c r="AQ26" s="96">
        <v>4.7863029689599204</v>
      </c>
      <c r="AR26" s="96">
        <v>0.74758992649689704</v>
      </c>
      <c r="AS26" s="96">
        <v>2.4920055075392401E-2</v>
      </c>
      <c r="AT26" s="96">
        <v>0</v>
      </c>
      <c r="AU26" s="96">
        <v>0</v>
      </c>
      <c r="AV26" s="96">
        <v>0</v>
      </c>
      <c r="AW26" s="96">
        <v>0</v>
      </c>
      <c r="AX26" s="96">
        <v>17.188394301317398</v>
      </c>
      <c r="AY26" s="96">
        <v>-1.5423186202397801</v>
      </c>
      <c r="AZ26" s="96">
        <v>0</v>
      </c>
      <c r="BA26" s="96">
        <v>0</v>
      </c>
      <c r="BB26" s="96">
        <v>0</v>
      </c>
      <c r="BC26" s="96">
        <v>0</v>
      </c>
      <c r="BD26" s="96">
        <v>0</v>
      </c>
    </row>
    <row r="27" spans="1:56" ht="11.25" customHeight="1" x14ac:dyDescent="0.25">
      <c r="A27" s="118"/>
      <c r="B27" s="118"/>
      <c r="C27" s="118"/>
      <c r="D27" s="118"/>
      <c r="E27" s="118"/>
      <c r="F27" s="118"/>
      <c r="G27" s="22" t="s">
        <v>80</v>
      </c>
      <c r="H27" s="22" t="s">
        <v>79</v>
      </c>
      <c r="I27" s="22">
        <f>'MERCADO TUSD'!$U$24</f>
        <v>25017.360999999997</v>
      </c>
      <c r="J27" s="17"/>
      <c r="L27" s="96">
        <f>('TUSD BE'!$L$27+'TUSD BF'!$L$27+'TUSD CVA'!$L$27)*1</f>
        <v>21.177494931684866</v>
      </c>
      <c r="M27" s="96">
        <f>('TUSD BE'!$M$27+'TUSD BF'!$M$27+'TUSD CVA'!$M$27)*1</f>
        <v>0.80627114812533462</v>
      </c>
      <c r="N27" s="96">
        <f ca="1">('TUSD BE'!$N$27+'TUSD BF'!$N$27+'TUSD CVA'!$N$27)*1</f>
        <v>14.115941831964781</v>
      </c>
      <c r="O27" s="96">
        <f>('TUSD BE'!$O$27+'TUSD BF'!$O$27+'TUSD CVA'!$O$27)*1</f>
        <v>0</v>
      </c>
      <c r="P27" s="96">
        <f>('TUSD BE'!$P$27+'TUSD BF'!$P$27+'TUSD CVA'!$P$27)*1</f>
        <v>0</v>
      </c>
      <c r="Q27" s="96">
        <f>('TUSD BE'!$Q$27+'TUSD BF'!$Q$27+'TUSD CVA'!$Q$27)*1</f>
        <v>48.883601682755838</v>
      </c>
      <c r="R27" s="96">
        <f>('TUSD BE'!$R$27+'TUSD BF'!$R$27+'TUSD CVA'!$R$27)*1</f>
        <v>21.66499131547619</v>
      </c>
      <c r="S27" s="96">
        <f>('TUSD BE'!$S$27+'TUSD BF'!$S$27+'TUSD CVA'!$S$27)*1</f>
        <v>0</v>
      </c>
      <c r="T27" s="96">
        <f>('TUSD BE'!$U$27+'TUSD BF'!$U$27+'TUSD CVA'!$U$27)*1</f>
        <v>209.40022164462141</v>
      </c>
      <c r="U27" s="96">
        <f>('TUSD BE'!$V$27+'TUSD BF'!$V$27+'TUSD CVA'!$V$27)*1</f>
        <v>31.739179351008801</v>
      </c>
      <c r="V27" s="96">
        <f>('TUSD BE'!$W$27+'TUSD BF'!$W$27+'TUSD CVA'!$W$27)*1</f>
        <v>1.160959369639385</v>
      </c>
      <c r="W27" s="96">
        <f>('TUSD BE'!$X$27+'TUSD BF'!$X$27+'TUSD CVA'!$X$27)*1</f>
        <v>0</v>
      </c>
      <c r="X27" s="96">
        <f>('TUSD BE'!$Y$27+'TUSD BF'!$Y$27+'TUSD CVA'!$Y$27)*1</f>
        <v>0</v>
      </c>
      <c r="Y27" s="96">
        <f>('TUSD BE'!$Z$27+'TUSD BF'!$Z$27+'TUSD CVA'!$Z$27)*1</f>
        <v>0</v>
      </c>
      <c r="Z27" s="96">
        <f>('TUSD BE'!$AA$27+'TUSD BF'!$AA$27+'TUSD CVA'!$AA$27)*1</f>
        <v>0</v>
      </c>
      <c r="AA27" s="96">
        <f>('TUSD BE'!$AC$27+'TUSD BF'!$AC$27+'TUSD CVA'!$AC$27)*1</f>
        <v>1156.6514098723562</v>
      </c>
      <c r="AB27" s="96">
        <f ca="1">('TUSD BE'!$AE$27+'TUSD BF'!$AE$27+'TUSD CVA'!$AE$27)*1</f>
        <v>-107.55254961819681</v>
      </c>
      <c r="AC27" s="96">
        <f ca="1">('TUSD BE'!$AF$27+'TUSD BF'!$AF$27+'TUSD CVA'!$AF$27)*1</f>
        <v>0</v>
      </c>
      <c r="AD27" s="96">
        <f>('TUSD BE'!$AH$27+'TUSD BF'!$AH$27+'TUSD CVA'!$AH$27)*1</f>
        <v>29.379344067511973</v>
      </c>
      <c r="AE27" s="96">
        <f>('TUSD BE'!$AI$27+'TUSD BF'!$AI$27+'TUSD CVA'!$AI$27)*1</f>
        <v>2.3754531981417113</v>
      </c>
      <c r="AF27" s="96">
        <f ca="1">('TUSD BE'!$AJ$27+'TUSD BF'!$AJ$27+'TUSD CVA'!$AJ$27)*1</f>
        <v>55.390585219323043</v>
      </c>
      <c r="AG27" s="96">
        <f ca="1">('TUSD BE'!$AK$27+'TUSD BF'!$AK$27+'TUSD CVA'!$AK$27)*1</f>
        <v>12.697164985538995</v>
      </c>
      <c r="AH27" s="96"/>
      <c r="AI27" s="96">
        <v>21.177494931684901</v>
      </c>
      <c r="AJ27" s="96">
        <v>0.80695752781115904</v>
      </c>
      <c r="AK27" s="96">
        <v>14.1245159845354</v>
      </c>
      <c r="AL27" s="96">
        <v>0</v>
      </c>
      <c r="AM27" s="96">
        <v>0</v>
      </c>
      <c r="AN27" s="96">
        <v>48.883601682755803</v>
      </c>
      <c r="AO27" s="96">
        <v>21.6649913154762</v>
      </c>
      <c r="AP27" s="96">
        <v>0</v>
      </c>
      <c r="AQ27" s="96">
        <v>209.40022164462101</v>
      </c>
      <c r="AR27" s="96">
        <v>31.739179351008801</v>
      </c>
      <c r="AS27" s="96">
        <v>1.1620304354824</v>
      </c>
      <c r="AT27" s="96">
        <v>0</v>
      </c>
      <c r="AU27" s="96">
        <v>0</v>
      </c>
      <c r="AV27" s="96">
        <v>0</v>
      </c>
      <c r="AW27" s="96">
        <v>0</v>
      </c>
      <c r="AX27" s="96">
        <v>1157.7094758482599</v>
      </c>
      <c r="AY27" s="96">
        <v>-107.570263927957</v>
      </c>
      <c r="AZ27" s="96">
        <v>0</v>
      </c>
      <c r="BA27" s="96">
        <v>29.395095673557002</v>
      </c>
      <c r="BB27" s="96">
        <v>2.3767267869212798</v>
      </c>
      <c r="BC27" s="96">
        <v>55.417629928292001</v>
      </c>
      <c r="BD27" s="96">
        <v>12.7032027341802</v>
      </c>
    </row>
    <row r="28" spans="1:56" ht="11.25" customHeight="1" x14ac:dyDescent="0.25">
      <c r="A28" s="118"/>
      <c r="B28" s="118"/>
      <c r="C28" s="118"/>
      <c r="D28" s="118"/>
      <c r="E28" s="118"/>
      <c r="F28" s="118"/>
      <c r="G28" s="22" t="s">
        <v>81</v>
      </c>
      <c r="H28" s="22" t="s">
        <v>79</v>
      </c>
      <c r="I28" s="22">
        <f>'MERCADO TUSD'!$U$25</f>
        <v>162245.77100000001</v>
      </c>
      <c r="J28" s="17"/>
      <c r="L28" s="96">
        <f>('TUSD BE'!$L$28+'TUSD BF'!$L$28+'TUSD CVA'!$L$28)*1</f>
        <v>21.177494931684866</v>
      </c>
      <c r="M28" s="96">
        <f>('TUSD BE'!$M$28+'TUSD BF'!$M$28+'TUSD CVA'!$M$28)*1</f>
        <v>0.80627114812533462</v>
      </c>
      <c r="N28" s="96">
        <f ca="1">('TUSD BE'!$N$28+'TUSD BF'!$N$28+'TUSD CVA'!$N$28)*1</f>
        <v>1.5425758304868071</v>
      </c>
      <c r="O28" s="96">
        <f>('TUSD BE'!$O$28+'TUSD BF'!$O$28+'TUSD CVA'!$O$28)*1</f>
        <v>0</v>
      </c>
      <c r="P28" s="96">
        <f>('TUSD BE'!$P$28+'TUSD BF'!$P$28+'TUSD CVA'!$P$28)*1</f>
        <v>0</v>
      </c>
      <c r="Q28" s="96">
        <f>('TUSD BE'!$Q$28+'TUSD BF'!$Q$28+'TUSD CVA'!$Q$28)*1</f>
        <v>48.883601682755838</v>
      </c>
      <c r="R28" s="96">
        <f>('TUSD BE'!$R$28+'TUSD BF'!$R$28+'TUSD CVA'!$R$28)*1</f>
        <v>21.66499131547619</v>
      </c>
      <c r="S28" s="96">
        <f>('TUSD BE'!$S$28+'TUSD BF'!$S$28+'TUSD CVA'!$S$28)*1</f>
        <v>0</v>
      </c>
      <c r="T28" s="96">
        <f>('TUSD BE'!$U$28+'TUSD BF'!$U$28+'TUSD CVA'!$U$28)*1</f>
        <v>0</v>
      </c>
      <c r="U28" s="96">
        <f>('TUSD BE'!$V$28+'TUSD BF'!$V$28+'TUSD CVA'!$V$28)*1</f>
        <v>0</v>
      </c>
      <c r="V28" s="96">
        <f>('TUSD BE'!$W$28+'TUSD BF'!$W$28+'TUSD CVA'!$W$28)*1</f>
        <v>0</v>
      </c>
      <c r="W28" s="96">
        <f>('TUSD BE'!$X$28+'TUSD BF'!$X$28+'TUSD CVA'!$X$28)*1</f>
        <v>0</v>
      </c>
      <c r="X28" s="96">
        <f>('TUSD BE'!$Y$28+'TUSD BF'!$Y$28+'TUSD CVA'!$Y$28)*1</f>
        <v>0</v>
      </c>
      <c r="Y28" s="96">
        <f>('TUSD BE'!$Z$28+'TUSD BF'!$Z$28+'TUSD CVA'!$Z$28)*1</f>
        <v>0</v>
      </c>
      <c r="Z28" s="96">
        <f>('TUSD BE'!$AA$28+'TUSD BF'!$AA$28+'TUSD CVA'!$AA$28)*1</f>
        <v>0</v>
      </c>
      <c r="AA28" s="96">
        <f>('TUSD BE'!$AC$28+'TUSD BF'!$AC$28+'TUSD CVA'!$AC$28)*1</f>
        <v>0</v>
      </c>
      <c r="AB28" s="96">
        <f ca="1">('TUSD BE'!$AE$28+'TUSD BF'!$AE$28+'TUSD CVA'!$AE$28)*1</f>
        <v>-12.441068681137567</v>
      </c>
      <c r="AC28" s="96">
        <f ca="1">('TUSD BE'!$AF$28+'TUSD BF'!$AF$28+'TUSD CVA'!$AF$28)*1</f>
        <v>0</v>
      </c>
      <c r="AD28" s="96">
        <f>('TUSD BE'!$AH$28+'TUSD BF'!$AH$28+'TUSD CVA'!$AH$28)*1</f>
        <v>29.379344067511973</v>
      </c>
      <c r="AE28" s="96">
        <f>('TUSD BE'!$AI$28+'TUSD BF'!$AI$28+'TUSD CVA'!$AI$28)*1</f>
        <v>2.3754531981417113</v>
      </c>
      <c r="AF28" s="96">
        <f ca="1">('TUSD BE'!$AJ$28+'TUSD BF'!$AJ$28+'TUSD CVA'!$AJ$28)*1</f>
        <v>55.390585219323043</v>
      </c>
      <c r="AG28" s="96">
        <f ca="1">('TUSD BE'!$AK$28+'TUSD BF'!$AK$28+'TUSD CVA'!$AK$28)*1</f>
        <v>12.697164985538995</v>
      </c>
      <c r="AH28" s="96"/>
      <c r="AI28" s="96">
        <v>21.177494931684901</v>
      </c>
      <c r="AJ28" s="96">
        <v>0.80695752781115904</v>
      </c>
      <c r="AK28" s="96">
        <v>1.54405656754939</v>
      </c>
      <c r="AL28" s="96">
        <v>0</v>
      </c>
      <c r="AM28" s="96">
        <v>0</v>
      </c>
      <c r="AN28" s="96">
        <v>48.883601682755803</v>
      </c>
      <c r="AO28" s="96">
        <v>21.6649913154762</v>
      </c>
      <c r="AP28" s="96">
        <v>0</v>
      </c>
      <c r="AQ28" s="96">
        <v>0</v>
      </c>
      <c r="AR28" s="96">
        <v>0</v>
      </c>
      <c r="AS28" s="96">
        <v>0</v>
      </c>
      <c r="AT28" s="96">
        <v>0</v>
      </c>
      <c r="AU28" s="96">
        <v>0</v>
      </c>
      <c r="AV28" s="96">
        <v>0</v>
      </c>
      <c r="AW28" s="96">
        <v>0</v>
      </c>
      <c r="AX28" s="96">
        <v>0</v>
      </c>
      <c r="AY28" s="96">
        <v>-12.4379656899157</v>
      </c>
      <c r="AZ28" s="96">
        <v>0</v>
      </c>
      <c r="BA28" s="96">
        <v>29.395095673557002</v>
      </c>
      <c r="BB28" s="96">
        <v>2.3767267869212798</v>
      </c>
      <c r="BC28" s="96">
        <v>55.417629928292001</v>
      </c>
      <c r="BD28" s="96">
        <v>12.7032027341802</v>
      </c>
    </row>
    <row r="29" spans="1:56" ht="11.25" customHeight="1" x14ac:dyDescent="0.25">
      <c r="A29" s="118"/>
      <c r="B29" s="118"/>
      <c r="C29" s="118"/>
      <c r="D29" s="118"/>
      <c r="E29" s="118" t="s">
        <v>85</v>
      </c>
      <c r="F29" s="118" t="s">
        <v>25</v>
      </c>
      <c r="G29" s="22" t="s">
        <v>80</v>
      </c>
      <c r="H29" s="22" t="s">
        <v>79</v>
      </c>
      <c r="I29" s="22">
        <f>'MERCADO TUSD'!$U$26</f>
        <v>0</v>
      </c>
      <c r="J29" s="17"/>
      <c r="L29" s="96">
        <f>('TUSD BE'!$L$29+'TUSD BF'!$L$29+'TUSD CVA'!$L$29)*1</f>
        <v>0</v>
      </c>
      <c r="M29" s="96">
        <f>('TUSD BE'!$M$29+'TUSD BF'!$M$29+'TUSD CVA'!$M$29)*1</f>
        <v>0.80627114812533462</v>
      </c>
      <c r="N29" s="96">
        <f ca="1">('TUSD BE'!$N$29+'TUSD BF'!$N$29+'TUSD CVA'!$N$29)*1</f>
        <v>14.104398925466505</v>
      </c>
      <c r="O29" s="96">
        <f>('TUSD BE'!$O$29+'TUSD BF'!$O$29+'TUSD CVA'!$O$29)*1</f>
        <v>0</v>
      </c>
      <c r="P29" s="96">
        <f>('TUSD BE'!$P$29+'TUSD BF'!$P$29+'TUSD CVA'!$P$29)*1</f>
        <v>0</v>
      </c>
      <c r="Q29" s="96">
        <f>('TUSD BE'!$Q$29+'TUSD BF'!$Q$29+'TUSD CVA'!$Q$29)*1</f>
        <v>0</v>
      </c>
      <c r="R29" s="96">
        <f>('TUSD BE'!$R$29+'TUSD BF'!$R$29+'TUSD CVA'!$R$29)*1</f>
        <v>0</v>
      </c>
      <c r="S29" s="96">
        <f>('TUSD BE'!$S$29+'TUSD BF'!$S$29+'TUSD CVA'!$S$29)*1</f>
        <v>0</v>
      </c>
      <c r="T29" s="96">
        <f>('TUSD BE'!$U$29+'TUSD BF'!$U$29+'TUSD CVA'!$U$29)*1</f>
        <v>209.40022164462141</v>
      </c>
      <c r="U29" s="96">
        <f>('TUSD BE'!$V$29+'TUSD BF'!$V$29+'TUSD CVA'!$V$29)*1</f>
        <v>31.739179351008801</v>
      </c>
      <c r="V29" s="96">
        <f>('TUSD BE'!$W$29+'TUSD BF'!$W$29+'TUSD CVA'!$W$29)*1</f>
        <v>1.160959369639385</v>
      </c>
      <c r="W29" s="96">
        <f>('TUSD BE'!$X$29+'TUSD BF'!$X$29+'TUSD CVA'!$X$29)*1</f>
        <v>0</v>
      </c>
      <c r="X29" s="96">
        <f>('TUSD BE'!$Y$29+'TUSD BF'!$Y$29+'TUSD CVA'!$Y$29)*1</f>
        <v>0</v>
      </c>
      <c r="Y29" s="96">
        <f>('TUSD BE'!$Z$29+'TUSD BF'!$Z$29+'TUSD CVA'!$Z$29)*1</f>
        <v>0</v>
      </c>
      <c r="Z29" s="96">
        <f>('TUSD BE'!$AA$29+'TUSD BF'!$AA$29+'TUSD CVA'!$AA$29)*1</f>
        <v>0</v>
      </c>
      <c r="AA29" s="96">
        <f>('TUSD BE'!$AC$29+'TUSD BF'!$AC$29+'TUSD CVA'!$AC$29)*1</f>
        <v>1156.6514098723562</v>
      </c>
      <c r="AB29" s="96">
        <f ca="1">('TUSD BE'!$AE$29+'TUSD BF'!$AE$29+'TUSD CVA'!$AE$29)*1</f>
        <v>-102.92751427668837</v>
      </c>
      <c r="AC29" s="96">
        <f ca="1">('TUSD BE'!$AF$29+'TUSD BF'!$AF$29+'TUSD CVA'!$AF$29)*1</f>
        <v>0</v>
      </c>
      <c r="AD29" s="96">
        <f>('TUSD BE'!$AH$29+'TUSD BF'!$AH$29+'TUSD CVA'!$AH$29)*1</f>
        <v>29.379344067511973</v>
      </c>
      <c r="AE29" s="96">
        <f>('TUSD BE'!$AI$29+'TUSD BF'!$AI$29+'TUSD CVA'!$AI$29)*1</f>
        <v>2.3754531981417113</v>
      </c>
      <c r="AF29" s="96">
        <f ca="1">('TUSD BE'!$AJ$29+'TUSD BF'!$AJ$29+'TUSD CVA'!$AJ$29)*1</f>
        <v>55.390585219323043</v>
      </c>
      <c r="AG29" s="96">
        <f ca="1">('TUSD BE'!$AK$29+'TUSD BF'!$AK$29+'TUSD CVA'!$AK$29)*1</f>
        <v>12.697164985538995</v>
      </c>
      <c r="AH29" s="96"/>
      <c r="AI29" s="96">
        <v>0</v>
      </c>
      <c r="AJ29" s="96">
        <v>0.80695752781115904</v>
      </c>
      <c r="AK29" s="96">
        <v>14.112966565967801</v>
      </c>
      <c r="AL29" s="96">
        <v>0</v>
      </c>
      <c r="AM29" s="96">
        <v>0</v>
      </c>
      <c r="AN29" s="96">
        <v>0</v>
      </c>
      <c r="AO29" s="96">
        <v>0</v>
      </c>
      <c r="AP29" s="96">
        <v>0</v>
      </c>
      <c r="AQ29" s="96">
        <v>209.40022164462101</v>
      </c>
      <c r="AR29" s="96">
        <v>31.739179351008801</v>
      </c>
      <c r="AS29" s="96">
        <v>1.1620304354824</v>
      </c>
      <c r="AT29" s="96">
        <v>0</v>
      </c>
      <c r="AU29" s="96">
        <v>0</v>
      </c>
      <c r="AV29" s="96">
        <v>0</v>
      </c>
      <c r="AW29" s="96">
        <v>0</v>
      </c>
      <c r="AX29" s="96">
        <v>1157.7094758482599</v>
      </c>
      <c r="AY29" s="96">
        <v>-102.947661846809</v>
      </c>
      <c r="AZ29" s="96">
        <v>0</v>
      </c>
      <c r="BA29" s="96">
        <v>29.395095673557002</v>
      </c>
      <c r="BB29" s="96">
        <v>2.3767267869212798</v>
      </c>
      <c r="BC29" s="96">
        <v>55.417629928292001</v>
      </c>
      <c r="BD29" s="96">
        <v>12.7032027341802</v>
      </c>
    </row>
    <row r="30" spans="1:56" ht="11.25" customHeight="1" x14ac:dyDescent="0.25">
      <c r="A30" s="118"/>
      <c r="B30" s="118"/>
      <c r="C30" s="118"/>
      <c r="D30" s="118"/>
      <c r="E30" s="118"/>
      <c r="F30" s="118"/>
      <c r="G30" s="22" t="s">
        <v>81</v>
      </c>
      <c r="H30" s="22" t="s">
        <v>79</v>
      </c>
      <c r="I30" s="22">
        <f>'MERCADO TUSD'!$U$27</f>
        <v>0</v>
      </c>
      <c r="J30" s="17"/>
      <c r="L30" s="96">
        <f>('TUSD BE'!$L$30+'TUSD BF'!$L$30+'TUSD CVA'!$L$30)*1</f>
        <v>0</v>
      </c>
      <c r="M30" s="96">
        <f>('TUSD BE'!$M$30+'TUSD BF'!$M$30+'TUSD CVA'!$M$30)*1</f>
        <v>0.80627114812533462</v>
      </c>
      <c r="N30" s="96">
        <f ca="1">('TUSD BE'!$N$30+'TUSD BF'!$N$30+'TUSD CVA'!$N$30)*1</f>
        <v>1.5310329239885336</v>
      </c>
      <c r="O30" s="96">
        <f>('TUSD BE'!$O$30+'TUSD BF'!$O$30+'TUSD CVA'!$O$30)*1</f>
        <v>0</v>
      </c>
      <c r="P30" s="96">
        <f>('TUSD BE'!$P$30+'TUSD BF'!$P$30+'TUSD CVA'!$P$30)*1</f>
        <v>0</v>
      </c>
      <c r="Q30" s="96">
        <f>('TUSD BE'!$Q$30+'TUSD BF'!$Q$30+'TUSD CVA'!$Q$30)*1</f>
        <v>0</v>
      </c>
      <c r="R30" s="96">
        <f>('TUSD BE'!$R$30+'TUSD BF'!$R$30+'TUSD CVA'!$R$30)*1</f>
        <v>0</v>
      </c>
      <c r="S30" s="96">
        <f>('TUSD BE'!$S$30+'TUSD BF'!$S$30+'TUSD CVA'!$S$30)*1</f>
        <v>0</v>
      </c>
      <c r="T30" s="96">
        <f>('TUSD BE'!$U$30+'TUSD BF'!$U$30+'TUSD CVA'!$U$30)*1</f>
        <v>0</v>
      </c>
      <c r="U30" s="96">
        <f>('TUSD BE'!$V$30+'TUSD BF'!$V$30+'TUSD CVA'!$V$30)*1</f>
        <v>0</v>
      </c>
      <c r="V30" s="96">
        <f>('TUSD BE'!$W$30+'TUSD BF'!$W$30+'TUSD CVA'!$W$30)*1</f>
        <v>0</v>
      </c>
      <c r="W30" s="96">
        <f>('TUSD BE'!$X$30+'TUSD BF'!$X$30+'TUSD CVA'!$X$30)*1</f>
        <v>0</v>
      </c>
      <c r="X30" s="96">
        <f>('TUSD BE'!$Y$30+'TUSD BF'!$Y$30+'TUSD CVA'!$Y$30)*1</f>
        <v>0</v>
      </c>
      <c r="Y30" s="96">
        <f>('TUSD BE'!$Z$30+'TUSD BF'!$Z$30+'TUSD CVA'!$Z$30)*1</f>
        <v>0</v>
      </c>
      <c r="Z30" s="96">
        <f>('TUSD BE'!$AA$30+'TUSD BF'!$AA$30+'TUSD CVA'!$AA$30)*1</f>
        <v>0</v>
      </c>
      <c r="AA30" s="96">
        <f>('TUSD BE'!$AC$30+'TUSD BF'!$AC$30+'TUSD CVA'!$AC$30)*1</f>
        <v>0</v>
      </c>
      <c r="AB30" s="96">
        <f ca="1">('TUSD BE'!$AE$30+'TUSD BF'!$AE$30+'TUSD CVA'!$AE$30)*1</f>
        <v>-7.816033339629139</v>
      </c>
      <c r="AC30" s="96">
        <f ca="1">('TUSD BE'!$AF$30+'TUSD BF'!$AF$30+'TUSD CVA'!$AF$30)*1</f>
        <v>0</v>
      </c>
      <c r="AD30" s="96">
        <f>('TUSD BE'!$AH$30+'TUSD BF'!$AH$30+'TUSD CVA'!$AH$30)*1</f>
        <v>29.379344067511973</v>
      </c>
      <c r="AE30" s="96">
        <f>('TUSD BE'!$AI$30+'TUSD BF'!$AI$30+'TUSD CVA'!$AI$30)*1</f>
        <v>2.3754531981417113</v>
      </c>
      <c r="AF30" s="96">
        <f ca="1">('TUSD BE'!$AJ$30+'TUSD BF'!$AJ$30+'TUSD CVA'!$AJ$30)*1</f>
        <v>55.390585219323043</v>
      </c>
      <c r="AG30" s="96">
        <f ca="1">('TUSD BE'!$AK$30+'TUSD BF'!$AK$30+'TUSD CVA'!$AK$30)*1</f>
        <v>12.697164985538995</v>
      </c>
      <c r="AH30" s="96"/>
      <c r="AI30" s="96">
        <v>0</v>
      </c>
      <c r="AJ30" s="96">
        <v>0.80695752781115904</v>
      </c>
      <c r="AK30" s="96">
        <v>1.5325071489817199</v>
      </c>
      <c r="AL30" s="96">
        <v>0</v>
      </c>
      <c r="AM30" s="96">
        <v>0</v>
      </c>
      <c r="AN30" s="96">
        <v>0</v>
      </c>
      <c r="AO30" s="96">
        <v>0</v>
      </c>
      <c r="AP30" s="96">
        <v>0</v>
      </c>
      <c r="AQ30" s="96">
        <v>0</v>
      </c>
      <c r="AR30" s="96">
        <v>0</v>
      </c>
      <c r="AS30" s="96">
        <v>0</v>
      </c>
      <c r="AT30" s="96">
        <v>0</v>
      </c>
      <c r="AU30" s="96">
        <v>0</v>
      </c>
      <c r="AV30" s="96">
        <v>0</v>
      </c>
      <c r="AW30" s="96">
        <v>0</v>
      </c>
      <c r="AX30" s="96">
        <v>0</v>
      </c>
      <c r="AY30" s="96">
        <v>-7.8153636087683003</v>
      </c>
      <c r="AZ30" s="96">
        <v>0</v>
      </c>
      <c r="BA30" s="96">
        <v>29.395095673557002</v>
      </c>
      <c r="BB30" s="96">
        <v>2.3767267869212798</v>
      </c>
      <c r="BC30" s="96">
        <v>55.417629928292001</v>
      </c>
      <c r="BD30" s="96">
        <v>12.7032027341802</v>
      </c>
    </row>
    <row r="31" spans="1:56" ht="11.25" customHeight="1" x14ac:dyDescent="0.25">
      <c r="A31" s="118" t="s">
        <v>87</v>
      </c>
      <c r="B31" s="118" t="s">
        <v>58</v>
      </c>
      <c r="C31" s="118" t="s">
        <v>25</v>
      </c>
      <c r="D31" s="118" t="s">
        <v>25</v>
      </c>
      <c r="E31" s="97" t="s">
        <v>88</v>
      </c>
      <c r="F31" s="97" t="s">
        <v>25</v>
      </c>
      <c r="G31" s="22" t="s">
        <v>9</v>
      </c>
      <c r="H31" s="22" t="s">
        <v>76</v>
      </c>
      <c r="I31" s="22">
        <f>'MERCADO TUSD'!$U$28+0.00000001</f>
        <v>1E-8</v>
      </c>
      <c r="J31" s="17"/>
      <c r="L31" s="96">
        <f>('TUSD BE'!$L$31+'TUSD BF'!$L$31+'TUSD CVA'!$L$31)*1</f>
        <v>0</v>
      </c>
      <c r="M31" s="96">
        <f>('TUSD BE'!$M$31+'TUSD BF'!$M$31+'TUSD CVA'!$M$31)*1</f>
        <v>3.5836335012395353E-2</v>
      </c>
      <c r="N31" s="96">
        <f ca="1">('TUSD BE'!$N$31+'TUSD BF'!$N$31+'TUSD CVA'!$N$31)*1</f>
        <v>9.6960414585497035E-2</v>
      </c>
      <c r="O31" s="96">
        <f>('TUSD BE'!$O$31+'TUSD BF'!$O$31+'TUSD CVA'!$O$31)*1</f>
        <v>0</v>
      </c>
      <c r="P31" s="96">
        <f>('TUSD BE'!$P$31+'TUSD BF'!$P$31+'TUSD CVA'!$P$31)*1</f>
        <v>0</v>
      </c>
      <c r="Q31" s="96">
        <f>('TUSD BE'!$Q$31+'TUSD BF'!$Q$31+'TUSD CVA'!$Q$31)*1</f>
        <v>0</v>
      </c>
      <c r="R31" s="96">
        <f>('TUSD BE'!$R$31+'TUSD BF'!$R$31+'TUSD CVA'!$R$31)*1</f>
        <v>0</v>
      </c>
      <c r="S31" s="96">
        <f>('TUSD BE'!$S$31+'TUSD BF'!$S$31+'TUSD CVA'!$S$31)*1</f>
        <v>0</v>
      </c>
      <c r="T31" s="96">
        <f>('TUSD BE'!$U$31+'TUSD BF'!$U$31+'TUSD CVA'!$U$31)*1</f>
        <v>0</v>
      </c>
      <c r="U31" s="96">
        <f>('TUSD BE'!$V$31+'TUSD BF'!$V$31+'TUSD CVA'!$V$31)*1</f>
        <v>0</v>
      </c>
      <c r="V31" s="96">
        <f>('TUSD BE'!$W$31+'TUSD BF'!$W$31+'TUSD CVA'!$W$31)*1</f>
        <v>0</v>
      </c>
      <c r="W31" s="96">
        <f>('TUSD BE'!$X$31+'TUSD BF'!$X$31+'TUSD CVA'!$X$31)*1</f>
        <v>0</v>
      </c>
      <c r="X31" s="96">
        <f>('TUSD BE'!$Y$31+'TUSD BF'!$Y$31+'TUSD CVA'!$Y$31)*1</f>
        <v>0</v>
      </c>
      <c r="Y31" s="96">
        <f>('TUSD BE'!$Z$31+'TUSD BF'!$Z$31+'TUSD CVA'!$Z$31)*1</f>
        <v>0</v>
      </c>
      <c r="Z31" s="96">
        <f>('TUSD BE'!$AA$31+'TUSD BF'!$AA$31+'TUSD CVA'!$AA$31)*1</f>
        <v>0</v>
      </c>
      <c r="AA31" s="96">
        <f>('TUSD BE'!$AC$31+'TUSD BF'!$AC$31+'TUSD CVA'!$AC$31)*1</f>
        <v>10.927193378196158</v>
      </c>
      <c r="AB31" s="96">
        <f ca="1">('TUSD BE'!$AE$31+'TUSD BF'!$AE$31+'TUSD CVA'!$AE$31)*1</f>
        <v>-0.73293246484827468</v>
      </c>
      <c r="AC31" s="96">
        <f ca="1">('TUSD BE'!$AF$31+'TUSD BF'!$AF$31+'TUSD CVA'!$AF$31)*1</f>
        <v>0</v>
      </c>
      <c r="AD31" s="96">
        <f>('TUSD BE'!$AH$31+'TUSD BF'!$AH$31+'TUSD CVA'!$AH$31)*1</f>
        <v>0</v>
      </c>
      <c r="AE31" s="96">
        <f>('TUSD BE'!$AI$31+'TUSD BF'!$AI$31+'TUSD CVA'!$AI$31)*1</f>
        <v>0</v>
      </c>
      <c r="AF31" s="96">
        <f ca="1">('TUSD BE'!$AJ$31+'TUSD BF'!$AJ$31+'TUSD CVA'!$AJ$31)*1</f>
        <v>0</v>
      </c>
      <c r="AG31" s="96">
        <f ca="1">('TUSD BE'!$AK$31+'TUSD BF'!$AK$31+'TUSD CVA'!$AK$31)*1</f>
        <v>0</v>
      </c>
      <c r="AH31" s="96"/>
      <c r="AI31" s="96">
        <v>0</v>
      </c>
      <c r="AJ31" s="96">
        <v>3.5834703149273103E-2</v>
      </c>
      <c r="AK31" s="96">
        <v>9.7015115968436899E-2</v>
      </c>
      <c r="AL31" s="96">
        <v>0</v>
      </c>
      <c r="AM31" s="96">
        <v>0</v>
      </c>
      <c r="AN31" s="96">
        <v>0</v>
      </c>
      <c r="AO31" s="96">
        <v>0</v>
      </c>
      <c r="AP31" s="96">
        <v>0</v>
      </c>
      <c r="AQ31" s="96">
        <v>0</v>
      </c>
      <c r="AR31" s="96">
        <v>0</v>
      </c>
      <c r="AS31" s="96">
        <v>0</v>
      </c>
      <c r="AT31" s="96">
        <v>0</v>
      </c>
      <c r="AU31" s="96">
        <v>0</v>
      </c>
      <c r="AV31" s="96">
        <v>0</v>
      </c>
      <c r="AW31" s="96">
        <v>0</v>
      </c>
      <c r="AX31" s="96">
        <v>10.937189208769601</v>
      </c>
      <c r="AY31" s="96">
        <v>-0.73321478498540704</v>
      </c>
      <c r="AZ31" s="96">
        <v>0</v>
      </c>
      <c r="BA31" s="96">
        <v>0</v>
      </c>
      <c r="BB31" s="96">
        <v>0</v>
      </c>
      <c r="BC31" s="96">
        <v>0</v>
      </c>
      <c r="BD31" s="96">
        <v>0</v>
      </c>
    </row>
    <row r="32" spans="1:56" ht="11.25" customHeight="1" x14ac:dyDescent="0.25">
      <c r="A32" s="118"/>
      <c r="B32" s="118"/>
      <c r="C32" s="118"/>
      <c r="D32" s="118"/>
      <c r="E32" s="97" t="s">
        <v>89</v>
      </c>
      <c r="F32" s="97" t="s">
        <v>25</v>
      </c>
      <c r="G32" s="22" t="s">
        <v>9</v>
      </c>
      <c r="H32" s="22" t="s">
        <v>76</v>
      </c>
      <c r="I32" s="22">
        <f>'MERCADO TUSD'!$U$29+0.00000001</f>
        <v>1E-8</v>
      </c>
      <c r="J32" s="17"/>
      <c r="L32" s="96">
        <f>('TUSD BE'!$L$32+'TUSD BF'!$L$32+'TUSD CVA'!$L$32)*1</f>
        <v>0</v>
      </c>
      <c r="M32" s="96">
        <f>('TUSD BE'!$M$32+'TUSD BF'!$M$32+'TUSD CVA'!$M$32)*1</f>
        <v>3.5836335012395353E-2</v>
      </c>
      <c r="N32" s="96">
        <f ca="1">('TUSD BE'!$N$32+'TUSD BF'!$N$32+'TUSD CVA'!$N$32)*1</f>
        <v>9.6960414585497035E-2</v>
      </c>
      <c r="O32" s="96">
        <f>('TUSD BE'!$O$32+'TUSD BF'!$O$32+'TUSD CVA'!$O$32)*1</f>
        <v>0</v>
      </c>
      <c r="P32" s="96">
        <f>('TUSD BE'!$P$32+'TUSD BF'!$P$32+'TUSD CVA'!$P$32)*1</f>
        <v>0</v>
      </c>
      <c r="Q32" s="96">
        <f>('TUSD BE'!$Q$32+'TUSD BF'!$Q$32+'TUSD CVA'!$Q$32)*1</f>
        <v>0</v>
      </c>
      <c r="R32" s="96">
        <f>('TUSD BE'!$R$32+'TUSD BF'!$R$32+'TUSD CVA'!$R$32)*1</f>
        <v>0</v>
      </c>
      <c r="S32" s="96">
        <f>('TUSD BE'!$S$32+'TUSD BF'!$S$32+'TUSD CVA'!$S$32)*1</f>
        <v>0</v>
      </c>
      <c r="T32" s="96">
        <f>('TUSD BE'!$U$32+'TUSD BF'!$U$32+'TUSD CVA'!$U$32)*1</f>
        <v>0</v>
      </c>
      <c r="U32" s="96">
        <f>('TUSD BE'!$V$32+'TUSD BF'!$V$32+'TUSD CVA'!$V$32)*1</f>
        <v>0</v>
      </c>
      <c r="V32" s="96">
        <f>('TUSD BE'!$W$32+'TUSD BF'!$W$32+'TUSD CVA'!$W$32)*1</f>
        <v>0</v>
      </c>
      <c r="W32" s="96">
        <f>('TUSD BE'!$X$32+'TUSD BF'!$X$32+'TUSD CVA'!$X$32)*1</f>
        <v>0</v>
      </c>
      <c r="X32" s="96">
        <f>('TUSD BE'!$Y$32+'TUSD BF'!$Y$32+'TUSD CVA'!$Y$32)*1</f>
        <v>0</v>
      </c>
      <c r="Y32" s="96">
        <f>('TUSD BE'!$Z$32+'TUSD BF'!$Z$32+'TUSD CVA'!$Z$32)*1</f>
        <v>0</v>
      </c>
      <c r="Z32" s="96">
        <f>('TUSD BE'!$AA$32+'TUSD BF'!$AA$32+'TUSD CVA'!$AA$32)*1</f>
        <v>0</v>
      </c>
      <c r="AA32" s="96">
        <f>('TUSD BE'!$AC$32+'TUSD BF'!$AC$32+'TUSD CVA'!$AC$32)*1</f>
        <v>24.926430730131127</v>
      </c>
      <c r="AB32" s="96">
        <f ca="1">('TUSD BE'!$AE$32+'TUSD BF'!$AE$32+'TUSD CVA'!$AE$32)*1</f>
        <v>-1.6607606508187862</v>
      </c>
      <c r="AC32" s="96">
        <f ca="1">('TUSD BE'!$AF$32+'TUSD BF'!$AF$32+'TUSD CVA'!$AF$32)*1</f>
        <v>0</v>
      </c>
      <c r="AD32" s="96">
        <f>('TUSD BE'!$AH$32+'TUSD BF'!$AH$32+'TUSD CVA'!$AH$32)*1</f>
        <v>0</v>
      </c>
      <c r="AE32" s="96">
        <f>('TUSD BE'!$AI$32+'TUSD BF'!$AI$32+'TUSD CVA'!$AI$32)*1</f>
        <v>0</v>
      </c>
      <c r="AF32" s="96">
        <f ca="1">('TUSD BE'!$AJ$32+'TUSD BF'!$AJ$32+'TUSD CVA'!$AJ$32)*1</f>
        <v>0</v>
      </c>
      <c r="AG32" s="96">
        <f ca="1">('TUSD BE'!$AK$32+'TUSD BF'!$AK$32+'TUSD CVA'!$AK$32)*1</f>
        <v>0</v>
      </c>
      <c r="AH32" s="96"/>
      <c r="AI32" s="96">
        <v>0</v>
      </c>
      <c r="AJ32" s="96">
        <v>3.5834703149273103E-2</v>
      </c>
      <c r="AK32" s="96">
        <v>9.7015115968436899E-2</v>
      </c>
      <c r="AL32" s="96">
        <v>0</v>
      </c>
      <c r="AM32" s="96">
        <v>0</v>
      </c>
      <c r="AN32" s="96">
        <v>0</v>
      </c>
      <c r="AO32" s="96">
        <v>0</v>
      </c>
      <c r="AP32" s="96">
        <v>0</v>
      </c>
      <c r="AQ32" s="96">
        <v>0</v>
      </c>
      <c r="AR32" s="96">
        <v>0</v>
      </c>
      <c r="AS32" s="96">
        <v>0</v>
      </c>
      <c r="AT32" s="96">
        <v>0</v>
      </c>
      <c r="AU32" s="96">
        <v>0</v>
      </c>
      <c r="AV32" s="96">
        <v>0</v>
      </c>
      <c r="AW32" s="96">
        <v>0</v>
      </c>
      <c r="AX32" s="96">
        <v>24.949232594228899</v>
      </c>
      <c r="AY32" s="96">
        <v>-1.6614058756950001</v>
      </c>
      <c r="AZ32" s="96">
        <v>0</v>
      </c>
      <c r="BA32" s="96">
        <v>0</v>
      </c>
      <c r="BB32" s="96">
        <v>0</v>
      </c>
      <c r="BC32" s="96">
        <v>0</v>
      </c>
      <c r="BD32" s="96">
        <v>0</v>
      </c>
    </row>
    <row r="33" spans="1:56" ht="11.25" customHeight="1" x14ac:dyDescent="0.25">
      <c r="A33" s="118" t="s">
        <v>22</v>
      </c>
      <c r="B33" s="118" t="s">
        <v>33</v>
      </c>
      <c r="C33" s="118" t="s">
        <v>24</v>
      </c>
      <c r="D33" s="118" t="s">
        <v>24</v>
      </c>
      <c r="E33" s="118" t="s">
        <v>25</v>
      </c>
      <c r="F33" s="118" t="s">
        <v>25</v>
      </c>
      <c r="G33" s="22" t="s">
        <v>80</v>
      </c>
      <c r="H33" s="22" t="s">
        <v>79</v>
      </c>
      <c r="I33" s="22">
        <f>'MERCADO TUSD'!$U$30</f>
        <v>14.996999999999998</v>
      </c>
      <c r="J33" s="17"/>
      <c r="L33" s="96">
        <f>('TUSD BE'!$L$33+'TUSD BF'!$L$33+'TUSD CVA'!$L$33)*1</f>
        <v>25.211303490101031</v>
      </c>
      <c r="M33" s="96">
        <f>('TUSD BE'!$M$33+'TUSD BF'!$M$33+'TUSD CVA'!$M$33)*1</f>
        <v>1.001257255668599</v>
      </c>
      <c r="N33" s="96">
        <f ca="1">('TUSD BE'!$N$33+'TUSD BF'!$N$33+'TUSD CVA'!$N$33)*1</f>
        <v>10.857995461089926</v>
      </c>
      <c r="O33" s="96">
        <f>('TUSD BE'!$O$33+'TUSD BF'!$O$33+'TUSD CVA'!$O$33)*1</f>
        <v>0</v>
      </c>
      <c r="P33" s="96">
        <f>('TUSD BE'!$P$33+'TUSD BF'!$P$33+'TUSD CVA'!$P$33)*1</f>
        <v>0</v>
      </c>
      <c r="Q33" s="96">
        <f>('TUSD BE'!$Q$33+'TUSD BF'!$Q$33+'TUSD CVA'!$Q$33)*1</f>
        <v>58.19476390804266</v>
      </c>
      <c r="R33" s="96">
        <f>('TUSD BE'!$R$33+'TUSD BF'!$R$33+'TUSD CVA'!$R$33)*1</f>
        <v>21.66499131547619</v>
      </c>
      <c r="S33" s="96">
        <f>('TUSD BE'!$S$33+'TUSD BF'!$S$33+'TUSD CVA'!$S$33)*1</f>
        <v>0</v>
      </c>
      <c r="T33" s="96">
        <f>('TUSD BE'!$U$33+'TUSD BF'!$U$33+'TUSD CVA'!$U$33)*1</f>
        <v>102.43067272885482</v>
      </c>
      <c r="U33" s="96">
        <f>('TUSD BE'!$V$33+'TUSD BF'!$V$33+'TUSD CVA'!$V$33)*1</f>
        <v>15.76521068155199</v>
      </c>
      <c r="V33" s="96">
        <f>('TUSD BE'!$W$33+'TUSD BF'!$W$33+'TUSD CVA'!$W$33)*1</f>
        <v>0.55021379618136512</v>
      </c>
      <c r="W33" s="96">
        <f>('TUSD BE'!$X$33+'TUSD BF'!$X$33+'TUSD CVA'!$X$33)*1</f>
        <v>0</v>
      </c>
      <c r="X33" s="96">
        <f>('TUSD BE'!$Y$33+'TUSD BF'!$Y$33+'TUSD CVA'!$Y$33)*1</f>
        <v>0</v>
      </c>
      <c r="Y33" s="96">
        <f>('TUSD BE'!$Z$33+'TUSD BF'!$Z$33+'TUSD CVA'!$Z$33)*1</f>
        <v>0</v>
      </c>
      <c r="Z33" s="96">
        <f>('TUSD BE'!$AA$33+'TUSD BF'!$AA$33+'TUSD CVA'!$AA$33)*1</f>
        <v>0</v>
      </c>
      <c r="AA33" s="96">
        <f>('TUSD BE'!$AC$33+'TUSD BF'!$AC$33+'TUSD CVA'!$AC$33)*1</f>
        <v>912.97111648426142</v>
      </c>
      <c r="AB33" s="96">
        <f ca="1">('TUSD BE'!$AE$33+'TUSD BF'!$AE$33+'TUSD CVA'!$AE$33)*1</f>
        <v>-83.229730286054291</v>
      </c>
      <c r="AC33" s="96">
        <f ca="1">('TUSD BE'!$AF$33+'TUSD BF'!$AF$33+'TUSD CVA'!$AF$33)*1</f>
        <v>0</v>
      </c>
      <c r="AD33" s="96">
        <f>('TUSD BE'!$AH$33+'TUSD BF'!$AH$33+'TUSD CVA'!$AH$33)*1</f>
        <v>29.379344067511973</v>
      </c>
      <c r="AE33" s="96">
        <f>('TUSD BE'!$AI$33+'TUSD BF'!$AI$33+'TUSD CVA'!$AI$33)*1</f>
        <v>2.3754531981417113</v>
      </c>
      <c r="AF33" s="96">
        <f ca="1">('TUSD BE'!$AJ$33+'TUSD BF'!$AJ$33+'TUSD CVA'!$AJ$33)*1</f>
        <v>58.880638461168104</v>
      </c>
      <c r="AG33" s="96">
        <f ca="1">('TUSD BE'!$AK$33+'TUSD BF'!$AK$33+'TUSD CVA'!$AK$33)*1</f>
        <v>13.497188701565072</v>
      </c>
      <c r="AH33" s="96"/>
      <c r="AI33" s="96">
        <v>25.211303490100999</v>
      </c>
      <c r="AJ33" s="96">
        <v>1.0021096272834999</v>
      </c>
      <c r="AK33" s="96">
        <v>10.864884684896699</v>
      </c>
      <c r="AL33" s="96">
        <v>0</v>
      </c>
      <c r="AM33" s="96">
        <v>0</v>
      </c>
      <c r="AN33" s="96">
        <v>58.194763908042702</v>
      </c>
      <c r="AO33" s="96">
        <v>21.6649913154762</v>
      </c>
      <c r="AP33" s="96">
        <v>0</v>
      </c>
      <c r="AQ33" s="96">
        <v>102.430672728855</v>
      </c>
      <c r="AR33" s="96">
        <v>15.765210681552</v>
      </c>
      <c r="AS33" s="96">
        <v>0.55072140671352898</v>
      </c>
      <c r="AT33" s="96">
        <v>0</v>
      </c>
      <c r="AU33" s="96">
        <v>0</v>
      </c>
      <c r="AV33" s="96">
        <v>0</v>
      </c>
      <c r="AW33" s="96">
        <v>0</v>
      </c>
      <c r="AX33" s="96">
        <v>913.80627188812298</v>
      </c>
      <c r="AY33" s="96">
        <v>-83.245822190870001</v>
      </c>
      <c r="AZ33" s="96">
        <v>0</v>
      </c>
      <c r="BA33" s="96">
        <v>29.395095673557002</v>
      </c>
      <c r="BB33" s="96">
        <v>2.3767267869212798</v>
      </c>
      <c r="BC33" s="96">
        <v>58.913626243108503</v>
      </c>
      <c r="BD33" s="96">
        <v>13.504578577978</v>
      </c>
    </row>
    <row r="34" spans="1:56" ht="11.25" customHeight="1" x14ac:dyDescent="0.25">
      <c r="A34" s="118"/>
      <c r="B34" s="118"/>
      <c r="C34" s="118"/>
      <c r="D34" s="118"/>
      <c r="E34" s="118"/>
      <c r="F34" s="118"/>
      <c r="G34" s="22" t="s">
        <v>90</v>
      </c>
      <c r="H34" s="22" t="s">
        <v>79</v>
      </c>
      <c r="I34" s="22">
        <f>'MERCADO TUSD'!$U$31</f>
        <v>13.277000000000001</v>
      </c>
      <c r="J34" s="17"/>
      <c r="L34" s="96">
        <f>('TUSD BE'!$L$34+'TUSD BF'!$L$34+'TUSD CVA'!$L$34)*1</f>
        <v>25.211303490101031</v>
      </c>
      <c r="M34" s="96">
        <f>('TUSD BE'!$M$34+'TUSD BF'!$M$34+'TUSD CVA'!$M$34)*1</f>
        <v>1.001257255668599</v>
      </c>
      <c r="N34" s="96">
        <f ca="1">('TUSD BE'!$N$34+'TUSD BF'!$N$34+'TUSD CVA'!$N$34)*1</f>
        <v>7.1699364116050219</v>
      </c>
      <c r="O34" s="96">
        <f>('TUSD BE'!$O$34+'TUSD BF'!$O$34+'TUSD CVA'!$O$34)*1</f>
        <v>0</v>
      </c>
      <c r="P34" s="96">
        <f>('TUSD BE'!$P$34+'TUSD BF'!$P$34+'TUSD CVA'!$P$34)*1</f>
        <v>0</v>
      </c>
      <c r="Q34" s="96">
        <f>('TUSD BE'!$Q$34+'TUSD BF'!$Q$34+'TUSD CVA'!$Q$34)*1</f>
        <v>58.19476390804266</v>
      </c>
      <c r="R34" s="96">
        <f>('TUSD BE'!$R$34+'TUSD BF'!$R$34+'TUSD CVA'!$R$34)*1</f>
        <v>21.66499131547619</v>
      </c>
      <c r="S34" s="96">
        <f>('TUSD BE'!$S$34+'TUSD BF'!$S$34+'TUSD CVA'!$S$34)*1</f>
        <v>0</v>
      </c>
      <c r="T34" s="96">
        <f>('TUSD BE'!$U$34+'TUSD BF'!$U$34+'TUSD CVA'!$U$34)*1</f>
        <v>61.458328355330522</v>
      </c>
      <c r="U34" s="96">
        <f>('TUSD BE'!$V$34+'TUSD BF'!$V$34+'TUSD CVA'!$V$34)*1</f>
        <v>9.4591439148421301</v>
      </c>
      <c r="V34" s="96">
        <f>('TUSD BE'!$W$34+'TUSD BF'!$W$34+'TUSD CVA'!$W$34)*1</f>
        <v>0.33015187684226027</v>
      </c>
      <c r="W34" s="96">
        <f>('TUSD BE'!$X$34+'TUSD BF'!$X$34+'TUSD CVA'!$X$34)*1</f>
        <v>0</v>
      </c>
      <c r="X34" s="96">
        <f>('TUSD BE'!$Y$34+'TUSD BF'!$Y$34+'TUSD CVA'!$Y$34)*1</f>
        <v>0</v>
      </c>
      <c r="Y34" s="96">
        <f>('TUSD BE'!$Z$34+'TUSD BF'!$Z$34+'TUSD CVA'!$Z$34)*1</f>
        <v>0</v>
      </c>
      <c r="Z34" s="96">
        <f>('TUSD BE'!$AA$34+'TUSD BF'!$AA$34+'TUSD CVA'!$AA$34)*1</f>
        <v>0</v>
      </c>
      <c r="AA34" s="96">
        <f>('TUSD BE'!$AC$34+'TUSD BF'!$AC$34+'TUSD CVA'!$AC$34)*1</f>
        <v>547.78272216064863</v>
      </c>
      <c r="AB34" s="96">
        <f ca="1">('TUSD BE'!$AE$34+'TUSD BF'!$AE$34+'TUSD CVA'!$AE$34)*1</f>
        <v>-55.328494941442713</v>
      </c>
      <c r="AC34" s="96">
        <f ca="1">('TUSD BE'!$AF$34+'TUSD BF'!$AF$34+'TUSD CVA'!$AF$34)*1</f>
        <v>0</v>
      </c>
      <c r="AD34" s="96">
        <f>('TUSD BE'!$AH$34+'TUSD BF'!$AH$34+'TUSD CVA'!$AH$34)*1</f>
        <v>29.379344067511973</v>
      </c>
      <c r="AE34" s="96">
        <f>('TUSD BE'!$AI$34+'TUSD BF'!$AI$34+'TUSD CVA'!$AI$34)*1</f>
        <v>2.3754531981417113</v>
      </c>
      <c r="AF34" s="96">
        <f ca="1">('TUSD BE'!$AJ$34+'TUSD BF'!$AJ$34+'TUSD CVA'!$AJ$34)*1</f>
        <v>58.880638461168104</v>
      </c>
      <c r="AG34" s="96">
        <f ca="1">('TUSD BE'!$AK$34+'TUSD BF'!$AK$34+'TUSD CVA'!$AK$34)*1</f>
        <v>13.497188701565072</v>
      </c>
      <c r="AH34" s="96"/>
      <c r="AI34" s="96">
        <v>25.211303490100999</v>
      </c>
      <c r="AJ34" s="96">
        <v>1.0021096272834999</v>
      </c>
      <c r="AK34" s="96">
        <v>7.17474497258425</v>
      </c>
      <c r="AL34" s="96">
        <v>0</v>
      </c>
      <c r="AM34" s="96">
        <v>0</v>
      </c>
      <c r="AN34" s="96">
        <v>58.194763908042702</v>
      </c>
      <c r="AO34" s="96">
        <v>21.6649913154762</v>
      </c>
      <c r="AP34" s="96">
        <v>0</v>
      </c>
      <c r="AQ34" s="96">
        <v>61.458328355330501</v>
      </c>
      <c r="AR34" s="96">
        <v>9.4591439148421301</v>
      </c>
      <c r="AS34" s="96">
        <v>0.33045646493340203</v>
      </c>
      <c r="AT34" s="96">
        <v>0</v>
      </c>
      <c r="AU34" s="96">
        <v>0</v>
      </c>
      <c r="AV34" s="96">
        <v>0</v>
      </c>
      <c r="AW34" s="96">
        <v>0</v>
      </c>
      <c r="AX34" s="96">
        <v>548.28381545078105</v>
      </c>
      <c r="AY34" s="96">
        <v>-55.336913899582498</v>
      </c>
      <c r="AZ34" s="96">
        <v>0</v>
      </c>
      <c r="BA34" s="96">
        <v>29.395095673557002</v>
      </c>
      <c r="BB34" s="96">
        <v>2.3767267869212798</v>
      </c>
      <c r="BC34" s="96">
        <v>58.913626243108503</v>
      </c>
      <c r="BD34" s="96">
        <v>13.504578577978</v>
      </c>
    </row>
    <row r="35" spans="1:56" ht="11.25" customHeight="1" x14ac:dyDescent="0.25">
      <c r="A35" s="118"/>
      <c r="B35" s="118"/>
      <c r="C35" s="118"/>
      <c r="D35" s="118"/>
      <c r="E35" s="118"/>
      <c r="F35" s="118"/>
      <c r="G35" s="22" t="s">
        <v>81</v>
      </c>
      <c r="H35" s="22" t="s">
        <v>79</v>
      </c>
      <c r="I35" s="22">
        <f>'MERCADO TUSD'!$U$32</f>
        <v>196.47399999999999</v>
      </c>
      <c r="J35" s="17"/>
      <c r="L35" s="96">
        <f>('TUSD BE'!$L$35+'TUSD BF'!$L$35+'TUSD CVA'!$L$35)*1</f>
        <v>25.211303490101031</v>
      </c>
      <c r="M35" s="96">
        <f>('TUSD BE'!$M$35+'TUSD BF'!$M$35+'TUSD CVA'!$M$35)*1</f>
        <v>1.001257255668599</v>
      </c>
      <c r="N35" s="96">
        <f ca="1">('TUSD BE'!$N$35+'TUSD BF'!$N$35+'TUSD CVA'!$N$35)*1</f>
        <v>3.4818773621201182</v>
      </c>
      <c r="O35" s="96">
        <f>('TUSD BE'!$O$35+'TUSD BF'!$O$35+'TUSD CVA'!$O$35)*1</f>
        <v>0</v>
      </c>
      <c r="P35" s="96">
        <f>('TUSD BE'!$P$35+'TUSD BF'!$P$35+'TUSD CVA'!$P$35)*1</f>
        <v>0</v>
      </c>
      <c r="Q35" s="96">
        <f>('TUSD BE'!$Q$35+'TUSD BF'!$Q$35+'TUSD CVA'!$Q$35)*1</f>
        <v>58.19476390804266</v>
      </c>
      <c r="R35" s="96">
        <f>('TUSD BE'!$R$35+'TUSD BF'!$R$35+'TUSD CVA'!$R$35)*1</f>
        <v>21.66499131547619</v>
      </c>
      <c r="S35" s="96">
        <f>('TUSD BE'!$S$35+'TUSD BF'!$S$35+'TUSD CVA'!$S$35)*1</f>
        <v>0</v>
      </c>
      <c r="T35" s="96">
        <f>('TUSD BE'!$U$35+'TUSD BF'!$U$35+'TUSD CVA'!$U$35)*1</f>
        <v>20.486109451776841</v>
      </c>
      <c r="U35" s="96">
        <f>('TUSD BE'!$V$35+'TUSD BF'!$V$35+'TUSD CVA'!$V$35)*1</f>
        <v>3.1530771481322688</v>
      </c>
      <c r="V35" s="96">
        <f>('TUSD BE'!$W$35+'TUSD BF'!$W$35+'TUSD CVA'!$W$35)*1</f>
        <v>0.11008995750315541</v>
      </c>
      <c r="W35" s="96">
        <f>('TUSD BE'!$X$35+'TUSD BF'!$X$35+'TUSD CVA'!$X$35)*1</f>
        <v>0</v>
      </c>
      <c r="X35" s="96">
        <f>('TUSD BE'!$Y$35+'TUSD BF'!$Y$35+'TUSD CVA'!$Y$35)*1</f>
        <v>0</v>
      </c>
      <c r="Y35" s="96">
        <f>('TUSD BE'!$Z$35+'TUSD BF'!$Z$35+'TUSD CVA'!$Z$35)*1</f>
        <v>0</v>
      </c>
      <c r="Z35" s="96">
        <f>('TUSD BE'!$AA$35+'TUSD BF'!$AA$35+'TUSD CVA'!$AA$35)*1</f>
        <v>0</v>
      </c>
      <c r="AA35" s="96">
        <f>('TUSD BE'!$AC$35+'TUSD BF'!$AC$35+'TUSD CVA'!$AC$35)*1</f>
        <v>182.59419716180633</v>
      </c>
      <c r="AB35" s="96">
        <f ca="1">('TUSD BE'!$AE$35+'TUSD BF'!$AE$35+'TUSD CVA'!$AE$35)*1</f>
        <v>-27.427260248615386</v>
      </c>
      <c r="AC35" s="96">
        <f ca="1">('TUSD BE'!$AF$35+'TUSD BF'!$AF$35+'TUSD CVA'!$AF$35)*1</f>
        <v>0</v>
      </c>
      <c r="AD35" s="96">
        <f>('TUSD BE'!$AH$35+'TUSD BF'!$AH$35+'TUSD CVA'!$AH$35)*1</f>
        <v>29.379344067511973</v>
      </c>
      <c r="AE35" s="96">
        <f>('TUSD BE'!$AI$35+'TUSD BF'!$AI$35+'TUSD CVA'!$AI$35)*1</f>
        <v>2.3754531981417113</v>
      </c>
      <c r="AF35" s="96">
        <f ca="1">('TUSD BE'!$AJ$35+'TUSD BF'!$AJ$35+'TUSD CVA'!$AJ$35)*1</f>
        <v>58.880638461168104</v>
      </c>
      <c r="AG35" s="96">
        <f ca="1">('TUSD BE'!$AK$35+'TUSD BF'!$AK$35+'TUSD CVA'!$AK$35)*1</f>
        <v>13.497188701565072</v>
      </c>
      <c r="AH35" s="96"/>
      <c r="AI35" s="96">
        <v>25.211303490100999</v>
      </c>
      <c r="AJ35" s="96">
        <v>1.0021096272834999</v>
      </c>
      <c r="AK35" s="96">
        <v>3.4846052602718101</v>
      </c>
      <c r="AL35" s="96">
        <v>0</v>
      </c>
      <c r="AM35" s="96">
        <v>0</v>
      </c>
      <c r="AN35" s="96">
        <v>58.194763908042702</v>
      </c>
      <c r="AO35" s="96">
        <v>21.6649913154762</v>
      </c>
      <c r="AP35" s="96">
        <v>0</v>
      </c>
      <c r="AQ35" s="96">
        <v>20.486109451776802</v>
      </c>
      <c r="AR35" s="96">
        <v>3.1530771481322701</v>
      </c>
      <c r="AS35" s="96">
        <v>0.110191523153275</v>
      </c>
      <c r="AT35" s="96">
        <v>0</v>
      </c>
      <c r="AU35" s="96">
        <v>0</v>
      </c>
      <c r="AV35" s="96">
        <v>0</v>
      </c>
      <c r="AW35" s="96">
        <v>0</v>
      </c>
      <c r="AX35" s="96">
        <v>182.76122821867099</v>
      </c>
      <c r="AY35" s="96">
        <v>-27.428006251791398</v>
      </c>
      <c r="AZ35" s="96">
        <v>0</v>
      </c>
      <c r="BA35" s="96">
        <v>29.395095673557002</v>
      </c>
      <c r="BB35" s="96">
        <v>2.3767267869212798</v>
      </c>
      <c r="BC35" s="96">
        <v>58.913626243108503</v>
      </c>
      <c r="BD35" s="96">
        <v>13.504578577978</v>
      </c>
    </row>
    <row r="36" spans="1:56" ht="11.25" customHeight="1" x14ac:dyDescent="0.25">
      <c r="A36" s="118"/>
      <c r="B36" s="118" t="s">
        <v>23</v>
      </c>
      <c r="C36" s="118" t="s">
        <v>24</v>
      </c>
      <c r="D36" s="97" t="s">
        <v>24</v>
      </c>
      <c r="E36" s="97" t="s">
        <v>25</v>
      </c>
      <c r="F36" s="97" t="s">
        <v>25</v>
      </c>
      <c r="G36" s="22" t="s">
        <v>84</v>
      </c>
      <c r="H36" s="22" t="s">
        <v>79</v>
      </c>
      <c r="I36" s="22">
        <f>'MERCADO TUSD'!$U$33</f>
        <v>451723.65600000008</v>
      </c>
      <c r="J36" s="17"/>
      <c r="L36" s="96">
        <f>('TUSD BE'!$L$36+'TUSD BF'!$L$36+'TUSD CVA'!$L$36)*1</f>
        <v>25.211303490101031</v>
      </c>
      <c r="M36" s="96">
        <f>('TUSD BE'!$M$36+'TUSD BF'!$M$36+'TUSD CVA'!$M$36)*1</f>
        <v>1.001257255668599</v>
      </c>
      <c r="N36" s="96">
        <f ca="1">('TUSD BE'!$N$36+'TUSD BF'!$N$36+'TUSD CVA'!$N$36)*1</f>
        <v>4.4748154934613487</v>
      </c>
      <c r="O36" s="96">
        <f>('TUSD BE'!$O$36+'TUSD BF'!$O$36+'TUSD CVA'!$O$36)*1</f>
        <v>0</v>
      </c>
      <c r="P36" s="96">
        <f>('TUSD BE'!$P$36+'TUSD BF'!$P$36+'TUSD CVA'!$P$36)*1</f>
        <v>0</v>
      </c>
      <c r="Q36" s="96">
        <f>('TUSD BE'!$Q$36+'TUSD BF'!$Q$36+'TUSD CVA'!$Q$36)*1</f>
        <v>58.19476390804266</v>
      </c>
      <c r="R36" s="96">
        <f>('TUSD BE'!$R$36+'TUSD BF'!$R$36+'TUSD CVA'!$R$36)*1</f>
        <v>21.66499131547619</v>
      </c>
      <c r="S36" s="96">
        <f>('TUSD BE'!$S$36+'TUSD BF'!$S$36+'TUSD CVA'!$S$36)*1</f>
        <v>0</v>
      </c>
      <c r="T36" s="96">
        <f>('TUSD BE'!$U$36+'TUSD BF'!$U$36+'TUSD CVA'!$U$36)*1</f>
        <v>31.517052858127258</v>
      </c>
      <c r="U36" s="96">
        <f>('TUSD BE'!$V$36+'TUSD BF'!$V$36+'TUSD CVA'!$V$36)*1</f>
        <v>4.8508003906488142</v>
      </c>
      <c r="V36" s="96">
        <f>('TUSD BE'!$W$36+'TUSD BF'!$W$36+'TUSD CVA'!$W$36)*1</f>
        <v>0.16932378244054447</v>
      </c>
      <c r="W36" s="96">
        <f>('TUSD BE'!$X$36+'TUSD BF'!$X$36+'TUSD CVA'!$X$36)*1</f>
        <v>0</v>
      </c>
      <c r="X36" s="96">
        <f>('TUSD BE'!$Y$36+'TUSD BF'!$Y$36+'TUSD CVA'!$Y$36)*1</f>
        <v>0</v>
      </c>
      <c r="Y36" s="96">
        <f>('TUSD BE'!$Z$36+'TUSD BF'!$Z$36+'TUSD CVA'!$Z$36)*1</f>
        <v>0</v>
      </c>
      <c r="Z36" s="96">
        <f>('TUSD BE'!$AA$36+'TUSD BF'!$AA$36+'TUSD CVA'!$AA$36)*1</f>
        <v>0</v>
      </c>
      <c r="AA36" s="96">
        <f>('TUSD BE'!$AC$36+'TUSD BF'!$AC$36+'TUSD CVA'!$AC$36)*1</f>
        <v>280.91423994716871</v>
      </c>
      <c r="AB36" s="96">
        <f ca="1">('TUSD BE'!$AE$36+'TUSD BF'!$AE$36+'TUSD CVA'!$AE$36)*1</f>
        <v>-34.93912692930229</v>
      </c>
      <c r="AC36" s="96">
        <f ca="1">('TUSD BE'!$AF$36+'TUSD BF'!$AF$36+'TUSD CVA'!$AF$36)*1</f>
        <v>0</v>
      </c>
      <c r="AD36" s="96">
        <f>('TUSD BE'!$AH$36+'TUSD BF'!$AH$36+'TUSD CVA'!$AH$36)*1</f>
        <v>29.379344067511973</v>
      </c>
      <c r="AE36" s="96">
        <f>('TUSD BE'!$AI$36+'TUSD BF'!$AI$36+'TUSD CVA'!$AI$36)*1</f>
        <v>2.3754531981417113</v>
      </c>
      <c r="AF36" s="96">
        <f ca="1">('TUSD BE'!$AJ$36+'TUSD BF'!$AJ$36+'TUSD CVA'!$AJ$36)*1</f>
        <v>58.880638461168104</v>
      </c>
      <c r="AG36" s="96">
        <f ca="1">('TUSD BE'!$AK$36+'TUSD BF'!$AK$36+'TUSD CVA'!$AK$36)*1</f>
        <v>13.497188701565072</v>
      </c>
      <c r="AH36" s="96"/>
      <c r="AI36" s="96">
        <v>25.211303490100999</v>
      </c>
      <c r="AJ36" s="96">
        <v>1.0021096272834999</v>
      </c>
      <c r="AK36" s="96">
        <v>4.4781035695907301</v>
      </c>
      <c r="AL36" s="96">
        <v>0</v>
      </c>
      <c r="AM36" s="96">
        <v>0</v>
      </c>
      <c r="AN36" s="96">
        <v>58.194763908042702</v>
      </c>
      <c r="AO36" s="96">
        <v>21.6649913154762</v>
      </c>
      <c r="AP36" s="96">
        <v>0</v>
      </c>
      <c r="AQ36" s="96">
        <v>31.5170528581273</v>
      </c>
      <c r="AR36" s="96">
        <v>4.8508003906488097</v>
      </c>
      <c r="AS36" s="96">
        <v>0.169479995417953</v>
      </c>
      <c r="AT36" s="96">
        <v>0</v>
      </c>
      <c r="AU36" s="96">
        <v>0</v>
      </c>
      <c r="AV36" s="96">
        <v>0</v>
      </c>
      <c r="AW36" s="96">
        <v>0</v>
      </c>
      <c r="AX36" s="96">
        <v>281.17121088664101</v>
      </c>
      <c r="AY36" s="96">
        <v>-34.9419387327493</v>
      </c>
      <c r="AZ36" s="96">
        <v>0</v>
      </c>
      <c r="BA36" s="96">
        <v>29.395095673557002</v>
      </c>
      <c r="BB36" s="96">
        <v>2.3767267869212798</v>
      </c>
      <c r="BC36" s="96">
        <v>58.913626243108503</v>
      </c>
      <c r="BD36" s="96">
        <v>13.504578577978</v>
      </c>
    </row>
    <row r="37" spans="1:56" ht="11.25" customHeight="1" x14ac:dyDescent="0.25">
      <c r="A37" s="118"/>
      <c r="B37" s="118"/>
      <c r="C37" s="118"/>
      <c r="D37" s="97" t="s">
        <v>29</v>
      </c>
      <c r="E37" s="97" t="s">
        <v>25</v>
      </c>
      <c r="F37" s="97" t="s">
        <v>25</v>
      </c>
      <c r="G37" s="22" t="s">
        <v>84</v>
      </c>
      <c r="H37" s="22" t="s">
        <v>79</v>
      </c>
      <c r="I37" s="22">
        <f>'MERCADO TUSD'!$U$34</f>
        <v>15278.746999999999</v>
      </c>
      <c r="J37" s="17"/>
      <c r="L37" s="96">
        <f>('TUSD BE'!$L$37+'TUSD BF'!$L$37+'TUSD CVA'!$L$37)*(1 - 0.65)</f>
        <v>0</v>
      </c>
      <c r="M37" s="96">
        <f>('TUSD BE'!$M$37+'TUSD BF'!$M$37+'TUSD CVA'!$M$37)*(1 - 0.65)</f>
        <v>0.35044003948400965</v>
      </c>
      <c r="N37" s="96">
        <f ca="1">('TUSD BE'!$N$37+'TUSD BF'!$N$37+'TUSD CVA'!$N$37)*(1 - 0.65)</f>
        <v>1.562145405437076</v>
      </c>
      <c r="O37" s="96">
        <f>('TUSD BE'!$O$37+'TUSD BF'!$O$37+'TUSD CVA'!$O$37)*(1 - 0.65)</f>
        <v>0</v>
      </c>
      <c r="P37" s="96">
        <v>0</v>
      </c>
      <c r="Q37" s="96">
        <f>('TUSD BE'!$Q$37+'TUSD BF'!$Q$37+'TUSD CVA'!$Q$37)*(1 - 0.65)</f>
        <v>0</v>
      </c>
      <c r="R37" s="96">
        <v>0</v>
      </c>
      <c r="S37" s="96">
        <f>('TUSD BE'!$S$37+'TUSD BF'!$S$37+'TUSD CVA'!$S$37)*(1 - 0.65)</f>
        <v>0</v>
      </c>
      <c r="T37" s="96">
        <f>('TUSD BE'!$U$37+'TUSD BF'!$U$37+'TUSD CVA'!$U$37)*(1 - 0.65)</f>
        <v>11.030968500344539</v>
      </c>
      <c r="U37" s="96">
        <f>('TUSD BE'!$V$37+'TUSD BF'!$V$37+'TUSD CVA'!$V$37)*(1 - 0.65)</f>
        <v>1.6977801367270848</v>
      </c>
      <c r="V37" s="96">
        <f>('TUSD BE'!$W$37+'TUSD BF'!$W$37+'TUSD CVA'!$W$37)*(1 - 0.65)</f>
        <v>5.9263323854190558E-2</v>
      </c>
      <c r="W37" s="96">
        <f>('TUSD BE'!$X$37+'TUSD BF'!$X$37+'TUSD CVA'!$X$37)*(1 - 0.65)</f>
        <v>0</v>
      </c>
      <c r="X37" s="96">
        <f>('TUSD BE'!$Y$37+'TUSD BF'!$Y$37+'TUSD CVA'!$Y$37)*(1 - 0.65)</f>
        <v>0</v>
      </c>
      <c r="Y37" s="96">
        <f>('TUSD BE'!$Z$37+'TUSD BF'!$Z$37+'TUSD CVA'!$Z$37)*(1 - 0.65)</f>
        <v>0</v>
      </c>
      <c r="Z37" s="96">
        <f>('TUSD BE'!$AA$37+'TUSD BF'!$AA$37+'TUSD CVA'!$AA$37)*(1 - 0.65)</f>
        <v>0</v>
      </c>
      <c r="AA37" s="96">
        <f>('TUSD BE'!$AC$37+'TUSD BF'!$AC$37+'TUSD CVA'!$AC$37)*(1 - 0.65)</f>
        <v>98.31998398150904</v>
      </c>
      <c r="AB37" s="96">
        <f ca="1">('TUSD BE'!$AE$37+'TUSD BF'!$AE$37+'TUSD CVA'!$AE$37)*(1 - 0.65)</f>
        <v>-10.368205345925377</v>
      </c>
      <c r="AC37" s="96">
        <f ca="1">('TUSD BE'!$AF$37+'TUSD BF'!$AF$37+'TUSD CVA'!$AF$37)*(1 - 0.65)</f>
        <v>0</v>
      </c>
      <c r="AD37" s="96">
        <f>('TUSD BE'!$AH$37+'TUSD BF'!$AH$37+'TUSD CVA'!$AH$37)*(1 - 0.65)</f>
        <v>10.28277042362919</v>
      </c>
      <c r="AE37" s="96">
        <f>('TUSD BE'!$AI$37+'TUSD BF'!$AI$37+'TUSD CVA'!$AI$37)*(1 - 0.65)</f>
        <v>0.83140861934959887</v>
      </c>
      <c r="AF37" s="96">
        <f ca="1">('TUSD BE'!$AJ$37+'TUSD BF'!$AJ$37+'TUSD CVA'!$AJ$37)*(1 - 0.65)</f>
        <v>20.608223461408834</v>
      </c>
      <c r="AG37" s="96">
        <f ca="1">('TUSD BE'!$AK$37+'TUSD BF'!$AK$37+'TUSD CVA'!$AK$37)*(1 - 0.65)</f>
        <v>4.7240160455477751</v>
      </c>
      <c r="AH37" s="96"/>
      <c r="AI37" s="96">
        <v>0</v>
      </c>
      <c r="AJ37" s="96">
        <v>0.35073836954922499</v>
      </c>
      <c r="AK37" s="96">
        <v>1.56329395285807</v>
      </c>
      <c r="AL37" s="96">
        <v>0</v>
      </c>
      <c r="AM37" s="96">
        <v>0</v>
      </c>
      <c r="AN37" s="96">
        <v>0</v>
      </c>
      <c r="AO37" s="96">
        <v>0</v>
      </c>
      <c r="AP37" s="96">
        <v>0</v>
      </c>
      <c r="AQ37" s="96">
        <v>11.0309685003445</v>
      </c>
      <c r="AR37" s="96">
        <v>1.6977801367270799</v>
      </c>
      <c r="AS37" s="96">
        <v>5.9317998396283503E-2</v>
      </c>
      <c r="AT37" s="96">
        <v>0</v>
      </c>
      <c r="AU37" s="96">
        <v>0</v>
      </c>
      <c r="AV37" s="96">
        <v>0</v>
      </c>
      <c r="AW37" s="96">
        <v>0</v>
      </c>
      <c r="AX37" s="96">
        <v>98.409923810324202</v>
      </c>
      <c r="AY37" s="96">
        <v>-10.370168314832499</v>
      </c>
      <c r="AZ37" s="96">
        <v>0</v>
      </c>
      <c r="BA37" s="96">
        <v>10.2882834857449</v>
      </c>
      <c r="BB37" s="96">
        <v>0.831854375422448</v>
      </c>
      <c r="BC37" s="96">
        <v>20.619769185088</v>
      </c>
      <c r="BD37" s="96">
        <v>4.7266025022923097</v>
      </c>
    </row>
    <row r="38" spans="1:56" ht="11.25" customHeight="1" x14ac:dyDescent="0.25">
      <c r="A38" s="118"/>
      <c r="B38" s="118"/>
      <c r="C38" s="118"/>
      <c r="D38" s="97" t="s">
        <v>30</v>
      </c>
      <c r="E38" s="97" t="s">
        <v>25</v>
      </c>
      <c r="F38" s="97" t="s">
        <v>25</v>
      </c>
      <c r="G38" s="22" t="s">
        <v>84</v>
      </c>
      <c r="H38" s="22" t="s">
        <v>79</v>
      </c>
      <c r="I38" s="22">
        <f>'MERCADO TUSD'!$U$35</f>
        <v>21966.755000000005</v>
      </c>
      <c r="J38" s="17"/>
      <c r="L38" s="96">
        <f>('TUSD BE'!$L$38+'TUSD BF'!$L$38+'TUSD CVA'!$L$38)*(1 - 0.4)</f>
        <v>0</v>
      </c>
      <c r="M38" s="96">
        <f>('TUSD BE'!$M$38+'TUSD BF'!$M$38+'TUSD CVA'!$M$38)*(1 - 0.4)</f>
        <v>0.60075435340115935</v>
      </c>
      <c r="N38" s="96">
        <f ca="1">('TUSD BE'!$N$38+'TUSD BF'!$N$38+'TUSD CVA'!$N$38)*(1 - 0.4)</f>
        <v>2.6779635521778444</v>
      </c>
      <c r="O38" s="96">
        <f>('TUSD BE'!$O$38+'TUSD BF'!$O$38+'TUSD CVA'!$O$38)*(1 - 0.4)</f>
        <v>0</v>
      </c>
      <c r="P38" s="96">
        <v>0</v>
      </c>
      <c r="Q38" s="96">
        <f>('TUSD BE'!$Q$38+'TUSD BF'!$Q$38+'TUSD CVA'!$Q$38)*(1 - 0.4)</f>
        <v>0</v>
      </c>
      <c r="R38" s="96">
        <v>0</v>
      </c>
      <c r="S38" s="96">
        <f>('TUSD BE'!$S$38+'TUSD BF'!$S$38+'TUSD CVA'!$S$38)*(1 - 0.4)</f>
        <v>0</v>
      </c>
      <c r="T38" s="96">
        <f>('TUSD BE'!$U$38+'TUSD BF'!$U$38+'TUSD CVA'!$U$38)*(1 - 0.4)</f>
        <v>18.910231714876353</v>
      </c>
      <c r="U38" s="96">
        <f>('TUSD BE'!$V$38+'TUSD BF'!$V$38+'TUSD CVA'!$V$38)*(1 - 0.4)</f>
        <v>2.9104802343892886</v>
      </c>
      <c r="V38" s="96">
        <f>('TUSD BE'!$W$38+'TUSD BF'!$W$38+'TUSD CVA'!$W$38)*(1 - 0.4)</f>
        <v>0.10159426946432668</v>
      </c>
      <c r="W38" s="96">
        <f>('TUSD BE'!$X$38+'TUSD BF'!$X$38+'TUSD CVA'!$X$38)*(1 - 0.4)</f>
        <v>0</v>
      </c>
      <c r="X38" s="96">
        <f>('TUSD BE'!$Y$38+'TUSD BF'!$Y$38+'TUSD CVA'!$Y$38)*(1 - 0.4)</f>
        <v>0</v>
      </c>
      <c r="Y38" s="96">
        <f>('TUSD BE'!$Z$38+'TUSD BF'!$Z$38+'TUSD CVA'!$Z$38)*(1 - 0.4)</f>
        <v>0</v>
      </c>
      <c r="Z38" s="96">
        <f>('TUSD BE'!$AA$38+'TUSD BF'!$AA$38+'TUSD CVA'!$AA$38)*(1 - 0.4)</f>
        <v>0</v>
      </c>
      <c r="AA38" s="96">
        <f>('TUSD BE'!$AC$38+'TUSD BF'!$AC$38+'TUSD CVA'!$AC$38)*(1 - 0.4)</f>
        <v>168.54854396830123</v>
      </c>
      <c r="AB38" s="96">
        <f ca="1">('TUSD BE'!$AE$38+'TUSD BF'!$AE$38+'TUSD CVA'!$AE$38)*(1 - 0.4)</f>
        <v>-17.774066307300647</v>
      </c>
      <c r="AC38" s="96">
        <f ca="1">('TUSD BE'!$AF$38+'TUSD BF'!$AF$38+'TUSD CVA'!$AF$38)*(1 - 0.4)</f>
        <v>0</v>
      </c>
      <c r="AD38" s="96">
        <f>('TUSD BE'!$AH$38+'TUSD BF'!$AH$38+'TUSD CVA'!$AH$38)*(1 - 0.4)</f>
        <v>17.627606440507183</v>
      </c>
      <c r="AE38" s="96">
        <f>('TUSD BE'!$AI$38+'TUSD BF'!$AI$38+'TUSD CVA'!$AI$38)*(1 - 0.4)</f>
        <v>1.4252719188850267</v>
      </c>
      <c r="AF38" s="96">
        <f ca="1">('TUSD BE'!$AJ$38+'TUSD BF'!$AJ$38+'TUSD CVA'!$AJ$38)*(1 - 0.4)</f>
        <v>35.32838307670086</v>
      </c>
      <c r="AG38" s="96">
        <f ca="1">('TUSD BE'!$AK$38+'TUSD BF'!$AK$38+'TUSD CVA'!$AK$38)*(1 - 0.4)</f>
        <v>8.0983132209390423</v>
      </c>
      <c r="AH38" s="96"/>
      <c r="AI38" s="96">
        <v>0</v>
      </c>
      <c r="AJ38" s="96">
        <v>0.60126577637010004</v>
      </c>
      <c r="AK38" s="96">
        <v>2.67993249061383</v>
      </c>
      <c r="AL38" s="96">
        <v>0</v>
      </c>
      <c r="AM38" s="96">
        <v>0</v>
      </c>
      <c r="AN38" s="96">
        <v>0</v>
      </c>
      <c r="AO38" s="96">
        <v>0</v>
      </c>
      <c r="AP38" s="96">
        <v>0</v>
      </c>
      <c r="AQ38" s="96">
        <v>18.910231714876399</v>
      </c>
      <c r="AR38" s="96">
        <v>2.9104802343892899</v>
      </c>
      <c r="AS38" s="96">
        <v>0.101687997250772</v>
      </c>
      <c r="AT38" s="96">
        <v>0</v>
      </c>
      <c r="AU38" s="96">
        <v>0</v>
      </c>
      <c r="AV38" s="96">
        <v>0</v>
      </c>
      <c r="AW38" s="96">
        <v>0</v>
      </c>
      <c r="AX38" s="96">
        <v>168.70272653198401</v>
      </c>
      <c r="AY38" s="96">
        <v>-17.7774313968557</v>
      </c>
      <c r="AZ38" s="96">
        <v>0</v>
      </c>
      <c r="BA38" s="96">
        <v>17.6370574041342</v>
      </c>
      <c r="BB38" s="96">
        <v>1.4260360721527701</v>
      </c>
      <c r="BC38" s="96">
        <v>35.348175745865099</v>
      </c>
      <c r="BD38" s="96">
        <v>8.10274714678682</v>
      </c>
    </row>
    <row r="39" spans="1:56" ht="11.25" customHeight="1" x14ac:dyDescent="0.25">
      <c r="A39" s="118"/>
      <c r="B39" s="118"/>
      <c r="C39" s="118"/>
      <c r="D39" s="97" t="s">
        <v>31</v>
      </c>
      <c r="E39" s="97" t="s">
        <v>25</v>
      </c>
      <c r="F39" s="97" t="s">
        <v>25</v>
      </c>
      <c r="G39" s="22" t="s">
        <v>84</v>
      </c>
      <c r="H39" s="22" t="s">
        <v>79</v>
      </c>
      <c r="I39" s="22">
        <f>'MERCADO TUSD'!$U$36</f>
        <v>24083.450999999997</v>
      </c>
      <c r="J39" s="17"/>
      <c r="L39" s="96">
        <f>('TUSD BE'!$L$39+'TUSD BF'!$L$39+'TUSD CVA'!$L$39)*(1 - 0.1)</f>
        <v>0</v>
      </c>
      <c r="M39" s="96">
        <f>('TUSD BE'!$M$39+'TUSD BF'!$M$39+'TUSD CVA'!$M$39)*(1 - 0.1)</f>
        <v>0.90113153010173919</v>
      </c>
      <c r="N39" s="96">
        <f ca="1">('TUSD BE'!$N$39+'TUSD BF'!$N$39+'TUSD CVA'!$N$39)*(1 - 0.1)</f>
        <v>4.0169453282667673</v>
      </c>
      <c r="O39" s="96">
        <f>('TUSD BE'!$O$39+'TUSD BF'!$O$39+'TUSD CVA'!$O$39)*(1 - 0.1)</f>
        <v>0</v>
      </c>
      <c r="P39" s="96">
        <v>0</v>
      </c>
      <c r="Q39" s="96">
        <f>('TUSD BE'!$Q$39+'TUSD BF'!$Q$39+'TUSD CVA'!$Q$39)*(1 - 0.1)</f>
        <v>0</v>
      </c>
      <c r="R39" s="96">
        <v>0</v>
      </c>
      <c r="S39" s="96">
        <f>('TUSD BE'!$S$39+'TUSD BF'!$S$39+'TUSD CVA'!$S$39)*(1 - 0.1)</f>
        <v>0</v>
      </c>
      <c r="T39" s="96">
        <f>('TUSD BE'!$U$39+'TUSD BF'!$U$39+'TUSD CVA'!$U$39)*(1 - 0.1)</f>
        <v>28.365347572314533</v>
      </c>
      <c r="U39" s="96">
        <f>('TUSD BE'!$V$39+'TUSD BF'!$V$39+'TUSD CVA'!$V$39)*(1 - 0.1)</f>
        <v>4.3657203515839331</v>
      </c>
      <c r="V39" s="96">
        <f>('TUSD BE'!$W$39+'TUSD BF'!$W$39+'TUSD CVA'!$W$39)*(1 - 0.1)</f>
        <v>0.15239140419649003</v>
      </c>
      <c r="W39" s="96">
        <f>('TUSD BE'!$X$39+'TUSD BF'!$X$39+'TUSD CVA'!$X$39)*(1 - 0.1)</f>
        <v>0</v>
      </c>
      <c r="X39" s="96">
        <f>('TUSD BE'!$Y$39+'TUSD BF'!$Y$39+'TUSD CVA'!$Y$39)*(1 - 0.1)</f>
        <v>0</v>
      </c>
      <c r="Y39" s="96">
        <f>('TUSD BE'!$Z$39+'TUSD BF'!$Z$39+'TUSD CVA'!$Z$39)*(1 - 0.1)</f>
        <v>0</v>
      </c>
      <c r="Z39" s="96">
        <f>('TUSD BE'!$AA$39+'TUSD BF'!$AA$39+'TUSD CVA'!$AA$39)*(1 - 0.1)</f>
        <v>0</v>
      </c>
      <c r="AA39" s="96">
        <f>('TUSD BE'!$AC$39+'TUSD BF'!$AC$39+'TUSD CVA'!$AC$39)*(1 - 0.1)</f>
        <v>252.82281595245183</v>
      </c>
      <c r="AB39" s="96">
        <f ca="1">('TUSD BE'!$AE$39+'TUSD BF'!$AE$39+'TUSD CVA'!$AE$39)*(1 - 0.1)</f>
        <v>-26.661099460950972</v>
      </c>
      <c r="AC39" s="96">
        <f ca="1">('TUSD BE'!$AF$39+'TUSD BF'!$AF$39+'TUSD CVA'!$AF$39)*(1 - 0.1)</f>
        <v>0</v>
      </c>
      <c r="AD39" s="96">
        <f>('TUSD BE'!$AH$39+'TUSD BF'!$AH$39+'TUSD CVA'!$AH$39)*(1 - 0.1)</f>
        <v>26.441409660760776</v>
      </c>
      <c r="AE39" s="96">
        <f>('TUSD BE'!$AI$39+'TUSD BF'!$AI$39+'TUSD CVA'!$AI$39)*(1 - 0.1)</f>
        <v>2.1379078783275403</v>
      </c>
      <c r="AF39" s="96">
        <f ca="1">('TUSD BE'!$AJ$39+'TUSD BF'!$AJ$39+'TUSD CVA'!$AJ$39)*(1 - 0.1)</f>
        <v>52.992574615051296</v>
      </c>
      <c r="AG39" s="96">
        <f ca="1">('TUSD BE'!$AK$39+'TUSD BF'!$AK$39+'TUSD CVA'!$AK$39)*(1 - 0.1)</f>
        <v>12.147469831408566</v>
      </c>
      <c r="AH39" s="96"/>
      <c r="AI39" s="96">
        <v>0</v>
      </c>
      <c r="AJ39" s="96">
        <v>0.90189866455515</v>
      </c>
      <c r="AK39" s="96">
        <v>4.0198987359207496</v>
      </c>
      <c r="AL39" s="96">
        <v>0</v>
      </c>
      <c r="AM39" s="96">
        <v>0</v>
      </c>
      <c r="AN39" s="96">
        <v>0</v>
      </c>
      <c r="AO39" s="96">
        <v>0</v>
      </c>
      <c r="AP39" s="96">
        <v>0</v>
      </c>
      <c r="AQ39" s="96">
        <v>28.365347572314501</v>
      </c>
      <c r="AR39" s="96">
        <v>4.3657203515839296</v>
      </c>
      <c r="AS39" s="96">
        <v>0.15253199587615801</v>
      </c>
      <c r="AT39" s="96">
        <v>0</v>
      </c>
      <c r="AU39" s="96">
        <v>0</v>
      </c>
      <c r="AV39" s="96">
        <v>0</v>
      </c>
      <c r="AW39" s="96">
        <v>0</v>
      </c>
      <c r="AX39" s="96">
        <v>253.05408979797701</v>
      </c>
      <c r="AY39" s="96">
        <v>-26.666147095283499</v>
      </c>
      <c r="AZ39" s="96">
        <v>0</v>
      </c>
      <c r="BA39" s="96">
        <v>26.455586106201299</v>
      </c>
      <c r="BB39" s="96">
        <v>2.1390541082291499</v>
      </c>
      <c r="BC39" s="96">
        <v>53.022263618797702</v>
      </c>
      <c r="BD39" s="96">
        <v>12.154120720180201</v>
      </c>
    </row>
    <row r="40" spans="1:56" ht="11.25" customHeight="1" x14ac:dyDescent="0.25">
      <c r="A40" s="118"/>
      <c r="B40" s="118"/>
      <c r="C40" s="118"/>
      <c r="D40" s="97" t="s">
        <v>32</v>
      </c>
      <c r="E40" s="97" t="s">
        <v>25</v>
      </c>
      <c r="F40" s="97" t="s">
        <v>25</v>
      </c>
      <c r="G40" s="22" t="s">
        <v>84</v>
      </c>
      <c r="H40" s="22" t="s">
        <v>79</v>
      </c>
      <c r="I40" s="22">
        <f>'MERCADO TUSD'!$U$37</f>
        <v>30371.136999999999</v>
      </c>
      <c r="J40" s="17"/>
      <c r="L40" s="96">
        <f>('TUSD BE'!$L$40+'TUSD BF'!$L$40+'TUSD CVA'!$L$40)*1</f>
        <v>0</v>
      </c>
      <c r="M40" s="96">
        <f>('TUSD BE'!$M$40+'TUSD BF'!$M$40+'TUSD CVA'!$M$40)*1</f>
        <v>1.001257255668599</v>
      </c>
      <c r="N40" s="96">
        <f ca="1">('TUSD BE'!$N$40+'TUSD BF'!$N$40+'TUSD CVA'!$N$40)*1</f>
        <v>4.4632725869630745</v>
      </c>
      <c r="O40" s="96">
        <f>('TUSD BE'!$O$40+'TUSD BF'!$O$40+'TUSD CVA'!$O$40)*1</f>
        <v>0</v>
      </c>
      <c r="P40" s="96">
        <v>0</v>
      </c>
      <c r="Q40" s="96">
        <f>('TUSD BE'!$Q$40+'TUSD BF'!$Q$40+'TUSD CVA'!$Q$40)*1</f>
        <v>0</v>
      </c>
      <c r="R40" s="96">
        <v>0</v>
      </c>
      <c r="S40" s="96">
        <f>('TUSD BE'!$S$40+'TUSD BF'!$S$40+'TUSD CVA'!$S$40)*1</f>
        <v>0</v>
      </c>
      <c r="T40" s="96">
        <f>('TUSD BE'!$U$40+'TUSD BF'!$U$40+'TUSD CVA'!$U$40)*1</f>
        <v>31.517052858127258</v>
      </c>
      <c r="U40" s="96">
        <f>('TUSD BE'!$V$40+'TUSD BF'!$V$40+'TUSD CVA'!$V$40)*1</f>
        <v>4.8508003906488142</v>
      </c>
      <c r="V40" s="96">
        <f>('TUSD BE'!$W$40+'TUSD BF'!$W$40+'TUSD CVA'!$W$40)*1</f>
        <v>0.16932378244054447</v>
      </c>
      <c r="W40" s="96">
        <f>('TUSD BE'!$X$40+'TUSD BF'!$X$40+'TUSD CVA'!$X$40)*1</f>
        <v>0</v>
      </c>
      <c r="X40" s="96">
        <f>('TUSD BE'!$Y$40+'TUSD BF'!$Y$40+'TUSD CVA'!$Y$40)*1</f>
        <v>0</v>
      </c>
      <c r="Y40" s="96">
        <f>('TUSD BE'!$Z$40+'TUSD BF'!$Z$40+'TUSD CVA'!$Z$40)*1</f>
        <v>0</v>
      </c>
      <c r="Z40" s="96">
        <f>('TUSD BE'!$AA$40+'TUSD BF'!$AA$40+'TUSD CVA'!$AA$40)*1</f>
        <v>0</v>
      </c>
      <c r="AA40" s="96">
        <f>('TUSD BE'!$AC$40+'TUSD BF'!$AC$40+'TUSD CVA'!$AC$40)*1</f>
        <v>280.91423994716871</v>
      </c>
      <c r="AB40" s="96">
        <f ca="1">('TUSD BE'!$AE$40+'TUSD BF'!$AE$40+'TUSD CVA'!$AE$40)*1</f>
        <v>-29.623443845501079</v>
      </c>
      <c r="AC40" s="96">
        <f ca="1">('TUSD BE'!$AF$40+'TUSD BF'!$AF$40+'TUSD CVA'!$AF$40)*1</f>
        <v>0</v>
      </c>
      <c r="AD40" s="96">
        <f>('TUSD BE'!$AH$40+'TUSD BF'!$AH$40+'TUSD CVA'!$AH$40)*1</f>
        <v>29.379344067511973</v>
      </c>
      <c r="AE40" s="96">
        <f>('TUSD BE'!$AI$40+'TUSD BF'!$AI$40+'TUSD CVA'!$AI$40)*1</f>
        <v>2.3754531981417113</v>
      </c>
      <c r="AF40" s="96">
        <f ca="1">('TUSD BE'!$AJ$40+'TUSD BF'!$AJ$40+'TUSD CVA'!$AJ$40)*1</f>
        <v>58.880638461168104</v>
      </c>
      <c r="AG40" s="96">
        <f ca="1">('TUSD BE'!$AK$40+'TUSD BF'!$AK$40+'TUSD CVA'!$AK$40)*1</f>
        <v>13.497188701565072</v>
      </c>
      <c r="AH40" s="96"/>
      <c r="AI40" s="96">
        <v>0</v>
      </c>
      <c r="AJ40" s="96">
        <v>1.0021096272834999</v>
      </c>
      <c r="AK40" s="96">
        <v>4.4665541510230504</v>
      </c>
      <c r="AL40" s="96">
        <v>0</v>
      </c>
      <c r="AM40" s="96">
        <v>0</v>
      </c>
      <c r="AN40" s="96">
        <v>0</v>
      </c>
      <c r="AO40" s="96">
        <v>0</v>
      </c>
      <c r="AP40" s="96">
        <v>0</v>
      </c>
      <c r="AQ40" s="96">
        <v>31.5170528581273</v>
      </c>
      <c r="AR40" s="96">
        <v>4.8508003906488097</v>
      </c>
      <c r="AS40" s="96">
        <v>0.169479995417953</v>
      </c>
      <c r="AT40" s="96">
        <v>0</v>
      </c>
      <c r="AU40" s="96">
        <v>0</v>
      </c>
      <c r="AV40" s="96">
        <v>0</v>
      </c>
      <c r="AW40" s="96">
        <v>0</v>
      </c>
      <c r="AX40" s="96">
        <v>281.17121088664101</v>
      </c>
      <c r="AY40" s="96">
        <v>-29.629052328092801</v>
      </c>
      <c r="AZ40" s="96">
        <v>0</v>
      </c>
      <c r="BA40" s="96">
        <v>29.395095673557002</v>
      </c>
      <c r="BB40" s="96">
        <v>2.3767267869212798</v>
      </c>
      <c r="BC40" s="96">
        <v>58.913626243108503</v>
      </c>
      <c r="BD40" s="96">
        <v>13.504578577978</v>
      </c>
    </row>
    <row r="41" spans="1:56" ht="11.25" customHeight="1" x14ac:dyDescent="0.25">
      <c r="A41" s="118"/>
      <c r="B41" s="118" t="s">
        <v>92</v>
      </c>
      <c r="C41" s="118" t="s">
        <v>24</v>
      </c>
      <c r="D41" s="97" t="s">
        <v>24</v>
      </c>
      <c r="E41" s="97" t="s">
        <v>25</v>
      </c>
      <c r="F41" s="97" t="s">
        <v>25</v>
      </c>
      <c r="G41" s="22" t="s">
        <v>84</v>
      </c>
      <c r="H41" s="22" t="s">
        <v>79</v>
      </c>
      <c r="I41" s="22">
        <f>'MERCADO TUSD'!$U$38</f>
        <v>0</v>
      </c>
      <c r="J41" s="17"/>
      <c r="L41" s="96">
        <f>('TUSD BE'!$L$41+'TUSD BF'!$L$41+'TUSD CVA'!$L$41)*1</f>
        <v>25.211303490101031</v>
      </c>
      <c r="M41" s="96">
        <f>('TUSD BE'!$M$41+'TUSD BF'!$M$41+'TUSD CVA'!$M$41)*1</f>
        <v>1.001257255668599</v>
      </c>
      <c r="N41" s="96">
        <f ca="1">('TUSD BE'!$N$41+'TUSD BF'!$N$41+'TUSD CVA'!$N$41)*1</f>
        <v>4.4748154934613487</v>
      </c>
      <c r="O41" s="96">
        <f>('TUSD BE'!$O$41+'TUSD BF'!$O$41+'TUSD CVA'!$O$41)*1</f>
        <v>0</v>
      </c>
      <c r="P41" s="96">
        <f>('TUSD BE'!$P$41+'TUSD BF'!$P$41+'TUSD CVA'!$P$41)*1</f>
        <v>0</v>
      </c>
      <c r="Q41" s="96">
        <f>('TUSD BE'!$Q$41+'TUSD BF'!$Q$41+'TUSD CVA'!$Q$41)*1</f>
        <v>58.19476390804266</v>
      </c>
      <c r="R41" s="96">
        <f>('TUSD BE'!$R$41+'TUSD BF'!$R$41+'TUSD CVA'!$R$41)*1</f>
        <v>21.66499131547619</v>
      </c>
      <c r="S41" s="96">
        <f>('TUSD BE'!$S$41+'TUSD BF'!$S$41+'TUSD CVA'!$S$41)*1</f>
        <v>0</v>
      </c>
      <c r="T41" s="96">
        <f>('TUSD BE'!$U$41+'TUSD BF'!$U$41+'TUSD CVA'!$U$41)*1</f>
        <v>31.517052858127258</v>
      </c>
      <c r="U41" s="96">
        <f>('TUSD BE'!$V$41+'TUSD BF'!$V$41+'TUSD CVA'!$V$41)*1</f>
        <v>4.8508003906488142</v>
      </c>
      <c r="V41" s="96">
        <f>('TUSD BE'!$W$41+'TUSD BF'!$W$41+'TUSD CVA'!$W$41)*1</f>
        <v>0.16932378244054447</v>
      </c>
      <c r="W41" s="96">
        <f>('TUSD BE'!$X$41+'TUSD BF'!$X$41+'TUSD CVA'!$X$41)*1</f>
        <v>0</v>
      </c>
      <c r="X41" s="96">
        <f>('TUSD BE'!$Y$41+'TUSD BF'!$Y$41+'TUSD CVA'!$Y$41)*1</f>
        <v>0</v>
      </c>
      <c r="Y41" s="96">
        <f>('TUSD BE'!$Z$41+'TUSD BF'!$Z$41+'TUSD CVA'!$Z$41)*1</f>
        <v>0</v>
      </c>
      <c r="Z41" s="96">
        <f>('TUSD BE'!$AA$41+'TUSD BF'!$AA$41+'TUSD CVA'!$AA$41)*1</f>
        <v>0</v>
      </c>
      <c r="AA41" s="96">
        <f>('TUSD BE'!$AC$41+'TUSD BF'!$AC$41+'TUSD CVA'!$AC$41)*1</f>
        <v>280.91423994716871</v>
      </c>
      <c r="AB41" s="96">
        <f ca="1">('TUSD BE'!$AE$41+'TUSD BF'!$AE$41+'TUSD CVA'!$AE$41)*1</f>
        <v>-34.93912692930229</v>
      </c>
      <c r="AC41" s="96">
        <f ca="1">('TUSD BE'!$AF$41+'TUSD BF'!$AF$41+'TUSD CVA'!$AF$41)*1</f>
        <v>0</v>
      </c>
      <c r="AD41" s="96">
        <f>('TUSD BE'!$AH$41+'TUSD BF'!$AH$41+'TUSD CVA'!$AH$41)*1</f>
        <v>29.379344067511973</v>
      </c>
      <c r="AE41" s="96">
        <f>('TUSD BE'!$AI$41+'TUSD BF'!$AI$41+'TUSD CVA'!$AI$41)*1</f>
        <v>2.3754531981417113</v>
      </c>
      <c r="AF41" s="96">
        <f ca="1">('TUSD BE'!$AJ$41+'TUSD BF'!$AJ$41+'TUSD CVA'!$AJ$41)*1</f>
        <v>58.880638461168104</v>
      </c>
      <c r="AG41" s="96">
        <f ca="1">('TUSD BE'!$AK$41+'TUSD BF'!$AK$41+'TUSD CVA'!$AK$41)*1</f>
        <v>13.497188701565072</v>
      </c>
      <c r="AH41" s="96"/>
      <c r="AI41" s="96">
        <v>25.211303490100999</v>
      </c>
      <c r="AJ41" s="96">
        <v>1.0021096272834999</v>
      </c>
      <c r="AK41" s="96">
        <v>4.4781035695907301</v>
      </c>
      <c r="AL41" s="96">
        <v>0</v>
      </c>
      <c r="AM41" s="96">
        <v>0</v>
      </c>
      <c r="AN41" s="96">
        <v>58.194763908042702</v>
      </c>
      <c r="AO41" s="96">
        <v>21.6649913154762</v>
      </c>
      <c r="AP41" s="96">
        <v>0</v>
      </c>
      <c r="AQ41" s="96">
        <v>31.5170528581273</v>
      </c>
      <c r="AR41" s="96">
        <v>4.8508003906488097</v>
      </c>
      <c r="AS41" s="96">
        <v>0.169479995417953</v>
      </c>
      <c r="AT41" s="96">
        <v>0</v>
      </c>
      <c r="AU41" s="96">
        <v>0</v>
      </c>
      <c r="AV41" s="96">
        <v>0</v>
      </c>
      <c r="AW41" s="96">
        <v>0</v>
      </c>
      <c r="AX41" s="96">
        <v>281.17121088664101</v>
      </c>
      <c r="AY41" s="96">
        <v>-34.9419387327493</v>
      </c>
      <c r="AZ41" s="96">
        <v>0</v>
      </c>
      <c r="BA41" s="96">
        <v>29.395095673557002</v>
      </c>
      <c r="BB41" s="96">
        <v>2.3767267869212798</v>
      </c>
      <c r="BC41" s="96">
        <v>58.913626243108503</v>
      </c>
      <c r="BD41" s="96">
        <v>13.504578577978</v>
      </c>
    </row>
    <row r="42" spans="1:56" ht="11.25" customHeight="1" x14ac:dyDescent="0.25">
      <c r="A42" s="118"/>
      <c r="B42" s="118"/>
      <c r="C42" s="118"/>
      <c r="D42" s="97" t="s">
        <v>29</v>
      </c>
      <c r="E42" s="97" t="s">
        <v>25</v>
      </c>
      <c r="F42" s="97" t="s">
        <v>25</v>
      </c>
      <c r="G42" s="22" t="s">
        <v>84</v>
      </c>
      <c r="H42" s="22" t="s">
        <v>79</v>
      </c>
      <c r="I42" s="22">
        <f>'MERCADO TUSD'!$U$39</f>
        <v>0</v>
      </c>
      <c r="J42" s="17"/>
      <c r="L42" s="96">
        <f>('TUSD BE'!$L$42+'TUSD BF'!$L$42+'TUSD CVA'!$L$42)*(1 - 0.65)</f>
        <v>0</v>
      </c>
      <c r="M42" s="96">
        <f>('TUSD BE'!$M$42+'TUSD BF'!$M$42+'TUSD CVA'!$M$42)*(1 - 0.65)</f>
        <v>0.35044003948400965</v>
      </c>
      <c r="N42" s="96">
        <f ca="1">('TUSD BE'!$N$42+'TUSD BF'!$N$42+'TUSD CVA'!$N$42)*(1 - 0.65)</f>
        <v>1.562145405437076</v>
      </c>
      <c r="O42" s="96">
        <f>('TUSD BE'!$O$42+'TUSD BF'!$O$42+'TUSD CVA'!$O$42)*(1 - 0.65)</f>
        <v>0</v>
      </c>
      <c r="P42" s="96">
        <v>0</v>
      </c>
      <c r="Q42" s="96">
        <f>('TUSD BE'!$Q$42+'TUSD BF'!$Q$42+'TUSD CVA'!$Q$42)*(1 - 0.65)</f>
        <v>0</v>
      </c>
      <c r="R42" s="96">
        <v>0</v>
      </c>
      <c r="S42" s="96">
        <f>('TUSD BE'!$S$42+'TUSD BF'!$S$42+'TUSD CVA'!$S$42)*(1 - 0.65)</f>
        <v>0</v>
      </c>
      <c r="T42" s="96">
        <f>('TUSD BE'!$U$42+'TUSD BF'!$U$42+'TUSD CVA'!$U$42)*(1 - 0.65)</f>
        <v>11.030968500344539</v>
      </c>
      <c r="U42" s="96">
        <f>('TUSD BE'!$V$42+'TUSD BF'!$V$42+'TUSD CVA'!$V$42)*(1 - 0.65)</f>
        <v>1.6977801367270848</v>
      </c>
      <c r="V42" s="96">
        <f>('TUSD BE'!$W$42+'TUSD BF'!$W$42+'TUSD CVA'!$W$42)*(1 - 0.65)</f>
        <v>5.9263323854190558E-2</v>
      </c>
      <c r="W42" s="96">
        <f>('TUSD BE'!$X$42+'TUSD BF'!$X$42+'TUSD CVA'!$X$42)*(1 - 0.65)</f>
        <v>0</v>
      </c>
      <c r="X42" s="96">
        <f>('TUSD BE'!$Y$42+'TUSD BF'!$Y$42+'TUSD CVA'!$Y$42)*(1 - 0.65)</f>
        <v>0</v>
      </c>
      <c r="Y42" s="96">
        <f>('TUSD BE'!$Z$42+'TUSD BF'!$Z$42+'TUSD CVA'!$Z$42)*(1 - 0.65)</f>
        <v>0</v>
      </c>
      <c r="Z42" s="96">
        <f>('TUSD BE'!$AA$42+'TUSD BF'!$AA$42+'TUSD CVA'!$AA$42)*(1 - 0.65)</f>
        <v>0</v>
      </c>
      <c r="AA42" s="96">
        <f>('TUSD BE'!$AC$42+'TUSD BF'!$AC$42+'TUSD CVA'!$AC$42)*(1 - 0.65)</f>
        <v>98.31998398150904</v>
      </c>
      <c r="AB42" s="96">
        <f ca="1">('TUSD BE'!$AE$42+'TUSD BF'!$AE$42+'TUSD CVA'!$AE$42)*(1 - 0.65)</f>
        <v>-10.368205345925377</v>
      </c>
      <c r="AC42" s="96">
        <f ca="1">('TUSD BE'!$AF$42+'TUSD BF'!$AF$42+'TUSD CVA'!$AF$42)*(1 - 0.65)</f>
        <v>0</v>
      </c>
      <c r="AD42" s="96">
        <f>('TUSD BE'!$AH$42+'TUSD BF'!$AH$42+'TUSD CVA'!$AH$42)*(1 - 0.65)</f>
        <v>10.28277042362919</v>
      </c>
      <c r="AE42" s="96">
        <f>('TUSD BE'!$AI$42+'TUSD BF'!$AI$42+'TUSD CVA'!$AI$42)*(1 - 0.65)</f>
        <v>0.83140861934959887</v>
      </c>
      <c r="AF42" s="96">
        <f ca="1">('TUSD BE'!$AJ$42+'TUSD BF'!$AJ$42+'TUSD CVA'!$AJ$42)*(1 - 0.65)</f>
        <v>20.608223461408834</v>
      </c>
      <c r="AG42" s="96">
        <f ca="1">('TUSD BE'!$AK$42+'TUSD BF'!$AK$42+'TUSD CVA'!$AK$42)*(1 - 0.65)</f>
        <v>4.7240160455477751</v>
      </c>
      <c r="AH42" s="96"/>
      <c r="AI42" s="96">
        <v>0</v>
      </c>
      <c r="AJ42" s="96">
        <v>0.35073836954922499</v>
      </c>
      <c r="AK42" s="96">
        <v>1.56329395285807</v>
      </c>
      <c r="AL42" s="96">
        <v>0</v>
      </c>
      <c r="AM42" s="96">
        <v>0</v>
      </c>
      <c r="AN42" s="96">
        <v>0</v>
      </c>
      <c r="AO42" s="96">
        <v>0</v>
      </c>
      <c r="AP42" s="96">
        <v>0</v>
      </c>
      <c r="AQ42" s="96">
        <v>11.0309685003445</v>
      </c>
      <c r="AR42" s="96">
        <v>1.6977801367270799</v>
      </c>
      <c r="AS42" s="96">
        <v>5.9317998396283503E-2</v>
      </c>
      <c r="AT42" s="96">
        <v>0</v>
      </c>
      <c r="AU42" s="96">
        <v>0</v>
      </c>
      <c r="AV42" s="96">
        <v>0</v>
      </c>
      <c r="AW42" s="96">
        <v>0</v>
      </c>
      <c r="AX42" s="96">
        <v>98.409923810324202</v>
      </c>
      <c r="AY42" s="96">
        <v>-10.370168314832499</v>
      </c>
      <c r="AZ42" s="96">
        <v>0</v>
      </c>
      <c r="BA42" s="96">
        <v>10.2882834857449</v>
      </c>
      <c r="BB42" s="96">
        <v>0.831854375422448</v>
      </c>
      <c r="BC42" s="96">
        <v>20.619769185088</v>
      </c>
      <c r="BD42" s="96">
        <v>4.7266025022923097</v>
      </c>
    </row>
    <row r="43" spans="1:56" ht="11.25" customHeight="1" x14ac:dyDescent="0.25">
      <c r="A43" s="118"/>
      <c r="B43" s="118"/>
      <c r="C43" s="118"/>
      <c r="D43" s="97" t="s">
        <v>30</v>
      </c>
      <c r="E43" s="97" t="s">
        <v>25</v>
      </c>
      <c r="F43" s="97" t="s">
        <v>25</v>
      </c>
      <c r="G43" s="22" t="s">
        <v>84</v>
      </c>
      <c r="H43" s="22" t="s">
        <v>79</v>
      </c>
      <c r="I43" s="22">
        <f>'MERCADO TUSD'!$U$40</f>
        <v>0</v>
      </c>
      <c r="J43" s="17"/>
      <c r="L43" s="96">
        <f>('TUSD BE'!$L$43+'TUSD BF'!$L$43+'TUSD CVA'!$L$43)*(1 - 0.4)</f>
        <v>0</v>
      </c>
      <c r="M43" s="96">
        <f>('TUSD BE'!$M$43+'TUSD BF'!$M$43+'TUSD CVA'!$M$43)*(1 - 0.4)</f>
        <v>0.60075435340115935</v>
      </c>
      <c r="N43" s="96">
        <f ca="1">('TUSD BE'!$N$43+'TUSD BF'!$N$43+'TUSD CVA'!$N$43)*(1 - 0.4)</f>
        <v>2.6779635521778444</v>
      </c>
      <c r="O43" s="96">
        <f>('TUSD BE'!$O$43+'TUSD BF'!$O$43+'TUSD CVA'!$O$43)*(1 - 0.4)</f>
        <v>0</v>
      </c>
      <c r="P43" s="96">
        <v>0</v>
      </c>
      <c r="Q43" s="96">
        <f>('TUSD BE'!$Q$43+'TUSD BF'!$Q$43+'TUSD CVA'!$Q$43)*(1 - 0.4)</f>
        <v>0</v>
      </c>
      <c r="R43" s="96">
        <v>0</v>
      </c>
      <c r="S43" s="96">
        <f>('TUSD BE'!$S$43+'TUSD BF'!$S$43+'TUSD CVA'!$S$43)*(1 - 0.4)</f>
        <v>0</v>
      </c>
      <c r="T43" s="96">
        <f>('TUSD BE'!$U$43+'TUSD BF'!$U$43+'TUSD CVA'!$U$43)*(1 - 0.4)</f>
        <v>18.910231714876353</v>
      </c>
      <c r="U43" s="96">
        <f>('TUSD BE'!$V$43+'TUSD BF'!$V$43+'TUSD CVA'!$V$43)*(1 - 0.4)</f>
        <v>2.9104802343892886</v>
      </c>
      <c r="V43" s="96">
        <f>('TUSD BE'!$W$43+'TUSD BF'!$W$43+'TUSD CVA'!$W$43)*(1 - 0.4)</f>
        <v>0.10159426946432668</v>
      </c>
      <c r="W43" s="96">
        <f>('TUSD BE'!$X$43+'TUSD BF'!$X$43+'TUSD CVA'!$X$43)*(1 - 0.4)</f>
        <v>0</v>
      </c>
      <c r="X43" s="96">
        <f>('TUSD BE'!$Y$43+'TUSD BF'!$Y$43+'TUSD CVA'!$Y$43)*(1 - 0.4)</f>
        <v>0</v>
      </c>
      <c r="Y43" s="96">
        <f>('TUSD BE'!$Z$43+'TUSD BF'!$Z$43+'TUSD CVA'!$Z$43)*(1 - 0.4)</f>
        <v>0</v>
      </c>
      <c r="Z43" s="96">
        <f>('TUSD BE'!$AA$43+'TUSD BF'!$AA$43+'TUSD CVA'!$AA$43)*(1 - 0.4)</f>
        <v>0</v>
      </c>
      <c r="AA43" s="96">
        <f>('TUSD BE'!$AC$43+'TUSD BF'!$AC$43+'TUSD CVA'!$AC$43)*(1 - 0.4)</f>
        <v>168.54854396830123</v>
      </c>
      <c r="AB43" s="96">
        <f ca="1">('TUSD BE'!$AE$43+'TUSD BF'!$AE$43+'TUSD CVA'!$AE$43)*(1 - 0.4)</f>
        <v>-17.774066307300647</v>
      </c>
      <c r="AC43" s="96">
        <f ca="1">('TUSD BE'!$AF$43+'TUSD BF'!$AF$43+'TUSD CVA'!$AF$43)*(1 - 0.4)</f>
        <v>0</v>
      </c>
      <c r="AD43" s="96">
        <f>('TUSD BE'!$AH$43+'TUSD BF'!$AH$43+'TUSD CVA'!$AH$43)*(1 - 0.4)</f>
        <v>17.627606440507183</v>
      </c>
      <c r="AE43" s="96">
        <f>('TUSD BE'!$AI$43+'TUSD BF'!$AI$43+'TUSD CVA'!$AI$43)*(1 - 0.4)</f>
        <v>1.4252719188850267</v>
      </c>
      <c r="AF43" s="96">
        <f ca="1">('TUSD BE'!$AJ$43+'TUSD BF'!$AJ$43+'TUSD CVA'!$AJ$43)*(1 - 0.4)</f>
        <v>35.32838307670086</v>
      </c>
      <c r="AG43" s="96">
        <f ca="1">('TUSD BE'!$AK$43+'TUSD BF'!$AK$43+'TUSD CVA'!$AK$43)*(1 - 0.4)</f>
        <v>8.0983132209390423</v>
      </c>
      <c r="AH43" s="96"/>
      <c r="AI43" s="96">
        <v>0</v>
      </c>
      <c r="AJ43" s="96">
        <v>0.60126577637010004</v>
      </c>
      <c r="AK43" s="96">
        <v>2.67993249061383</v>
      </c>
      <c r="AL43" s="96">
        <v>0</v>
      </c>
      <c r="AM43" s="96">
        <v>0</v>
      </c>
      <c r="AN43" s="96">
        <v>0</v>
      </c>
      <c r="AO43" s="96">
        <v>0</v>
      </c>
      <c r="AP43" s="96">
        <v>0</v>
      </c>
      <c r="AQ43" s="96">
        <v>18.910231714876399</v>
      </c>
      <c r="AR43" s="96">
        <v>2.9104802343892899</v>
      </c>
      <c r="AS43" s="96">
        <v>0.101687997250772</v>
      </c>
      <c r="AT43" s="96">
        <v>0</v>
      </c>
      <c r="AU43" s="96">
        <v>0</v>
      </c>
      <c r="AV43" s="96">
        <v>0</v>
      </c>
      <c r="AW43" s="96">
        <v>0</v>
      </c>
      <c r="AX43" s="96">
        <v>168.70272653198401</v>
      </c>
      <c r="AY43" s="96">
        <v>-17.7774313968557</v>
      </c>
      <c r="AZ43" s="96">
        <v>0</v>
      </c>
      <c r="BA43" s="96">
        <v>17.6370574041342</v>
      </c>
      <c r="BB43" s="96">
        <v>1.4260360721527701</v>
      </c>
      <c r="BC43" s="96">
        <v>35.348175745865099</v>
      </c>
      <c r="BD43" s="96">
        <v>8.10274714678682</v>
      </c>
    </row>
    <row r="44" spans="1:56" ht="11.25" customHeight="1" x14ac:dyDescent="0.25">
      <c r="A44" s="118"/>
      <c r="B44" s="118"/>
      <c r="C44" s="118"/>
      <c r="D44" s="97" t="s">
        <v>31</v>
      </c>
      <c r="E44" s="97" t="s">
        <v>25</v>
      </c>
      <c r="F44" s="97" t="s">
        <v>25</v>
      </c>
      <c r="G44" s="22" t="s">
        <v>84</v>
      </c>
      <c r="H44" s="22" t="s">
        <v>79</v>
      </c>
      <c r="I44" s="22">
        <f>'MERCADO TUSD'!$U$41</f>
        <v>0</v>
      </c>
      <c r="J44" s="17"/>
      <c r="L44" s="96">
        <f>('TUSD BE'!$L$44+'TUSD BF'!$L$44+'TUSD CVA'!$L$44)*(1 - 0.1)</f>
        <v>0</v>
      </c>
      <c r="M44" s="96">
        <f>('TUSD BE'!$M$44+'TUSD BF'!$M$44+'TUSD CVA'!$M$44)*(1 - 0.1)</f>
        <v>0.90113153010173919</v>
      </c>
      <c r="N44" s="96">
        <f ca="1">('TUSD BE'!$N$44+'TUSD BF'!$N$44+'TUSD CVA'!$N$44)*(1 - 0.1)</f>
        <v>4.0169453282667673</v>
      </c>
      <c r="O44" s="96">
        <f>('TUSD BE'!$O$44+'TUSD BF'!$O$44+'TUSD CVA'!$O$44)*(1 - 0.1)</f>
        <v>0</v>
      </c>
      <c r="P44" s="96">
        <v>0</v>
      </c>
      <c r="Q44" s="96">
        <f>('TUSD BE'!$Q$44+'TUSD BF'!$Q$44+'TUSD CVA'!$Q$44)*(1 - 0.1)</f>
        <v>0</v>
      </c>
      <c r="R44" s="96">
        <v>0</v>
      </c>
      <c r="S44" s="96">
        <f>('TUSD BE'!$S$44+'TUSD BF'!$S$44+'TUSD CVA'!$S$44)*(1 - 0.1)</f>
        <v>0</v>
      </c>
      <c r="T44" s="96">
        <f>('TUSD BE'!$U$44+'TUSD BF'!$U$44+'TUSD CVA'!$U$44)*(1 - 0.1)</f>
        <v>28.365347572314533</v>
      </c>
      <c r="U44" s="96">
        <f>('TUSD BE'!$V$44+'TUSD BF'!$V$44+'TUSD CVA'!$V$44)*(1 - 0.1)</f>
        <v>4.3657203515839331</v>
      </c>
      <c r="V44" s="96">
        <f>('TUSD BE'!$W$44+'TUSD BF'!$W$44+'TUSD CVA'!$W$44)*(1 - 0.1)</f>
        <v>0.15239140419649003</v>
      </c>
      <c r="W44" s="96">
        <f>('TUSD BE'!$X$44+'TUSD BF'!$X$44+'TUSD CVA'!$X$44)*(1 - 0.1)</f>
        <v>0</v>
      </c>
      <c r="X44" s="96">
        <f>('TUSD BE'!$Y$44+'TUSD BF'!$Y$44+'TUSD CVA'!$Y$44)*(1 - 0.1)</f>
        <v>0</v>
      </c>
      <c r="Y44" s="96">
        <f>('TUSD BE'!$Z$44+'TUSD BF'!$Z$44+'TUSD CVA'!$Z$44)*(1 - 0.1)</f>
        <v>0</v>
      </c>
      <c r="Z44" s="96">
        <f>('TUSD BE'!$AA$44+'TUSD BF'!$AA$44+'TUSD CVA'!$AA$44)*(1 - 0.1)</f>
        <v>0</v>
      </c>
      <c r="AA44" s="96">
        <f>('TUSD BE'!$AC$44+'TUSD BF'!$AC$44+'TUSD CVA'!$AC$44)*(1 - 0.1)</f>
        <v>252.82281595245183</v>
      </c>
      <c r="AB44" s="96">
        <f ca="1">('TUSD BE'!$AE$44+'TUSD BF'!$AE$44+'TUSD CVA'!$AE$44)*(1 - 0.1)</f>
        <v>-26.661099460950972</v>
      </c>
      <c r="AC44" s="96">
        <f ca="1">('TUSD BE'!$AF$44+'TUSD BF'!$AF$44+'TUSD CVA'!$AF$44)*(1 - 0.1)</f>
        <v>0</v>
      </c>
      <c r="AD44" s="96">
        <f>('TUSD BE'!$AH$44+'TUSD BF'!$AH$44+'TUSD CVA'!$AH$44)*(1 - 0.1)</f>
        <v>26.441409660760776</v>
      </c>
      <c r="AE44" s="96">
        <f>('TUSD BE'!$AI$44+'TUSD BF'!$AI$44+'TUSD CVA'!$AI$44)*(1 - 0.1)</f>
        <v>2.1379078783275403</v>
      </c>
      <c r="AF44" s="96">
        <f ca="1">('TUSD BE'!$AJ$44+'TUSD BF'!$AJ$44+'TUSD CVA'!$AJ$44)*(1 - 0.1)</f>
        <v>52.992574615051296</v>
      </c>
      <c r="AG44" s="96">
        <f ca="1">('TUSD BE'!$AK$44+'TUSD BF'!$AK$44+'TUSD CVA'!$AK$44)*(1 - 0.1)</f>
        <v>12.147469831408566</v>
      </c>
      <c r="AH44" s="96"/>
      <c r="AI44" s="96">
        <v>0</v>
      </c>
      <c r="AJ44" s="96">
        <v>0.90189866455515</v>
      </c>
      <c r="AK44" s="96">
        <v>4.0198987359207496</v>
      </c>
      <c r="AL44" s="96">
        <v>0</v>
      </c>
      <c r="AM44" s="96">
        <v>0</v>
      </c>
      <c r="AN44" s="96">
        <v>0</v>
      </c>
      <c r="AO44" s="96">
        <v>0</v>
      </c>
      <c r="AP44" s="96">
        <v>0</v>
      </c>
      <c r="AQ44" s="96">
        <v>28.365347572314501</v>
      </c>
      <c r="AR44" s="96">
        <v>4.3657203515839296</v>
      </c>
      <c r="AS44" s="96">
        <v>0.15253199587615801</v>
      </c>
      <c r="AT44" s="96">
        <v>0</v>
      </c>
      <c r="AU44" s="96">
        <v>0</v>
      </c>
      <c r="AV44" s="96">
        <v>0</v>
      </c>
      <c r="AW44" s="96">
        <v>0</v>
      </c>
      <c r="AX44" s="96">
        <v>253.05408979797701</v>
      </c>
      <c r="AY44" s="96">
        <v>-26.666147095283499</v>
      </c>
      <c r="AZ44" s="96">
        <v>0</v>
      </c>
      <c r="BA44" s="96">
        <v>26.455586106201299</v>
      </c>
      <c r="BB44" s="96">
        <v>2.1390541082291499</v>
      </c>
      <c r="BC44" s="96">
        <v>53.022263618797702</v>
      </c>
      <c r="BD44" s="96">
        <v>12.154120720180201</v>
      </c>
    </row>
    <row r="45" spans="1:56" ht="11.25" customHeight="1" x14ac:dyDescent="0.25">
      <c r="A45" s="118"/>
      <c r="B45" s="118"/>
      <c r="C45" s="118"/>
      <c r="D45" s="97" t="s">
        <v>32</v>
      </c>
      <c r="E45" s="97" t="s">
        <v>25</v>
      </c>
      <c r="F45" s="97" t="s">
        <v>25</v>
      </c>
      <c r="G45" s="22" t="s">
        <v>84</v>
      </c>
      <c r="H45" s="22" t="s">
        <v>79</v>
      </c>
      <c r="I45" s="22">
        <f>'MERCADO TUSD'!$U$42</f>
        <v>0</v>
      </c>
      <c r="J45" s="17"/>
      <c r="L45" s="96">
        <f>('TUSD BE'!$L$45+'TUSD BF'!$L$45+'TUSD CVA'!$L$45)*1</f>
        <v>0</v>
      </c>
      <c r="M45" s="96">
        <f>('TUSD BE'!$M$45+'TUSD BF'!$M$45+'TUSD CVA'!$M$45)*1</f>
        <v>1.001257255668599</v>
      </c>
      <c r="N45" s="96">
        <f ca="1">('TUSD BE'!$N$45+'TUSD BF'!$N$45+'TUSD CVA'!$N$45)*1</f>
        <v>4.4632725869630745</v>
      </c>
      <c r="O45" s="96">
        <f>('TUSD BE'!$O$45+'TUSD BF'!$O$45+'TUSD CVA'!$O$45)*1</f>
        <v>0</v>
      </c>
      <c r="P45" s="96">
        <v>0</v>
      </c>
      <c r="Q45" s="96">
        <f>('TUSD BE'!$Q$45+'TUSD BF'!$Q$45+'TUSD CVA'!$Q$45)*1</f>
        <v>0</v>
      </c>
      <c r="R45" s="96">
        <v>0</v>
      </c>
      <c r="S45" s="96">
        <f>('TUSD BE'!$S$45+'TUSD BF'!$S$45+'TUSD CVA'!$S$45)*1</f>
        <v>0</v>
      </c>
      <c r="T45" s="96">
        <f>('TUSD BE'!$U$45+'TUSD BF'!$U$45+'TUSD CVA'!$U$45)*1</f>
        <v>31.517052858127258</v>
      </c>
      <c r="U45" s="96">
        <f>('TUSD BE'!$V$45+'TUSD BF'!$V$45+'TUSD CVA'!$V$45)*1</f>
        <v>4.8508003906488142</v>
      </c>
      <c r="V45" s="96">
        <f>('TUSD BE'!$W$45+'TUSD BF'!$W$45+'TUSD CVA'!$W$45)*1</f>
        <v>0.16932378244054447</v>
      </c>
      <c r="W45" s="96">
        <f>('TUSD BE'!$X$45+'TUSD BF'!$X$45+'TUSD CVA'!$X$45)*1</f>
        <v>0</v>
      </c>
      <c r="X45" s="96">
        <f>('TUSD BE'!$Y$45+'TUSD BF'!$Y$45+'TUSD CVA'!$Y$45)*1</f>
        <v>0</v>
      </c>
      <c r="Y45" s="96">
        <f>('TUSD BE'!$Z$45+'TUSD BF'!$Z$45+'TUSD CVA'!$Z$45)*1</f>
        <v>0</v>
      </c>
      <c r="Z45" s="96">
        <f>('TUSD BE'!$AA$45+'TUSD BF'!$AA$45+'TUSD CVA'!$AA$45)*1</f>
        <v>0</v>
      </c>
      <c r="AA45" s="96">
        <f>('TUSD BE'!$AC$45+'TUSD BF'!$AC$45+'TUSD CVA'!$AC$45)*1</f>
        <v>280.91423994716871</v>
      </c>
      <c r="AB45" s="96">
        <f ca="1">('TUSD BE'!$AE$45+'TUSD BF'!$AE$45+'TUSD CVA'!$AE$45)*1</f>
        <v>-29.623443845501079</v>
      </c>
      <c r="AC45" s="96">
        <f ca="1">('TUSD BE'!$AF$45+'TUSD BF'!$AF$45+'TUSD CVA'!$AF$45)*1</f>
        <v>0</v>
      </c>
      <c r="AD45" s="96">
        <f>('TUSD BE'!$AH$45+'TUSD BF'!$AH$45+'TUSD CVA'!$AH$45)*1</f>
        <v>29.379344067511973</v>
      </c>
      <c r="AE45" s="96">
        <f>('TUSD BE'!$AI$45+'TUSD BF'!$AI$45+'TUSD CVA'!$AI$45)*1</f>
        <v>2.3754531981417113</v>
      </c>
      <c r="AF45" s="96">
        <f ca="1">('TUSD BE'!$AJ$45+'TUSD BF'!$AJ$45+'TUSD CVA'!$AJ$45)*1</f>
        <v>58.880638461168104</v>
      </c>
      <c r="AG45" s="96">
        <f ca="1">('TUSD BE'!$AK$45+'TUSD BF'!$AK$45+'TUSD CVA'!$AK$45)*1</f>
        <v>13.497188701565072</v>
      </c>
      <c r="AH45" s="96"/>
      <c r="AI45" s="96">
        <v>0</v>
      </c>
      <c r="AJ45" s="96">
        <v>1.0021096272834999</v>
      </c>
      <c r="AK45" s="96">
        <v>4.4665541510230504</v>
      </c>
      <c r="AL45" s="96">
        <v>0</v>
      </c>
      <c r="AM45" s="96">
        <v>0</v>
      </c>
      <c r="AN45" s="96">
        <v>0</v>
      </c>
      <c r="AO45" s="96">
        <v>0</v>
      </c>
      <c r="AP45" s="96">
        <v>0</v>
      </c>
      <c r="AQ45" s="96">
        <v>31.5170528581273</v>
      </c>
      <c r="AR45" s="96">
        <v>4.8508003906488097</v>
      </c>
      <c r="AS45" s="96">
        <v>0.169479995417953</v>
      </c>
      <c r="AT45" s="96">
        <v>0</v>
      </c>
      <c r="AU45" s="96">
        <v>0</v>
      </c>
      <c r="AV45" s="96">
        <v>0</v>
      </c>
      <c r="AW45" s="96">
        <v>0</v>
      </c>
      <c r="AX45" s="96">
        <v>281.17121088664101</v>
      </c>
      <c r="AY45" s="96">
        <v>-29.629052328092801</v>
      </c>
      <c r="AZ45" s="96">
        <v>0</v>
      </c>
      <c r="BA45" s="96">
        <v>29.395095673557002</v>
      </c>
      <c r="BB45" s="96">
        <v>2.3767267869212798</v>
      </c>
      <c r="BC45" s="96">
        <v>58.913626243108503</v>
      </c>
      <c r="BD45" s="96">
        <v>13.504578577978</v>
      </c>
    </row>
    <row r="46" spans="1:56" ht="11.25" customHeight="1" x14ac:dyDescent="0.25">
      <c r="A46" s="118" t="s">
        <v>45</v>
      </c>
      <c r="B46" s="118" t="s">
        <v>33</v>
      </c>
      <c r="C46" s="118" t="s">
        <v>46</v>
      </c>
      <c r="D46" s="118" t="s">
        <v>25</v>
      </c>
      <c r="E46" s="118" t="s">
        <v>25</v>
      </c>
      <c r="F46" s="118" t="s">
        <v>25</v>
      </c>
      <c r="G46" s="22" t="s">
        <v>80</v>
      </c>
      <c r="H46" s="22" t="s">
        <v>79</v>
      </c>
      <c r="I46" s="22">
        <f>'MERCADO TUSD'!$U$43</f>
        <v>0</v>
      </c>
      <c r="J46" s="17"/>
      <c r="L46" s="96">
        <f>('TUSD BE'!$L$46+'TUSD BF'!$L$46+'TUSD CVA'!$L$46)*(1 - CUSTOS!$M$38)</f>
        <v>23.698625280694969</v>
      </c>
      <c r="M46" s="96">
        <f>('TUSD BE'!$M$46+'TUSD BF'!$M$46+'TUSD CVA'!$M$46)*(1 - CUSTOS!$M$38)</f>
        <v>0.94118182032848308</v>
      </c>
      <c r="N46" s="96">
        <f ca="1">('TUSD BE'!$N$46+'TUSD BF'!$N$46+'TUSD CVA'!$N$46)*(1 - CUSTOS!$M$38)</f>
        <v>10.20651573342453</v>
      </c>
      <c r="O46" s="96">
        <f>('TUSD BE'!$O$46+'TUSD BF'!$O$46+'TUSD CVA'!$O$46)*(1 - CUSTOS!$M$38)</f>
        <v>0</v>
      </c>
      <c r="P46" s="96">
        <f>('TUSD BE'!$P$46+'TUSD BF'!$P$46+'TUSD CVA'!$P$46)*(1 - CUSTOS!$M$38)</f>
        <v>0</v>
      </c>
      <c r="Q46" s="96">
        <f>('TUSD BE'!$Q$46+'TUSD BF'!$Q$46+'TUSD CVA'!$Q$46)*(1 - CUSTOS!$M$38)</f>
        <v>54.7030780735601</v>
      </c>
      <c r="R46" s="96">
        <f>('TUSD BE'!$R$46+'TUSD BF'!$R$46+'TUSD CVA'!$R$46)*(1 - CUSTOS!$M$38)</f>
        <v>20.365091836547617</v>
      </c>
      <c r="S46" s="96">
        <f>('TUSD BE'!$S$46+'TUSD BF'!$S$46+'TUSD CVA'!$S$46)*(1 - CUSTOS!$M$38)</f>
        <v>0</v>
      </c>
      <c r="T46" s="96">
        <f>('TUSD BE'!$U$46+'TUSD BF'!$U$46+'TUSD CVA'!$U$46)*(1 - CUSTOS!$M$38)</f>
        <v>96.284832365123521</v>
      </c>
      <c r="U46" s="96">
        <f>('TUSD BE'!$V$46+'TUSD BF'!$V$46+'TUSD CVA'!$V$46)*(1 - CUSTOS!$M$38)</f>
        <v>14.81929804065887</v>
      </c>
      <c r="V46" s="96">
        <f>('TUSD BE'!$W$46+'TUSD BF'!$W$46+'TUSD CVA'!$W$46)*(1 - CUSTOS!$M$38)</f>
        <v>0.51720096841048313</v>
      </c>
      <c r="W46" s="96">
        <f>('TUSD BE'!$X$46+'TUSD BF'!$X$46+'TUSD CVA'!$X$46)*(1 - CUSTOS!$M$38)</f>
        <v>0</v>
      </c>
      <c r="X46" s="96">
        <f>('TUSD BE'!$Y$46+'TUSD BF'!$Y$46+'TUSD CVA'!$Y$46)*(1 - CUSTOS!$M$38)</f>
        <v>0</v>
      </c>
      <c r="Y46" s="96">
        <f>('TUSD BE'!$Z$46+'TUSD BF'!$Z$46+'TUSD CVA'!$Z$46)*(1 - CUSTOS!$M$38)</f>
        <v>0</v>
      </c>
      <c r="Z46" s="96">
        <f>('TUSD BE'!$AA$46+'TUSD BF'!$AA$46+'TUSD CVA'!$AA$46)*(1 - CUSTOS!$M$38)</f>
        <v>0</v>
      </c>
      <c r="AA46" s="96">
        <f>('TUSD BE'!$AC$46+'TUSD BF'!$AC$46+'TUSD CVA'!$AC$46)*(1 - CUSTOS!$M$38)</f>
        <v>858.19284949520568</v>
      </c>
      <c r="AB46" s="96">
        <f ca="1">('TUSD BE'!$AE$46+'TUSD BF'!$AE$46+'TUSD CVA'!$AE$46)*(1 - CUSTOS!$M$38)</f>
        <v>-78.235946468891029</v>
      </c>
      <c r="AC46" s="96">
        <f ca="1">('TUSD BE'!$AF$46+'TUSD BF'!$AF$46+'TUSD CVA'!$AF$46)*(1 - CUSTOS!$M$38)</f>
        <v>0</v>
      </c>
      <c r="AD46" s="96">
        <f>('TUSD BE'!$AH$46+'TUSD BF'!$AH$46+'TUSD CVA'!$AH$46)*(1 - CUSTOS!$M$38)</f>
        <v>27.616583423461254</v>
      </c>
      <c r="AE46" s="96">
        <f>('TUSD BE'!$AI$46+'TUSD BF'!$AI$46+'TUSD CVA'!$AI$46)*(1 - CUSTOS!$M$38)</f>
        <v>2.2329260062532086</v>
      </c>
      <c r="AF46" s="96">
        <f ca="1">('TUSD BE'!$AJ$46+'TUSD BF'!$AJ$46+'TUSD CVA'!$AJ$46)*(1 - CUSTOS!$M$38)</f>
        <v>55.347800153498014</v>
      </c>
      <c r="AG46" s="96">
        <f ca="1">('TUSD BE'!$AK$46+'TUSD BF'!$AK$46+'TUSD CVA'!$AK$46)*(1 - CUSTOS!$M$38)</f>
        <v>12.687357379471168</v>
      </c>
      <c r="AH46" s="96"/>
      <c r="AI46" s="96">
        <v>23.698625280695001</v>
      </c>
      <c r="AJ46" s="96">
        <v>0.94198304964649004</v>
      </c>
      <c r="AK46" s="96">
        <v>10.2129916038029</v>
      </c>
      <c r="AL46" s="96">
        <v>0</v>
      </c>
      <c r="AM46" s="96">
        <v>0</v>
      </c>
      <c r="AN46" s="96">
        <v>54.7030780735601</v>
      </c>
      <c r="AO46" s="96">
        <v>20.365091836547599</v>
      </c>
      <c r="AP46" s="96">
        <v>0</v>
      </c>
      <c r="AQ46" s="96">
        <v>96.284832365123506</v>
      </c>
      <c r="AR46" s="96">
        <v>14.8192980406589</v>
      </c>
      <c r="AS46" s="96">
        <v>0.51767812231071697</v>
      </c>
      <c r="AT46" s="96">
        <v>0</v>
      </c>
      <c r="AU46" s="96">
        <v>0</v>
      </c>
      <c r="AV46" s="96">
        <v>0</v>
      </c>
      <c r="AW46" s="96">
        <v>0</v>
      </c>
      <c r="AX46" s="96">
        <v>858.977895574836</v>
      </c>
      <c r="AY46" s="96">
        <v>-78.251072859417803</v>
      </c>
      <c r="AZ46" s="96">
        <v>0</v>
      </c>
      <c r="BA46" s="96">
        <v>27.631389933143598</v>
      </c>
      <c r="BB46" s="96">
        <v>2.2341231797060002</v>
      </c>
      <c r="BC46" s="96">
        <v>55.378808668521998</v>
      </c>
      <c r="BD46" s="96">
        <v>12.6943038632993</v>
      </c>
    </row>
    <row r="47" spans="1:56" ht="11.25" customHeight="1" x14ac:dyDescent="0.25">
      <c r="A47" s="118"/>
      <c r="B47" s="118"/>
      <c r="C47" s="118"/>
      <c r="D47" s="118"/>
      <c r="E47" s="118"/>
      <c r="F47" s="118"/>
      <c r="G47" s="22" t="s">
        <v>90</v>
      </c>
      <c r="H47" s="22" t="s">
        <v>79</v>
      </c>
      <c r="I47" s="22">
        <f>'MERCADO TUSD'!$U$44</f>
        <v>0</v>
      </c>
      <c r="J47" s="17"/>
      <c r="L47" s="96">
        <f>('TUSD BE'!$L$47+'TUSD BF'!$L$47+'TUSD CVA'!$L$47)*(1 - CUSTOS!$M$38)</f>
        <v>23.698625280694969</v>
      </c>
      <c r="M47" s="96">
        <f>('TUSD BE'!$M$47+'TUSD BF'!$M$47+'TUSD CVA'!$M$47)*(1 - CUSTOS!$M$38)</f>
        <v>0.94118182032848308</v>
      </c>
      <c r="N47" s="96">
        <f ca="1">('TUSD BE'!$N$47+'TUSD BF'!$N$47+'TUSD CVA'!$N$47)*(1 - CUSTOS!$M$38)</f>
        <v>6.7397402269087205</v>
      </c>
      <c r="O47" s="96">
        <f>('TUSD BE'!$O$47+'TUSD BF'!$O$47+'TUSD CVA'!$O$47)*(1 - CUSTOS!$M$38)</f>
        <v>0</v>
      </c>
      <c r="P47" s="96">
        <f>('TUSD BE'!$P$47+'TUSD BF'!$P$47+'TUSD CVA'!$P$47)*(1 - CUSTOS!$M$38)</f>
        <v>0</v>
      </c>
      <c r="Q47" s="96">
        <f>('TUSD BE'!$Q$47+'TUSD BF'!$Q$47+'TUSD CVA'!$Q$47)*(1 - CUSTOS!$M$38)</f>
        <v>54.7030780735601</v>
      </c>
      <c r="R47" s="96">
        <f>('TUSD BE'!$R$47+'TUSD BF'!$R$47+'TUSD CVA'!$R$47)*(1 - CUSTOS!$M$38)</f>
        <v>20.365091836547617</v>
      </c>
      <c r="S47" s="96">
        <f>('TUSD BE'!$S$47+'TUSD BF'!$S$47+'TUSD CVA'!$S$47)*(1 - CUSTOS!$M$38)</f>
        <v>0</v>
      </c>
      <c r="T47" s="96">
        <f>('TUSD BE'!$U$47+'TUSD BF'!$U$47+'TUSD CVA'!$U$47)*(1 - CUSTOS!$M$38)</f>
        <v>57.770828654010685</v>
      </c>
      <c r="U47" s="96">
        <f>('TUSD BE'!$V$47+'TUSD BF'!$V$47+'TUSD CVA'!$V$47)*(1 - CUSTOS!$M$38)</f>
        <v>8.891595279951602</v>
      </c>
      <c r="V47" s="96">
        <f>('TUSD BE'!$W$47+'TUSD BF'!$W$47+'TUSD CVA'!$W$47)*(1 - CUSTOS!$M$38)</f>
        <v>0.31034276423172463</v>
      </c>
      <c r="W47" s="96">
        <f>('TUSD BE'!$X$47+'TUSD BF'!$X$47+'TUSD CVA'!$X$47)*(1 - CUSTOS!$M$38)</f>
        <v>0</v>
      </c>
      <c r="X47" s="96">
        <f>('TUSD BE'!$Y$47+'TUSD BF'!$Y$47+'TUSD CVA'!$Y$47)*(1 - CUSTOS!$M$38)</f>
        <v>0</v>
      </c>
      <c r="Y47" s="96">
        <f>('TUSD BE'!$Z$47+'TUSD BF'!$Z$47+'TUSD CVA'!$Z$47)*(1 - CUSTOS!$M$38)</f>
        <v>0</v>
      </c>
      <c r="Z47" s="96">
        <f>('TUSD BE'!$AA$47+'TUSD BF'!$AA$47+'TUSD CVA'!$AA$47)*(1 - CUSTOS!$M$38)</f>
        <v>0</v>
      </c>
      <c r="AA47" s="96">
        <f>('TUSD BE'!$AC$47+'TUSD BF'!$AC$47+'TUSD CVA'!$AC$47)*(1 - CUSTOS!$M$38)</f>
        <v>514.91575883100973</v>
      </c>
      <c r="AB47" s="96">
        <f ca="1">('TUSD BE'!$AE$47+'TUSD BF'!$AE$47+'TUSD CVA'!$AE$47)*(1 - CUSTOS!$M$38)</f>
        <v>-52.008785244956151</v>
      </c>
      <c r="AC47" s="96">
        <f ca="1">('TUSD BE'!$AF$47+'TUSD BF'!$AF$47+'TUSD CVA'!$AF$47)*(1 - CUSTOS!$M$38)</f>
        <v>0</v>
      </c>
      <c r="AD47" s="96">
        <f>('TUSD BE'!$AH$47+'TUSD BF'!$AH$47+'TUSD CVA'!$AH$47)*(1 - CUSTOS!$M$38)</f>
        <v>27.616583423461254</v>
      </c>
      <c r="AE47" s="96">
        <f>('TUSD BE'!$AI$47+'TUSD BF'!$AI$47+'TUSD CVA'!$AI$47)*(1 - CUSTOS!$M$38)</f>
        <v>2.2329260062532086</v>
      </c>
      <c r="AF47" s="96">
        <f ca="1">('TUSD BE'!$AJ$47+'TUSD BF'!$AJ$47+'TUSD CVA'!$AJ$47)*(1 - CUSTOS!$M$38)</f>
        <v>55.347800153498014</v>
      </c>
      <c r="AG47" s="96">
        <f ca="1">('TUSD BE'!$AK$47+'TUSD BF'!$AK$47+'TUSD CVA'!$AK$47)*(1 - CUSTOS!$M$38)</f>
        <v>12.687357379471168</v>
      </c>
      <c r="AH47" s="96"/>
      <c r="AI47" s="96">
        <v>23.698625280695001</v>
      </c>
      <c r="AJ47" s="96">
        <v>0.94198304964649004</v>
      </c>
      <c r="AK47" s="96">
        <v>6.7442602742291999</v>
      </c>
      <c r="AL47" s="96">
        <v>0</v>
      </c>
      <c r="AM47" s="96">
        <v>0</v>
      </c>
      <c r="AN47" s="96">
        <v>54.7030780735601</v>
      </c>
      <c r="AO47" s="96">
        <v>20.365091836547599</v>
      </c>
      <c r="AP47" s="96">
        <v>0</v>
      </c>
      <c r="AQ47" s="96">
        <v>57.7708286540107</v>
      </c>
      <c r="AR47" s="96">
        <v>8.8915952799516003</v>
      </c>
      <c r="AS47" s="96">
        <v>0.310629077037398</v>
      </c>
      <c r="AT47" s="96">
        <v>0</v>
      </c>
      <c r="AU47" s="96">
        <v>0</v>
      </c>
      <c r="AV47" s="96">
        <v>0</v>
      </c>
      <c r="AW47" s="96">
        <v>0</v>
      </c>
      <c r="AX47" s="96">
        <v>515.38678652373403</v>
      </c>
      <c r="AY47" s="96">
        <v>-52.016699065607497</v>
      </c>
      <c r="AZ47" s="96">
        <v>0</v>
      </c>
      <c r="BA47" s="96">
        <v>27.631389933143598</v>
      </c>
      <c r="BB47" s="96">
        <v>2.2341231797060002</v>
      </c>
      <c r="BC47" s="96">
        <v>55.378808668521998</v>
      </c>
      <c r="BD47" s="96">
        <v>12.6943038632993</v>
      </c>
    </row>
    <row r="48" spans="1:56" ht="11.25" customHeight="1" x14ac:dyDescent="0.25">
      <c r="A48" s="118"/>
      <c r="B48" s="118"/>
      <c r="C48" s="118"/>
      <c r="D48" s="118"/>
      <c r="E48" s="118"/>
      <c r="F48" s="118"/>
      <c r="G48" s="22" t="s">
        <v>81</v>
      </c>
      <c r="H48" s="22" t="s">
        <v>79</v>
      </c>
      <c r="I48" s="22">
        <f>'MERCADO TUSD'!$U$45</f>
        <v>0</v>
      </c>
      <c r="J48" s="17"/>
      <c r="L48" s="96">
        <f>('TUSD BE'!$L$48+'TUSD BF'!$L$48+'TUSD CVA'!$L$48)*(1 - CUSTOS!$M$38)</f>
        <v>23.698625280694969</v>
      </c>
      <c r="M48" s="96">
        <f>('TUSD BE'!$M$48+'TUSD BF'!$M$48+'TUSD CVA'!$M$48)*(1 - CUSTOS!$M$38)</f>
        <v>0.94118182032848308</v>
      </c>
      <c r="N48" s="96">
        <f ca="1">('TUSD BE'!$N$48+'TUSD BF'!$N$48+'TUSD CVA'!$N$48)*(1 - CUSTOS!$M$38)</f>
        <v>3.2729647203929111</v>
      </c>
      <c r="O48" s="96">
        <f>('TUSD BE'!$O$48+'TUSD BF'!$O$48+'TUSD CVA'!$O$48)*(1 - CUSTOS!$M$38)</f>
        <v>0</v>
      </c>
      <c r="P48" s="96">
        <f>('TUSD BE'!$P$48+'TUSD BF'!$P$48+'TUSD CVA'!$P$48)*(1 - CUSTOS!$M$38)</f>
        <v>0</v>
      </c>
      <c r="Q48" s="96">
        <f>('TUSD BE'!$Q$48+'TUSD BF'!$Q$48+'TUSD CVA'!$Q$48)*(1 - CUSTOS!$M$38)</f>
        <v>54.7030780735601</v>
      </c>
      <c r="R48" s="96">
        <f>('TUSD BE'!$R$48+'TUSD BF'!$R$48+'TUSD CVA'!$R$48)*(1 - CUSTOS!$M$38)</f>
        <v>20.365091836547617</v>
      </c>
      <c r="S48" s="96">
        <f>('TUSD BE'!$S$48+'TUSD BF'!$S$48+'TUSD CVA'!$S$48)*(1 - CUSTOS!$M$38)</f>
        <v>0</v>
      </c>
      <c r="T48" s="96">
        <f>('TUSD BE'!$U$48+'TUSD BF'!$U$48+'TUSD CVA'!$U$48)*(1 - CUSTOS!$M$38)</f>
        <v>19.256942884670231</v>
      </c>
      <c r="U48" s="96">
        <f>('TUSD BE'!$V$48+'TUSD BF'!$V$48+'TUSD CVA'!$V$48)*(1 - CUSTOS!$M$38)</f>
        <v>2.9638925192443324</v>
      </c>
      <c r="V48" s="96">
        <f>('TUSD BE'!$W$48+'TUSD BF'!$W$48+'TUSD CVA'!$W$48)*(1 - CUSTOS!$M$38)</f>
        <v>0.10348456005296608</v>
      </c>
      <c r="W48" s="96">
        <f>('TUSD BE'!$X$48+'TUSD BF'!$X$48+'TUSD CVA'!$X$48)*(1 - CUSTOS!$M$38)</f>
        <v>0</v>
      </c>
      <c r="X48" s="96">
        <f>('TUSD BE'!$Y$48+'TUSD BF'!$Y$48+'TUSD CVA'!$Y$48)*(1 - CUSTOS!$M$38)</f>
        <v>0</v>
      </c>
      <c r="Y48" s="96">
        <f>('TUSD BE'!$Z$48+'TUSD BF'!$Z$48+'TUSD CVA'!$Z$48)*(1 - CUSTOS!$M$38)</f>
        <v>0</v>
      </c>
      <c r="Z48" s="96">
        <f>('TUSD BE'!$AA$48+'TUSD BF'!$AA$48+'TUSD CVA'!$AA$48)*(1 - CUSTOS!$M$38)</f>
        <v>0</v>
      </c>
      <c r="AA48" s="96">
        <f>('TUSD BE'!$AC$48+'TUSD BF'!$AC$48+'TUSD CVA'!$AC$48)*(1 - CUSTOS!$M$38)</f>
        <v>171.63854533209795</v>
      </c>
      <c r="AB48" s="96">
        <f ca="1">('TUSD BE'!$AE$48+'TUSD BF'!$AE$48+'TUSD CVA'!$AE$48)*(1 - CUSTOS!$M$38)</f>
        <v>-25.781624633698463</v>
      </c>
      <c r="AC48" s="96">
        <f ca="1">('TUSD BE'!$AF$48+'TUSD BF'!$AF$48+'TUSD CVA'!$AF$48)*(1 - CUSTOS!$M$38)</f>
        <v>0</v>
      </c>
      <c r="AD48" s="96">
        <f>('TUSD BE'!$AH$48+'TUSD BF'!$AH$48+'TUSD CVA'!$AH$48)*(1 - CUSTOS!$M$38)</f>
        <v>27.616583423461254</v>
      </c>
      <c r="AE48" s="96">
        <f>('TUSD BE'!$AI$48+'TUSD BF'!$AI$48+'TUSD CVA'!$AI$48)*(1 - CUSTOS!$M$38)</f>
        <v>2.2329260062532086</v>
      </c>
      <c r="AF48" s="96">
        <f ca="1">('TUSD BE'!$AJ$48+'TUSD BF'!$AJ$48+'TUSD CVA'!$AJ$48)*(1 - CUSTOS!$M$38)</f>
        <v>55.347800153498014</v>
      </c>
      <c r="AG48" s="96">
        <f ca="1">('TUSD BE'!$AK$48+'TUSD BF'!$AK$48+'TUSD CVA'!$AK$48)*(1 - CUSTOS!$M$38)</f>
        <v>12.687357379471168</v>
      </c>
      <c r="AH48" s="96"/>
      <c r="AI48" s="96">
        <v>23.698625280695001</v>
      </c>
      <c r="AJ48" s="96">
        <v>0.94198304964649004</v>
      </c>
      <c r="AK48" s="96">
        <v>3.2755289446555</v>
      </c>
      <c r="AL48" s="96">
        <v>0</v>
      </c>
      <c r="AM48" s="96">
        <v>0</v>
      </c>
      <c r="AN48" s="96">
        <v>54.7030780735601</v>
      </c>
      <c r="AO48" s="96">
        <v>20.365091836547599</v>
      </c>
      <c r="AP48" s="96">
        <v>0</v>
      </c>
      <c r="AQ48" s="96">
        <v>19.256942884670199</v>
      </c>
      <c r="AR48" s="96">
        <v>2.9638925192443302</v>
      </c>
      <c r="AS48" s="96">
        <v>0.103580031764079</v>
      </c>
      <c r="AT48" s="96">
        <v>0</v>
      </c>
      <c r="AU48" s="96">
        <v>0</v>
      </c>
      <c r="AV48" s="96">
        <v>0</v>
      </c>
      <c r="AW48" s="96">
        <v>0</v>
      </c>
      <c r="AX48" s="96">
        <v>171.79555452555101</v>
      </c>
      <c r="AY48" s="96">
        <v>-25.782325876683899</v>
      </c>
      <c r="AZ48" s="96">
        <v>0</v>
      </c>
      <c r="BA48" s="96">
        <v>27.631389933143598</v>
      </c>
      <c r="BB48" s="96">
        <v>2.2341231797060002</v>
      </c>
      <c r="BC48" s="96">
        <v>55.378808668521998</v>
      </c>
      <c r="BD48" s="96">
        <v>12.6943038632993</v>
      </c>
    </row>
    <row r="49" spans="1:56" ht="11.25" customHeight="1" x14ac:dyDescent="0.25">
      <c r="A49" s="118"/>
      <c r="B49" s="97" t="s">
        <v>23</v>
      </c>
      <c r="C49" s="97" t="s">
        <v>46</v>
      </c>
      <c r="D49" s="97" t="s">
        <v>25</v>
      </c>
      <c r="E49" s="97" t="s">
        <v>25</v>
      </c>
      <c r="F49" s="97" t="s">
        <v>25</v>
      </c>
      <c r="G49" s="22" t="s">
        <v>84</v>
      </c>
      <c r="H49" s="22" t="s">
        <v>79</v>
      </c>
      <c r="I49" s="22">
        <f>'MERCADO TUSD'!$U$46</f>
        <v>4146.1049999999996</v>
      </c>
      <c r="J49" s="17"/>
      <c r="L49" s="96">
        <f>('TUSD BE'!$L$49+'TUSD BF'!$L$49+'TUSD CVA'!$L$49)*(1 - CUSTOS!$M$38)</f>
        <v>23.698625280694969</v>
      </c>
      <c r="M49" s="96">
        <f>('TUSD BE'!$M$49+'TUSD BF'!$M$49+'TUSD CVA'!$M$49)*(1 - CUSTOS!$M$38)</f>
        <v>0.94118182032848308</v>
      </c>
      <c r="N49" s="96">
        <f ca="1">('TUSD BE'!$N$49+'TUSD BF'!$N$49+'TUSD CVA'!$N$49)*(1 - CUSTOS!$M$38)</f>
        <v>4.2063265638536675</v>
      </c>
      <c r="O49" s="96">
        <f>('TUSD BE'!$O$49+'TUSD BF'!$O$49+'TUSD CVA'!$O$49)*(1 - CUSTOS!$M$38)</f>
        <v>0</v>
      </c>
      <c r="P49" s="96">
        <f>('TUSD BE'!$P$49+'TUSD BF'!$P$49+'TUSD CVA'!$P$49)*(1 - CUSTOS!$M$38)</f>
        <v>0</v>
      </c>
      <c r="Q49" s="96">
        <f>('TUSD BE'!$Q$49+'TUSD BF'!$Q$49+'TUSD CVA'!$Q$49)*(1 - CUSTOS!$M$38)</f>
        <v>54.7030780735601</v>
      </c>
      <c r="R49" s="96">
        <f>('TUSD BE'!$R$49+'TUSD BF'!$R$49+'TUSD CVA'!$R$49)*(1 - CUSTOS!$M$38)</f>
        <v>20.365091836547617</v>
      </c>
      <c r="S49" s="96">
        <f>('TUSD BE'!$S$49+'TUSD BF'!$S$49+'TUSD CVA'!$S$49)*(1 - CUSTOS!$M$38)</f>
        <v>0</v>
      </c>
      <c r="T49" s="96">
        <f>('TUSD BE'!$U$49+'TUSD BF'!$U$49+'TUSD CVA'!$U$49)*(1 - CUSTOS!$M$38)</f>
        <v>29.626029686639619</v>
      </c>
      <c r="U49" s="96">
        <f>('TUSD BE'!$V$49+'TUSD BF'!$V$49+'TUSD CVA'!$V$49)*(1 - CUSTOS!$M$38)</f>
        <v>4.5597523672098852</v>
      </c>
      <c r="V49" s="96">
        <f>('TUSD BE'!$W$49+'TUSD BF'!$W$49+'TUSD CVA'!$W$49)*(1 - CUSTOS!$M$38)</f>
        <v>0.15916435549411179</v>
      </c>
      <c r="W49" s="96">
        <f>('TUSD BE'!$X$49+'TUSD BF'!$X$49+'TUSD CVA'!$X$49)*(1 - CUSTOS!$M$38)</f>
        <v>0</v>
      </c>
      <c r="X49" s="96">
        <f>('TUSD BE'!$Y$49+'TUSD BF'!$Y$49+'TUSD CVA'!$Y$49)*(1 - CUSTOS!$M$38)</f>
        <v>0</v>
      </c>
      <c r="Y49" s="96">
        <f>('TUSD BE'!$Z$49+'TUSD BF'!$Z$49+'TUSD CVA'!$Z$49)*(1 - CUSTOS!$M$38)</f>
        <v>0</v>
      </c>
      <c r="Z49" s="96">
        <f>('TUSD BE'!$AA$49+'TUSD BF'!$AA$49+'TUSD CVA'!$AA$49)*(1 - CUSTOS!$M$38)</f>
        <v>0</v>
      </c>
      <c r="AA49" s="96">
        <f>('TUSD BE'!$AC$49+'TUSD BF'!$AC$49+'TUSD CVA'!$AC$49)*(1 - CUSTOS!$M$38)</f>
        <v>264.05938555033856</v>
      </c>
      <c r="AB49" s="96">
        <f ca="1">('TUSD BE'!$AE$49+'TUSD BF'!$AE$49+'TUSD CVA'!$AE$49)*(1 - CUSTOS!$M$38)</f>
        <v>-32.842779313544149</v>
      </c>
      <c r="AC49" s="96">
        <f ca="1">('TUSD BE'!$AF$49+'TUSD BF'!$AF$49+'TUSD CVA'!$AF$49)*(1 - CUSTOS!$M$38)</f>
        <v>0</v>
      </c>
      <c r="AD49" s="96">
        <f>('TUSD BE'!$AH$49+'TUSD BF'!$AH$49+'TUSD CVA'!$AH$49)*(1 - CUSTOS!$M$38)</f>
        <v>27.616583423461254</v>
      </c>
      <c r="AE49" s="96">
        <f>('TUSD BE'!$AI$49+'TUSD BF'!$AI$49+'TUSD CVA'!$AI$49)*(1 - CUSTOS!$M$38)</f>
        <v>2.2329260062532086</v>
      </c>
      <c r="AF49" s="96">
        <f ca="1">('TUSD BE'!$AJ$49+'TUSD BF'!$AJ$49+'TUSD CVA'!$AJ$49)*(1 - CUSTOS!$M$38)</f>
        <v>55.347800153498014</v>
      </c>
      <c r="AG49" s="96">
        <f ca="1">('TUSD BE'!$AK$49+'TUSD BF'!$AK$49+'TUSD CVA'!$AK$49)*(1 - CUSTOS!$M$38)</f>
        <v>12.687357379471168</v>
      </c>
      <c r="AH49" s="96"/>
      <c r="AI49" s="96">
        <v>23.698625280695001</v>
      </c>
      <c r="AJ49" s="96">
        <v>0.94198304964649004</v>
      </c>
      <c r="AK49" s="96">
        <v>4.2094173554152796</v>
      </c>
      <c r="AL49" s="96">
        <v>0</v>
      </c>
      <c r="AM49" s="96">
        <v>0</v>
      </c>
      <c r="AN49" s="96">
        <v>54.7030780735601</v>
      </c>
      <c r="AO49" s="96">
        <v>20.365091836547599</v>
      </c>
      <c r="AP49" s="96">
        <v>0</v>
      </c>
      <c r="AQ49" s="96">
        <v>29.626029686639601</v>
      </c>
      <c r="AR49" s="96">
        <v>4.5597523672098896</v>
      </c>
      <c r="AS49" s="96">
        <v>0.159311195692876</v>
      </c>
      <c r="AT49" s="96">
        <v>0</v>
      </c>
      <c r="AU49" s="96">
        <v>0</v>
      </c>
      <c r="AV49" s="96">
        <v>0</v>
      </c>
      <c r="AW49" s="96">
        <v>0</v>
      </c>
      <c r="AX49" s="96">
        <v>264.30093823344203</v>
      </c>
      <c r="AY49" s="96">
        <v>-32.845422408784302</v>
      </c>
      <c r="AZ49" s="96">
        <v>0</v>
      </c>
      <c r="BA49" s="96">
        <v>27.631389933143598</v>
      </c>
      <c r="BB49" s="96">
        <v>2.2341231797060002</v>
      </c>
      <c r="BC49" s="96">
        <v>55.378808668521998</v>
      </c>
      <c r="BD49" s="96">
        <v>12.6943038632993</v>
      </c>
    </row>
    <row r="50" spans="1:56" ht="11.25" customHeight="1" x14ac:dyDescent="0.25">
      <c r="A50" s="118"/>
      <c r="B50" s="118" t="s">
        <v>33</v>
      </c>
      <c r="C50" s="118" t="s">
        <v>46</v>
      </c>
      <c r="D50" s="118" t="s">
        <v>93</v>
      </c>
      <c r="E50" s="118" t="s">
        <v>25</v>
      </c>
      <c r="F50" s="118" t="s">
        <v>25</v>
      </c>
      <c r="G50" s="22" t="s">
        <v>80</v>
      </c>
      <c r="H50" s="22" t="s">
        <v>79</v>
      </c>
      <c r="I50" s="22">
        <f>'MERCADO TUSD'!$U$47</f>
        <v>0</v>
      </c>
      <c r="J50" s="17"/>
      <c r="L50" s="96">
        <f>('TUSD BE'!$L$50+'TUSD BF'!$L$50+'TUSD CVA'!$L$50)*(1 - CUSTOS!$M$39)</f>
        <v>23.698625280694969</v>
      </c>
      <c r="M50" s="96">
        <f>('TUSD BE'!$M$50+'TUSD BF'!$M$50+'TUSD CVA'!$M$50)*(1 - CUSTOS!$M$39)</f>
        <v>0.94118182032848308</v>
      </c>
      <c r="N50" s="96">
        <f ca="1">('TUSD BE'!$N$50+'TUSD BF'!$N$50+'TUSD CVA'!$N$50)*(1 - CUSTOS!$M$39)</f>
        <v>10.20651573342453</v>
      </c>
      <c r="O50" s="96">
        <f>('TUSD BE'!$O$50+'TUSD BF'!$O$50+'TUSD CVA'!$O$50)*(1 - CUSTOS!$M$39)</f>
        <v>0</v>
      </c>
      <c r="P50" s="96">
        <f>('TUSD BE'!$P$50+'TUSD BF'!$P$50+'TUSD CVA'!$P$50)*(1 - CUSTOS!$M$39)</f>
        <v>0</v>
      </c>
      <c r="Q50" s="96">
        <f>('TUSD BE'!$Q$50+'TUSD BF'!$Q$50+'TUSD CVA'!$Q$50)*(1 - CUSTOS!$M$39)</f>
        <v>54.7030780735601</v>
      </c>
      <c r="R50" s="96">
        <f>('TUSD BE'!$R$50+'TUSD BF'!$R$50+'TUSD CVA'!$R$50)*(1 - CUSTOS!$M$39)</f>
        <v>20.365091836547617</v>
      </c>
      <c r="S50" s="96">
        <f>('TUSD BE'!$S$50+'TUSD BF'!$S$50+'TUSD CVA'!$S$50)*(1 - CUSTOS!$M$39)</f>
        <v>0</v>
      </c>
      <c r="T50" s="96">
        <f>('TUSD BE'!$U$50+'TUSD BF'!$U$50+'TUSD CVA'!$U$50)*(1 - CUSTOS!$M$39)</f>
        <v>96.284832365123521</v>
      </c>
      <c r="U50" s="96">
        <f>('TUSD BE'!$V$50+'TUSD BF'!$V$50+'TUSD CVA'!$V$50)*(1 - CUSTOS!$M$39)</f>
        <v>14.81929804065887</v>
      </c>
      <c r="V50" s="96">
        <f>('TUSD BE'!$W$50+'TUSD BF'!$W$50+'TUSD CVA'!$W$50)*(1 - CUSTOS!$M$39)</f>
        <v>0.51720096841048313</v>
      </c>
      <c r="W50" s="96">
        <f>('TUSD BE'!$X$50+'TUSD BF'!$X$50+'TUSD CVA'!$X$50)*(1 - CUSTOS!$M$39)</f>
        <v>0</v>
      </c>
      <c r="X50" s="96">
        <f>('TUSD BE'!$Y$50+'TUSD BF'!$Y$50+'TUSD CVA'!$Y$50)*(1 - CUSTOS!$M$39)</f>
        <v>0</v>
      </c>
      <c r="Y50" s="96">
        <f>('TUSD BE'!$Z$50+'TUSD BF'!$Z$50+'TUSD CVA'!$Z$50)*(1 - CUSTOS!$M$39)</f>
        <v>0</v>
      </c>
      <c r="Z50" s="96">
        <f>('TUSD BE'!$AA$50+'TUSD BF'!$AA$50+'TUSD CVA'!$AA$50)*(1 - CUSTOS!$M$39)</f>
        <v>0</v>
      </c>
      <c r="AA50" s="96">
        <f>('TUSD BE'!$AC$50+'TUSD BF'!$AC$50+'TUSD CVA'!$AC$50)*(1 - CUSTOS!$M$39)</f>
        <v>858.19284949520568</v>
      </c>
      <c r="AB50" s="96">
        <f ca="1">('TUSD BE'!$AE$50+'TUSD BF'!$AE$50+'TUSD CVA'!$AE$50)*(1 - CUSTOS!$M$39)</f>
        <v>-78.235946468891029</v>
      </c>
      <c r="AC50" s="96">
        <f ca="1">('TUSD BE'!$AF$50+'TUSD BF'!$AF$50+'TUSD CVA'!$AF$50)*(1 - CUSTOS!$M$39)</f>
        <v>0</v>
      </c>
      <c r="AD50" s="96">
        <f>('TUSD BE'!$AH$50+'TUSD BF'!$AH$50+'TUSD CVA'!$AH$50)*(1 - CUSTOS!$M$39)</f>
        <v>27.616583423461254</v>
      </c>
      <c r="AE50" s="96">
        <f>('TUSD BE'!$AI$50+'TUSD BF'!$AI$50+'TUSD CVA'!$AI$50)*(1 - CUSTOS!$M$39)</f>
        <v>2.2329260062532086</v>
      </c>
      <c r="AF50" s="96">
        <f ca="1">('TUSD BE'!$AJ$50+'TUSD BF'!$AJ$50+'TUSD CVA'!$AJ$50)*(1 - CUSTOS!$M$39)</f>
        <v>55.347800153498014</v>
      </c>
      <c r="AG50" s="96">
        <f ca="1">('TUSD BE'!$AK$50+'TUSD BF'!$AK$50+'TUSD CVA'!$AK$50)*(1 - CUSTOS!$M$39)</f>
        <v>12.687357379471168</v>
      </c>
      <c r="AH50" s="96"/>
      <c r="AI50" s="96">
        <v>23.698625280695001</v>
      </c>
      <c r="AJ50" s="96">
        <v>0.94198304964649004</v>
      </c>
      <c r="AK50" s="96">
        <v>10.2129916038029</v>
      </c>
      <c r="AL50" s="96">
        <v>0</v>
      </c>
      <c r="AM50" s="96">
        <v>0</v>
      </c>
      <c r="AN50" s="96">
        <v>54.7030780735601</v>
      </c>
      <c r="AO50" s="96">
        <v>20.365091836547599</v>
      </c>
      <c r="AP50" s="96">
        <v>0</v>
      </c>
      <c r="AQ50" s="96">
        <v>96.284832365123506</v>
      </c>
      <c r="AR50" s="96">
        <v>14.8192980406589</v>
      </c>
      <c r="AS50" s="96">
        <v>0.51767812231071697</v>
      </c>
      <c r="AT50" s="96">
        <v>0</v>
      </c>
      <c r="AU50" s="96">
        <v>0</v>
      </c>
      <c r="AV50" s="96">
        <v>0</v>
      </c>
      <c r="AW50" s="96">
        <v>0</v>
      </c>
      <c r="AX50" s="96">
        <v>858.977895574836</v>
      </c>
      <c r="AY50" s="96">
        <v>-78.251072859417803</v>
      </c>
      <c r="AZ50" s="96">
        <v>0</v>
      </c>
      <c r="BA50" s="96">
        <v>27.631389933143598</v>
      </c>
      <c r="BB50" s="96">
        <v>2.2341231797060002</v>
      </c>
      <c r="BC50" s="96">
        <v>55.378808668521998</v>
      </c>
      <c r="BD50" s="96">
        <v>12.6943038632993</v>
      </c>
    </row>
    <row r="51" spans="1:56" ht="11.25" customHeight="1" x14ac:dyDescent="0.25">
      <c r="A51" s="118"/>
      <c r="B51" s="118"/>
      <c r="C51" s="118"/>
      <c r="D51" s="118"/>
      <c r="E51" s="118"/>
      <c r="F51" s="118"/>
      <c r="G51" s="22" t="s">
        <v>90</v>
      </c>
      <c r="H51" s="22" t="s">
        <v>79</v>
      </c>
      <c r="I51" s="22">
        <f>'MERCADO TUSD'!$U$48</f>
        <v>0</v>
      </c>
      <c r="J51" s="17"/>
      <c r="L51" s="96">
        <f>('TUSD BE'!$L$51+'TUSD BF'!$L$51+'TUSD CVA'!$L$51)*(1 - CUSTOS!$M$39)</f>
        <v>23.698625280694969</v>
      </c>
      <c r="M51" s="96">
        <f>('TUSD BE'!$M$51+'TUSD BF'!$M$51+'TUSD CVA'!$M$51)*(1 - CUSTOS!$M$39)</f>
        <v>0.94118182032848308</v>
      </c>
      <c r="N51" s="96">
        <f ca="1">('TUSD BE'!$N$51+'TUSD BF'!$N$51+'TUSD CVA'!$N$51)*(1 - CUSTOS!$M$39)</f>
        <v>6.7397402269087205</v>
      </c>
      <c r="O51" s="96">
        <f>('TUSD BE'!$O$51+'TUSD BF'!$O$51+'TUSD CVA'!$O$51)*(1 - CUSTOS!$M$39)</f>
        <v>0</v>
      </c>
      <c r="P51" s="96">
        <f>('TUSD BE'!$P$51+'TUSD BF'!$P$51+'TUSD CVA'!$P$51)*(1 - CUSTOS!$M$39)</f>
        <v>0</v>
      </c>
      <c r="Q51" s="96">
        <f>('TUSD BE'!$Q$51+'TUSD BF'!$Q$51+'TUSD CVA'!$Q$51)*(1 - CUSTOS!$M$39)</f>
        <v>54.7030780735601</v>
      </c>
      <c r="R51" s="96">
        <f>('TUSD BE'!$R$51+'TUSD BF'!$R$51+'TUSD CVA'!$R$51)*(1 - CUSTOS!$M$39)</f>
        <v>20.365091836547617</v>
      </c>
      <c r="S51" s="96">
        <f>('TUSD BE'!$S$51+'TUSD BF'!$S$51+'TUSD CVA'!$S$51)*(1 - CUSTOS!$M$39)</f>
        <v>0</v>
      </c>
      <c r="T51" s="96">
        <f>('TUSD BE'!$U$51+'TUSD BF'!$U$51+'TUSD CVA'!$U$51)*(1 - CUSTOS!$M$39)</f>
        <v>57.770828654010685</v>
      </c>
      <c r="U51" s="96">
        <f>('TUSD BE'!$V$51+'TUSD BF'!$V$51+'TUSD CVA'!$V$51)*(1 - CUSTOS!$M$39)</f>
        <v>8.891595279951602</v>
      </c>
      <c r="V51" s="96">
        <f>('TUSD BE'!$W$51+'TUSD BF'!$W$51+'TUSD CVA'!$W$51)*(1 - CUSTOS!$M$39)</f>
        <v>0.31034276423172463</v>
      </c>
      <c r="W51" s="96">
        <f>('TUSD BE'!$X$51+'TUSD BF'!$X$51+'TUSD CVA'!$X$51)*(1 - CUSTOS!$M$39)</f>
        <v>0</v>
      </c>
      <c r="X51" s="96">
        <f>('TUSD BE'!$Y$51+'TUSD BF'!$Y$51+'TUSD CVA'!$Y$51)*(1 - CUSTOS!$M$39)</f>
        <v>0</v>
      </c>
      <c r="Y51" s="96">
        <f>('TUSD BE'!$Z$51+'TUSD BF'!$Z$51+'TUSD CVA'!$Z$51)*(1 - CUSTOS!$M$39)</f>
        <v>0</v>
      </c>
      <c r="Z51" s="96">
        <f>('TUSD BE'!$AA$51+'TUSD BF'!$AA$51+'TUSD CVA'!$AA$51)*(1 - CUSTOS!$M$39)</f>
        <v>0</v>
      </c>
      <c r="AA51" s="96">
        <f>('TUSD BE'!$AC$51+'TUSD BF'!$AC$51+'TUSD CVA'!$AC$51)*(1 - CUSTOS!$M$39)</f>
        <v>514.91575883100973</v>
      </c>
      <c r="AB51" s="96">
        <f ca="1">('TUSD BE'!$AE$51+'TUSD BF'!$AE$51+'TUSD CVA'!$AE$51)*(1 - CUSTOS!$M$39)</f>
        <v>-52.008785244956151</v>
      </c>
      <c r="AC51" s="96">
        <f ca="1">('TUSD BE'!$AF$51+'TUSD BF'!$AF$51+'TUSD CVA'!$AF$51)*(1 - CUSTOS!$M$39)</f>
        <v>0</v>
      </c>
      <c r="AD51" s="96">
        <f>('TUSD BE'!$AH$51+'TUSD BF'!$AH$51+'TUSD CVA'!$AH$51)*(1 - CUSTOS!$M$39)</f>
        <v>27.616583423461254</v>
      </c>
      <c r="AE51" s="96">
        <f>('TUSD BE'!$AI$51+'TUSD BF'!$AI$51+'TUSD CVA'!$AI$51)*(1 - CUSTOS!$M$39)</f>
        <v>2.2329260062532086</v>
      </c>
      <c r="AF51" s="96">
        <f ca="1">('TUSD BE'!$AJ$51+'TUSD BF'!$AJ$51+'TUSD CVA'!$AJ$51)*(1 - CUSTOS!$M$39)</f>
        <v>55.347800153498014</v>
      </c>
      <c r="AG51" s="96">
        <f ca="1">('TUSD BE'!$AK$51+'TUSD BF'!$AK$51+'TUSD CVA'!$AK$51)*(1 - CUSTOS!$M$39)</f>
        <v>12.687357379471168</v>
      </c>
      <c r="AH51" s="96"/>
      <c r="AI51" s="96">
        <v>23.698625280695001</v>
      </c>
      <c r="AJ51" s="96">
        <v>0.94198304964649004</v>
      </c>
      <c r="AK51" s="96">
        <v>6.7442602742291999</v>
      </c>
      <c r="AL51" s="96">
        <v>0</v>
      </c>
      <c r="AM51" s="96">
        <v>0</v>
      </c>
      <c r="AN51" s="96">
        <v>54.7030780735601</v>
      </c>
      <c r="AO51" s="96">
        <v>20.365091836547599</v>
      </c>
      <c r="AP51" s="96">
        <v>0</v>
      </c>
      <c r="AQ51" s="96">
        <v>57.7708286540107</v>
      </c>
      <c r="AR51" s="96">
        <v>8.8915952799516003</v>
      </c>
      <c r="AS51" s="96">
        <v>0.310629077037398</v>
      </c>
      <c r="AT51" s="96">
        <v>0</v>
      </c>
      <c r="AU51" s="96">
        <v>0</v>
      </c>
      <c r="AV51" s="96">
        <v>0</v>
      </c>
      <c r="AW51" s="96">
        <v>0</v>
      </c>
      <c r="AX51" s="96">
        <v>515.38678652373403</v>
      </c>
      <c r="AY51" s="96">
        <v>-52.016699065607497</v>
      </c>
      <c r="AZ51" s="96">
        <v>0</v>
      </c>
      <c r="BA51" s="96">
        <v>27.631389933143598</v>
      </c>
      <c r="BB51" s="96">
        <v>2.2341231797060002</v>
      </c>
      <c r="BC51" s="96">
        <v>55.378808668521998</v>
      </c>
      <c r="BD51" s="96">
        <v>12.6943038632993</v>
      </c>
    </row>
    <row r="52" spans="1:56" ht="11.25" customHeight="1" x14ac:dyDescent="0.25">
      <c r="A52" s="118"/>
      <c r="B52" s="118"/>
      <c r="C52" s="118"/>
      <c r="D52" s="118"/>
      <c r="E52" s="118"/>
      <c r="F52" s="118"/>
      <c r="G52" s="22" t="s">
        <v>81</v>
      </c>
      <c r="H52" s="22" t="s">
        <v>79</v>
      </c>
      <c r="I52" s="22">
        <f>'MERCADO TUSD'!$U$49</f>
        <v>0</v>
      </c>
      <c r="J52" s="17"/>
      <c r="L52" s="96">
        <f>('TUSD BE'!$L$52+'TUSD BF'!$L$52+'TUSD CVA'!$L$52)*(1 - CUSTOS!$M$39)</f>
        <v>23.698625280694969</v>
      </c>
      <c r="M52" s="96">
        <f>('TUSD BE'!$M$52+'TUSD BF'!$M$52+'TUSD CVA'!$M$52)*(1 - CUSTOS!$M$39)</f>
        <v>0.94118182032848308</v>
      </c>
      <c r="N52" s="96">
        <f ca="1">('TUSD BE'!$N$52+'TUSD BF'!$N$52+'TUSD CVA'!$N$52)*(1 - CUSTOS!$M$39)</f>
        <v>3.2729647203929111</v>
      </c>
      <c r="O52" s="96">
        <f>('TUSD BE'!$O$52+'TUSD BF'!$O$52+'TUSD CVA'!$O$52)*(1 - CUSTOS!$M$39)</f>
        <v>0</v>
      </c>
      <c r="P52" s="96">
        <f>('TUSD BE'!$P$52+'TUSD BF'!$P$52+'TUSD CVA'!$P$52)*(1 - CUSTOS!$M$39)</f>
        <v>0</v>
      </c>
      <c r="Q52" s="96">
        <f>('TUSD BE'!$Q$52+'TUSD BF'!$Q$52+'TUSD CVA'!$Q$52)*(1 - CUSTOS!$M$39)</f>
        <v>54.7030780735601</v>
      </c>
      <c r="R52" s="96">
        <f>('TUSD BE'!$R$52+'TUSD BF'!$R$52+'TUSD CVA'!$R$52)*(1 - CUSTOS!$M$39)</f>
        <v>20.365091836547617</v>
      </c>
      <c r="S52" s="96">
        <f>('TUSD BE'!$S$52+'TUSD BF'!$S$52+'TUSD CVA'!$S$52)*(1 - CUSTOS!$M$39)</f>
        <v>0</v>
      </c>
      <c r="T52" s="96">
        <f>('TUSD BE'!$U$52+'TUSD BF'!$U$52+'TUSD CVA'!$U$52)*(1 - CUSTOS!$M$39)</f>
        <v>19.256942884670231</v>
      </c>
      <c r="U52" s="96">
        <f>('TUSD BE'!$V$52+'TUSD BF'!$V$52+'TUSD CVA'!$V$52)*(1 - CUSTOS!$M$39)</f>
        <v>2.9638925192443324</v>
      </c>
      <c r="V52" s="96">
        <f>('TUSD BE'!$W$52+'TUSD BF'!$W$52+'TUSD CVA'!$W$52)*(1 - CUSTOS!$M$39)</f>
        <v>0.10348456005296608</v>
      </c>
      <c r="W52" s="96">
        <f>('TUSD BE'!$X$52+'TUSD BF'!$X$52+'TUSD CVA'!$X$52)*(1 - CUSTOS!$M$39)</f>
        <v>0</v>
      </c>
      <c r="X52" s="96">
        <f>('TUSD BE'!$Y$52+'TUSD BF'!$Y$52+'TUSD CVA'!$Y$52)*(1 - CUSTOS!$M$39)</f>
        <v>0</v>
      </c>
      <c r="Y52" s="96">
        <f>('TUSD BE'!$Z$52+'TUSD BF'!$Z$52+'TUSD CVA'!$Z$52)*(1 - CUSTOS!$M$39)</f>
        <v>0</v>
      </c>
      <c r="Z52" s="96">
        <f>('TUSD BE'!$AA$52+'TUSD BF'!$AA$52+'TUSD CVA'!$AA$52)*(1 - CUSTOS!$M$39)</f>
        <v>0</v>
      </c>
      <c r="AA52" s="96">
        <f>('TUSD BE'!$AC$52+'TUSD BF'!$AC$52+'TUSD CVA'!$AC$52)*(1 - CUSTOS!$M$39)</f>
        <v>171.63854533209795</v>
      </c>
      <c r="AB52" s="96">
        <f ca="1">('TUSD BE'!$AE$52+'TUSD BF'!$AE$52+'TUSD CVA'!$AE$52)*(1 - CUSTOS!$M$39)</f>
        <v>-25.781624633698463</v>
      </c>
      <c r="AC52" s="96">
        <f ca="1">('TUSD BE'!$AF$52+'TUSD BF'!$AF$52+'TUSD CVA'!$AF$52)*(1 - CUSTOS!$M$39)</f>
        <v>0</v>
      </c>
      <c r="AD52" s="96">
        <f>('TUSD BE'!$AH$52+'TUSD BF'!$AH$52+'TUSD CVA'!$AH$52)*(1 - CUSTOS!$M$39)</f>
        <v>27.616583423461254</v>
      </c>
      <c r="AE52" s="96">
        <f>('TUSD BE'!$AI$52+'TUSD BF'!$AI$52+'TUSD CVA'!$AI$52)*(1 - CUSTOS!$M$39)</f>
        <v>2.2329260062532086</v>
      </c>
      <c r="AF52" s="96">
        <f ca="1">('TUSD BE'!$AJ$52+'TUSD BF'!$AJ$52+'TUSD CVA'!$AJ$52)*(1 - CUSTOS!$M$39)</f>
        <v>55.347800153498014</v>
      </c>
      <c r="AG52" s="96">
        <f ca="1">('TUSD BE'!$AK$52+'TUSD BF'!$AK$52+'TUSD CVA'!$AK$52)*(1 - CUSTOS!$M$39)</f>
        <v>12.687357379471168</v>
      </c>
      <c r="AH52" s="96"/>
      <c r="AI52" s="96">
        <v>23.698625280695001</v>
      </c>
      <c r="AJ52" s="96">
        <v>0.94198304964649004</v>
      </c>
      <c r="AK52" s="96">
        <v>3.2755289446555</v>
      </c>
      <c r="AL52" s="96">
        <v>0</v>
      </c>
      <c r="AM52" s="96">
        <v>0</v>
      </c>
      <c r="AN52" s="96">
        <v>54.7030780735601</v>
      </c>
      <c r="AO52" s="96">
        <v>20.365091836547599</v>
      </c>
      <c r="AP52" s="96">
        <v>0</v>
      </c>
      <c r="AQ52" s="96">
        <v>19.256942884670199</v>
      </c>
      <c r="AR52" s="96">
        <v>2.9638925192443302</v>
      </c>
      <c r="AS52" s="96">
        <v>0.103580031764079</v>
      </c>
      <c r="AT52" s="96">
        <v>0</v>
      </c>
      <c r="AU52" s="96">
        <v>0</v>
      </c>
      <c r="AV52" s="96">
        <v>0</v>
      </c>
      <c r="AW52" s="96">
        <v>0</v>
      </c>
      <c r="AX52" s="96">
        <v>171.79555452555101</v>
      </c>
      <c r="AY52" s="96">
        <v>-25.782325876683899</v>
      </c>
      <c r="AZ52" s="96">
        <v>0</v>
      </c>
      <c r="BA52" s="96">
        <v>27.631389933143598</v>
      </c>
      <c r="BB52" s="96">
        <v>2.2341231797060002</v>
      </c>
      <c r="BC52" s="96">
        <v>55.378808668521998</v>
      </c>
      <c r="BD52" s="96">
        <v>12.6943038632993</v>
      </c>
    </row>
    <row r="53" spans="1:56" ht="11.25" customHeight="1" x14ac:dyDescent="0.25">
      <c r="A53" s="118"/>
      <c r="B53" s="97" t="s">
        <v>23</v>
      </c>
      <c r="C53" s="97" t="s">
        <v>46</v>
      </c>
      <c r="D53" s="97" t="s">
        <v>93</v>
      </c>
      <c r="E53" s="97" t="s">
        <v>25</v>
      </c>
      <c r="F53" s="97" t="s">
        <v>25</v>
      </c>
      <c r="G53" s="22" t="s">
        <v>84</v>
      </c>
      <c r="H53" s="22" t="s">
        <v>79</v>
      </c>
      <c r="I53" s="22">
        <f>'MERCADO TUSD'!$U$50</f>
        <v>0</v>
      </c>
      <c r="J53" s="17"/>
      <c r="L53" s="96">
        <f>('TUSD BE'!$L$53+'TUSD BF'!$L$53+'TUSD CVA'!$L$53)*(1 - CUSTOS!$M$39)</f>
        <v>23.698625280694969</v>
      </c>
      <c r="M53" s="96">
        <f>('TUSD BE'!$M$53+'TUSD BF'!$M$53+'TUSD CVA'!$M$53)*(1 - CUSTOS!$M$39)</f>
        <v>0.94118182032848308</v>
      </c>
      <c r="N53" s="96">
        <f ca="1">('TUSD BE'!$N$53+'TUSD BF'!$N$53+'TUSD CVA'!$N$53)*(1 - CUSTOS!$M$39)</f>
        <v>4.2063265638536675</v>
      </c>
      <c r="O53" s="96">
        <f>('TUSD BE'!$O$53+'TUSD BF'!$O$53+'TUSD CVA'!$O$53)*(1 - CUSTOS!$M$39)</f>
        <v>0</v>
      </c>
      <c r="P53" s="96">
        <f>('TUSD BE'!$P$53+'TUSD BF'!$P$53+'TUSD CVA'!$P$53)*(1 - CUSTOS!$M$39)</f>
        <v>0</v>
      </c>
      <c r="Q53" s="96">
        <f>('TUSD BE'!$Q$53+'TUSD BF'!$Q$53+'TUSD CVA'!$Q$53)*(1 - CUSTOS!$M$39)</f>
        <v>54.7030780735601</v>
      </c>
      <c r="R53" s="96">
        <f>('TUSD BE'!$R$53+'TUSD BF'!$R$53+'TUSD CVA'!$R$53)*(1 - CUSTOS!$M$39)</f>
        <v>20.365091836547617</v>
      </c>
      <c r="S53" s="96">
        <f>('TUSD BE'!$S$53+'TUSD BF'!$S$53+'TUSD CVA'!$S$53)*(1 - CUSTOS!$M$39)</f>
        <v>0</v>
      </c>
      <c r="T53" s="96">
        <f>('TUSD BE'!$U$53+'TUSD BF'!$U$53+'TUSD CVA'!$U$53)*(1 - CUSTOS!$M$39)</f>
        <v>29.626029686639619</v>
      </c>
      <c r="U53" s="96">
        <f>('TUSD BE'!$V$53+'TUSD BF'!$V$53+'TUSD CVA'!$V$53)*(1 - CUSTOS!$M$39)</f>
        <v>4.5597523672098852</v>
      </c>
      <c r="V53" s="96">
        <f>('TUSD BE'!$W$53+'TUSD BF'!$W$53+'TUSD CVA'!$W$53)*(1 - CUSTOS!$M$39)</f>
        <v>0.15916435549411179</v>
      </c>
      <c r="W53" s="96">
        <f>('TUSD BE'!$X$53+'TUSD BF'!$X$53+'TUSD CVA'!$X$53)*(1 - CUSTOS!$M$39)</f>
        <v>0</v>
      </c>
      <c r="X53" s="96">
        <f>('TUSD BE'!$Y$53+'TUSD BF'!$Y$53+'TUSD CVA'!$Y$53)*(1 - CUSTOS!$M$39)</f>
        <v>0</v>
      </c>
      <c r="Y53" s="96">
        <f>('TUSD BE'!$Z$53+'TUSD BF'!$Z$53+'TUSD CVA'!$Z$53)*(1 - CUSTOS!$M$39)</f>
        <v>0</v>
      </c>
      <c r="Z53" s="96">
        <f>('TUSD BE'!$AA$53+'TUSD BF'!$AA$53+'TUSD CVA'!$AA$53)*(1 - CUSTOS!$M$39)</f>
        <v>0</v>
      </c>
      <c r="AA53" s="96">
        <f>('TUSD BE'!$AC$53+'TUSD BF'!$AC$53+'TUSD CVA'!$AC$53)*(1 - CUSTOS!$M$39)</f>
        <v>264.05938555033856</v>
      </c>
      <c r="AB53" s="96">
        <f ca="1">('TUSD BE'!$AE$53+'TUSD BF'!$AE$53+'TUSD CVA'!$AE$53)*(1 - CUSTOS!$M$39)</f>
        <v>-32.842779313544149</v>
      </c>
      <c r="AC53" s="96">
        <f ca="1">('TUSD BE'!$AF$53+'TUSD BF'!$AF$53+'TUSD CVA'!$AF$53)*(1 - CUSTOS!$M$39)</f>
        <v>0</v>
      </c>
      <c r="AD53" s="96">
        <f>('TUSD BE'!$AH$53+'TUSD BF'!$AH$53+'TUSD CVA'!$AH$53)*(1 - CUSTOS!$M$39)</f>
        <v>27.616583423461254</v>
      </c>
      <c r="AE53" s="96">
        <f>('TUSD BE'!$AI$53+'TUSD BF'!$AI$53+'TUSD CVA'!$AI$53)*(1 - CUSTOS!$M$39)</f>
        <v>2.2329260062532086</v>
      </c>
      <c r="AF53" s="96">
        <f ca="1">('TUSD BE'!$AJ$53+'TUSD BF'!$AJ$53+'TUSD CVA'!$AJ$53)*(1 - CUSTOS!$M$39)</f>
        <v>55.347800153498014</v>
      </c>
      <c r="AG53" s="96">
        <f ca="1">('TUSD BE'!$AK$53+'TUSD BF'!$AK$53+'TUSD CVA'!$AK$53)*(1 - CUSTOS!$M$39)</f>
        <v>12.687357379471168</v>
      </c>
      <c r="AH53" s="96"/>
      <c r="AI53" s="96">
        <v>23.698625280695001</v>
      </c>
      <c r="AJ53" s="96">
        <v>0.94198304964649004</v>
      </c>
      <c r="AK53" s="96">
        <v>4.2094173554152796</v>
      </c>
      <c r="AL53" s="96">
        <v>0</v>
      </c>
      <c r="AM53" s="96">
        <v>0</v>
      </c>
      <c r="AN53" s="96">
        <v>54.7030780735601</v>
      </c>
      <c r="AO53" s="96">
        <v>20.365091836547599</v>
      </c>
      <c r="AP53" s="96">
        <v>0</v>
      </c>
      <c r="AQ53" s="96">
        <v>29.626029686639601</v>
      </c>
      <c r="AR53" s="96">
        <v>4.5597523672098896</v>
      </c>
      <c r="AS53" s="96">
        <v>0.159311195692876</v>
      </c>
      <c r="AT53" s="96">
        <v>0</v>
      </c>
      <c r="AU53" s="96">
        <v>0</v>
      </c>
      <c r="AV53" s="96">
        <v>0</v>
      </c>
      <c r="AW53" s="96">
        <v>0</v>
      </c>
      <c r="AX53" s="96">
        <v>264.30093823344203</v>
      </c>
      <c r="AY53" s="96">
        <v>-32.845422408784302</v>
      </c>
      <c r="AZ53" s="96">
        <v>0</v>
      </c>
      <c r="BA53" s="96">
        <v>27.631389933143598</v>
      </c>
      <c r="BB53" s="96">
        <v>2.2341231797060002</v>
      </c>
      <c r="BC53" s="96">
        <v>55.378808668521998</v>
      </c>
      <c r="BD53" s="96">
        <v>12.6943038632993</v>
      </c>
    </row>
    <row r="54" spans="1:56" ht="11.25" customHeight="1" x14ac:dyDescent="0.25">
      <c r="A54" s="118"/>
      <c r="B54" s="118" t="s">
        <v>33</v>
      </c>
      <c r="C54" s="118" t="s">
        <v>46</v>
      </c>
      <c r="D54" s="118" t="s">
        <v>94</v>
      </c>
      <c r="E54" s="118" t="s">
        <v>25</v>
      </c>
      <c r="F54" s="118" t="s">
        <v>25</v>
      </c>
      <c r="G54" s="22" t="s">
        <v>80</v>
      </c>
      <c r="H54" s="22" t="s">
        <v>79</v>
      </c>
      <c r="I54" s="22">
        <f>'MERCADO TUSD'!$U$51</f>
        <v>0</v>
      </c>
      <c r="J54" s="17"/>
      <c r="L54" s="96">
        <f>('TUSD BE'!$L$54+'TUSD BF'!$L$54+'TUSD CVA'!$L$54)*(1 - CUSTOS!$M$40)</f>
        <v>23.19439921089295</v>
      </c>
      <c r="M54" s="96">
        <f>('TUSD BE'!$M$54+'TUSD BF'!$M$54+'TUSD CVA'!$M$54)*(1 - CUSTOS!$M$40)</f>
        <v>0.92115667521511113</v>
      </c>
      <c r="N54" s="96">
        <f ca="1">('TUSD BE'!$N$54+'TUSD BF'!$N$54+'TUSD CVA'!$N$54)*(1 - CUSTOS!$M$40)</f>
        <v>9.9893558242027325</v>
      </c>
      <c r="O54" s="96">
        <f>('TUSD BE'!$O$54+'TUSD BF'!$O$54+'TUSD CVA'!$O$54)*(1 - CUSTOS!$M$40)</f>
        <v>0</v>
      </c>
      <c r="P54" s="96">
        <f>('TUSD BE'!$P$54+'TUSD BF'!$P$54+'TUSD CVA'!$P$54)*(1 - CUSTOS!$M$40)</f>
        <v>0</v>
      </c>
      <c r="Q54" s="96">
        <f>('TUSD BE'!$Q$54+'TUSD BF'!$Q$54+'TUSD CVA'!$Q$54)*(1 - CUSTOS!$M$40)</f>
        <v>53.539182795399249</v>
      </c>
      <c r="R54" s="96">
        <f>('TUSD BE'!$R$54+'TUSD BF'!$R$54+'TUSD CVA'!$R$54)*(1 - CUSTOS!$M$40)</f>
        <v>19.931792010238095</v>
      </c>
      <c r="S54" s="96">
        <f>('TUSD BE'!$S$54+'TUSD BF'!$S$54+'TUSD CVA'!$S$54)*(1 - CUSTOS!$M$40)</f>
        <v>0</v>
      </c>
      <c r="T54" s="96">
        <f>('TUSD BE'!$U$54+'TUSD BF'!$U$54+'TUSD CVA'!$U$54)*(1 - CUSTOS!$M$40)</f>
        <v>94.236218910546441</v>
      </c>
      <c r="U54" s="96">
        <f>('TUSD BE'!$V$54+'TUSD BF'!$V$54+'TUSD CVA'!$V$54)*(1 - CUSTOS!$M$40)</f>
        <v>14.503993827027831</v>
      </c>
      <c r="V54" s="96">
        <f>('TUSD BE'!$W$54+'TUSD BF'!$W$54+'TUSD CVA'!$W$54)*(1 - CUSTOS!$M$40)</f>
        <v>0.50619669248685595</v>
      </c>
      <c r="W54" s="96">
        <f>('TUSD BE'!$X$54+'TUSD BF'!$X$54+'TUSD CVA'!$X$54)*(1 - CUSTOS!$M$40)</f>
        <v>0</v>
      </c>
      <c r="X54" s="96">
        <f>('TUSD BE'!$Y$54+'TUSD BF'!$Y$54+'TUSD CVA'!$Y$54)*(1 - CUSTOS!$M$40)</f>
        <v>0</v>
      </c>
      <c r="Y54" s="96">
        <f>('TUSD BE'!$Z$54+'TUSD BF'!$Z$54+'TUSD CVA'!$Z$54)*(1 - CUSTOS!$M$40)</f>
        <v>0</v>
      </c>
      <c r="Z54" s="96">
        <f>('TUSD BE'!$AA$54+'TUSD BF'!$AA$54+'TUSD CVA'!$AA$54)*(1 - CUSTOS!$M$40)</f>
        <v>0</v>
      </c>
      <c r="AA54" s="96">
        <f>('TUSD BE'!$AC$54+'TUSD BF'!$AC$54+'TUSD CVA'!$AC$54)*(1 - CUSTOS!$M$40)</f>
        <v>839.93342716552058</v>
      </c>
      <c r="AB54" s="96">
        <f ca="1">('TUSD BE'!$AE$54+'TUSD BF'!$AE$54+'TUSD CVA'!$AE$54)*(1 - CUSTOS!$M$40)</f>
        <v>-76.571351863169951</v>
      </c>
      <c r="AC54" s="96">
        <f ca="1">('TUSD BE'!$AF$54+'TUSD BF'!$AF$54+'TUSD CVA'!$AF$54)*(1 - CUSTOS!$M$40)</f>
        <v>0</v>
      </c>
      <c r="AD54" s="96">
        <f>('TUSD BE'!$AH$54+'TUSD BF'!$AH$54+'TUSD CVA'!$AH$54)*(1 - CUSTOS!$M$40)</f>
        <v>27.028996542111017</v>
      </c>
      <c r="AE54" s="96">
        <f>('TUSD BE'!$AI$54+'TUSD BF'!$AI$54+'TUSD CVA'!$AI$54)*(1 - CUSTOS!$M$40)</f>
        <v>2.1854169422903746</v>
      </c>
      <c r="AF54" s="96">
        <f ca="1">('TUSD BE'!$AJ$54+'TUSD BF'!$AJ$54+'TUSD CVA'!$AJ$54)*(1 - CUSTOS!$M$40)</f>
        <v>54.170187384274655</v>
      </c>
      <c r="AG54" s="96">
        <f ca="1">('TUSD BE'!$AK$54+'TUSD BF'!$AK$54+'TUSD CVA'!$AK$54)*(1 - CUSTOS!$M$40)</f>
        <v>12.417413605439867</v>
      </c>
      <c r="AH54" s="96"/>
      <c r="AI54" s="96">
        <v>23.1943992108929</v>
      </c>
      <c r="AJ54" s="96">
        <v>0.92194085710081997</v>
      </c>
      <c r="AK54" s="96">
        <v>9.9956939101049596</v>
      </c>
      <c r="AL54" s="96">
        <v>0</v>
      </c>
      <c r="AM54" s="96">
        <v>0</v>
      </c>
      <c r="AN54" s="96">
        <v>53.539182795399199</v>
      </c>
      <c r="AO54" s="96">
        <v>19.931792010238102</v>
      </c>
      <c r="AP54" s="96">
        <v>0</v>
      </c>
      <c r="AQ54" s="96">
        <v>94.236218910546398</v>
      </c>
      <c r="AR54" s="96">
        <v>14.5039938270278</v>
      </c>
      <c r="AS54" s="96">
        <v>0.50666369417644697</v>
      </c>
      <c r="AT54" s="96">
        <v>0</v>
      </c>
      <c r="AU54" s="96">
        <v>0</v>
      </c>
      <c r="AV54" s="96">
        <v>0</v>
      </c>
      <c r="AW54" s="96">
        <v>0</v>
      </c>
      <c r="AX54" s="96">
        <v>840.70177013707303</v>
      </c>
      <c r="AY54" s="96">
        <v>-76.586156415600399</v>
      </c>
      <c r="AZ54" s="96">
        <v>0</v>
      </c>
      <c r="BA54" s="96">
        <v>27.043488019672399</v>
      </c>
      <c r="BB54" s="96">
        <v>2.1865886439675801</v>
      </c>
      <c r="BC54" s="96">
        <v>54.200536143659797</v>
      </c>
      <c r="BD54" s="96">
        <v>12.424212291739799</v>
      </c>
    </row>
    <row r="55" spans="1:56" ht="11.25" customHeight="1" x14ac:dyDescent="0.25">
      <c r="A55" s="118"/>
      <c r="B55" s="118"/>
      <c r="C55" s="118"/>
      <c r="D55" s="118"/>
      <c r="E55" s="118"/>
      <c r="F55" s="118"/>
      <c r="G55" s="22" t="s">
        <v>90</v>
      </c>
      <c r="H55" s="22" t="s">
        <v>79</v>
      </c>
      <c r="I55" s="22">
        <f>'MERCADO TUSD'!$U$52</f>
        <v>0</v>
      </c>
      <c r="J55" s="17"/>
      <c r="L55" s="96">
        <f>('TUSD BE'!$L$55+'TUSD BF'!$L$55+'TUSD CVA'!$L$55)*(1 - CUSTOS!$M$40)</f>
        <v>23.19439921089295</v>
      </c>
      <c r="M55" s="96">
        <f>('TUSD BE'!$M$55+'TUSD BF'!$M$55+'TUSD CVA'!$M$55)*(1 - CUSTOS!$M$40)</f>
        <v>0.92115667521511113</v>
      </c>
      <c r="N55" s="96">
        <f ca="1">('TUSD BE'!$N$55+'TUSD BF'!$N$55+'TUSD CVA'!$N$55)*(1 - CUSTOS!$M$40)</f>
        <v>6.5963414986766207</v>
      </c>
      <c r="O55" s="96">
        <f>('TUSD BE'!$O$55+'TUSD BF'!$O$55+'TUSD CVA'!$O$55)*(1 - CUSTOS!$M$40)</f>
        <v>0</v>
      </c>
      <c r="P55" s="96">
        <f>('TUSD BE'!$P$55+'TUSD BF'!$P$55+'TUSD CVA'!$P$55)*(1 - CUSTOS!$M$40)</f>
        <v>0</v>
      </c>
      <c r="Q55" s="96">
        <f>('TUSD BE'!$Q$55+'TUSD BF'!$Q$55+'TUSD CVA'!$Q$55)*(1 - CUSTOS!$M$40)</f>
        <v>53.539182795399249</v>
      </c>
      <c r="R55" s="96">
        <f>('TUSD BE'!$R$55+'TUSD BF'!$R$55+'TUSD CVA'!$R$55)*(1 - CUSTOS!$M$40)</f>
        <v>19.931792010238095</v>
      </c>
      <c r="S55" s="96">
        <f>('TUSD BE'!$S$55+'TUSD BF'!$S$55+'TUSD CVA'!$S$55)*(1 - CUSTOS!$M$40)</f>
        <v>0</v>
      </c>
      <c r="T55" s="96">
        <f>('TUSD BE'!$U$55+'TUSD BF'!$U$55+'TUSD CVA'!$U$55)*(1 - CUSTOS!$M$40)</f>
        <v>56.541662086904083</v>
      </c>
      <c r="U55" s="96">
        <f>('TUSD BE'!$V$55+'TUSD BF'!$V$55+'TUSD CVA'!$V$55)*(1 - CUSTOS!$M$40)</f>
        <v>8.7024124016547599</v>
      </c>
      <c r="V55" s="96">
        <f>('TUSD BE'!$W$55+'TUSD BF'!$W$55+'TUSD CVA'!$W$55)*(1 - CUSTOS!$M$40)</f>
        <v>0.30373972669487947</v>
      </c>
      <c r="W55" s="96">
        <f>('TUSD BE'!$X$55+'TUSD BF'!$X$55+'TUSD CVA'!$X$55)*(1 - CUSTOS!$M$40)</f>
        <v>0</v>
      </c>
      <c r="X55" s="96">
        <f>('TUSD BE'!$Y$55+'TUSD BF'!$Y$55+'TUSD CVA'!$Y$55)*(1 - CUSTOS!$M$40)</f>
        <v>0</v>
      </c>
      <c r="Y55" s="96">
        <f>('TUSD BE'!$Z$55+'TUSD BF'!$Z$55+'TUSD CVA'!$Z$55)*(1 - CUSTOS!$M$40)</f>
        <v>0</v>
      </c>
      <c r="Z55" s="96">
        <f>('TUSD BE'!$AA$55+'TUSD BF'!$AA$55+'TUSD CVA'!$AA$55)*(1 - CUSTOS!$M$40)</f>
        <v>0</v>
      </c>
      <c r="AA55" s="96">
        <f>('TUSD BE'!$AC$55+'TUSD BF'!$AC$55+'TUSD CVA'!$AC$55)*(1 - CUSTOS!$M$40)</f>
        <v>503.96010438779678</v>
      </c>
      <c r="AB55" s="96">
        <f ca="1">('TUSD BE'!$AE$55+'TUSD BF'!$AE$55+'TUSD CVA'!$AE$55)*(1 - CUSTOS!$M$40)</f>
        <v>-50.902215346127299</v>
      </c>
      <c r="AC55" s="96">
        <f ca="1">('TUSD BE'!$AF$55+'TUSD BF'!$AF$55+'TUSD CVA'!$AF$55)*(1 - CUSTOS!$M$40)</f>
        <v>0</v>
      </c>
      <c r="AD55" s="96">
        <f>('TUSD BE'!$AH$55+'TUSD BF'!$AH$55+'TUSD CVA'!$AH$55)*(1 - CUSTOS!$M$40)</f>
        <v>27.028996542111017</v>
      </c>
      <c r="AE55" s="96">
        <f>('TUSD BE'!$AI$55+'TUSD BF'!$AI$55+'TUSD CVA'!$AI$55)*(1 - CUSTOS!$M$40)</f>
        <v>2.1854169422903746</v>
      </c>
      <c r="AF55" s="96">
        <f ca="1">('TUSD BE'!$AJ$55+'TUSD BF'!$AJ$55+'TUSD CVA'!$AJ$55)*(1 - CUSTOS!$M$40)</f>
        <v>54.170187384274655</v>
      </c>
      <c r="AG55" s="96">
        <f ca="1">('TUSD BE'!$AK$55+'TUSD BF'!$AK$55+'TUSD CVA'!$AK$55)*(1 - CUSTOS!$M$40)</f>
        <v>12.417413605439867</v>
      </c>
      <c r="AH55" s="96"/>
      <c r="AI55" s="96">
        <v>23.1943992108929</v>
      </c>
      <c r="AJ55" s="96">
        <v>0.92194085710081997</v>
      </c>
      <c r="AK55" s="96">
        <v>6.6007653747775104</v>
      </c>
      <c r="AL55" s="96">
        <v>0</v>
      </c>
      <c r="AM55" s="96">
        <v>0</v>
      </c>
      <c r="AN55" s="96">
        <v>53.539182795399199</v>
      </c>
      <c r="AO55" s="96">
        <v>19.931792010238102</v>
      </c>
      <c r="AP55" s="96">
        <v>0</v>
      </c>
      <c r="AQ55" s="96">
        <v>56.541662086904097</v>
      </c>
      <c r="AR55" s="96">
        <v>8.7024124016547599</v>
      </c>
      <c r="AS55" s="96">
        <v>0.30401994773872998</v>
      </c>
      <c r="AT55" s="96">
        <v>0</v>
      </c>
      <c r="AU55" s="96">
        <v>0</v>
      </c>
      <c r="AV55" s="96">
        <v>0</v>
      </c>
      <c r="AW55" s="96">
        <v>0</v>
      </c>
      <c r="AX55" s="96">
        <v>504.421110214718</v>
      </c>
      <c r="AY55" s="96">
        <v>-50.909960787615901</v>
      </c>
      <c r="AZ55" s="96">
        <v>0</v>
      </c>
      <c r="BA55" s="96">
        <v>27.043488019672399</v>
      </c>
      <c r="BB55" s="96">
        <v>2.1865886439675801</v>
      </c>
      <c r="BC55" s="96">
        <v>54.200536143659797</v>
      </c>
      <c r="BD55" s="96">
        <v>12.424212291739799</v>
      </c>
    </row>
    <row r="56" spans="1:56" ht="11.25" customHeight="1" x14ac:dyDescent="0.25">
      <c r="A56" s="118"/>
      <c r="B56" s="118"/>
      <c r="C56" s="118"/>
      <c r="D56" s="118"/>
      <c r="E56" s="118"/>
      <c r="F56" s="118"/>
      <c r="G56" s="22" t="s">
        <v>81</v>
      </c>
      <c r="H56" s="22" t="s">
        <v>79</v>
      </c>
      <c r="I56" s="22">
        <f>'MERCADO TUSD'!$U$53</f>
        <v>0</v>
      </c>
      <c r="J56" s="17"/>
      <c r="L56" s="96">
        <f>('TUSD BE'!$L$56+'TUSD BF'!$L$56+'TUSD CVA'!$L$56)*(1 - CUSTOS!$M$40)</f>
        <v>23.19439921089295</v>
      </c>
      <c r="M56" s="96">
        <f>('TUSD BE'!$M$56+'TUSD BF'!$M$56+'TUSD CVA'!$M$56)*(1 - CUSTOS!$M$40)</f>
        <v>0.92115667521511113</v>
      </c>
      <c r="N56" s="96">
        <f ca="1">('TUSD BE'!$N$56+'TUSD BF'!$N$56+'TUSD CVA'!$N$56)*(1 - CUSTOS!$M$40)</f>
        <v>3.2033271731505089</v>
      </c>
      <c r="O56" s="96">
        <f>('TUSD BE'!$O$56+'TUSD BF'!$O$56+'TUSD CVA'!$O$56)*(1 - CUSTOS!$M$40)</f>
        <v>0</v>
      </c>
      <c r="P56" s="96">
        <f>('TUSD BE'!$P$56+'TUSD BF'!$P$56+'TUSD CVA'!$P$56)*(1 - CUSTOS!$M$40)</f>
        <v>0</v>
      </c>
      <c r="Q56" s="96">
        <f>('TUSD BE'!$Q$56+'TUSD BF'!$Q$56+'TUSD CVA'!$Q$56)*(1 - CUSTOS!$M$40)</f>
        <v>53.539182795399249</v>
      </c>
      <c r="R56" s="96">
        <f>('TUSD BE'!$R$56+'TUSD BF'!$R$56+'TUSD CVA'!$R$56)*(1 - CUSTOS!$M$40)</f>
        <v>19.931792010238095</v>
      </c>
      <c r="S56" s="96">
        <f>('TUSD BE'!$S$56+'TUSD BF'!$S$56+'TUSD CVA'!$S$56)*(1 - CUSTOS!$M$40)</f>
        <v>0</v>
      </c>
      <c r="T56" s="96">
        <f>('TUSD BE'!$U$56+'TUSD BF'!$U$56+'TUSD CVA'!$U$56)*(1 - CUSTOS!$M$40)</f>
        <v>18.847220695634693</v>
      </c>
      <c r="U56" s="96">
        <f>('TUSD BE'!$V$56+'TUSD BF'!$V$56+'TUSD CVA'!$V$56)*(1 - CUSTOS!$M$40)</f>
        <v>2.9008309762816875</v>
      </c>
      <c r="V56" s="96">
        <f>('TUSD BE'!$W$56+'TUSD BF'!$W$56+'TUSD CVA'!$W$56)*(1 - CUSTOS!$M$40)</f>
        <v>0.10128276090290297</v>
      </c>
      <c r="W56" s="96">
        <f>('TUSD BE'!$X$56+'TUSD BF'!$X$56+'TUSD CVA'!$X$56)*(1 - CUSTOS!$M$40)</f>
        <v>0</v>
      </c>
      <c r="X56" s="96">
        <f>('TUSD BE'!$Y$56+'TUSD BF'!$Y$56+'TUSD CVA'!$Y$56)*(1 - CUSTOS!$M$40)</f>
        <v>0</v>
      </c>
      <c r="Y56" s="96">
        <f>('TUSD BE'!$Z$56+'TUSD BF'!$Z$56+'TUSD CVA'!$Z$56)*(1 - CUSTOS!$M$40)</f>
        <v>0</v>
      </c>
      <c r="Z56" s="96">
        <f>('TUSD BE'!$AA$56+'TUSD BF'!$AA$56+'TUSD CVA'!$AA$56)*(1 - CUSTOS!$M$40)</f>
        <v>0</v>
      </c>
      <c r="AA56" s="96">
        <f>('TUSD BE'!$AC$56+'TUSD BF'!$AC$56+'TUSD CVA'!$AC$56)*(1 - CUSTOS!$M$40)</f>
        <v>167.98666138886185</v>
      </c>
      <c r="AB56" s="96">
        <f ca="1">('TUSD BE'!$AE$56+'TUSD BF'!$AE$56+'TUSD CVA'!$AE$56)*(1 - CUSTOS!$M$40)</f>
        <v>-25.233079428726157</v>
      </c>
      <c r="AC56" s="96">
        <f ca="1">('TUSD BE'!$AF$56+'TUSD BF'!$AF$56+'TUSD CVA'!$AF$56)*(1 - CUSTOS!$M$40)</f>
        <v>0</v>
      </c>
      <c r="AD56" s="96">
        <f>('TUSD BE'!$AH$56+'TUSD BF'!$AH$56+'TUSD CVA'!$AH$56)*(1 - CUSTOS!$M$40)</f>
        <v>27.028996542111017</v>
      </c>
      <c r="AE56" s="96">
        <f>('TUSD BE'!$AI$56+'TUSD BF'!$AI$56+'TUSD CVA'!$AI$56)*(1 - CUSTOS!$M$40)</f>
        <v>2.1854169422903746</v>
      </c>
      <c r="AF56" s="96">
        <f ca="1">('TUSD BE'!$AJ$56+'TUSD BF'!$AJ$56+'TUSD CVA'!$AJ$56)*(1 - CUSTOS!$M$40)</f>
        <v>54.170187384274655</v>
      </c>
      <c r="AG56" s="96">
        <f ca="1">('TUSD BE'!$AK$56+'TUSD BF'!$AK$56+'TUSD CVA'!$AK$56)*(1 - CUSTOS!$M$40)</f>
        <v>12.417413605439867</v>
      </c>
      <c r="AH56" s="96"/>
      <c r="AI56" s="96">
        <v>23.1943992108929</v>
      </c>
      <c r="AJ56" s="96">
        <v>0.92194085710081997</v>
      </c>
      <c r="AK56" s="96">
        <v>3.20583683945007</v>
      </c>
      <c r="AL56" s="96">
        <v>0</v>
      </c>
      <c r="AM56" s="96">
        <v>0</v>
      </c>
      <c r="AN56" s="96">
        <v>53.539182795399199</v>
      </c>
      <c r="AO56" s="96">
        <v>19.931792010238102</v>
      </c>
      <c r="AP56" s="96">
        <v>0</v>
      </c>
      <c r="AQ56" s="96">
        <v>18.8472206956347</v>
      </c>
      <c r="AR56" s="96">
        <v>2.9008309762816902</v>
      </c>
      <c r="AS56" s="96">
        <v>0.10137620130101301</v>
      </c>
      <c r="AT56" s="96">
        <v>0</v>
      </c>
      <c r="AU56" s="96">
        <v>0</v>
      </c>
      <c r="AV56" s="96">
        <v>0</v>
      </c>
      <c r="AW56" s="96">
        <v>0</v>
      </c>
      <c r="AX56" s="96">
        <v>168.140329961178</v>
      </c>
      <c r="AY56" s="96">
        <v>-25.2337657516481</v>
      </c>
      <c r="AZ56" s="96">
        <v>0</v>
      </c>
      <c r="BA56" s="96">
        <v>27.043488019672399</v>
      </c>
      <c r="BB56" s="96">
        <v>2.1865886439675801</v>
      </c>
      <c r="BC56" s="96">
        <v>54.200536143659797</v>
      </c>
      <c r="BD56" s="96">
        <v>12.424212291739799</v>
      </c>
    </row>
    <row r="57" spans="1:56" ht="11.25" customHeight="1" x14ac:dyDescent="0.25">
      <c r="A57" s="118"/>
      <c r="B57" s="97" t="s">
        <v>23</v>
      </c>
      <c r="C57" s="97" t="s">
        <v>46</v>
      </c>
      <c r="D57" s="97" t="s">
        <v>94</v>
      </c>
      <c r="E57" s="97" t="s">
        <v>25</v>
      </c>
      <c r="F57" s="97" t="s">
        <v>25</v>
      </c>
      <c r="G57" s="22" t="s">
        <v>84</v>
      </c>
      <c r="H57" s="22" t="s">
        <v>79</v>
      </c>
      <c r="I57" s="22">
        <f>'MERCADO TUSD'!$U$54</f>
        <v>0</v>
      </c>
      <c r="J57" s="17"/>
      <c r="L57" s="96">
        <f>('TUSD BE'!$L$57+'TUSD BF'!$L$57+'TUSD CVA'!$L$57)*(1 - CUSTOS!$M$40)</f>
        <v>23.19439921089295</v>
      </c>
      <c r="M57" s="96">
        <f>('TUSD BE'!$M$57+'TUSD BF'!$M$57+'TUSD CVA'!$M$57)*(1 - CUSTOS!$M$40)</f>
        <v>0.92115667521511113</v>
      </c>
      <c r="N57" s="96">
        <f ca="1">('TUSD BE'!$N$57+'TUSD BF'!$N$57+'TUSD CVA'!$N$57)*(1 - CUSTOS!$M$40)</f>
        <v>4.1168302539844408</v>
      </c>
      <c r="O57" s="96">
        <f>('TUSD BE'!$O$57+'TUSD BF'!$O$57+'TUSD CVA'!$O$57)*(1 - CUSTOS!$M$40)</f>
        <v>0</v>
      </c>
      <c r="P57" s="96">
        <f>('TUSD BE'!$P$57+'TUSD BF'!$P$57+'TUSD CVA'!$P$57)*(1 - CUSTOS!$M$40)</f>
        <v>0</v>
      </c>
      <c r="Q57" s="96">
        <f>('TUSD BE'!$Q$57+'TUSD BF'!$Q$57+'TUSD CVA'!$Q$57)*(1 - CUSTOS!$M$40)</f>
        <v>53.539182795399249</v>
      </c>
      <c r="R57" s="96">
        <f>('TUSD BE'!$R$57+'TUSD BF'!$R$57+'TUSD CVA'!$R$57)*(1 - CUSTOS!$M$40)</f>
        <v>19.931792010238095</v>
      </c>
      <c r="S57" s="96">
        <f>('TUSD BE'!$S$57+'TUSD BF'!$S$57+'TUSD CVA'!$S$57)*(1 - CUSTOS!$M$40)</f>
        <v>0</v>
      </c>
      <c r="T57" s="96">
        <f>('TUSD BE'!$U$57+'TUSD BF'!$U$57+'TUSD CVA'!$U$57)*(1 - CUSTOS!$M$40)</f>
        <v>28.99568862947708</v>
      </c>
      <c r="U57" s="96">
        <f>('TUSD BE'!$V$57+'TUSD BF'!$V$57+'TUSD CVA'!$V$57)*(1 - CUSTOS!$M$40)</f>
        <v>4.4627363593969092</v>
      </c>
      <c r="V57" s="96">
        <f>('TUSD BE'!$W$57+'TUSD BF'!$W$57+'TUSD CVA'!$W$57)*(1 - CUSTOS!$M$40)</f>
        <v>0.15577787984530092</v>
      </c>
      <c r="W57" s="96">
        <f>('TUSD BE'!$X$57+'TUSD BF'!$X$57+'TUSD CVA'!$X$57)*(1 - CUSTOS!$M$40)</f>
        <v>0</v>
      </c>
      <c r="X57" s="96">
        <f>('TUSD BE'!$Y$57+'TUSD BF'!$Y$57+'TUSD CVA'!$Y$57)*(1 - CUSTOS!$M$40)</f>
        <v>0</v>
      </c>
      <c r="Y57" s="96">
        <f>('TUSD BE'!$Z$57+'TUSD BF'!$Z$57+'TUSD CVA'!$Z$57)*(1 - CUSTOS!$M$40)</f>
        <v>0</v>
      </c>
      <c r="Z57" s="96">
        <f>('TUSD BE'!$AA$57+'TUSD BF'!$AA$57+'TUSD CVA'!$AA$57)*(1 - CUSTOS!$M$40)</f>
        <v>0</v>
      </c>
      <c r="AA57" s="96">
        <f>('TUSD BE'!$AC$57+'TUSD BF'!$AC$57+'TUSD CVA'!$AC$57)*(1 - CUSTOS!$M$40)</f>
        <v>258.4411007513952</v>
      </c>
      <c r="AB57" s="96">
        <f ca="1">('TUSD BE'!$AE$57+'TUSD BF'!$AE$57+'TUSD CVA'!$AE$57)*(1 - CUSTOS!$M$40)</f>
        <v>-32.143996774958111</v>
      </c>
      <c r="AC57" s="96">
        <f ca="1">('TUSD BE'!$AF$57+'TUSD BF'!$AF$57+'TUSD CVA'!$AF$57)*(1 - CUSTOS!$M$40)</f>
        <v>0</v>
      </c>
      <c r="AD57" s="96">
        <f>('TUSD BE'!$AH$57+'TUSD BF'!$AH$57+'TUSD CVA'!$AH$57)*(1 - CUSTOS!$M$40)</f>
        <v>27.028996542111017</v>
      </c>
      <c r="AE57" s="96">
        <f>('TUSD BE'!$AI$57+'TUSD BF'!$AI$57+'TUSD CVA'!$AI$57)*(1 - CUSTOS!$M$40)</f>
        <v>2.1854169422903746</v>
      </c>
      <c r="AF57" s="96">
        <f ca="1">('TUSD BE'!$AJ$57+'TUSD BF'!$AJ$57+'TUSD CVA'!$AJ$57)*(1 - CUSTOS!$M$40)</f>
        <v>54.170187384274655</v>
      </c>
      <c r="AG57" s="96">
        <f ca="1">('TUSD BE'!$AK$57+'TUSD BF'!$AK$57+'TUSD CVA'!$AK$57)*(1 - CUSTOS!$M$40)</f>
        <v>12.417413605439867</v>
      </c>
      <c r="AH57" s="96"/>
      <c r="AI57" s="96">
        <v>23.1943992108929</v>
      </c>
      <c r="AJ57" s="96">
        <v>0.92194085710081997</v>
      </c>
      <c r="AK57" s="96">
        <v>4.1198552840234699</v>
      </c>
      <c r="AL57" s="96">
        <v>0</v>
      </c>
      <c r="AM57" s="96">
        <v>0</v>
      </c>
      <c r="AN57" s="96">
        <v>53.539182795399199</v>
      </c>
      <c r="AO57" s="96">
        <v>19.931792010238102</v>
      </c>
      <c r="AP57" s="96">
        <v>0</v>
      </c>
      <c r="AQ57" s="96">
        <v>28.995688629477101</v>
      </c>
      <c r="AR57" s="96">
        <v>4.46273635939691</v>
      </c>
      <c r="AS57" s="96">
        <v>0.155921595784517</v>
      </c>
      <c r="AT57" s="96">
        <v>0</v>
      </c>
      <c r="AU57" s="96">
        <v>0</v>
      </c>
      <c r="AV57" s="96">
        <v>0</v>
      </c>
      <c r="AW57" s="96">
        <v>0</v>
      </c>
      <c r="AX57" s="96">
        <v>258.67751401570899</v>
      </c>
      <c r="AY57" s="96">
        <v>-32.1465836341293</v>
      </c>
      <c r="AZ57" s="96">
        <v>0</v>
      </c>
      <c r="BA57" s="96">
        <v>27.043488019672399</v>
      </c>
      <c r="BB57" s="96">
        <v>2.1865886439675801</v>
      </c>
      <c r="BC57" s="96">
        <v>54.200536143659797</v>
      </c>
      <c r="BD57" s="96">
        <v>12.424212291739799</v>
      </c>
    </row>
    <row r="58" spans="1:56" ht="11.25" customHeight="1" x14ac:dyDescent="0.25">
      <c r="A58" s="118"/>
      <c r="B58" s="118" t="s">
        <v>92</v>
      </c>
      <c r="C58" s="118" t="s">
        <v>46</v>
      </c>
      <c r="D58" s="97" t="s">
        <v>25</v>
      </c>
      <c r="E58" s="97" t="s">
        <v>25</v>
      </c>
      <c r="F58" s="97" t="s">
        <v>25</v>
      </c>
      <c r="G58" s="22" t="s">
        <v>84</v>
      </c>
      <c r="H58" s="22" t="s">
        <v>79</v>
      </c>
      <c r="I58" s="22">
        <f>'MERCADO TUSD'!$U$55</f>
        <v>0</v>
      </c>
      <c r="J58" s="17"/>
      <c r="L58" s="96">
        <f>('TUSD BE'!$L$58+'TUSD BF'!$L$58+'TUSD CVA'!$L$58)*(1 - CUSTOS!$M$38)</f>
        <v>23.698625280694969</v>
      </c>
      <c r="M58" s="96">
        <f>('TUSD BE'!$M$58+'TUSD BF'!$M$58+'TUSD CVA'!$M$58)*(1 - CUSTOS!$M$38)</f>
        <v>0.94118182032848308</v>
      </c>
      <c r="N58" s="96">
        <f ca="1">('TUSD BE'!$N$58+'TUSD BF'!$N$58+'TUSD CVA'!$N$58)*(1 - CUSTOS!$M$38)</f>
        <v>4.2063265638536675</v>
      </c>
      <c r="O58" s="96">
        <f>('TUSD BE'!$O$58+'TUSD BF'!$O$58+'TUSD CVA'!$O$58)*(1 - CUSTOS!$M$38)</f>
        <v>0</v>
      </c>
      <c r="P58" s="96">
        <f>('TUSD BE'!$P$58+'TUSD BF'!$P$58+'TUSD CVA'!$P$58)*(1 - CUSTOS!$M$38)</f>
        <v>0</v>
      </c>
      <c r="Q58" s="96">
        <f>('TUSD BE'!$Q$58+'TUSD BF'!$Q$58+'TUSD CVA'!$Q$58)*(1 - CUSTOS!$M$38)</f>
        <v>54.7030780735601</v>
      </c>
      <c r="R58" s="96">
        <f>('TUSD BE'!$R$58+'TUSD BF'!$R$58+'TUSD CVA'!$R$58)*(1 - CUSTOS!$M$38)</f>
        <v>20.365091836547617</v>
      </c>
      <c r="S58" s="96">
        <f>('TUSD BE'!$S$58+'TUSD BF'!$S$58+'TUSD CVA'!$S$58)*(1 - CUSTOS!$M$38)</f>
        <v>0</v>
      </c>
      <c r="T58" s="96">
        <f>('TUSD BE'!$U$58+'TUSD BF'!$U$58+'TUSD CVA'!$U$58)*(1 - CUSTOS!$M$38)</f>
        <v>29.626029686639619</v>
      </c>
      <c r="U58" s="96">
        <f>('TUSD BE'!$V$58+'TUSD BF'!$V$58+'TUSD CVA'!$V$58)*(1 - CUSTOS!$M$38)</f>
        <v>4.5597523672098852</v>
      </c>
      <c r="V58" s="96">
        <f>('TUSD BE'!$W$58+'TUSD BF'!$W$58+'TUSD CVA'!$W$58)*(1 - CUSTOS!$M$38)</f>
        <v>0.15916435549411179</v>
      </c>
      <c r="W58" s="96">
        <f>('TUSD BE'!$X$58+'TUSD BF'!$X$58+'TUSD CVA'!$X$58)*(1 - CUSTOS!$M$38)</f>
        <v>0</v>
      </c>
      <c r="X58" s="96">
        <f>('TUSD BE'!$Y$58+'TUSD BF'!$Y$58+'TUSD CVA'!$Y$58)*(1 - CUSTOS!$M$38)</f>
        <v>0</v>
      </c>
      <c r="Y58" s="96">
        <f>('TUSD BE'!$Z$58+'TUSD BF'!$Z$58+'TUSD CVA'!$Z$58)*(1 - CUSTOS!$M$38)</f>
        <v>0</v>
      </c>
      <c r="Z58" s="96">
        <f>('TUSD BE'!$AA$58+'TUSD BF'!$AA$58+'TUSD CVA'!$AA$58)*(1 - CUSTOS!$M$38)</f>
        <v>0</v>
      </c>
      <c r="AA58" s="96">
        <f>('TUSD BE'!$AC$58+'TUSD BF'!$AC$58+'TUSD CVA'!$AC$58)*(1 - CUSTOS!$M$38)</f>
        <v>264.05938555033856</v>
      </c>
      <c r="AB58" s="96">
        <f ca="1">('TUSD BE'!$AE$58+'TUSD BF'!$AE$58+'TUSD CVA'!$AE$58)*(1 - CUSTOS!$M$38)</f>
        <v>-32.842779313544149</v>
      </c>
      <c r="AC58" s="96">
        <f ca="1">('TUSD BE'!$AF$58+'TUSD BF'!$AF$58+'TUSD CVA'!$AF$58)*(1 - CUSTOS!$M$38)</f>
        <v>0</v>
      </c>
      <c r="AD58" s="96">
        <f>('TUSD BE'!$AH$58+'TUSD BF'!$AH$58+'TUSD CVA'!$AH$58)*(1 - CUSTOS!$M$38)</f>
        <v>27.616583423461254</v>
      </c>
      <c r="AE58" s="96">
        <f>('TUSD BE'!$AI$58+'TUSD BF'!$AI$58+'TUSD CVA'!$AI$58)*(1 - CUSTOS!$M$38)</f>
        <v>2.2329260062532086</v>
      </c>
      <c r="AF58" s="96">
        <f ca="1">('TUSD BE'!$AJ$58+'TUSD BF'!$AJ$58+'TUSD CVA'!$AJ$58)*(1 - CUSTOS!$M$38)</f>
        <v>55.347800153498014</v>
      </c>
      <c r="AG58" s="96">
        <f ca="1">('TUSD BE'!$AK$58+'TUSD BF'!$AK$58+'TUSD CVA'!$AK$58)*(1 - CUSTOS!$M$38)</f>
        <v>12.687357379471168</v>
      </c>
      <c r="AH58" s="96"/>
      <c r="AI58" s="96">
        <v>23.698625280695001</v>
      </c>
      <c r="AJ58" s="96">
        <v>0.94198304964649004</v>
      </c>
      <c r="AK58" s="96">
        <v>4.2094173554152796</v>
      </c>
      <c r="AL58" s="96">
        <v>0</v>
      </c>
      <c r="AM58" s="96">
        <v>0</v>
      </c>
      <c r="AN58" s="96">
        <v>54.7030780735601</v>
      </c>
      <c r="AO58" s="96">
        <v>20.365091836547599</v>
      </c>
      <c r="AP58" s="96">
        <v>0</v>
      </c>
      <c r="AQ58" s="96">
        <v>29.626029686639601</v>
      </c>
      <c r="AR58" s="96">
        <v>4.5597523672098896</v>
      </c>
      <c r="AS58" s="96">
        <v>0.159311195692876</v>
      </c>
      <c r="AT58" s="96">
        <v>0</v>
      </c>
      <c r="AU58" s="96">
        <v>0</v>
      </c>
      <c r="AV58" s="96">
        <v>0</v>
      </c>
      <c r="AW58" s="96">
        <v>0</v>
      </c>
      <c r="AX58" s="96">
        <v>264.30093823344203</v>
      </c>
      <c r="AY58" s="96">
        <v>-32.845422408784302</v>
      </c>
      <c r="AZ58" s="96">
        <v>0</v>
      </c>
      <c r="BA58" s="96">
        <v>27.631389933143598</v>
      </c>
      <c r="BB58" s="96">
        <v>2.2341231797060002</v>
      </c>
      <c r="BC58" s="96">
        <v>55.378808668521998</v>
      </c>
      <c r="BD58" s="96">
        <v>12.6943038632993</v>
      </c>
    </row>
    <row r="59" spans="1:56" ht="11.25" customHeight="1" x14ac:dyDescent="0.25">
      <c r="A59" s="118"/>
      <c r="B59" s="118"/>
      <c r="C59" s="118"/>
      <c r="D59" s="97" t="s">
        <v>93</v>
      </c>
      <c r="E59" s="97" t="s">
        <v>25</v>
      </c>
      <c r="F59" s="97" t="s">
        <v>25</v>
      </c>
      <c r="G59" s="22" t="s">
        <v>84</v>
      </c>
      <c r="H59" s="22" t="s">
        <v>79</v>
      </c>
      <c r="I59" s="22">
        <f>'MERCADO TUSD'!$U$56</f>
        <v>0</v>
      </c>
      <c r="J59" s="17"/>
      <c r="L59" s="96">
        <f>('TUSD BE'!$L$59+'TUSD BF'!$L$59+'TUSD CVA'!$L$59)*(1 - CUSTOS!$M$39)</f>
        <v>23.698625280694969</v>
      </c>
      <c r="M59" s="96">
        <f>('TUSD BE'!$M$59+'TUSD BF'!$M$59+'TUSD CVA'!$M$59)*(1 - CUSTOS!$M$39)</f>
        <v>0.94118182032848308</v>
      </c>
      <c r="N59" s="96">
        <f ca="1">('TUSD BE'!$N$59+'TUSD BF'!$N$59+'TUSD CVA'!$N$59)*(1 - CUSTOS!$M$39)</f>
        <v>4.2063265638536675</v>
      </c>
      <c r="O59" s="96">
        <f>('TUSD BE'!$O$59+'TUSD BF'!$O$59+'TUSD CVA'!$O$59)*(1 - CUSTOS!$M$39)</f>
        <v>0</v>
      </c>
      <c r="P59" s="96">
        <f>('TUSD BE'!$P$59+'TUSD BF'!$P$59+'TUSD CVA'!$P$59)*(1 - CUSTOS!$M$39)</f>
        <v>0</v>
      </c>
      <c r="Q59" s="96">
        <f>('TUSD BE'!$Q$59+'TUSD BF'!$Q$59+'TUSD CVA'!$Q$59)*(1 - CUSTOS!$M$39)</f>
        <v>54.7030780735601</v>
      </c>
      <c r="R59" s="96">
        <f>('TUSD BE'!$R$59+'TUSD BF'!$R$59+'TUSD CVA'!$R$59)*(1 - CUSTOS!$M$39)</f>
        <v>20.365091836547617</v>
      </c>
      <c r="S59" s="96">
        <f>('TUSD BE'!$S$59+'TUSD BF'!$S$59+'TUSD CVA'!$S$59)*(1 - CUSTOS!$M$39)</f>
        <v>0</v>
      </c>
      <c r="T59" s="96">
        <f>('TUSD BE'!$U$59+'TUSD BF'!$U$59+'TUSD CVA'!$U$59)*(1 - CUSTOS!$M$39)</f>
        <v>29.626029686639619</v>
      </c>
      <c r="U59" s="96">
        <f>('TUSD BE'!$V$59+'TUSD BF'!$V$59+'TUSD CVA'!$V$59)*(1 - CUSTOS!$M$39)</f>
        <v>4.5597523672098852</v>
      </c>
      <c r="V59" s="96">
        <f>('TUSD BE'!$W$59+'TUSD BF'!$W$59+'TUSD CVA'!$W$59)*(1 - CUSTOS!$M$39)</f>
        <v>0.15916435549411179</v>
      </c>
      <c r="W59" s="96">
        <f>('TUSD BE'!$X$59+'TUSD BF'!$X$59+'TUSD CVA'!$X$59)*(1 - CUSTOS!$M$39)</f>
        <v>0</v>
      </c>
      <c r="X59" s="96">
        <f>('TUSD BE'!$Y$59+'TUSD BF'!$Y$59+'TUSD CVA'!$Y$59)*(1 - CUSTOS!$M$39)</f>
        <v>0</v>
      </c>
      <c r="Y59" s="96">
        <f>('TUSD BE'!$Z$59+'TUSD BF'!$Z$59+'TUSD CVA'!$Z$59)*(1 - CUSTOS!$M$39)</f>
        <v>0</v>
      </c>
      <c r="Z59" s="96">
        <f>('TUSD BE'!$AA$59+'TUSD BF'!$AA$59+'TUSD CVA'!$AA$59)*(1 - CUSTOS!$M$39)</f>
        <v>0</v>
      </c>
      <c r="AA59" s="96">
        <f>('TUSD BE'!$AC$59+'TUSD BF'!$AC$59+'TUSD CVA'!$AC$59)*(1 - CUSTOS!$M$39)</f>
        <v>264.05938555033856</v>
      </c>
      <c r="AB59" s="96">
        <f ca="1">('TUSD BE'!$AE$59+'TUSD BF'!$AE$59+'TUSD CVA'!$AE$59)*(1 - CUSTOS!$M$39)</f>
        <v>-32.842779313544149</v>
      </c>
      <c r="AC59" s="96">
        <f ca="1">('TUSD BE'!$AF$59+'TUSD BF'!$AF$59+'TUSD CVA'!$AF$59)*(1 - CUSTOS!$M$39)</f>
        <v>0</v>
      </c>
      <c r="AD59" s="96">
        <f>('TUSD BE'!$AH$59+'TUSD BF'!$AH$59+'TUSD CVA'!$AH$59)*(1 - CUSTOS!$M$39)</f>
        <v>27.616583423461254</v>
      </c>
      <c r="AE59" s="96">
        <f>('TUSD BE'!$AI$59+'TUSD BF'!$AI$59+'TUSD CVA'!$AI$59)*(1 - CUSTOS!$M$39)</f>
        <v>2.2329260062532086</v>
      </c>
      <c r="AF59" s="96">
        <f ca="1">('TUSD BE'!$AJ$59+'TUSD BF'!$AJ$59+'TUSD CVA'!$AJ$59)*(1 - CUSTOS!$M$39)</f>
        <v>55.347800153498014</v>
      </c>
      <c r="AG59" s="96">
        <f ca="1">('TUSD BE'!$AK$59+'TUSD BF'!$AK$59+'TUSD CVA'!$AK$59)*(1 - CUSTOS!$M$39)</f>
        <v>12.687357379471168</v>
      </c>
      <c r="AH59" s="96"/>
      <c r="AI59" s="96">
        <v>23.698625280695001</v>
      </c>
      <c r="AJ59" s="96">
        <v>0.94198304964649004</v>
      </c>
      <c r="AK59" s="96">
        <v>4.2094173554152796</v>
      </c>
      <c r="AL59" s="96">
        <v>0</v>
      </c>
      <c r="AM59" s="96">
        <v>0</v>
      </c>
      <c r="AN59" s="96">
        <v>54.7030780735601</v>
      </c>
      <c r="AO59" s="96">
        <v>20.365091836547599</v>
      </c>
      <c r="AP59" s="96">
        <v>0</v>
      </c>
      <c r="AQ59" s="96">
        <v>29.626029686639601</v>
      </c>
      <c r="AR59" s="96">
        <v>4.5597523672098896</v>
      </c>
      <c r="AS59" s="96">
        <v>0.159311195692876</v>
      </c>
      <c r="AT59" s="96">
        <v>0</v>
      </c>
      <c r="AU59" s="96">
        <v>0</v>
      </c>
      <c r="AV59" s="96">
        <v>0</v>
      </c>
      <c r="AW59" s="96">
        <v>0</v>
      </c>
      <c r="AX59" s="96">
        <v>264.30093823344203</v>
      </c>
      <c r="AY59" s="96">
        <v>-32.845422408784302</v>
      </c>
      <c r="AZ59" s="96">
        <v>0</v>
      </c>
      <c r="BA59" s="96">
        <v>27.631389933143598</v>
      </c>
      <c r="BB59" s="96">
        <v>2.2341231797060002</v>
      </c>
      <c r="BC59" s="96">
        <v>55.378808668521998</v>
      </c>
      <c r="BD59" s="96">
        <v>12.6943038632993</v>
      </c>
    </row>
    <row r="60" spans="1:56" ht="11.25" customHeight="1" x14ac:dyDescent="0.25">
      <c r="A60" s="118"/>
      <c r="B60" s="118"/>
      <c r="C60" s="118"/>
      <c r="D60" s="97" t="s">
        <v>94</v>
      </c>
      <c r="E60" s="97" t="s">
        <v>25</v>
      </c>
      <c r="F60" s="97" t="s">
        <v>25</v>
      </c>
      <c r="G60" s="22" t="s">
        <v>84</v>
      </c>
      <c r="H60" s="22" t="s">
        <v>79</v>
      </c>
      <c r="I60" s="22">
        <f>'MERCADO TUSD'!$U$57</f>
        <v>0</v>
      </c>
      <c r="J60" s="17"/>
      <c r="L60" s="96">
        <f>('TUSD BE'!$L$60+'TUSD BF'!$L$60+'TUSD CVA'!$L$60)*(1 - CUSTOS!$M$40)</f>
        <v>23.19439921089295</v>
      </c>
      <c r="M60" s="96">
        <f>('TUSD BE'!$M$60+'TUSD BF'!$M$60+'TUSD CVA'!$M$60)*(1 - CUSTOS!$M$40)</f>
        <v>0.92115667521511113</v>
      </c>
      <c r="N60" s="96">
        <f ca="1">('TUSD BE'!$N$60+'TUSD BF'!$N$60+'TUSD CVA'!$N$60)*(1 - CUSTOS!$M$40)</f>
        <v>4.1168302539844408</v>
      </c>
      <c r="O60" s="96">
        <f>('TUSD BE'!$O$60+'TUSD BF'!$O$60+'TUSD CVA'!$O$60)*(1 - CUSTOS!$M$40)</f>
        <v>0</v>
      </c>
      <c r="P60" s="96">
        <f>('TUSD BE'!$P$60+'TUSD BF'!$P$60+'TUSD CVA'!$P$60)*(1 - CUSTOS!$M$40)</f>
        <v>0</v>
      </c>
      <c r="Q60" s="96">
        <f>('TUSD BE'!$Q$60+'TUSD BF'!$Q$60+'TUSD CVA'!$Q$60)*(1 - CUSTOS!$M$40)</f>
        <v>53.539182795399249</v>
      </c>
      <c r="R60" s="96">
        <f>('TUSD BE'!$R$60+'TUSD BF'!$R$60+'TUSD CVA'!$R$60)*(1 - CUSTOS!$M$40)</f>
        <v>19.931792010238095</v>
      </c>
      <c r="S60" s="96">
        <f>('TUSD BE'!$S$60+'TUSD BF'!$S$60+'TUSD CVA'!$S$60)*(1 - CUSTOS!$M$40)</f>
        <v>0</v>
      </c>
      <c r="T60" s="96">
        <f>('TUSD BE'!$U$60+'TUSD BF'!$U$60+'TUSD CVA'!$U$60)*(1 - CUSTOS!$M$40)</f>
        <v>28.99568862947708</v>
      </c>
      <c r="U60" s="96">
        <f>('TUSD BE'!$V$60+'TUSD BF'!$V$60+'TUSD CVA'!$V$60)*(1 - CUSTOS!$M$40)</f>
        <v>4.4627363593969092</v>
      </c>
      <c r="V60" s="96">
        <f>('TUSD BE'!$W$60+'TUSD BF'!$W$60+'TUSD CVA'!$W$60)*(1 - CUSTOS!$M$40)</f>
        <v>0.15577787984530092</v>
      </c>
      <c r="W60" s="96">
        <f>('TUSD BE'!$X$60+'TUSD BF'!$X$60+'TUSD CVA'!$X$60)*(1 - CUSTOS!$M$40)</f>
        <v>0</v>
      </c>
      <c r="X60" s="96">
        <f>('TUSD BE'!$Y$60+'TUSD BF'!$Y$60+'TUSD CVA'!$Y$60)*(1 - CUSTOS!$M$40)</f>
        <v>0</v>
      </c>
      <c r="Y60" s="96">
        <f>('TUSD BE'!$Z$60+'TUSD BF'!$Z$60+'TUSD CVA'!$Z$60)*(1 - CUSTOS!$M$40)</f>
        <v>0</v>
      </c>
      <c r="Z60" s="96">
        <f>('TUSD BE'!$AA$60+'TUSD BF'!$AA$60+'TUSD CVA'!$AA$60)*(1 - CUSTOS!$M$40)</f>
        <v>0</v>
      </c>
      <c r="AA60" s="96">
        <f>('TUSD BE'!$AC$60+'TUSD BF'!$AC$60+'TUSD CVA'!$AC$60)*(1 - CUSTOS!$M$40)</f>
        <v>258.4411007513952</v>
      </c>
      <c r="AB60" s="96">
        <f ca="1">('TUSD BE'!$AE$60+'TUSD BF'!$AE$60+'TUSD CVA'!$AE$60)*(1 - CUSTOS!$M$40)</f>
        <v>-32.143996774958111</v>
      </c>
      <c r="AC60" s="96">
        <f ca="1">('TUSD BE'!$AF$60+'TUSD BF'!$AF$60+'TUSD CVA'!$AF$60)*(1 - CUSTOS!$M$40)</f>
        <v>0</v>
      </c>
      <c r="AD60" s="96">
        <f>('TUSD BE'!$AH$60+'TUSD BF'!$AH$60+'TUSD CVA'!$AH$60)*(1 - CUSTOS!$M$40)</f>
        <v>27.028996542111017</v>
      </c>
      <c r="AE60" s="96">
        <f>('TUSD BE'!$AI$60+'TUSD BF'!$AI$60+'TUSD CVA'!$AI$60)*(1 - CUSTOS!$M$40)</f>
        <v>2.1854169422903746</v>
      </c>
      <c r="AF60" s="96">
        <f ca="1">('TUSD BE'!$AJ$60+'TUSD BF'!$AJ$60+'TUSD CVA'!$AJ$60)*(1 - CUSTOS!$M$40)</f>
        <v>54.170187384274655</v>
      </c>
      <c r="AG60" s="96">
        <f ca="1">('TUSD BE'!$AK$60+'TUSD BF'!$AK$60+'TUSD CVA'!$AK$60)*(1 - CUSTOS!$M$40)</f>
        <v>12.417413605439867</v>
      </c>
      <c r="AH60" s="96"/>
      <c r="AI60" s="96">
        <v>23.1943992108929</v>
      </c>
      <c r="AJ60" s="96">
        <v>0.92194085710081997</v>
      </c>
      <c r="AK60" s="96">
        <v>4.1198552840234699</v>
      </c>
      <c r="AL60" s="96">
        <v>0</v>
      </c>
      <c r="AM60" s="96">
        <v>0</v>
      </c>
      <c r="AN60" s="96">
        <v>53.539182795399199</v>
      </c>
      <c r="AO60" s="96">
        <v>19.931792010238102</v>
      </c>
      <c r="AP60" s="96">
        <v>0</v>
      </c>
      <c r="AQ60" s="96">
        <v>28.995688629477101</v>
      </c>
      <c r="AR60" s="96">
        <v>4.46273635939691</v>
      </c>
      <c r="AS60" s="96">
        <v>0.155921595784517</v>
      </c>
      <c r="AT60" s="96">
        <v>0</v>
      </c>
      <c r="AU60" s="96">
        <v>0</v>
      </c>
      <c r="AV60" s="96">
        <v>0</v>
      </c>
      <c r="AW60" s="96">
        <v>0</v>
      </c>
      <c r="AX60" s="96">
        <v>258.67751401570899</v>
      </c>
      <c r="AY60" s="96">
        <v>-32.1465836341293</v>
      </c>
      <c r="AZ60" s="96">
        <v>0</v>
      </c>
      <c r="BA60" s="96">
        <v>27.043488019672399</v>
      </c>
      <c r="BB60" s="96">
        <v>2.1865886439675801</v>
      </c>
      <c r="BC60" s="96">
        <v>54.200536143659797</v>
      </c>
      <c r="BD60" s="96">
        <v>12.424212291739799</v>
      </c>
    </row>
    <row r="61" spans="1:56" ht="11.25" customHeight="1" x14ac:dyDescent="0.25">
      <c r="A61" s="118" t="s">
        <v>37</v>
      </c>
      <c r="B61" s="118" t="s">
        <v>33</v>
      </c>
      <c r="C61" s="118" t="s">
        <v>25</v>
      </c>
      <c r="D61" s="118" t="s">
        <v>25</v>
      </c>
      <c r="E61" s="118" t="s">
        <v>25</v>
      </c>
      <c r="F61" s="118" t="s">
        <v>25</v>
      </c>
      <c r="G61" s="22" t="s">
        <v>80</v>
      </c>
      <c r="H61" s="22" t="s">
        <v>79</v>
      </c>
      <c r="I61" s="22">
        <f>'MERCADO TUSD'!$U$58</f>
        <v>25.125999999999998</v>
      </c>
      <c r="J61" s="17"/>
      <c r="L61" s="96">
        <f>('TUSD BE'!$L$61+'TUSD BF'!$L$61+'TUSD CVA'!$L$61)*1</f>
        <v>25.211303490101031</v>
      </c>
      <c r="M61" s="96">
        <f>('TUSD BE'!$M$61+'TUSD BF'!$M$61+'TUSD CVA'!$M$61)*1</f>
        <v>1.001257255668599</v>
      </c>
      <c r="N61" s="96">
        <f ca="1">('TUSD BE'!$N$61+'TUSD BF'!$N$61+'TUSD CVA'!$N$61)*1</f>
        <v>10.857995461089926</v>
      </c>
      <c r="O61" s="96">
        <f>('TUSD BE'!$O$61+'TUSD BF'!$O$61+'TUSD CVA'!$O$61)*1</f>
        <v>0</v>
      </c>
      <c r="P61" s="96">
        <f>('TUSD BE'!$P$61+'TUSD BF'!$P$61+'TUSD CVA'!$P$61)*1</f>
        <v>0</v>
      </c>
      <c r="Q61" s="96">
        <f>('TUSD BE'!$Q$61+'TUSD BF'!$Q$61+'TUSD CVA'!$Q$61)*1</f>
        <v>58.19476390804266</v>
      </c>
      <c r="R61" s="96">
        <f>('TUSD BE'!$R$61+'TUSD BF'!$R$61+'TUSD CVA'!$R$61)*1</f>
        <v>21.66499131547619</v>
      </c>
      <c r="S61" s="96">
        <f>('TUSD BE'!$S$61+'TUSD BF'!$S$61+'TUSD CVA'!$S$61)*1</f>
        <v>0</v>
      </c>
      <c r="T61" s="96">
        <f>('TUSD BE'!$U$61+'TUSD BF'!$U$61+'TUSD CVA'!$U$61)*1</f>
        <v>102.43067272885482</v>
      </c>
      <c r="U61" s="96">
        <f>('TUSD BE'!$V$61+'TUSD BF'!$V$61+'TUSD CVA'!$V$61)*1</f>
        <v>15.76521068155199</v>
      </c>
      <c r="V61" s="96">
        <f>('TUSD BE'!$W$61+'TUSD BF'!$W$61+'TUSD CVA'!$W$61)*1</f>
        <v>0.55021379618136512</v>
      </c>
      <c r="W61" s="96">
        <f>('TUSD BE'!$X$61+'TUSD BF'!$X$61+'TUSD CVA'!$X$61)*1</f>
        <v>0</v>
      </c>
      <c r="X61" s="96">
        <f>('TUSD BE'!$Y$61+'TUSD BF'!$Y$61+'TUSD CVA'!$Y$61)*1</f>
        <v>0</v>
      </c>
      <c r="Y61" s="96">
        <f>('TUSD BE'!$Z$61+'TUSD BF'!$Z$61+'TUSD CVA'!$Z$61)*1</f>
        <v>0</v>
      </c>
      <c r="Z61" s="96">
        <f>('TUSD BE'!$AA$61+'TUSD BF'!$AA$61+'TUSD CVA'!$AA$61)*1</f>
        <v>0</v>
      </c>
      <c r="AA61" s="96">
        <f>('TUSD BE'!$AC$61+'TUSD BF'!$AC$61+'TUSD CVA'!$AC$61)*1</f>
        <v>912.97111648426142</v>
      </c>
      <c r="AB61" s="96">
        <f ca="1">('TUSD BE'!$AE$61+'TUSD BF'!$AE$61+'TUSD CVA'!$AE$61)*1</f>
        <v>-83.229730286054291</v>
      </c>
      <c r="AC61" s="96">
        <f ca="1">('TUSD BE'!$AF$61+'TUSD BF'!$AF$61+'TUSD CVA'!$AF$61)*1</f>
        <v>0</v>
      </c>
      <c r="AD61" s="96">
        <f>('TUSD BE'!$AH$61+'TUSD BF'!$AH$61+'TUSD CVA'!$AH$61)*1</f>
        <v>29.379344067511973</v>
      </c>
      <c r="AE61" s="96">
        <f>('TUSD BE'!$AI$61+'TUSD BF'!$AI$61+'TUSD CVA'!$AI$61)*1</f>
        <v>2.3754531981417113</v>
      </c>
      <c r="AF61" s="96">
        <f ca="1">('TUSD BE'!$AJ$61+'TUSD BF'!$AJ$61+'TUSD CVA'!$AJ$61)*1</f>
        <v>58.880638461168104</v>
      </c>
      <c r="AG61" s="96">
        <f ca="1">('TUSD BE'!$AK$61+'TUSD BF'!$AK$61+'TUSD CVA'!$AK$61)*1</f>
        <v>13.497188701565072</v>
      </c>
      <c r="AH61" s="96"/>
      <c r="AI61" s="96">
        <v>25.211303490100999</v>
      </c>
      <c r="AJ61" s="96">
        <v>1.0021096272834999</v>
      </c>
      <c r="AK61" s="96">
        <v>10.864884684896699</v>
      </c>
      <c r="AL61" s="96">
        <v>0</v>
      </c>
      <c r="AM61" s="96">
        <v>0</v>
      </c>
      <c r="AN61" s="96">
        <v>58.194763908042702</v>
      </c>
      <c r="AO61" s="96">
        <v>21.6649913154762</v>
      </c>
      <c r="AP61" s="96">
        <v>0</v>
      </c>
      <c r="AQ61" s="96">
        <v>102.430672728855</v>
      </c>
      <c r="AR61" s="96">
        <v>15.765210681552</v>
      </c>
      <c r="AS61" s="96">
        <v>0.55072140671352898</v>
      </c>
      <c r="AT61" s="96">
        <v>0</v>
      </c>
      <c r="AU61" s="96">
        <v>0</v>
      </c>
      <c r="AV61" s="96">
        <v>0</v>
      </c>
      <c r="AW61" s="96">
        <v>0</v>
      </c>
      <c r="AX61" s="96">
        <v>913.80627188812298</v>
      </c>
      <c r="AY61" s="96">
        <v>-83.245822190870001</v>
      </c>
      <c r="AZ61" s="96">
        <v>0</v>
      </c>
      <c r="BA61" s="96">
        <v>29.395095673557002</v>
      </c>
      <c r="BB61" s="96">
        <v>2.3767267869212798</v>
      </c>
      <c r="BC61" s="96">
        <v>58.913626243108503</v>
      </c>
      <c r="BD61" s="96">
        <v>13.504578577978</v>
      </c>
    </row>
    <row r="62" spans="1:56" ht="11.25" customHeight="1" x14ac:dyDescent="0.25">
      <c r="A62" s="118"/>
      <c r="B62" s="118"/>
      <c r="C62" s="118"/>
      <c r="D62" s="118"/>
      <c r="E62" s="118"/>
      <c r="F62" s="118"/>
      <c r="G62" s="22" t="s">
        <v>90</v>
      </c>
      <c r="H62" s="22" t="s">
        <v>79</v>
      </c>
      <c r="I62" s="22">
        <f>'MERCADO TUSD'!$U$59</f>
        <v>27.405000000000001</v>
      </c>
      <c r="J62" s="17"/>
      <c r="L62" s="96">
        <f>('TUSD BE'!$L$62+'TUSD BF'!$L$62+'TUSD CVA'!$L$62)*1</f>
        <v>25.211303490101031</v>
      </c>
      <c r="M62" s="96">
        <f>('TUSD BE'!$M$62+'TUSD BF'!$M$62+'TUSD CVA'!$M$62)*1</f>
        <v>1.001257255668599</v>
      </c>
      <c r="N62" s="96">
        <f ca="1">('TUSD BE'!$N$62+'TUSD BF'!$N$62+'TUSD CVA'!$N$62)*1</f>
        <v>7.1699364116050219</v>
      </c>
      <c r="O62" s="96">
        <f>('TUSD BE'!$O$62+'TUSD BF'!$O$62+'TUSD CVA'!$O$62)*1</f>
        <v>0</v>
      </c>
      <c r="P62" s="96">
        <f>('TUSD BE'!$P$62+'TUSD BF'!$P$62+'TUSD CVA'!$P$62)*1</f>
        <v>0</v>
      </c>
      <c r="Q62" s="96">
        <f>('TUSD BE'!$Q$62+'TUSD BF'!$Q$62+'TUSD CVA'!$Q$62)*1</f>
        <v>58.19476390804266</v>
      </c>
      <c r="R62" s="96">
        <f>('TUSD BE'!$R$62+'TUSD BF'!$R$62+'TUSD CVA'!$R$62)*1</f>
        <v>21.66499131547619</v>
      </c>
      <c r="S62" s="96">
        <f>('TUSD BE'!$S$62+'TUSD BF'!$S$62+'TUSD CVA'!$S$62)*1</f>
        <v>0</v>
      </c>
      <c r="T62" s="96">
        <f>('TUSD BE'!$U$62+'TUSD BF'!$U$62+'TUSD CVA'!$U$62)*1</f>
        <v>61.458328355330522</v>
      </c>
      <c r="U62" s="96">
        <f>('TUSD BE'!$V$62+'TUSD BF'!$V$62+'TUSD CVA'!$V$62)*1</f>
        <v>9.4591439148421301</v>
      </c>
      <c r="V62" s="96">
        <f>('TUSD BE'!$W$62+'TUSD BF'!$W$62+'TUSD CVA'!$W$62)*1</f>
        <v>0.33015187684226027</v>
      </c>
      <c r="W62" s="96">
        <f>('TUSD BE'!$X$62+'TUSD BF'!$X$62+'TUSD CVA'!$X$62)*1</f>
        <v>0</v>
      </c>
      <c r="X62" s="96">
        <f>('TUSD BE'!$Y$62+'TUSD BF'!$Y$62+'TUSD CVA'!$Y$62)*1</f>
        <v>0</v>
      </c>
      <c r="Y62" s="96">
        <f>('TUSD BE'!$Z$62+'TUSD BF'!$Z$62+'TUSD CVA'!$Z$62)*1</f>
        <v>0</v>
      </c>
      <c r="Z62" s="96">
        <f>('TUSD BE'!$AA$62+'TUSD BF'!$AA$62+'TUSD CVA'!$AA$62)*1</f>
        <v>0</v>
      </c>
      <c r="AA62" s="96">
        <f>('TUSD BE'!$AC$62+'TUSD BF'!$AC$62+'TUSD CVA'!$AC$62)*1</f>
        <v>547.78272216064863</v>
      </c>
      <c r="AB62" s="96">
        <f ca="1">('TUSD BE'!$AE$62+'TUSD BF'!$AE$62+'TUSD CVA'!$AE$62)*1</f>
        <v>-55.328494941442713</v>
      </c>
      <c r="AC62" s="96">
        <f ca="1">('TUSD BE'!$AF$62+'TUSD BF'!$AF$62+'TUSD CVA'!$AF$62)*1</f>
        <v>0</v>
      </c>
      <c r="AD62" s="96">
        <f>('TUSD BE'!$AH$62+'TUSD BF'!$AH$62+'TUSD CVA'!$AH$62)*1</f>
        <v>29.379344067511973</v>
      </c>
      <c r="AE62" s="96">
        <f>('TUSD BE'!$AI$62+'TUSD BF'!$AI$62+'TUSD CVA'!$AI$62)*1</f>
        <v>2.3754531981417113</v>
      </c>
      <c r="AF62" s="96">
        <f ca="1">('TUSD BE'!$AJ$62+'TUSD BF'!$AJ$62+'TUSD CVA'!$AJ$62)*1</f>
        <v>58.880638461168104</v>
      </c>
      <c r="AG62" s="96">
        <f ca="1">('TUSD BE'!$AK$62+'TUSD BF'!$AK$62+'TUSD CVA'!$AK$62)*1</f>
        <v>13.497188701565072</v>
      </c>
      <c r="AH62" s="96"/>
      <c r="AI62" s="96">
        <v>25.211303490100999</v>
      </c>
      <c r="AJ62" s="96">
        <v>1.0021096272834999</v>
      </c>
      <c r="AK62" s="96">
        <v>7.17474497258425</v>
      </c>
      <c r="AL62" s="96">
        <v>0</v>
      </c>
      <c r="AM62" s="96">
        <v>0</v>
      </c>
      <c r="AN62" s="96">
        <v>58.194763908042702</v>
      </c>
      <c r="AO62" s="96">
        <v>21.6649913154762</v>
      </c>
      <c r="AP62" s="96">
        <v>0</v>
      </c>
      <c r="AQ62" s="96">
        <v>61.458328355330501</v>
      </c>
      <c r="AR62" s="96">
        <v>9.4591439148421301</v>
      </c>
      <c r="AS62" s="96">
        <v>0.33045646493340203</v>
      </c>
      <c r="AT62" s="96">
        <v>0</v>
      </c>
      <c r="AU62" s="96">
        <v>0</v>
      </c>
      <c r="AV62" s="96">
        <v>0</v>
      </c>
      <c r="AW62" s="96">
        <v>0</v>
      </c>
      <c r="AX62" s="96">
        <v>548.28381545078105</v>
      </c>
      <c r="AY62" s="96">
        <v>-55.336913899582498</v>
      </c>
      <c r="AZ62" s="96">
        <v>0</v>
      </c>
      <c r="BA62" s="96">
        <v>29.395095673557002</v>
      </c>
      <c r="BB62" s="96">
        <v>2.3767267869212798</v>
      </c>
      <c r="BC62" s="96">
        <v>58.913626243108503</v>
      </c>
      <c r="BD62" s="96">
        <v>13.504578577978</v>
      </c>
    </row>
    <row r="63" spans="1:56" ht="11.25" customHeight="1" x14ac:dyDescent="0.25">
      <c r="A63" s="118"/>
      <c r="B63" s="118"/>
      <c r="C63" s="118"/>
      <c r="D63" s="118"/>
      <c r="E63" s="118"/>
      <c r="F63" s="118"/>
      <c r="G63" s="22" t="s">
        <v>81</v>
      </c>
      <c r="H63" s="22" t="s">
        <v>79</v>
      </c>
      <c r="I63" s="22">
        <f>'MERCADO TUSD'!$U$60</f>
        <v>590.17399999999998</v>
      </c>
      <c r="J63" s="17"/>
      <c r="L63" s="96">
        <f>('TUSD BE'!$L$63+'TUSD BF'!$L$63+'TUSD CVA'!$L$63)*1</f>
        <v>25.211303490101031</v>
      </c>
      <c r="M63" s="96">
        <f>('TUSD BE'!$M$63+'TUSD BF'!$M$63+'TUSD CVA'!$M$63)*1</f>
        <v>1.001257255668599</v>
      </c>
      <c r="N63" s="96">
        <f ca="1">('TUSD BE'!$N$63+'TUSD BF'!$N$63+'TUSD CVA'!$N$63)*1</f>
        <v>3.4818773621201182</v>
      </c>
      <c r="O63" s="96">
        <f>('TUSD BE'!$O$63+'TUSD BF'!$O$63+'TUSD CVA'!$O$63)*1</f>
        <v>0</v>
      </c>
      <c r="P63" s="96">
        <f>('TUSD BE'!$P$63+'TUSD BF'!$P$63+'TUSD CVA'!$P$63)*1</f>
        <v>0</v>
      </c>
      <c r="Q63" s="96">
        <f>('TUSD BE'!$Q$63+'TUSD BF'!$Q$63+'TUSD CVA'!$Q$63)*1</f>
        <v>58.19476390804266</v>
      </c>
      <c r="R63" s="96">
        <f>('TUSD BE'!$R$63+'TUSD BF'!$R$63+'TUSD CVA'!$R$63)*1</f>
        <v>21.66499131547619</v>
      </c>
      <c r="S63" s="96">
        <f>('TUSD BE'!$S$63+'TUSD BF'!$S$63+'TUSD CVA'!$S$63)*1</f>
        <v>0</v>
      </c>
      <c r="T63" s="96">
        <f>('TUSD BE'!$U$63+'TUSD BF'!$U$63+'TUSD CVA'!$U$63)*1</f>
        <v>20.486109451776841</v>
      </c>
      <c r="U63" s="96">
        <f>('TUSD BE'!$V$63+'TUSD BF'!$V$63+'TUSD CVA'!$V$63)*1</f>
        <v>3.1530771481322688</v>
      </c>
      <c r="V63" s="96">
        <f>('TUSD BE'!$W$63+'TUSD BF'!$W$63+'TUSD CVA'!$W$63)*1</f>
        <v>0.11008995750315541</v>
      </c>
      <c r="W63" s="96">
        <f>('TUSD BE'!$X$63+'TUSD BF'!$X$63+'TUSD CVA'!$X$63)*1</f>
        <v>0</v>
      </c>
      <c r="X63" s="96">
        <f>('TUSD BE'!$Y$63+'TUSD BF'!$Y$63+'TUSD CVA'!$Y$63)*1</f>
        <v>0</v>
      </c>
      <c r="Y63" s="96">
        <f>('TUSD BE'!$Z$63+'TUSD BF'!$Z$63+'TUSD CVA'!$Z$63)*1</f>
        <v>0</v>
      </c>
      <c r="Z63" s="96">
        <f>('TUSD BE'!$AA$63+'TUSD BF'!$AA$63+'TUSD CVA'!$AA$63)*1</f>
        <v>0</v>
      </c>
      <c r="AA63" s="96">
        <f>('TUSD BE'!$AC$63+'TUSD BF'!$AC$63+'TUSD CVA'!$AC$63)*1</f>
        <v>182.59419716180633</v>
      </c>
      <c r="AB63" s="96">
        <f ca="1">('TUSD BE'!$AE$63+'TUSD BF'!$AE$63+'TUSD CVA'!$AE$63)*1</f>
        <v>-27.427260248615386</v>
      </c>
      <c r="AC63" s="96">
        <f ca="1">('TUSD BE'!$AF$63+'TUSD BF'!$AF$63+'TUSD CVA'!$AF$63)*1</f>
        <v>0</v>
      </c>
      <c r="AD63" s="96">
        <f>('TUSD BE'!$AH$63+'TUSD BF'!$AH$63+'TUSD CVA'!$AH$63)*1</f>
        <v>29.379344067511973</v>
      </c>
      <c r="AE63" s="96">
        <f>('TUSD BE'!$AI$63+'TUSD BF'!$AI$63+'TUSD CVA'!$AI$63)*1</f>
        <v>2.3754531981417113</v>
      </c>
      <c r="AF63" s="96">
        <f ca="1">('TUSD BE'!$AJ$63+'TUSD BF'!$AJ$63+'TUSD CVA'!$AJ$63)*1</f>
        <v>58.880638461168104</v>
      </c>
      <c r="AG63" s="96">
        <f ca="1">('TUSD BE'!$AK$63+'TUSD BF'!$AK$63+'TUSD CVA'!$AK$63)*1</f>
        <v>13.497188701565072</v>
      </c>
      <c r="AH63" s="96"/>
      <c r="AI63" s="96">
        <v>25.211303490100999</v>
      </c>
      <c r="AJ63" s="96">
        <v>1.0021096272834999</v>
      </c>
      <c r="AK63" s="96">
        <v>3.4846052602718101</v>
      </c>
      <c r="AL63" s="96">
        <v>0</v>
      </c>
      <c r="AM63" s="96">
        <v>0</v>
      </c>
      <c r="AN63" s="96">
        <v>58.194763908042702</v>
      </c>
      <c r="AO63" s="96">
        <v>21.6649913154762</v>
      </c>
      <c r="AP63" s="96">
        <v>0</v>
      </c>
      <c r="AQ63" s="96">
        <v>20.486109451776802</v>
      </c>
      <c r="AR63" s="96">
        <v>3.1530771481322701</v>
      </c>
      <c r="AS63" s="96">
        <v>0.110191523153275</v>
      </c>
      <c r="AT63" s="96">
        <v>0</v>
      </c>
      <c r="AU63" s="96">
        <v>0</v>
      </c>
      <c r="AV63" s="96">
        <v>0</v>
      </c>
      <c r="AW63" s="96">
        <v>0</v>
      </c>
      <c r="AX63" s="96">
        <v>182.76122821867099</v>
      </c>
      <c r="AY63" s="96">
        <v>-27.428006251791398</v>
      </c>
      <c r="AZ63" s="96">
        <v>0</v>
      </c>
      <c r="BA63" s="96">
        <v>29.395095673557002</v>
      </c>
      <c r="BB63" s="96">
        <v>2.3767267869212798</v>
      </c>
      <c r="BC63" s="96">
        <v>58.913626243108503</v>
      </c>
      <c r="BD63" s="96">
        <v>13.504578577978</v>
      </c>
    </row>
    <row r="64" spans="1:56" ht="11.25" customHeight="1" x14ac:dyDescent="0.25">
      <c r="A64" s="118"/>
      <c r="B64" s="97" t="s">
        <v>23</v>
      </c>
      <c r="C64" s="97" t="s">
        <v>25</v>
      </c>
      <c r="D64" s="97" t="s">
        <v>25</v>
      </c>
      <c r="E64" s="97" t="s">
        <v>25</v>
      </c>
      <c r="F64" s="97" t="s">
        <v>25</v>
      </c>
      <c r="G64" s="22" t="s">
        <v>84</v>
      </c>
      <c r="H64" s="22" t="s">
        <v>79</v>
      </c>
      <c r="I64" s="22">
        <f>'MERCADO TUSD'!$U$61</f>
        <v>181428.25600000002</v>
      </c>
      <c r="J64" s="17"/>
      <c r="L64" s="96">
        <f>('TUSD BE'!$L$64+'TUSD BF'!$L$64+'TUSD CVA'!$L$64)*1</f>
        <v>25.211303490101031</v>
      </c>
      <c r="M64" s="96">
        <f>('TUSD BE'!$M$64+'TUSD BF'!$M$64+'TUSD CVA'!$M$64)*1</f>
        <v>1.001257255668599</v>
      </c>
      <c r="N64" s="96">
        <f ca="1">('TUSD BE'!$N$64+'TUSD BF'!$N$64+'TUSD CVA'!$N$64)*1</f>
        <v>4.4748154934613487</v>
      </c>
      <c r="O64" s="96">
        <f>('TUSD BE'!$O$64+'TUSD BF'!$O$64+'TUSD CVA'!$O$64)*1</f>
        <v>0</v>
      </c>
      <c r="P64" s="96">
        <f>('TUSD BE'!$P$64+'TUSD BF'!$P$64+'TUSD CVA'!$P$64)*1</f>
        <v>0</v>
      </c>
      <c r="Q64" s="96">
        <f>('TUSD BE'!$Q$64+'TUSD BF'!$Q$64+'TUSD CVA'!$Q$64)*1</f>
        <v>58.19476390804266</v>
      </c>
      <c r="R64" s="96">
        <f>('TUSD BE'!$R$64+'TUSD BF'!$R$64+'TUSD CVA'!$R$64)*1</f>
        <v>21.66499131547619</v>
      </c>
      <c r="S64" s="96">
        <f>('TUSD BE'!$S$64+'TUSD BF'!$S$64+'TUSD CVA'!$S$64)*1</f>
        <v>0</v>
      </c>
      <c r="T64" s="96">
        <f>('TUSD BE'!$U$64+'TUSD BF'!$U$64+'TUSD CVA'!$U$64)*1</f>
        <v>31.517052858127258</v>
      </c>
      <c r="U64" s="96">
        <f>('TUSD BE'!$V$64+'TUSD BF'!$V$64+'TUSD CVA'!$V$64)*1</f>
        <v>4.8508003906488142</v>
      </c>
      <c r="V64" s="96">
        <f>('TUSD BE'!$W$64+'TUSD BF'!$W$64+'TUSD CVA'!$W$64)*1</f>
        <v>0.16932378244054447</v>
      </c>
      <c r="W64" s="96">
        <f>('TUSD BE'!$X$64+'TUSD BF'!$X$64+'TUSD CVA'!$X$64)*1</f>
        <v>0</v>
      </c>
      <c r="X64" s="96">
        <f>('TUSD BE'!$Y$64+'TUSD BF'!$Y$64+'TUSD CVA'!$Y$64)*1</f>
        <v>0</v>
      </c>
      <c r="Y64" s="96">
        <f>('TUSD BE'!$Z$64+'TUSD BF'!$Z$64+'TUSD CVA'!$Z$64)*1</f>
        <v>0</v>
      </c>
      <c r="Z64" s="96">
        <f>('TUSD BE'!$AA$64+'TUSD BF'!$AA$64+'TUSD CVA'!$AA$64)*1</f>
        <v>0</v>
      </c>
      <c r="AA64" s="96">
        <f>('TUSD BE'!$AC$64+'TUSD BF'!$AC$64+'TUSD CVA'!$AC$64)*1</f>
        <v>280.91423994716871</v>
      </c>
      <c r="AB64" s="96">
        <f ca="1">('TUSD BE'!$AE$64+'TUSD BF'!$AE$64+'TUSD CVA'!$AE$64)*1</f>
        <v>-34.93912692930229</v>
      </c>
      <c r="AC64" s="96">
        <f ca="1">('TUSD BE'!$AF$64+'TUSD BF'!$AF$64+'TUSD CVA'!$AF$64)*1</f>
        <v>0</v>
      </c>
      <c r="AD64" s="96">
        <f>('TUSD BE'!$AH$64+'TUSD BF'!$AH$64+'TUSD CVA'!$AH$64)*1</f>
        <v>29.379344067511973</v>
      </c>
      <c r="AE64" s="96">
        <f>('TUSD BE'!$AI$64+'TUSD BF'!$AI$64+'TUSD CVA'!$AI$64)*1</f>
        <v>2.3754531981417113</v>
      </c>
      <c r="AF64" s="96">
        <f ca="1">('TUSD BE'!$AJ$64+'TUSD BF'!$AJ$64+'TUSD CVA'!$AJ$64)*1</f>
        <v>58.880638461168104</v>
      </c>
      <c r="AG64" s="96">
        <f ca="1">('TUSD BE'!$AK$64+'TUSD BF'!$AK$64+'TUSD CVA'!$AK$64)*1</f>
        <v>13.497188701565072</v>
      </c>
      <c r="AH64" s="96"/>
      <c r="AI64" s="96">
        <v>25.211303490100999</v>
      </c>
      <c r="AJ64" s="96">
        <v>1.0021096272834999</v>
      </c>
      <c r="AK64" s="96">
        <v>4.4781035695907301</v>
      </c>
      <c r="AL64" s="96">
        <v>0</v>
      </c>
      <c r="AM64" s="96">
        <v>0</v>
      </c>
      <c r="AN64" s="96">
        <v>58.194763908042702</v>
      </c>
      <c r="AO64" s="96">
        <v>21.6649913154762</v>
      </c>
      <c r="AP64" s="96">
        <v>0</v>
      </c>
      <c r="AQ64" s="96">
        <v>31.5170528581273</v>
      </c>
      <c r="AR64" s="96">
        <v>4.8508003906488097</v>
      </c>
      <c r="AS64" s="96">
        <v>0.169479995417953</v>
      </c>
      <c r="AT64" s="96">
        <v>0</v>
      </c>
      <c r="AU64" s="96">
        <v>0</v>
      </c>
      <c r="AV64" s="96">
        <v>0</v>
      </c>
      <c r="AW64" s="96">
        <v>0</v>
      </c>
      <c r="AX64" s="96">
        <v>281.17121088664101</v>
      </c>
      <c r="AY64" s="96">
        <v>-34.9419387327493</v>
      </c>
      <c r="AZ64" s="96">
        <v>0</v>
      </c>
      <c r="BA64" s="96">
        <v>29.395095673557002</v>
      </c>
      <c r="BB64" s="96">
        <v>2.3767267869212798</v>
      </c>
      <c r="BC64" s="96">
        <v>58.913626243108503</v>
      </c>
      <c r="BD64" s="96">
        <v>13.504578577978</v>
      </c>
    </row>
    <row r="65" spans="1:56" ht="11.25" customHeight="1" x14ac:dyDescent="0.25">
      <c r="A65" s="118"/>
      <c r="B65" s="97" t="s">
        <v>92</v>
      </c>
      <c r="C65" s="97" t="s">
        <v>25</v>
      </c>
      <c r="D65" s="97" t="s">
        <v>25</v>
      </c>
      <c r="E65" s="97" t="s">
        <v>25</v>
      </c>
      <c r="F65" s="97" t="s">
        <v>25</v>
      </c>
      <c r="G65" s="22" t="s">
        <v>84</v>
      </c>
      <c r="H65" s="22" t="s">
        <v>79</v>
      </c>
      <c r="I65" s="22">
        <f>'MERCADO TUSD'!$U$62</f>
        <v>0</v>
      </c>
      <c r="J65" s="17"/>
      <c r="L65" s="96">
        <f>('TUSD BE'!$L$65+'TUSD BF'!$L$65+'TUSD CVA'!$L$65)*1</f>
        <v>25.211303490101031</v>
      </c>
      <c r="M65" s="96">
        <f>('TUSD BE'!$M$65+'TUSD BF'!$M$65+'TUSD CVA'!$M$65)*1</f>
        <v>1.001257255668599</v>
      </c>
      <c r="N65" s="96">
        <f ca="1">('TUSD BE'!$N$65+'TUSD BF'!$N$65+'TUSD CVA'!$N$65)*1</f>
        <v>4.4748154934613487</v>
      </c>
      <c r="O65" s="96">
        <f>('TUSD BE'!$O$65+'TUSD BF'!$O$65+'TUSD CVA'!$O$65)*1</f>
        <v>0</v>
      </c>
      <c r="P65" s="96">
        <f>('TUSD BE'!$P$65+'TUSD BF'!$P$65+'TUSD CVA'!$P$65)*1</f>
        <v>0</v>
      </c>
      <c r="Q65" s="96">
        <f>('TUSD BE'!$Q$65+'TUSD BF'!$Q$65+'TUSD CVA'!$Q$65)*1</f>
        <v>58.19476390804266</v>
      </c>
      <c r="R65" s="96">
        <f>('TUSD BE'!$R$65+'TUSD BF'!$R$65+'TUSD CVA'!$R$65)*1</f>
        <v>21.66499131547619</v>
      </c>
      <c r="S65" s="96">
        <f>('TUSD BE'!$S$65+'TUSD BF'!$S$65+'TUSD CVA'!$S$65)*1</f>
        <v>0</v>
      </c>
      <c r="T65" s="96">
        <f>('TUSD BE'!$U$65+'TUSD BF'!$U$65+'TUSD CVA'!$U$65)*1</f>
        <v>31.517052858127258</v>
      </c>
      <c r="U65" s="96">
        <f>('TUSD BE'!$V$65+'TUSD BF'!$V$65+'TUSD CVA'!$V$65)*1</f>
        <v>4.8508003906488142</v>
      </c>
      <c r="V65" s="96">
        <f>('TUSD BE'!$W$65+'TUSD BF'!$W$65+'TUSD CVA'!$W$65)*1</f>
        <v>0.16932378244054447</v>
      </c>
      <c r="W65" s="96">
        <f>('TUSD BE'!$X$65+'TUSD BF'!$X$65+'TUSD CVA'!$X$65)*1</f>
        <v>0</v>
      </c>
      <c r="X65" s="96">
        <f>('TUSD BE'!$Y$65+'TUSD BF'!$Y$65+'TUSD CVA'!$Y$65)*1</f>
        <v>0</v>
      </c>
      <c r="Y65" s="96">
        <f>('TUSD BE'!$Z$65+'TUSD BF'!$Z$65+'TUSD CVA'!$Z$65)*1</f>
        <v>0</v>
      </c>
      <c r="Z65" s="96">
        <f>('TUSD BE'!$AA$65+'TUSD BF'!$AA$65+'TUSD CVA'!$AA$65)*1</f>
        <v>0</v>
      </c>
      <c r="AA65" s="96">
        <f>('TUSD BE'!$AC$65+'TUSD BF'!$AC$65+'TUSD CVA'!$AC$65)*1</f>
        <v>280.91423994716871</v>
      </c>
      <c r="AB65" s="96">
        <f ca="1">('TUSD BE'!$AE$65+'TUSD BF'!$AE$65+'TUSD CVA'!$AE$65)*1</f>
        <v>-34.93912692930229</v>
      </c>
      <c r="AC65" s="96">
        <f ca="1">('TUSD BE'!$AF$65+'TUSD BF'!$AF$65+'TUSD CVA'!$AF$65)*1</f>
        <v>0</v>
      </c>
      <c r="AD65" s="96">
        <f>('TUSD BE'!$AH$65+'TUSD BF'!$AH$65+'TUSD CVA'!$AH$65)*1</f>
        <v>29.379344067511973</v>
      </c>
      <c r="AE65" s="96">
        <f>('TUSD BE'!$AI$65+'TUSD BF'!$AI$65+'TUSD CVA'!$AI$65)*1</f>
        <v>2.3754531981417113</v>
      </c>
      <c r="AF65" s="96">
        <f ca="1">('TUSD BE'!$AJ$65+'TUSD BF'!$AJ$65+'TUSD CVA'!$AJ$65)*1</f>
        <v>58.880638461168104</v>
      </c>
      <c r="AG65" s="96">
        <f ca="1">('TUSD BE'!$AK$65+'TUSD BF'!$AK$65+'TUSD CVA'!$AK$65)*1</f>
        <v>13.497188701565072</v>
      </c>
      <c r="AH65" s="96"/>
      <c r="AI65" s="96">
        <v>25.211303490100999</v>
      </c>
      <c r="AJ65" s="96">
        <v>1.0021096272834999</v>
      </c>
      <c r="AK65" s="96">
        <v>4.4781035695907301</v>
      </c>
      <c r="AL65" s="96">
        <v>0</v>
      </c>
      <c r="AM65" s="96">
        <v>0</v>
      </c>
      <c r="AN65" s="96">
        <v>58.194763908042702</v>
      </c>
      <c r="AO65" s="96">
        <v>21.6649913154762</v>
      </c>
      <c r="AP65" s="96">
        <v>0</v>
      </c>
      <c r="AQ65" s="96">
        <v>31.5170528581273</v>
      </c>
      <c r="AR65" s="96">
        <v>4.8508003906488097</v>
      </c>
      <c r="AS65" s="96">
        <v>0.169479995417953</v>
      </c>
      <c r="AT65" s="96">
        <v>0</v>
      </c>
      <c r="AU65" s="96">
        <v>0</v>
      </c>
      <c r="AV65" s="96">
        <v>0</v>
      </c>
      <c r="AW65" s="96">
        <v>0</v>
      </c>
      <c r="AX65" s="96">
        <v>281.17121088664101</v>
      </c>
      <c r="AY65" s="96">
        <v>-34.9419387327493</v>
      </c>
      <c r="AZ65" s="96">
        <v>0</v>
      </c>
      <c r="BA65" s="96">
        <v>29.395095673557002</v>
      </c>
      <c r="BB65" s="96">
        <v>2.3767267869212798</v>
      </c>
      <c r="BC65" s="96">
        <v>58.913626243108503</v>
      </c>
      <c r="BD65" s="96">
        <v>13.504578577978</v>
      </c>
    </row>
    <row r="66" spans="1:56" ht="11.25" customHeight="1" x14ac:dyDescent="0.25">
      <c r="A66" s="118" t="s">
        <v>48</v>
      </c>
      <c r="B66" s="118" t="s">
        <v>23</v>
      </c>
      <c r="C66" s="118" t="s">
        <v>49</v>
      </c>
      <c r="D66" s="97" t="s">
        <v>50</v>
      </c>
      <c r="E66" s="97" t="s">
        <v>25</v>
      </c>
      <c r="F66" s="97" t="s">
        <v>25</v>
      </c>
      <c r="G66" s="22" t="s">
        <v>84</v>
      </c>
      <c r="H66" s="22" t="s">
        <v>79</v>
      </c>
      <c r="I66" s="22">
        <f>'MERCADO TUSD'!$U$63</f>
        <v>39483.672999999995</v>
      </c>
      <c r="J66" s="17"/>
      <c r="L66" s="96">
        <f>('TUSD BE'!$L$66+'TUSD BF'!$L$66+'TUSD CVA'!$L$66)*1</f>
        <v>13.866216919555569</v>
      </c>
      <c r="M66" s="96">
        <f>('TUSD BE'!$M$66+'TUSD BF'!$M$66+'TUSD CVA'!$M$66)*1</f>
        <v>0.55069149061772948</v>
      </c>
      <c r="N66" s="96">
        <f ca="1">('TUSD BE'!$N$66+'TUSD BF'!$N$66+'TUSD CVA'!$N$66)*1</f>
        <v>2.4611485214037416</v>
      </c>
      <c r="O66" s="96">
        <f>('TUSD BE'!$O$66+'TUSD BF'!$O$66+'TUSD CVA'!$O$66)*1</f>
        <v>0</v>
      </c>
      <c r="P66" s="96">
        <f>('TUSD BE'!$P$66+'TUSD BF'!$P$66+'TUSD CVA'!$P$66)*1</f>
        <v>0</v>
      </c>
      <c r="Q66" s="96">
        <f>('TUSD BE'!$Q$66+'TUSD BF'!$Q$66+'TUSD CVA'!$Q$66)*1</f>
        <v>32.007120149423464</v>
      </c>
      <c r="R66" s="96">
        <f>('TUSD BE'!$R$66+'TUSD BF'!$R$66+'TUSD CVA'!$R$66)*1</f>
        <v>11.915745223511905</v>
      </c>
      <c r="S66" s="96">
        <f>('TUSD BE'!$S$66+'TUSD BF'!$S$66+'TUSD CVA'!$S$66)*1</f>
        <v>0</v>
      </c>
      <c r="T66" s="96">
        <f>('TUSD BE'!$U$66+'TUSD BF'!$U$66+'TUSD CVA'!$U$66)*1</f>
        <v>17.334379071969995</v>
      </c>
      <c r="U66" s="96">
        <f>('TUSD BE'!$V$66+'TUSD BF'!$V$66+'TUSD CVA'!$V$66)*1</f>
        <v>2.6679402148568481</v>
      </c>
      <c r="V66" s="96">
        <f>('TUSD BE'!$W$66+'TUSD BF'!$W$66+'TUSD CVA'!$W$66)*1</f>
        <v>9.3128080342299469E-2</v>
      </c>
      <c r="W66" s="96">
        <f>('TUSD BE'!$X$66+'TUSD BF'!$X$66+'TUSD CVA'!$X$66)*1</f>
        <v>0</v>
      </c>
      <c r="X66" s="96">
        <f>('TUSD BE'!$Y$66+'TUSD BF'!$Y$66+'TUSD CVA'!$Y$66)*1</f>
        <v>0</v>
      </c>
      <c r="Y66" s="96">
        <f>('TUSD BE'!$Z$66+'TUSD BF'!$Z$66+'TUSD CVA'!$Z$66)*1</f>
        <v>0</v>
      </c>
      <c r="Z66" s="96">
        <f>('TUSD BE'!$AA$66+'TUSD BF'!$AA$66+'TUSD CVA'!$AA$66)*1</f>
        <v>0</v>
      </c>
      <c r="AA66" s="96">
        <f>('TUSD BE'!$AC$66+'TUSD BF'!$AC$66+'TUSD CVA'!$AC$66)*1</f>
        <v>154.50283197094282</v>
      </c>
      <c r="AB66" s="96">
        <f ca="1">('TUSD BE'!$AE$66+'TUSD BF'!$AE$66+'TUSD CVA'!$AE$66)*1</f>
        <v>-19.216519811116264</v>
      </c>
      <c r="AC66" s="96">
        <f ca="1">('TUSD BE'!$AF$66+'TUSD BF'!$AF$66+'TUSD CVA'!$AF$66)*1</f>
        <v>0</v>
      </c>
      <c r="AD66" s="96">
        <f>('TUSD BE'!$AH$66+'TUSD BF'!$AH$66+'TUSD CVA'!$AH$66)*1</f>
        <v>16.158639237131588</v>
      </c>
      <c r="AE66" s="96">
        <f>('TUSD BE'!$AI$66+'TUSD BF'!$AI$66+'TUSD CVA'!$AI$66)*1</f>
        <v>1.3064992589779414</v>
      </c>
      <c r="AF66" s="96">
        <f ca="1">('TUSD BE'!$AJ$66+'TUSD BF'!$AJ$66+'TUSD CVA'!$AJ$66)*1</f>
        <v>32.384351153642456</v>
      </c>
      <c r="AG66" s="96">
        <f ca="1">('TUSD BE'!$AK$66+'TUSD BF'!$AK$66+'TUSD CVA'!$AK$66)*1</f>
        <v>7.4234537858607892</v>
      </c>
      <c r="AH66" s="96"/>
      <c r="AI66" s="96">
        <v>13.866216919555599</v>
      </c>
      <c r="AJ66" s="96">
        <v>0.55116029500592501</v>
      </c>
      <c r="AK66" s="96">
        <v>2.4629569632749</v>
      </c>
      <c r="AL66" s="96">
        <v>0</v>
      </c>
      <c r="AM66" s="96">
        <v>0</v>
      </c>
      <c r="AN66" s="96">
        <v>32.0071201494235</v>
      </c>
      <c r="AO66" s="96">
        <v>11.9157452235119</v>
      </c>
      <c r="AP66" s="96">
        <v>0</v>
      </c>
      <c r="AQ66" s="96">
        <v>17.334379071970002</v>
      </c>
      <c r="AR66" s="96">
        <v>2.6679402148568498</v>
      </c>
      <c r="AS66" s="96">
        <v>9.3213997479874106E-2</v>
      </c>
      <c r="AT66" s="96">
        <v>0</v>
      </c>
      <c r="AU66" s="96">
        <v>0</v>
      </c>
      <c r="AV66" s="96">
        <v>0</v>
      </c>
      <c r="AW66" s="96">
        <v>0</v>
      </c>
      <c r="AX66" s="96">
        <v>154.644165987652</v>
      </c>
      <c r="AY66" s="96">
        <v>-19.218066303012101</v>
      </c>
      <c r="AZ66" s="96">
        <v>0</v>
      </c>
      <c r="BA66" s="96">
        <v>16.167302620456301</v>
      </c>
      <c r="BB66" s="96">
        <v>1.3071997328067</v>
      </c>
      <c r="BC66" s="96">
        <v>32.402494433709698</v>
      </c>
      <c r="BD66" s="96">
        <v>7.4275182178879202</v>
      </c>
    </row>
    <row r="67" spans="1:56" ht="11.25" customHeight="1" x14ac:dyDescent="0.25">
      <c r="A67" s="118"/>
      <c r="B67" s="118"/>
      <c r="C67" s="118"/>
      <c r="D67" s="22" t="s">
        <v>95</v>
      </c>
      <c r="E67" s="22" t="s">
        <v>25</v>
      </c>
      <c r="F67" s="22" t="s">
        <v>25</v>
      </c>
      <c r="G67" s="22" t="s">
        <v>84</v>
      </c>
      <c r="H67" s="22" t="s">
        <v>79</v>
      </c>
      <c r="I67" s="22">
        <f>'MERCADO TUSD'!$U$64</f>
        <v>0</v>
      </c>
      <c r="J67" s="17"/>
      <c r="L67" s="96">
        <f>('TUSD BE'!$L$67+'TUSD BF'!$L$67+'TUSD CVA'!$L$67)*1</f>
        <v>15.126782094060617</v>
      </c>
      <c r="M67" s="96">
        <f>('TUSD BE'!$M$67+'TUSD BF'!$M$67+'TUSD CVA'!$M$67)*1</f>
        <v>0.60075435340115924</v>
      </c>
      <c r="N67" s="96">
        <f ca="1">('TUSD BE'!$N$67+'TUSD BF'!$N$67+'TUSD CVA'!$N$67)*1</f>
        <v>2.6848892960768089</v>
      </c>
      <c r="O67" s="96">
        <f>('TUSD BE'!$O$67+'TUSD BF'!$O$67+'TUSD CVA'!$O$67)*1</f>
        <v>0</v>
      </c>
      <c r="P67" s="96">
        <f>('TUSD BE'!$P$67+'TUSD BF'!$P$67+'TUSD CVA'!$P$67)*1</f>
        <v>0</v>
      </c>
      <c r="Q67" s="96">
        <f>('TUSD BE'!$Q$67+'TUSD BF'!$Q$67+'TUSD CVA'!$Q$67)*1</f>
        <v>34.916858344825592</v>
      </c>
      <c r="R67" s="96">
        <f>('TUSD BE'!$R$67+'TUSD BF'!$R$67+'TUSD CVA'!$R$67)*1</f>
        <v>12.998994789285716</v>
      </c>
      <c r="S67" s="96">
        <f>('TUSD BE'!$S$67+'TUSD BF'!$S$67+'TUSD CVA'!$S$67)*1</f>
        <v>0</v>
      </c>
      <c r="T67" s="96">
        <f>('TUSD BE'!$U$67+'TUSD BF'!$U$67+'TUSD CVA'!$U$67)*1</f>
        <v>18.91023171487635</v>
      </c>
      <c r="U67" s="96">
        <f>('TUSD BE'!$V$67+'TUSD BF'!$V$67+'TUSD CVA'!$V$67)*1</f>
        <v>2.9104802343892877</v>
      </c>
      <c r="V67" s="96">
        <f>('TUSD BE'!$W$67+'TUSD BF'!$W$67+'TUSD CVA'!$W$67)*1</f>
        <v>0.10159426946432669</v>
      </c>
      <c r="W67" s="96">
        <f>('TUSD BE'!$X$67+'TUSD BF'!$X$67+'TUSD CVA'!$X$67)*1</f>
        <v>0</v>
      </c>
      <c r="X67" s="96">
        <f>('TUSD BE'!$Y$67+'TUSD BF'!$Y$67+'TUSD CVA'!$Y$67)*1</f>
        <v>0</v>
      </c>
      <c r="Y67" s="96">
        <f>('TUSD BE'!$Z$67+'TUSD BF'!$Z$67+'TUSD CVA'!$Z$67)*1</f>
        <v>0</v>
      </c>
      <c r="Z67" s="96">
        <f>('TUSD BE'!$AA$67+'TUSD BF'!$AA$67+'TUSD CVA'!$AA$67)*1</f>
        <v>0</v>
      </c>
      <c r="AA67" s="96">
        <f>('TUSD BE'!$AC$67+'TUSD BF'!$AC$67+'TUSD CVA'!$AC$67)*1</f>
        <v>168.54854396830123</v>
      </c>
      <c r="AB67" s="96">
        <f ca="1">('TUSD BE'!$AE$67+'TUSD BF'!$AE$67+'TUSD CVA'!$AE$67)*1</f>
        <v>-20.963476157581372</v>
      </c>
      <c r="AC67" s="96">
        <f ca="1">('TUSD BE'!$AF$67+'TUSD BF'!$AF$67+'TUSD CVA'!$AF$67)*1</f>
        <v>0</v>
      </c>
      <c r="AD67" s="96">
        <f>('TUSD BE'!$AH$67+'TUSD BF'!$AH$67+'TUSD CVA'!$AH$67)*1</f>
        <v>17.627606440507186</v>
      </c>
      <c r="AE67" s="96">
        <f>('TUSD BE'!$AI$67+'TUSD BF'!$AI$67+'TUSD CVA'!$AI$67)*1</f>
        <v>1.4252719188850265</v>
      </c>
      <c r="AF67" s="96">
        <f ca="1">('TUSD BE'!$AJ$67+'TUSD BF'!$AJ$67+'TUSD CVA'!$AJ$67)*1</f>
        <v>35.32838307670086</v>
      </c>
      <c r="AG67" s="96">
        <f ca="1">('TUSD BE'!$AK$67+'TUSD BF'!$AK$67+'TUSD CVA'!$AK$67)*1</f>
        <v>8.098313220939044</v>
      </c>
      <c r="AH67" s="96"/>
      <c r="AI67" s="96">
        <v>15.1267820940606</v>
      </c>
      <c r="AJ67" s="96">
        <v>0.60126577637010004</v>
      </c>
      <c r="AK67" s="96">
        <v>2.6868621417544301</v>
      </c>
      <c r="AL67" s="96">
        <v>0</v>
      </c>
      <c r="AM67" s="96">
        <v>0</v>
      </c>
      <c r="AN67" s="96">
        <v>34.916858344825599</v>
      </c>
      <c r="AO67" s="96">
        <v>12.9989947892857</v>
      </c>
      <c r="AP67" s="96">
        <v>0</v>
      </c>
      <c r="AQ67" s="96">
        <v>18.9102317148763</v>
      </c>
      <c r="AR67" s="96">
        <v>2.9104802343892899</v>
      </c>
      <c r="AS67" s="96">
        <v>0.101687997250772</v>
      </c>
      <c r="AT67" s="96">
        <v>0</v>
      </c>
      <c r="AU67" s="96">
        <v>0</v>
      </c>
      <c r="AV67" s="96">
        <v>0</v>
      </c>
      <c r="AW67" s="96">
        <v>0</v>
      </c>
      <c r="AX67" s="96">
        <v>168.70272653198401</v>
      </c>
      <c r="AY67" s="96">
        <v>-20.965163239649598</v>
      </c>
      <c r="AZ67" s="96">
        <v>0</v>
      </c>
      <c r="BA67" s="96">
        <v>17.6370574041342</v>
      </c>
      <c r="BB67" s="96">
        <v>1.4260360721527701</v>
      </c>
      <c r="BC67" s="96">
        <v>35.348175745865099</v>
      </c>
      <c r="BD67" s="96">
        <v>8.10274714678682</v>
      </c>
    </row>
    <row r="69" spans="1:56" ht="11.25" customHeight="1" x14ac:dyDescent="0.25">
      <c r="L69" s="119" t="s">
        <v>944</v>
      </c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I69" s="119" t="s">
        <v>945</v>
      </c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</row>
    <row r="70" spans="1:56" ht="11.25" customHeight="1" x14ac:dyDescent="0.25">
      <c r="L70" s="119" t="s">
        <v>644</v>
      </c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I70" s="119" t="s">
        <v>644</v>
      </c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</row>
    <row r="71" spans="1:56" ht="11.25" customHeight="1" x14ac:dyDescent="0.25">
      <c r="L71" s="119" t="s">
        <v>645</v>
      </c>
      <c r="M71" s="119"/>
      <c r="N71" s="119"/>
      <c r="O71" s="119"/>
      <c r="P71" s="119"/>
      <c r="Q71" s="119"/>
      <c r="R71" s="119"/>
      <c r="S71" s="119"/>
      <c r="T71" s="119" t="s">
        <v>654</v>
      </c>
      <c r="U71" s="119"/>
      <c r="V71" s="119"/>
      <c r="W71" s="119"/>
      <c r="X71" s="119"/>
      <c r="Y71" s="119"/>
      <c r="Z71" s="119"/>
      <c r="AA71" s="98" t="s">
        <v>662</v>
      </c>
      <c r="AB71" s="119" t="s">
        <v>664</v>
      </c>
      <c r="AC71" s="119"/>
      <c r="AD71" s="119" t="s">
        <v>667</v>
      </c>
      <c r="AE71" s="119"/>
      <c r="AF71" s="119"/>
      <c r="AG71" s="119"/>
      <c r="AI71" s="119" t="s">
        <v>645</v>
      </c>
      <c r="AJ71" s="119"/>
      <c r="AK71" s="119"/>
      <c r="AL71" s="119"/>
      <c r="AM71" s="119"/>
      <c r="AN71" s="119"/>
      <c r="AO71" s="119"/>
      <c r="AP71" s="119"/>
      <c r="AQ71" s="119" t="s">
        <v>654</v>
      </c>
      <c r="AR71" s="119"/>
      <c r="AS71" s="119"/>
      <c r="AT71" s="119"/>
      <c r="AU71" s="119"/>
      <c r="AV71" s="119"/>
      <c r="AW71" s="119"/>
      <c r="AX71" s="98" t="s">
        <v>662</v>
      </c>
      <c r="AY71" s="119" t="s">
        <v>664</v>
      </c>
      <c r="AZ71" s="119"/>
      <c r="BA71" s="119" t="s">
        <v>667</v>
      </c>
      <c r="BB71" s="119"/>
      <c r="BC71" s="119"/>
      <c r="BD71" s="119"/>
    </row>
    <row r="72" spans="1:56" ht="11.25" customHeight="1" x14ac:dyDescent="0.25">
      <c r="L72" s="98" t="s">
        <v>730</v>
      </c>
      <c r="M72" s="98" t="s">
        <v>646</v>
      </c>
      <c r="N72" s="98" t="s">
        <v>647</v>
      </c>
      <c r="O72" s="98" t="s">
        <v>648</v>
      </c>
      <c r="P72" s="98" t="s">
        <v>649</v>
      </c>
      <c r="Q72" s="98" t="s">
        <v>650</v>
      </c>
      <c r="R72" s="98" t="s">
        <v>651</v>
      </c>
      <c r="S72" s="98" t="s">
        <v>652</v>
      </c>
      <c r="T72" s="98" t="s">
        <v>655</v>
      </c>
      <c r="U72" s="98" t="s">
        <v>656</v>
      </c>
      <c r="V72" s="98" t="s">
        <v>657</v>
      </c>
      <c r="W72" s="98" t="s">
        <v>658</v>
      </c>
      <c r="X72" s="98" t="s">
        <v>659</v>
      </c>
      <c r="Y72" s="98" t="s">
        <v>660</v>
      </c>
      <c r="Z72" s="98" t="s">
        <v>661</v>
      </c>
      <c r="AA72" s="98" t="s">
        <v>663</v>
      </c>
      <c r="AB72" s="98" t="s">
        <v>665</v>
      </c>
      <c r="AC72" s="98" t="s">
        <v>666</v>
      </c>
      <c r="AD72" s="98" t="s">
        <v>668</v>
      </c>
      <c r="AE72" s="98" t="s">
        <v>669</v>
      </c>
      <c r="AF72" s="98" t="s">
        <v>670</v>
      </c>
      <c r="AG72" s="98" t="s">
        <v>671</v>
      </c>
      <c r="AH72" s="98"/>
      <c r="AI72" s="98" t="s">
        <v>730</v>
      </c>
      <c r="AJ72" s="98" t="s">
        <v>646</v>
      </c>
      <c r="AK72" s="98" t="s">
        <v>647</v>
      </c>
      <c r="AL72" s="98" t="s">
        <v>648</v>
      </c>
      <c r="AM72" s="98" t="s">
        <v>649</v>
      </c>
      <c r="AN72" s="98" t="s">
        <v>650</v>
      </c>
      <c r="AO72" s="98" t="s">
        <v>651</v>
      </c>
      <c r="AP72" s="98" t="s">
        <v>652</v>
      </c>
      <c r="AQ72" s="98" t="s">
        <v>655</v>
      </c>
      <c r="AR72" s="98" t="s">
        <v>656</v>
      </c>
      <c r="AS72" s="98" t="s">
        <v>657</v>
      </c>
      <c r="AT72" s="98" t="s">
        <v>658</v>
      </c>
      <c r="AU72" s="98" t="s">
        <v>659</v>
      </c>
      <c r="AV72" s="98" t="s">
        <v>660</v>
      </c>
      <c r="AW72" s="98" t="s">
        <v>661</v>
      </c>
      <c r="AX72" s="98" t="s">
        <v>663</v>
      </c>
      <c r="AY72" s="98" t="s">
        <v>665</v>
      </c>
      <c r="AZ72" s="98" t="s">
        <v>666</v>
      </c>
      <c r="BA72" s="98" t="s">
        <v>668</v>
      </c>
      <c r="BB72" s="98" t="s">
        <v>669</v>
      </c>
      <c r="BC72" s="98" t="s">
        <v>670</v>
      </c>
      <c r="BD72" s="98" t="s">
        <v>671</v>
      </c>
    </row>
    <row r="73" spans="1:56" ht="11.25" customHeight="1" x14ac:dyDescent="0.25">
      <c r="A73" s="9" t="s">
        <v>57</v>
      </c>
      <c r="B73" s="9" t="s">
        <v>946</v>
      </c>
      <c r="C73" s="9" t="s">
        <v>947</v>
      </c>
      <c r="D73" s="9" t="s">
        <v>948</v>
      </c>
      <c r="E73" s="9" t="s">
        <v>949</v>
      </c>
      <c r="F73" s="9" t="s">
        <v>950</v>
      </c>
      <c r="G73" s="9" t="s">
        <v>951</v>
      </c>
      <c r="L73" s="96">
        <f>$I$5*$L$5</f>
        <v>0</v>
      </c>
      <c r="M73" s="96">
        <f>$I$5*$M$5</f>
        <v>0</v>
      </c>
      <c r="N73" s="96">
        <f ca="1">$I$5*$N$5</f>
        <v>0</v>
      </c>
      <c r="O73" s="96">
        <f>$I$5*$O$5</f>
        <v>0</v>
      </c>
      <c r="P73" s="96">
        <f>$I$5*$P$5</f>
        <v>0</v>
      </c>
      <c r="Q73" s="96">
        <f>$I$5*$Q$5</f>
        <v>0</v>
      </c>
      <c r="R73" s="96">
        <f>$I$5*$R$5</f>
        <v>0</v>
      </c>
      <c r="S73" s="96">
        <f>$I$5*$S$5</f>
        <v>0</v>
      </c>
      <c r="T73" s="96">
        <f>$I$5*$T$5</f>
        <v>0</v>
      </c>
      <c r="U73" s="96">
        <f>$I$5*$U$5</f>
        <v>0</v>
      </c>
      <c r="V73" s="96">
        <f>$I$5*$V$5</f>
        <v>0</v>
      </c>
      <c r="W73" s="96">
        <f>$I$5*$W$5</f>
        <v>0</v>
      </c>
      <c r="X73" s="96">
        <f>$I$5*$X$5</f>
        <v>0</v>
      </c>
      <c r="Y73" s="96">
        <f>$I$5*$Y$5</f>
        <v>0</v>
      </c>
      <c r="Z73" s="96">
        <f>$I$5*$Z$5</f>
        <v>138701.27708333469</v>
      </c>
      <c r="AA73" s="96">
        <f>$I$5*$AA$5</f>
        <v>6324661.3003150625</v>
      </c>
      <c r="AB73" s="96">
        <f ca="1">$I$5*$AB$5</f>
        <v>-427770.16830356274</v>
      </c>
      <c r="AC73" s="96">
        <f ca="1">$I$5*$AC$5</f>
        <v>0</v>
      </c>
      <c r="AD73" s="96">
        <f>$I$5*$AD$5</f>
        <v>0</v>
      </c>
      <c r="AE73" s="96">
        <f>$I$5*$AE$5</f>
        <v>0</v>
      </c>
      <c r="AF73" s="96">
        <f ca="1">$I$5*$AF$5</f>
        <v>0</v>
      </c>
      <c r="AG73" s="96">
        <f ca="1">$I$5*$AG$5</f>
        <v>0</v>
      </c>
      <c r="AH73" s="96"/>
      <c r="AI73" s="96">
        <f>$I$5*$AI$5</f>
        <v>0</v>
      </c>
      <c r="AJ73" s="96">
        <f>$I$5*$AJ$5</f>
        <v>0</v>
      </c>
      <c r="AK73" s="96">
        <f>$I$5*$AK$5</f>
        <v>0</v>
      </c>
      <c r="AL73" s="96">
        <f>$I$5*$AL$5</f>
        <v>0</v>
      </c>
      <c r="AM73" s="96">
        <f>$I$5*$AM$5</f>
        <v>0</v>
      </c>
      <c r="AN73" s="96">
        <f>$I$5*$AN$5</f>
        <v>0</v>
      </c>
      <c r="AO73" s="96">
        <f>$I$5*$AO$5</f>
        <v>0</v>
      </c>
      <c r="AP73" s="96">
        <f>$I$5*$AP$5</f>
        <v>0</v>
      </c>
      <c r="AQ73" s="96">
        <f>$I$5*$AQ$5</f>
        <v>0</v>
      </c>
      <c r="AR73" s="96">
        <f>$I$5*$AR$5</f>
        <v>0</v>
      </c>
      <c r="AS73" s="96">
        <f>$I$5*$AS$5</f>
        <v>0</v>
      </c>
      <c r="AT73" s="96">
        <f>$I$5*$AT$5</f>
        <v>0</v>
      </c>
      <c r="AU73" s="96">
        <f>$I$5*$AU$5</f>
        <v>0</v>
      </c>
      <c r="AV73" s="96">
        <f>$I$5*$AV$5</f>
        <v>0</v>
      </c>
      <c r="AW73" s="96">
        <f>$I$5*$AW$5</f>
        <v>138701.27708333501</v>
      </c>
      <c r="AX73" s="96">
        <f>$I$5*$AX$5</f>
        <v>6324642.0283179218</v>
      </c>
      <c r="AY73" s="96">
        <f>$I$5*$AY$5</f>
        <v>-427545.0756770873</v>
      </c>
      <c r="AZ73" s="96">
        <f>$I$5*$AZ$5</f>
        <v>0</v>
      </c>
      <c r="BA73" s="96">
        <f>$I$5*$BA$5</f>
        <v>0</v>
      </c>
      <c r="BB73" s="96">
        <f>$I$5*$BB$5</f>
        <v>0</v>
      </c>
      <c r="BC73" s="96">
        <f>$I$5*$BC$5</f>
        <v>0</v>
      </c>
      <c r="BD73" s="96">
        <f>$I$5*$BD$5</f>
        <v>0</v>
      </c>
    </row>
    <row r="74" spans="1:56" ht="11.25" customHeight="1" x14ac:dyDescent="0.25">
      <c r="A74" s="9" t="s">
        <v>57</v>
      </c>
      <c r="B74" s="9" t="s">
        <v>946</v>
      </c>
      <c r="C74" s="9" t="s">
        <v>947</v>
      </c>
      <c r="D74" s="9" t="s">
        <v>948</v>
      </c>
      <c r="E74" s="9" t="s">
        <v>949</v>
      </c>
      <c r="F74" s="9" t="s">
        <v>952</v>
      </c>
      <c r="G74" s="9" t="s">
        <v>953</v>
      </c>
      <c r="L74" s="96">
        <f>$I$6*$L$6</f>
        <v>0</v>
      </c>
      <c r="M74" s="96">
        <f>$I$6*$M$6</f>
        <v>0</v>
      </c>
      <c r="N74" s="96">
        <f ca="1">$I$6*$N$6</f>
        <v>0</v>
      </c>
      <c r="O74" s="96">
        <f>$I$6*$O$6</f>
        <v>0</v>
      </c>
      <c r="P74" s="96">
        <f>$I$6*$P$6</f>
        <v>0</v>
      </c>
      <c r="Q74" s="96">
        <f>$I$6*$Q$6</f>
        <v>0</v>
      </c>
      <c r="R74" s="96">
        <f>$I$6*$R$6</f>
        <v>0</v>
      </c>
      <c r="S74" s="96">
        <f>$I$6*$S$6</f>
        <v>0</v>
      </c>
      <c r="T74" s="96">
        <f>$I$6*$T$6</f>
        <v>0</v>
      </c>
      <c r="U74" s="96">
        <f>$I$6*$U$6</f>
        <v>0</v>
      </c>
      <c r="V74" s="96">
        <f>$I$6*$V$6</f>
        <v>0</v>
      </c>
      <c r="W74" s="96">
        <f>$I$6*$W$6</f>
        <v>0</v>
      </c>
      <c r="X74" s="96">
        <f>$I$6*$X$6</f>
        <v>0</v>
      </c>
      <c r="Y74" s="96">
        <f>$I$6*$Y$6</f>
        <v>0</v>
      </c>
      <c r="Z74" s="96">
        <f>$I$6*$Z$6</f>
        <v>0</v>
      </c>
      <c r="AA74" s="96">
        <f>$I$6*$AA$6</f>
        <v>0</v>
      </c>
      <c r="AB74" s="96">
        <f ca="1">$I$6*$AB$6</f>
        <v>0</v>
      </c>
      <c r="AC74" s="96">
        <f ca="1">$I$6*$AC$6</f>
        <v>0</v>
      </c>
      <c r="AD74" s="96">
        <f>$I$6*$AD$6</f>
        <v>0</v>
      </c>
      <c r="AE74" s="96">
        <f>$I$6*$AE$6</f>
        <v>0</v>
      </c>
      <c r="AF74" s="96">
        <f ca="1">$I$6*$AF$6</f>
        <v>0</v>
      </c>
      <c r="AG74" s="96">
        <f ca="1">$I$6*$AG$6</f>
        <v>0</v>
      </c>
      <c r="AH74" s="96"/>
      <c r="AI74" s="96">
        <f>$I$6*$AI$6</f>
        <v>0</v>
      </c>
      <c r="AJ74" s="96">
        <f>$I$6*$AJ$6</f>
        <v>0</v>
      </c>
      <c r="AK74" s="96">
        <f>$I$6*$AK$6</f>
        <v>0</v>
      </c>
      <c r="AL74" s="96">
        <f>$I$6*$AL$6</f>
        <v>0</v>
      </c>
      <c r="AM74" s="96">
        <f>$I$6*$AM$6</f>
        <v>0</v>
      </c>
      <c r="AN74" s="96">
        <f>$I$6*$AN$6</f>
        <v>0</v>
      </c>
      <c r="AO74" s="96">
        <f>$I$6*$AO$6</f>
        <v>0</v>
      </c>
      <c r="AP74" s="96">
        <f>$I$6*$AP$6</f>
        <v>0</v>
      </c>
      <c r="AQ74" s="96">
        <f>$I$6*$AQ$6</f>
        <v>0</v>
      </c>
      <c r="AR74" s="96">
        <f>$I$6*$AR$6</f>
        <v>0</v>
      </c>
      <c r="AS74" s="96">
        <f>$I$6*$AS$6</f>
        <v>0</v>
      </c>
      <c r="AT74" s="96">
        <f>$I$6*$AT$6</f>
        <v>0</v>
      </c>
      <c r="AU74" s="96">
        <f>$I$6*$AU$6</f>
        <v>0</v>
      </c>
      <c r="AV74" s="96">
        <f>$I$6*$AV$6</f>
        <v>0</v>
      </c>
      <c r="AW74" s="96">
        <f>$I$6*$AW$6</f>
        <v>0</v>
      </c>
      <c r="AX74" s="96">
        <f>$I$6*$AX$6</f>
        <v>0</v>
      </c>
      <c r="AY74" s="96">
        <f>$I$6*$AY$6</f>
        <v>0</v>
      </c>
      <c r="AZ74" s="96">
        <f>$I$6*$AZ$6</f>
        <v>0</v>
      </c>
      <c r="BA74" s="96">
        <f>$I$6*$BA$6</f>
        <v>0</v>
      </c>
      <c r="BB74" s="96">
        <f>$I$6*$BB$6</f>
        <v>0</v>
      </c>
      <c r="BC74" s="96">
        <f>$I$6*$BC$6</f>
        <v>0</v>
      </c>
      <c r="BD74" s="96">
        <f>$I$6*$BD$6</f>
        <v>0</v>
      </c>
    </row>
    <row r="75" spans="1:56" ht="11.25" customHeight="1" x14ac:dyDescent="0.25">
      <c r="A75" s="9" t="s">
        <v>39</v>
      </c>
      <c r="B75" s="9" t="s">
        <v>954</v>
      </c>
      <c r="C75" s="9" t="s">
        <v>955</v>
      </c>
      <c r="D75" s="9" t="s">
        <v>956</v>
      </c>
      <c r="E75" s="9" t="s">
        <v>957</v>
      </c>
      <c r="F75" s="9" t="s">
        <v>958</v>
      </c>
      <c r="G75" s="9" t="s">
        <v>959</v>
      </c>
      <c r="L75" s="96">
        <f>$I$7*$L$7</f>
        <v>0</v>
      </c>
      <c r="M75" s="96">
        <f>$I$7*$M$7</f>
        <v>0</v>
      </c>
      <c r="N75" s="96">
        <f ca="1">$I$7*$N$7</f>
        <v>0</v>
      </c>
      <c r="O75" s="96">
        <f>$I$7*$O$7</f>
        <v>0</v>
      </c>
      <c r="P75" s="96">
        <f>$I$7*$P$7</f>
        <v>0</v>
      </c>
      <c r="Q75" s="96">
        <f>$I$7*$Q$7</f>
        <v>0</v>
      </c>
      <c r="R75" s="96">
        <f>$I$7*$R$7</f>
        <v>0</v>
      </c>
      <c r="S75" s="96">
        <f>$I$7*$S$7</f>
        <v>0</v>
      </c>
      <c r="T75" s="96">
        <f>$I$7*$T$7</f>
        <v>1100355.949994463</v>
      </c>
      <c r="U75" s="96">
        <f>$I$7*$U$7</f>
        <v>166778.910289386</v>
      </c>
      <c r="V75" s="96">
        <f>$I$7*$V$7</f>
        <v>6099.0310799330255</v>
      </c>
      <c r="W75" s="96">
        <f>$I$7*$W$7</f>
        <v>0</v>
      </c>
      <c r="X75" s="96">
        <f>$I$7*$X$7</f>
        <v>0</v>
      </c>
      <c r="Y75" s="96">
        <f>$I$7*$Y$7</f>
        <v>0</v>
      </c>
      <c r="Z75" s="96">
        <f>$I$7*$Z$7</f>
        <v>0</v>
      </c>
      <c r="AA75" s="96">
        <f>$I$7*$AA$7</f>
        <v>5010590.5506764995</v>
      </c>
      <c r="AB75" s="96">
        <f ca="1">$I$7*$AB$7</f>
        <v>-424654.63314279786</v>
      </c>
      <c r="AC75" s="96">
        <f ca="1">$I$7*$AC$7</f>
        <v>0</v>
      </c>
      <c r="AD75" s="96">
        <f>$I$7*$AD$7</f>
        <v>0</v>
      </c>
      <c r="AE75" s="96">
        <f>$I$7*$AE$7</f>
        <v>0</v>
      </c>
      <c r="AF75" s="96">
        <f ca="1">$I$7*$AF$7</f>
        <v>0</v>
      </c>
      <c r="AG75" s="96">
        <f ca="1">$I$7*$AG$7</f>
        <v>0</v>
      </c>
      <c r="AH75" s="96"/>
      <c r="AI75" s="96">
        <f>$I$7*$AI$7</f>
        <v>0</v>
      </c>
      <c r="AJ75" s="96">
        <f>$I$7*$AJ$7</f>
        <v>0</v>
      </c>
      <c r="AK75" s="96">
        <f>$I$7*$AK$7</f>
        <v>0</v>
      </c>
      <c r="AL75" s="96">
        <f>$I$7*$AL$7</f>
        <v>0</v>
      </c>
      <c r="AM75" s="96">
        <f>$I$7*$AM$7</f>
        <v>0</v>
      </c>
      <c r="AN75" s="96">
        <f>$I$7*$AN$7</f>
        <v>0</v>
      </c>
      <c r="AO75" s="96">
        <f>$I$7*$AO$7</f>
        <v>0</v>
      </c>
      <c r="AP75" s="96">
        <f>$I$7*$AP$7</f>
        <v>0</v>
      </c>
      <c r="AQ75" s="96">
        <f>$I$7*$AQ$7</f>
        <v>1100355.9499944632</v>
      </c>
      <c r="AR75" s="96">
        <f>$I$7*$AR$7</f>
        <v>166778.9102893862</v>
      </c>
      <c r="AS75" s="96">
        <f>$I$7*$AS$7</f>
        <v>6104.6578607110778</v>
      </c>
      <c r="AT75" s="96">
        <f>$I$7*$AT$7</f>
        <v>0</v>
      </c>
      <c r="AU75" s="96">
        <f>$I$7*$AU$7</f>
        <v>0</v>
      </c>
      <c r="AV75" s="96">
        <f>$I$7*$AV$7</f>
        <v>0</v>
      </c>
      <c r="AW75" s="96">
        <f>$I$7*$AW$7</f>
        <v>0</v>
      </c>
      <c r="AX75" s="96">
        <f>$I$7*$AX$7</f>
        <v>5015174.0711180335</v>
      </c>
      <c r="AY75" s="96">
        <f>$I$7*$AY$7</f>
        <v>-424736.18859146192</v>
      </c>
      <c r="AZ75" s="96">
        <f>$I$7*$AZ$7</f>
        <v>0</v>
      </c>
      <c r="BA75" s="96">
        <f>$I$7*$BA$7</f>
        <v>0</v>
      </c>
      <c r="BB75" s="96">
        <f>$I$7*$BB$7</f>
        <v>0</v>
      </c>
      <c r="BC75" s="96">
        <f>$I$7*$BC$7</f>
        <v>0</v>
      </c>
      <c r="BD75" s="96">
        <f>$I$7*$BD$7</f>
        <v>0</v>
      </c>
    </row>
    <row r="76" spans="1:56" ht="11.25" customHeight="1" x14ac:dyDescent="0.25">
      <c r="A76" s="9" t="s">
        <v>39</v>
      </c>
      <c r="B76" s="9" t="s">
        <v>954</v>
      </c>
      <c r="C76" s="9" t="s">
        <v>955</v>
      </c>
      <c r="D76" s="9" t="s">
        <v>956</v>
      </c>
      <c r="E76" s="9" t="s">
        <v>957</v>
      </c>
      <c r="F76" s="9" t="s">
        <v>958</v>
      </c>
      <c r="G76" s="9" t="s">
        <v>960</v>
      </c>
      <c r="L76" s="96">
        <f>$I$8*$L$8</f>
        <v>0</v>
      </c>
      <c r="M76" s="96">
        <f>$I$8*$M$8</f>
        <v>0</v>
      </c>
      <c r="N76" s="96">
        <f ca="1">$I$8*$N$8</f>
        <v>0</v>
      </c>
      <c r="O76" s="96">
        <f>$I$8*$O$8</f>
        <v>0</v>
      </c>
      <c r="P76" s="96">
        <f>$I$8*$P$8</f>
        <v>0</v>
      </c>
      <c r="Q76" s="96">
        <f>$I$8*$Q$8</f>
        <v>0</v>
      </c>
      <c r="R76" s="96">
        <f>$I$8*$R$8</f>
        <v>0</v>
      </c>
      <c r="S76" s="96">
        <f>$I$8*$S$8</f>
        <v>0</v>
      </c>
      <c r="T76" s="96">
        <f>$I$8*$T$8</f>
        <v>1286784.2589086683</v>
      </c>
      <c r="U76" s="96">
        <f>$I$8*$U$8</f>
        <v>200992.32537521928</v>
      </c>
      <c r="V76" s="96">
        <f>$I$8*$V$8</f>
        <v>6700.135463414982</v>
      </c>
      <c r="W76" s="96">
        <f>$I$8*$W$8</f>
        <v>0</v>
      </c>
      <c r="X76" s="96">
        <f>$I$8*$X$8</f>
        <v>0</v>
      </c>
      <c r="Y76" s="96">
        <f>$I$8*$Y$8</f>
        <v>0</v>
      </c>
      <c r="Z76" s="96">
        <f>$I$8*$Z$8</f>
        <v>0</v>
      </c>
      <c r="AA76" s="96">
        <f>$I$8*$AA$8</f>
        <v>663246.96827683633</v>
      </c>
      <c r="AB76" s="96">
        <f ca="1">$I$8*$AB$8</f>
        <v>-152554.13262006378</v>
      </c>
      <c r="AC76" s="96">
        <f ca="1">$I$8*$AC$8</f>
        <v>0</v>
      </c>
      <c r="AD76" s="96">
        <f>$I$8*$AD$8</f>
        <v>0</v>
      </c>
      <c r="AE76" s="96">
        <f>$I$8*$AE$8</f>
        <v>0</v>
      </c>
      <c r="AF76" s="96">
        <f ca="1">$I$8*$AF$8</f>
        <v>0</v>
      </c>
      <c r="AG76" s="96">
        <f ca="1">$I$8*$AG$8</f>
        <v>0</v>
      </c>
      <c r="AH76" s="96"/>
      <c r="AI76" s="96">
        <f>$I$8*$AI$8</f>
        <v>0</v>
      </c>
      <c r="AJ76" s="96">
        <f>$I$8*$AJ$8</f>
        <v>0</v>
      </c>
      <c r="AK76" s="96">
        <f>$I$8*$AK$8</f>
        <v>0</v>
      </c>
      <c r="AL76" s="96">
        <f>$I$8*$AL$8</f>
        <v>0</v>
      </c>
      <c r="AM76" s="96">
        <f>$I$8*$AM$8</f>
        <v>0</v>
      </c>
      <c r="AN76" s="96">
        <f>$I$8*$AN$8</f>
        <v>0</v>
      </c>
      <c r="AO76" s="96">
        <f>$I$8*$AO$8</f>
        <v>0</v>
      </c>
      <c r="AP76" s="96">
        <f>$I$8*$AP$8</f>
        <v>0</v>
      </c>
      <c r="AQ76" s="96">
        <f>$I$8*$AQ$8</f>
        <v>1286784.2589086681</v>
      </c>
      <c r="AR76" s="96">
        <f>$I$8*$AR$8</f>
        <v>200992.3253752192</v>
      </c>
      <c r="AS76" s="96">
        <f>$I$8*$AS$8</f>
        <v>6706.3168048349189</v>
      </c>
      <c r="AT76" s="96">
        <f>$I$8*$AT$8</f>
        <v>0</v>
      </c>
      <c r="AU76" s="96">
        <f>$I$8*$AU$8</f>
        <v>0</v>
      </c>
      <c r="AV76" s="96">
        <f>$I$8*$AV$8</f>
        <v>0</v>
      </c>
      <c r="AW76" s="96">
        <f>$I$8*$AW$8</f>
        <v>0</v>
      </c>
      <c r="AX76" s="96">
        <f>$I$8*$AX$8</f>
        <v>663853.68439265876</v>
      </c>
      <c r="AY76" s="96">
        <f>$I$8*$AY$8</f>
        <v>-152514.59370535173</v>
      </c>
      <c r="AZ76" s="96">
        <f>$I$8*$AZ$8</f>
        <v>0</v>
      </c>
      <c r="BA76" s="96">
        <f>$I$8*$BA$8</f>
        <v>0</v>
      </c>
      <c r="BB76" s="96">
        <f>$I$8*$BB$8</f>
        <v>0</v>
      </c>
      <c r="BC76" s="96">
        <f>$I$8*$BC$8</f>
        <v>0</v>
      </c>
      <c r="BD76" s="96">
        <f>$I$8*$BD$8</f>
        <v>0</v>
      </c>
    </row>
    <row r="77" spans="1:56" ht="11.25" customHeight="1" x14ac:dyDescent="0.25">
      <c r="A77" s="9" t="s">
        <v>39</v>
      </c>
      <c r="B77" s="9" t="s">
        <v>954</v>
      </c>
      <c r="C77" s="9" t="s">
        <v>955</v>
      </c>
      <c r="D77" s="9" t="s">
        <v>956</v>
      </c>
      <c r="E77" s="9" t="s">
        <v>957</v>
      </c>
      <c r="F77" s="9" t="s">
        <v>958</v>
      </c>
      <c r="G77" s="9" t="s">
        <v>961</v>
      </c>
      <c r="L77" s="96">
        <f>$I$9*$L$9</f>
        <v>1143169.3897508001</v>
      </c>
      <c r="M77" s="96">
        <f>$I$9*$M$9</f>
        <v>20226.99968285716</v>
      </c>
      <c r="N77" s="96">
        <f ca="1">$I$9*$N$9</f>
        <v>62007.054678754837</v>
      </c>
      <c r="O77" s="96">
        <f>$I$9*$O$9</f>
        <v>0</v>
      </c>
      <c r="P77" s="96">
        <f>$I$9*$P$9</f>
        <v>0</v>
      </c>
      <c r="Q77" s="96">
        <f>$I$9*$Q$9</f>
        <v>2638755.7775253458</v>
      </c>
      <c r="R77" s="96">
        <f>$I$9*$R$9</f>
        <v>1584463.0519947915</v>
      </c>
      <c r="S77" s="96">
        <f>$I$9*$S$9</f>
        <v>0</v>
      </c>
      <c r="T77" s="96">
        <f>$I$9*$T$9</f>
        <v>0</v>
      </c>
      <c r="U77" s="96">
        <f>$I$9*$U$9</f>
        <v>0</v>
      </c>
      <c r="V77" s="96">
        <f>$I$9*$V$9</f>
        <v>0</v>
      </c>
      <c r="W77" s="96">
        <f>$I$9*$W$9</f>
        <v>0</v>
      </c>
      <c r="X77" s="96">
        <f>$I$9*$X$9</f>
        <v>0</v>
      </c>
      <c r="Y77" s="96">
        <f>$I$9*$Y$9</f>
        <v>0</v>
      </c>
      <c r="Z77" s="96">
        <f>$I$9*$Z$9</f>
        <v>0</v>
      </c>
      <c r="AA77" s="96">
        <f>$I$9*$AA$9</f>
        <v>0</v>
      </c>
      <c r="AB77" s="96">
        <f ca="1">$I$9*$AB$9</f>
        <v>-658132.98277933465</v>
      </c>
      <c r="AC77" s="96">
        <f ca="1">$I$9*$AC$9</f>
        <v>0</v>
      </c>
      <c r="AD77" s="96">
        <f>$I$9*$AD$9</f>
        <v>2148650.0727818049</v>
      </c>
      <c r="AE77" s="96">
        <f>$I$9*$AE$9</f>
        <v>173728.10214374537</v>
      </c>
      <c r="AF77" s="96">
        <f ca="1">$I$9*$AF$9</f>
        <v>2163416.5112244599</v>
      </c>
      <c r="AG77" s="96">
        <f ca="1">$I$9*$AG$9</f>
        <v>495919.23007654876</v>
      </c>
      <c r="AH77" s="96"/>
      <c r="AI77" s="96">
        <f>$I$9*$AI$9</f>
        <v>1143169.3897507971</v>
      </c>
      <c r="AJ77" s="96">
        <f>$I$9*$AJ$9</f>
        <v>20244.218954214895</v>
      </c>
      <c r="AK77" s="96">
        <f>$I$9*$AK$9</f>
        <v>62057.015827792478</v>
      </c>
      <c r="AL77" s="96">
        <f>$I$9*$AL$9</f>
        <v>0</v>
      </c>
      <c r="AM77" s="96">
        <f>$I$9*$AM$9</f>
        <v>0</v>
      </c>
      <c r="AN77" s="96">
        <f>$I$9*$AN$9</f>
        <v>2638755.7775253421</v>
      </c>
      <c r="AO77" s="96">
        <f>$I$9*$AO$9</f>
        <v>1584463.0519947922</v>
      </c>
      <c r="AP77" s="96">
        <f>$I$9*$AP$9</f>
        <v>0</v>
      </c>
      <c r="AQ77" s="96">
        <f>$I$9*$AQ$9</f>
        <v>0</v>
      </c>
      <c r="AR77" s="96">
        <f>$I$9*$AR$9</f>
        <v>0</v>
      </c>
      <c r="AS77" s="96">
        <f>$I$9*$AS$9</f>
        <v>0</v>
      </c>
      <c r="AT77" s="96">
        <f>$I$9*$AT$9</f>
        <v>0</v>
      </c>
      <c r="AU77" s="96">
        <f>$I$9*$AU$9</f>
        <v>0</v>
      </c>
      <c r="AV77" s="96">
        <f>$I$9*$AV$9</f>
        <v>0</v>
      </c>
      <c r="AW77" s="96">
        <f>$I$9*$AW$9</f>
        <v>0</v>
      </c>
      <c r="AX77" s="96">
        <f>$I$9*$AX$9</f>
        <v>0</v>
      </c>
      <c r="AY77" s="96">
        <f>$I$9*$AY$9</f>
        <v>-657927.94181666872</v>
      </c>
      <c r="AZ77" s="96">
        <f>$I$9*$AZ$9</f>
        <v>0</v>
      </c>
      <c r="BA77" s="96">
        <f>$I$9*$BA$9</f>
        <v>2149802.062063707</v>
      </c>
      <c r="BB77" s="96">
        <f>$I$9*$BB$9</f>
        <v>173821.24570126066</v>
      </c>
      <c r="BC77" s="96">
        <f>$I$9*$BC$9</f>
        <v>2164145.0005243495</v>
      </c>
      <c r="BD77" s="96">
        <f>$I$9*$BD$9</f>
        <v>496079.90676245478</v>
      </c>
    </row>
    <row r="78" spans="1:56" ht="11.25" customHeight="1" x14ac:dyDescent="0.25">
      <c r="A78" s="9" t="s">
        <v>39</v>
      </c>
      <c r="B78" s="9" t="s">
        <v>954</v>
      </c>
      <c r="C78" s="9" t="s">
        <v>955</v>
      </c>
      <c r="D78" s="9" t="s">
        <v>956</v>
      </c>
      <c r="E78" s="9" t="s">
        <v>962</v>
      </c>
      <c r="F78" s="9" t="s">
        <v>963</v>
      </c>
      <c r="G78" s="9" t="s">
        <v>964</v>
      </c>
      <c r="L78" s="96">
        <f>$I$10*$L$10</f>
        <v>0</v>
      </c>
      <c r="M78" s="96">
        <f>$I$10*$M$10</f>
        <v>0</v>
      </c>
      <c r="N78" s="96">
        <f ca="1">$I$10*$N$10</f>
        <v>0</v>
      </c>
      <c r="O78" s="96">
        <f>$I$10*$O$10</f>
        <v>0</v>
      </c>
      <c r="P78" s="96">
        <f>$I$10*$P$10</f>
        <v>0</v>
      </c>
      <c r="Q78" s="96">
        <f>$I$10*$Q$10</f>
        <v>0</v>
      </c>
      <c r="R78" s="96">
        <f>$I$10*$R$10</f>
        <v>0</v>
      </c>
      <c r="S78" s="96">
        <f>$I$10*$S$10</f>
        <v>0</v>
      </c>
      <c r="T78" s="96">
        <f>$I$10*$T$10</f>
        <v>0</v>
      </c>
      <c r="U78" s="96">
        <f>$I$10*$U$10</f>
        <v>0</v>
      </c>
      <c r="V78" s="96">
        <f>$I$10*$V$10</f>
        <v>0</v>
      </c>
      <c r="W78" s="96">
        <f>$I$10*$W$10</f>
        <v>0</v>
      </c>
      <c r="X78" s="96">
        <f>$I$10*$X$10</f>
        <v>0</v>
      </c>
      <c r="Y78" s="96">
        <f>$I$10*$Y$10</f>
        <v>0</v>
      </c>
      <c r="Z78" s="96">
        <f>$I$10*$Z$10</f>
        <v>0</v>
      </c>
      <c r="AA78" s="96">
        <f>$I$10*$AA$10</f>
        <v>0</v>
      </c>
      <c r="AB78" s="96">
        <f ca="1">$I$10*$AB$10</f>
        <v>0</v>
      </c>
      <c r="AC78" s="96">
        <f ca="1">$I$10*$AC$10</f>
        <v>0</v>
      </c>
      <c r="AD78" s="96">
        <f>$I$10*$AD$10</f>
        <v>0</v>
      </c>
      <c r="AE78" s="96">
        <f>$I$10*$AE$10</f>
        <v>0</v>
      </c>
      <c r="AF78" s="96">
        <f ca="1">$I$10*$AF$10</f>
        <v>0</v>
      </c>
      <c r="AG78" s="96">
        <f ca="1">$I$10*$AG$10</f>
        <v>0</v>
      </c>
      <c r="AH78" s="96"/>
      <c r="AI78" s="96">
        <f>$I$10*$AI$10</f>
        <v>0</v>
      </c>
      <c r="AJ78" s="96">
        <f>$I$10*$AJ$10</f>
        <v>0</v>
      </c>
      <c r="AK78" s="96">
        <f>$I$10*$AK$10</f>
        <v>0</v>
      </c>
      <c r="AL78" s="96">
        <f>$I$10*$AL$10</f>
        <v>0</v>
      </c>
      <c r="AM78" s="96">
        <f>$I$10*$AM$10</f>
        <v>0</v>
      </c>
      <c r="AN78" s="96">
        <f>$I$10*$AN$10</f>
        <v>0</v>
      </c>
      <c r="AO78" s="96">
        <f>$I$10*$AO$10</f>
        <v>0</v>
      </c>
      <c r="AP78" s="96">
        <f>$I$10*$AP$10</f>
        <v>0</v>
      </c>
      <c r="AQ78" s="96">
        <f>$I$10*$AQ$10</f>
        <v>0</v>
      </c>
      <c r="AR78" s="96">
        <f>$I$10*$AR$10</f>
        <v>0</v>
      </c>
      <c r="AS78" s="96">
        <f>$I$10*$AS$10</f>
        <v>0</v>
      </c>
      <c r="AT78" s="96">
        <f>$I$10*$AT$10</f>
        <v>0</v>
      </c>
      <c r="AU78" s="96">
        <f>$I$10*$AU$10</f>
        <v>0</v>
      </c>
      <c r="AV78" s="96">
        <f>$I$10*$AV$10</f>
        <v>0</v>
      </c>
      <c r="AW78" s="96">
        <f>$I$10*$AW$10</f>
        <v>0</v>
      </c>
      <c r="AX78" s="96">
        <f>$I$10*$AX$10</f>
        <v>0</v>
      </c>
      <c r="AY78" s="96">
        <f>$I$10*$AY$10</f>
        <v>0</v>
      </c>
      <c r="AZ78" s="96">
        <f>$I$10*$AZ$10</f>
        <v>0</v>
      </c>
      <c r="BA78" s="96">
        <f>$I$10*$BA$10</f>
        <v>0</v>
      </c>
      <c r="BB78" s="96">
        <f>$I$10*$BB$10</f>
        <v>0</v>
      </c>
      <c r="BC78" s="96">
        <f>$I$10*$BC$10</f>
        <v>0</v>
      </c>
      <c r="BD78" s="96">
        <f>$I$10*$BD$10</f>
        <v>0</v>
      </c>
    </row>
    <row r="79" spans="1:56" ht="11.25" customHeight="1" x14ac:dyDescent="0.25">
      <c r="A79" s="9" t="s">
        <v>42</v>
      </c>
      <c r="B79" s="9" t="s">
        <v>965</v>
      </c>
      <c r="C79" s="9" t="s">
        <v>966</v>
      </c>
      <c r="D79" s="9" t="s">
        <v>967</v>
      </c>
      <c r="E79" s="9" t="s">
        <v>968</v>
      </c>
      <c r="F79" s="9" t="s">
        <v>969</v>
      </c>
      <c r="G79" s="9" t="s">
        <v>970</v>
      </c>
      <c r="L79" s="96">
        <f>$I$11*$L$11</f>
        <v>0</v>
      </c>
      <c r="M79" s="96">
        <f>$I$11*$M$11</f>
        <v>0</v>
      </c>
      <c r="N79" s="96">
        <f ca="1">$I$11*$N$11</f>
        <v>0</v>
      </c>
      <c r="O79" s="96">
        <f>$I$11*$O$11</f>
        <v>0</v>
      </c>
      <c r="P79" s="96">
        <f>$I$11*$P$11</f>
        <v>0</v>
      </c>
      <c r="Q79" s="96">
        <f>$I$11*$Q$11</f>
        <v>0</v>
      </c>
      <c r="R79" s="96">
        <f>$I$11*$R$11</f>
        <v>0</v>
      </c>
      <c r="S79" s="96">
        <f>$I$11*$S$11</f>
        <v>0</v>
      </c>
      <c r="T79" s="96">
        <f>$I$11*$T$11</f>
        <v>0</v>
      </c>
      <c r="U79" s="96">
        <f>$I$11*$U$11</f>
        <v>0</v>
      </c>
      <c r="V79" s="96">
        <f>$I$11*$V$11</f>
        <v>0</v>
      </c>
      <c r="W79" s="96">
        <f>$I$11*$W$11</f>
        <v>0</v>
      </c>
      <c r="X79" s="96">
        <f>$I$11*$X$11</f>
        <v>0</v>
      </c>
      <c r="Y79" s="96">
        <f>$I$11*$Y$11</f>
        <v>0</v>
      </c>
      <c r="Z79" s="96">
        <f>$I$11*$Z$11</f>
        <v>0</v>
      </c>
      <c r="AA79" s="96">
        <f>$I$11*$AA$11</f>
        <v>0</v>
      </c>
      <c r="AB79" s="96">
        <f ca="1">$I$11*$AB$11</f>
        <v>0</v>
      </c>
      <c r="AC79" s="96">
        <f ca="1">$I$11*$AC$11</f>
        <v>0</v>
      </c>
      <c r="AD79" s="96">
        <f>$I$11*$AD$11</f>
        <v>0</v>
      </c>
      <c r="AE79" s="96">
        <f>$I$11*$AE$11</f>
        <v>0</v>
      </c>
      <c r="AF79" s="96">
        <f ca="1">$I$11*$AF$11</f>
        <v>0</v>
      </c>
      <c r="AG79" s="96">
        <f ca="1">$I$11*$AG$11</f>
        <v>0</v>
      </c>
      <c r="AH79" s="96"/>
      <c r="AI79" s="96">
        <f>$I$11*$AI$11</f>
        <v>0</v>
      </c>
      <c r="AJ79" s="96">
        <f>$I$11*$AJ$11</f>
        <v>0</v>
      </c>
      <c r="AK79" s="96">
        <f>$I$11*$AK$11</f>
        <v>0</v>
      </c>
      <c r="AL79" s="96">
        <f>$I$11*$AL$11</f>
        <v>0</v>
      </c>
      <c r="AM79" s="96">
        <f>$I$11*$AM$11</f>
        <v>0</v>
      </c>
      <c r="AN79" s="96">
        <f>$I$11*$AN$11</f>
        <v>0</v>
      </c>
      <c r="AO79" s="96">
        <f>$I$11*$AO$11</f>
        <v>0</v>
      </c>
      <c r="AP79" s="96">
        <f>$I$11*$AP$11</f>
        <v>0</v>
      </c>
      <c r="AQ79" s="96">
        <f>$I$11*$AQ$11</f>
        <v>0</v>
      </c>
      <c r="AR79" s="96">
        <f>$I$11*$AR$11</f>
        <v>0</v>
      </c>
      <c r="AS79" s="96">
        <f>$I$11*$AS$11</f>
        <v>0</v>
      </c>
      <c r="AT79" s="96">
        <f>$I$11*$AT$11</f>
        <v>0</v>
      </c>
      <c r="AU79" s="96">
        <f>$I$11*$AU$11</f>
        <v>0</v>
      </c>
      <c r="AV79" s="96">
        <f>$I$11*$AV$11</f>
        <v>0</v>
      </c>
      <c r="AW79" s="96">
        <f>$I$11*$AW$11</f>
        <v>0</v>
      </c>
      <c r="AX79" s="96">
        <f>$I$11*$AX$11</f>
        <v>0</v>
      </c>
      <c r="AY79" s="96">
        <f>$I$11*$AY$11</f>
        <v>0</v>
      </c>
      <c r="AZ79" s="96">
        <f>$I$11*$AZ$11</f>
        <v>0</v>
      </c>
      <c r="BA79" s="96">
        <f>$I$11*$BA$11</f>
        <v>0</v>
      </c>
      <c r="BB79" s="96">
        <f>$I$11*$BB$11</f>
        <v>0</v>
      </c>
      <c r="BC79" s="96">
        <f>$I$11*$BC$11</f>
        <v>0</v>
      </c>
      <c r="BD79" s="96">
        <f>$I$11*$BD$11</f>
        <v>0</v>
      </c>
    </row>
    <row r="80" spans="1:56" ht="11.25" customHeight="1" x14ac:dyDescent="0.25">
      <c r="A80" s="9" t="s">
        <v>42</v>
      </c>
      <c r="B80" s="9" t="s">
        <v>965</v>
      </c>
      <c r="C80" s="9" t="s">
        <v>966</v>
      </c>
      <c r="D80" s="9" t="s">
        <v>967</v>
      </c>
      <c r="E80" s="9" t="s">
        <v>968</v>
      </c>
      <c r="F80" s="9" t="s">
        <v>969</v>
      </c>
      <c r="G80" s="9" t="s">
        <v>971</v>
      </c>
      <c r="L80" s="96">
        <f>$I$12*$L$12</f>
        <v>0</v>
      </c>
      <c r="M80" s="96">
        <f>$I$12*$M$12</f>
        <v>0</v>
      </c>
      <c r="N80" s="96">
        <f ca="1">$I$12*$N$12</f>
        <v>0</v>
      </c>
      <c r="O80" s="96">
        <f>$I$12*$O$12</f>
        <v>0</v>
      </c>
      <c r="P80" s="96">
        <f>$I$12*$P$12</f>
        <v>0</v>
      </c>
      <c r="Q80" s="96">
        <f>$I$12*$Q$12</f>
        <v>0</v>
      </c>
      <c r="R80" s="96">
        <f>$I$12*$R$12</f>
        <v>0</v>
      </c>
      <c r="S80" s="96">
        <f>$I$12*$S$12</f>
        <v>0</v>
      </c>
      <c r="T80" s="96">
        <f>$I$12*$T$12</f>
        <v>0</v>
      </c>
      <c r="U80" s="96">
        <f>$I$12*$U$12</f>
        <v>0</v>
      </c>
      <c r="V80" s="96">
        <f>$I$12*$V$12</f>
        <v>0</v>
      </c>
      <c r="W80" s="96">
        <f>$I$12*$W$12</f>
        <v>0</v>
      </c>
      <c r="X80" s="96">
        <f>$I$12*$X$12</f>
        <v>0</v>
      </c>
      <c r="Y80" s="96">
        <f>$I$12*$Y$12</f>
        <v>0</v>
      </c>
      <c r="Z80" s="96">
        <f>$I$12*$Z$12</f>
        <v>0</v>
      </c>
      <c r="AA80" s="96">
        <f>$I$12*$AA$12</f>
        <v>0</v>
      </c>
      <c r="AB80" s="96">
        <f ca="1">$I$12*$AB$12</f>
        <v>0</v>
      </c>
      <c r="AC80" s="96">
        <f ca="1">$I$12*$AC$12</f>
        <v>0</v>
      </c>
      <c r="AD80" s="96">
        <f>$I$12*$AD$12</f>
        <v>0</v>
      </c>
      <c r="AE80" s="96">
        <f>$I$12*$AE$12</f>
        <v>0</v>
      </c>
      <c r="AF80" s="96">
        <f ca="1">$I$12*$AF$12</f>
        <v>0</v>
      </c>
      <c r="AG80" s="96">
        <f ca="1">$I$12*$AG$12</f>
        <v>0</v>
      </c>
      <c r="AH80" s="96"/>
      <c r="AI80" s="96">
        <f>$I$12*$AI$12</f>
        <v>0</v>
      </c>
      <c r="AJ80" s="96">
        <f>$I$12*$AJ$12</f>
        <v>0</v>
      </c>
      <c r="AK80" s="96">
        <f>$I$12*$AK$12</f>
        <v>0</v>
      </c>
      <c r="AL80" s="96">
        <f>$I$12*$AL$12</f>
        <v>0</v>
      </c>
      <c r="AM80" s="96">
        <f>$I$12*$AM$12</f>
        <v>0</v>
      </c>
      <c r="AN80" s="96">
        <f>$I$12*$AN$12</f>
        <v>0</v>
      </c>
      <c r="AO80" s="96">
        <f>$I$12*$AO$12</f>
        <v>0</v>
      </c>
      <c r="AP80" s="96">
        <f>$I$12*$AP$12</f>
        <v>0</v>
      </c>
      <c r="AQ80" s="96">
        <f>$I$12*$AQ$12</f>
        <v>0</v>
      </c>
      <c r="AR80" s="96">
        <f>$I$12*$AR$12</f>
        <v>0</v>
      </c>
      <c r="AS80" s="96">
        <f>$I$12*$AS$12</f>
        <v>0</v>
      </c>
      <c r="AT80" s="96">
        <f>$I$12*$AT$12</f>
        <v>0</v>
      </c>
      <c r="AU80" s="96">
        <f>$I$12*$AU$12</f>
        <v>0</v>
      </c>
      <c r="AV80" s="96">
        <f>$I$12*$AV$12</f>
        <v>0</v>
      </c>
      <c r="AW80" s="96">
        <f>$I$12*$AW$12</f>
        <v>0</v>
      </c>
      <c r="AX80" s="96">
        <f>$I$12*$AX$12</f>
        <v>0</v>
      </c>
      <c r="AY80" s="96">
        <f>$I$12*$AY$12</f>
        <v>0</v>
      </c>
      <c r="AZ80" s="96">
        <f>$I$12*$AZ$12</f>
        <v>0</v>
      </c>
      <c r="BA80" s="96">
        <f>$I$12*$BA$12</f>
        <v>0</v>
      </c>
      <c r="BB80" s="96">
        <f>$I$12*$BB$12</f>
        <v>0</v>
      </c>
      <c r="BC80" s="96">
        <f>$I$12*$BC$12</f>
        <v>0</v>
      </c>
      <c r="BD80" s="96">
        <f>$I$12*$BD$12</f>
        <v>0</v>
      </c>
    </row>
    <row r="81" spans="1:56" ht="11.25" customHeight="1" x14ac:dyDescent="0.25">
      <c r="A81" s="9" t="s">
        <v>42</v>
      </c>
      <c r="B81" s="9" t="s">
        <v>965</v>
      </c>
      <c r="C81" s="9" t="s">
        <v>966</v>
      </c>
      <c r="D81" s="9" t="s">
        <v>967</v>
      </c>
      <c r="E81" s="9" t="s">
        <v>968</v>
      </c>
      <c r="F81" s="9" t="s">
        <v>969</v>
      </c>
      <c r="G81" s="9" t="s">
        <v>972</v>
      </c>
      <c r="L81" s="96">
        <f>$I$13*$L$13</f>
        <v>0</v>
      </c>
      <c r="M81" s="96">
        <f>$I$13*$M$13</f>
        <v>0</v>
      </c>
      <c r="N81" s="96">
        <f ca="1">$I$13*$N$13</f>
        <v>0</v>
      </c>
      <c r="O81" s="96">
        <f>$I$13*$O$13</f>
        <v>0</v>
      </c>
      <c r="P81" s="96">
        <f>$I$13*$P$13</f>
        <v>0</v>
      </c>
      <c r="Q81" s="96">
        <f>$I$13*$Q$13</f>
        <v>0</v>
      </c>
      <c r="R81" s="96">
        <f>$I$13*$R$13</f>
        <v>0</v>
      </c>
      <c r="S81" s="96">
        <f>$I$13*$S$13</f>
        <v>0</v>
      </c>
      <c r="T81" s="96">
        <f>$I$13*$T$13</f>
        <v>0</v>
      </c>
      <c r="U81" s="96">
        <f>$I$13*$U$13</f>
        <v>0</v>
      </c>
      <c r="V81" s="96">
        <f>$I$13*$V$13</f>
        <v>0</v>
      </c>
      <c r="W81" s="96">
        <f>$I$13*$W$13</f>
        <v>0</v>
      </c>
      <c r="X81" s="96">
        <f>$I$13*$X$13</f>
        <v>0</v>
      </c>
      <c r="Y81" s="96">
        <f>$I$13*$Y$13</f>
        <v>0</v>
      </c>
      <c r="Z81" s="96">
        <f>$I$13*$Z$13</f>
        <v>0</v>
      </c>
      <c r="AA81" s="96">
        <f>$I$13*$AA$13</f>
        <v>0</v>
      </c>
      <c r="AB81" s="96">
        <f ca="1">$I$13*$AB$13</f>
        <v>0</v>
      </c>
      <c r="AC81" s="96">
        <f ca="1">$I$13*$AC$13</f>
        <v>0</v>
      </c>
      <c r="AD81" s="96">
        <f>$I$13*$AD$13</f>
        <v>0</v>
      </c>
      <c r="AE81" s="96">
        <f>$I$13*$AE$13</f>
        <v>0</v>
      </c>
      <c r="AF81" s="96">
        <f ca="1">$I$13*$AF$13</f>
        <v>0</v>
      </c>
      <c r="AG81" s="96">
        <f ca="1">$I$13*$AG$13</f>
        <v>0</v>
      </c>
      <c r="AH81" s="96"/>
      <c r="AI81" s="96">
        <f>$I$13*$AI$13</f>
        <v>0</v>
      </c>
      <c r="AJ81" s="96">
        <f>$I$13*$AJ$13</f>
        <v>0</v>
      </c>
      <c r="AK81" s="96">
        <f>$I$13*$AK$13</f>
        <v>0</v>
      </c>
      <c r="AL81" s="96">
        <f>$I$13*$AL$13</f>
        <v>0</v>
      </c>
      <c r="AM81" s="96">
        <f>$I$13*$AM$13</f>
        <v>0</v>
      </c>
      <c r="AN81" s="96">
        <f>$I$13*$AN$13</f>
        <v>0</v>
      </c>
      <c r="AO81" s="96">
        <f>$I$13*$AO$13</f>
        <v>0</v>
      </c>
      <c r="AP81" s="96">
        <f>$I$13*$AP$13</f>
        <v>0</v>
      </c>
      <c r="AQ81" s="96">
        <f>$I$13*$AQ$13</f>
        <v>0</v>
      </c>
      <c r="AR81" s="96">
        <f>$I$13*$AR$13</f>
        <v>0</v>
      </c>
      <c r="AS81" s="96">
        <f>$I$13*$AS$13</f>
        <v>0</v>
      </c>
      <c r="AT81" s="96">
        <f>$I$13*$AT$13</f>
        <v>0</v>
      </c>
      <c r="AU81" s="96">
        <f>$I$13*$AU$13</f>
        <v>0</v>
      </c>
      <c r="AV81" s="96">
        <f>$I$13*$AV$13</f>
        <v>0</v>
      </c>
      <c r="AW81" s="96">
        <f>$I$13*$AW$13</f>
        <v>0</v>
      </c>
      <c r="AX81" s="96">
        <f>$I$13*$AX$13</f>
        <v>0</v>
      </c>
      <c r="AY81" s="96">
        <f>$I$13*$AY$13</f>
        <v>0</v>
      </c>
      <c r="AZ81" s="96">
        <f>$I$13*$AZ$13</f>
        <v>0</v>
      </c>
      <c r="BA81" s="96">
        <f>$I$13*$BA$13</f>
        <v>0</v>
      </c>
      <c r="BB81" s="96">
        <f>$I$13*$BB$13</f>
        <v>0</v>
      </c>
      <c r="BC81" s="96">
        <f>$I$13*$BC$13</f>
        <v>0</v>
      </c>
      <c r="BD81" s="96">
        <f>$I$13*$BD$13</f>
        <v>0</v>
      </c>
    </row>
    <row r="82" spans="1:56" ht="11.25" customHeight="1" x14ac:dyDescent="0.25">
      <c r="A82" s="9" t="s">
        <v>42</v>
      </c>
      <c r="B82" s="9" t="s">
        <v>965</v>
      </c>
      <c r="C82" s="9" t="s">
        <v>966</v>
      </c>
      <c r="D82" s="9" t="s">
        <v>967</v>
      </c>
      <c r="E82" s="9" t="s">
        <v>973</v>
      </c>
      <c r="F82" s="9" t="s">
        <v>974</v>
      </c>
      <c r="G82" s="9" t="s">
        <v>975</v>
      </c>
      <c r="L82" s="96">
        <f>$I$14*$L$14</f>
        <v>0</v>
      </c>
      <c r="M82" s="96">
        <f>$I$14*$M$14</f>
        <v>0</v>
      </c>
      <c r="N82" s="96">
        <f ca="1">$I$14*$N$14</f>
        <v>0</v>
      </c>
      <c r="O82" s="96">
        <f>$I$14*$O$14</f>
        <v>0</v>
      </c>
      <c r="P82" s="96">
        <f>$I$14*$P$14</f>
        <v>0</v>
      </c>
      <c r="Q82" s="96">
        <f>$I$14*$Q$14</f>
        <v>0</v>
      </c>
      <c r="R82" s="96">
        <f>$I$14*$R$14</f>
        <v>0</v>
      </c>
      <c r="S82" s="96">
        <f>$I$14*$S$14</f>
        <v>0</v>
      </c>
      <c r="T82" s="96">
        <f>$I$14*$T$14</f>
        <v>0</v>
      </c>
      <c r="U82" s="96">
        <f>$I$14*$U$14</f>
        <v>0</v>
      </c>
      <c r="V82" s="96">
        <f>$I$14*$V$14</f>
        <v>0</v>
      </c>
      <c r="W82" s="96">
        <f>$I$14*$W$14</f>
        <v>0</v>
      </c>
      <c r="X82" s="96">
        <f>$I$14*$X$14</f>
        <v>0</v>
      </c>
      <c r="Y82" s="96">
        <f>$I$14*$Y$14</f>
        <v>0</v>
      </c>
      <c r="Z82" s="96">
        <f>$I$14*$Z$14</f>
        <v>0</v>
      </c>
      <c r="AA82" s="96">
        <f>$I$14*$AA$14</f>
        <v>0</v>
      </c>
      <c r="AB82" s="96">
        <f ca="1">$I$14*$AB$14</f>
        <v>0</v>
      </c>
      <c r="AC82" s="96">
        <f ca="1">$I$14*$AC$14</f>
        <v>0</v>
      </c>
      <c r="AD82" s="96">
        <f>$I$14*$AD$14</f>
        <v>0</v>
      </c>
      <c r="AE82" s="96">
        <f>$I$14*$AE$14</f>
        <v>0</v>
      </c>
      <c r="AF82" s="96">
        <f ca="1">$I$14*$AF$14</f>
        <v>0</v>
      </c>
      <c r="AG82" s="96">
        <f ca="1">$I$14*$AG$14</f>
        <v>0</v>
      </c>
      <c r="AH82" s="96"/>
      <c r="AI82" s="96">
        <f>$I$14*$AI$14</f>
        <v>0</v>
      </c>
      <c r="AJ82" s="96">
        <f>$I$14*$AJ$14</f>
        <v>0</v>
      </c>
      <c r="AK82" s="96">
        <f>$I$14*$AK$14</f>
        <v>0</v>
      </c>
      <c r="AL82" s="96">
        <f>$I$14*$AL$14</f>
        <v>0</v>
      </c>
      <c r="AM82" s="96">
        <f>$I$14*$AM$14</f>
        <v>0</v>
      </c>
      <c r="AN82" s="96">
        <f>$I$14*$AN$14</f>
        <v>0</v>
      </c>
      <c r="AO82" s="96">
        <f>$I$14*$AO$14</f>
        <v>0</v>
      </c>
      <c r="AP82" s="96">
        <f>$I$14*$AP$14</f>
        <v>0</v>
      </c>
      <c r="AQ82" s="96">
        <f>$I$14*$AQ$14</f>
        <v>0</v>
      </c>
      <c r="AR82" s="96">
        <f>$I$14*$AR$14</f>
        <v>0</v>
      </c>
      <c r="AS82" s="96">
        <f>$I$14*$AS$14</f>
        <v>0</v>
      </c>
      <c r="AT82" s="96">
        <f>$I$14*$AT$14</f>
        <v>0</v>
      </c>
      <c r="AU82" s="96">
        <f>$I$14*$AU$14</f>
        <v>0</v>
      </c>
      <c r="AV82" s="96">
        <f>$I$14*$AV$14</f>
        <v>0</v>
      </c>
      <c r="AW82" s="96">
        <f>$I$14*$AW$14</f>
        <v>0</v>
      </c>
      <c r="AX82" s="96">
        <f>$I$14*$AX$14</f>
        <v>0</v>
      </c>
      <c r="AY82" s="96">
        <f>$I$14*$AY$14</f>
        <v>0</v>
      </c>
      <c r="AZ82" s="96">
        <f>$I$14*$AZ$14</f>
        <v>0</v>
      </c>
      <c r="BA82" s="96">
        <f>$I$14*$BA$14</f>
        <v>0</v>
      </c>
      <c r="BB82" s="96">
        <f>$I$14*$BB$14</f>
        <v>0</v>
      </c>
      <c r="BC82" s="96">
        <f>$I$14*$BC$14</f>
        <v>0</v>
      </c>
      <c r="BD82" s="96">
        <f>$I$14*$BD$14</f>
        <v>0</v>
      </c>
    </row>
    <row r="83" spans="1:56" ht="11.25" customHeight="1" x14ac:dyDescent="0.25">
      <c r="A83" s="9" t="s">
        <v>42</v>
      </c>
      <c r="B83" s="9" t="s">
        <v>976</v>
      </c>
      <c r="C83" s="9" t="s">
        <v>977</v>
      </c>
      <c r="D83" s="9" t="s">
        <v>978</v>
      </c>
      <c r="E83" s="9" t="s">
        <v>979</v>
      </c>
      <c r="F83" s="9" t="s">
        <v>980</v>
      </c>
      <c r="G83" s="9" t="s">
        <v>981</v>
      </c>
      <c r="L83" s="96">
        <f>$I$15*$L$15</f>
        <v>0</v>
      </c>
      <c r="M83" s="96">
        <f>$I$15*$M$15</f>
        <v>0</v>
      </c>
      <c r="N83" s="96">
        <f ca="1">$I$15*$N$15</f>
        <v>0</v>
      </c>
      <c r="O83" s="96">
        <f>$I$15*$O$15</f>
        <v>0</v>
      </c>
      <c r="P83" s="96">
        <f>$I$15*$P$15</f>
        <v>0</v>
      </c>
      <c r="Q83" s="96">
        <f>$I$15*$Q$15</f>
        <v>0</v>
      </c>
      <c r="R83" s="96">
        <f>$I$15*$R$15</f>
        <v>0</v>
      </c>
      <c r="S83" s="96">
        <f>$I$15*$S$15</f>
        <v>0</v>
      </c>
      <c r="T83" s="96">
        <f>$I$15*$T$15</f>
        <v>0</v>
      </c>
      <c r="U83" s="96">
        <f>$I$15*$U$15</f>
        <v>0</v>
      </c>
      <c r="V83" s="96">
        <f>$I$15*$V$15</f>
        <v>0</v>
      </c>
      <c r="W83" s="96">
        <f>$I$15*$W$15</f>
        <v>0</v>
      </c>
      <c r="X83" s="96">
        <f>$I$15*$X$15</f>
        <v>0</v>
      </c>
      <c r="Y83" s="96">
        <f>$I$15*$Y$15</f>
        <v>0</v>
      </c>
      <c r="Z83" s="96">
        <f>$I$15*$Z$15</f>
        <v>0</v>
      </c>
      <c r="AA83" s="96">
        <f>$I$15*$AA$15</f>
        <v>0</v>
      </c>
      <c r="AB83" s="96">
        <f ca="1">$I$15*$AB$15</f>
        <v>0</v>
      </c>
      <c r="AC83" s="96">
        <f ca="1">$I$15*$AC$15</f>
        <v>0</v>
      </c>
      <c r="AD83" s="96">
        <f>$I$15*$AD$15</f>
        <v>0</v>
      </c>
      <c r="AE83" s="96">
        <f>$I$15*$AE$15</f>
        <v>0</v>
      </c>
      <c r="AF83" s="96">
        <f ca="1">$I$15*$AF$15</f>
        <v>0</v>
      </c>
      <c r="AG83" s="96">
        <f ca="1">$I$15*$AG$15</f>
        <v>0</v>
      </c>
      <c r="AH83" s="96"/>
      <c r="AI83" s="96">
        <f>$I$15*$AI$15</f>
        <v>0</v>
      </c>
      <c r="AJ83" s="96">
        <f>$I$15*$AJ$15</f>
        <v>0</v>
      </c>
      <c r="AK83" s="96">
        <f>$I$15*$AK$15</f>
        <v>0</v>
      </c>
      <c r="AL83" s="96">
        <f>$I$15*$AL$15</f>
        <v>0</v>
      </c>
      <c r="AM83" s="96">
        <f>$I$15*$AM$15</f>
        <v>0</v>
      </c>
      <c r="AN83" s="96">
        <f>$I$15*$AN$15</f>
        <v>0</v>
      </c>
      <c r="AO83" s="96">
        <f>$I$15*$AO$15</f>
        <v>0</v>
      </c>
      <c r="AP83" s="96">
        <f>$I$15*$AP$15</f>
        <v>0</v>
      </c>
      <c r="AQ83" s="96">
        <f>$I$15*$AQ$15</f>
        <v>0</v>
      </c>
      <c r="AR83" s="96">
        <f>$I$15*$AR$15</f>
        <v>0</v>
      </c>
      <c r="AS83" s="96">
        <f>$I$15*$AS$15</f>
        <v>0</v>
      </c>
      <c r="AT83" s="96">
        <f>$I$15*$AT$15</f>
        <v>0</v>
      </c>
      <c r="AU83" s="96">
        <f>$I$15*$AU$15</f>
        <v>0</v>
      </c>
      <c r="AV83" s="96">
        <f>$I$15*$AV$15</f>
        <v>0</v>
      </c>
      <c r="AW83" s="96">
        <f>$I$15*$AW$15</f>
        <v>0</v>
      </c>
      <c r="AX83" s="96">
        <f>$I$15*$AX$15</f>
        <v>0</v>
      </c>
      <c r="AY83" s="96">
        <f>$I$15*$AY$15</f>
        <v>0</v>
      </c>
      <c r="AZ83" s="96">
        <f>$I$15*$AZ$15</f>
        <v>0</v>
      </c>
      <c r="BA83" s="96">
        <f>$I$15*$BA$15</f>
        <v>0</v>
      </c>
      <c r="BB83" s="96">
        <f>$I$15*$BB$15</f>
        <v>0</v>
      </c>
      <c r="BC83" s="96">
        <f>$I$15*$BC$15</f>
        <v>0</v>
      </c>
      <c r="BD83" s="96">
        <f>$I$15*$BD$15</f>
        <v>0</v>
      </c>
    </row>
    <row r="84" spans="1:56" ht="11.25" customHeight="1" x14ac:dyDescent="0.25">
      <c r="A84" s="9" t="s">
        <v>42</v>
      </c>
      <c r="B84" s="9" t="s">
        <v>982</v>
      </c>
      <c r="C84" s="9" t="s">
        <v>983</v>
      </c>
      <c r="D84" s="9" t="s">
        <v>984</v>
      </c>
      <c r="E84" s="9" t="s">
        <v>985</v>
      </c>
      <c r="F84" s="9" t="s">
        <v>986</v>
      </c>
      <c r="G84" s="9" t="s">
        <v>987</v>
      </c>
      <c r="L84" s="96">
        <f>$I$16*$L$16</f>
        <v>0</v>
      </c>
      <c r="M84" s="96">
        <f>$I$16*$M$16</f>
        <v>0</v>
      </c>
      <c r="N84" s="96">
        <f ca="1">$I$16*$N$16</f>
        <v>0</v>
      </c>
      <c r="O84" s="96">
        <f>$I$16*$O$16</f>
        <v>0</v>
      </c>
      <c r="P84" s="96">
        <f>$I$16*$P$16</f>
        <v>0</v>
      </c>
      <c r="Q84" s="96">
        <f>$I$16*$Q$16</f>
        <v>0</v>
      </c>
      <c r="R84" s="96">
        <f>$I$16*$R$16</f>
        <v>0</v>
      </c>
      <c r="S84" s="96">
        <f>$I$16*$S$16</f>
        <v>0</v>
      </c>
      <c r="T84" s="96">
        <f>$I$16*$T$16</f>
        <v>8902.5235222654537</v>
      </c>
      <c r="U84" s="96">
        <f>$I$16*$U$16</f>
        <v>1390.517263284228</v>
      </c>
      <c r="V84" s="96">
        <f>$I$16*$V$16</f>
        <v>46.308579551648847</v>
      </c>
      <c r="W84" s="96">
        <f>$I$16*$W$16</f>
        <v>0</v>
      </c>
      <c r="X84" s="96">
        <f>$I$16*$X$16</f>
        <v>0</v>
      </c>
      <c r="Y84" s="96">
        <f>$I$16*$Y$16</f>
        <v>0</v>
      </c>
      <c r="Z84" s="96">
        <f>$I$16*$Z$16</f>
        <v>0</v>
      </c>
      <c r="AA84" s="96">
        <f>$I$16*$AA$16</f>
        <v>31941.194665214542</v>
      </c>
      <c r="AB84" s="96">
        <f ca="1">$I$16*$AB$16</f>
        <v>-2868.2771152905257</v>
      </c>
      <c r="AC84" s="96">
        <f ca="1">$I$16*$AC$16</f>
        <v>0</v>
      </c>
      <c r="AD84" s="96">
        <f>$I$16*$AD$16</f>
        <v>0</v>
      </c>
      <c r="AE84" s="96">
        <f>$I$16*$AE$16</f>
        <v>0</v>
      </c>
      <c r="AF84" s="96">
        <f ca="1">$I$16*$AF$16</f>
        <v>0</v>
      </c>
      <c r="AG84" s="96">
        <f ca="1">$I$16*$AG$16</f>
        <v>0</v>
      </c>
      <c r="AH84" s="96"/>
      <c r="AI84" s="96">
        <f>$I$16*$AI$16</f>
        <v>0</v>
      </c>
      <c r="AJ84" s="96">
        <f>$I$16*$AJ$16</f>
        <v>0</v>
      </c>
      <c r="AK84" s="96">
        <f>$I$16*$AK$16</f>
        <v>0</v>
      </c>
      <c r="AL84" s="96">
        <f>$I$16*$AL$16</f>
        <v>0</v>
      </c>
      <c r="AM84" s="96">
        <f>$I$16*$AM$16</f>
        <v>0</v>
      </c>
      <c r="AN84" s="96">
        <f>$I$16*$AN$16</f>
        <v>0</v>
      </c>
      <c r="AO84" s="96">
        <f>$I$16*$AO$16</f>
        <v>0</v>
      </c>
      <c r="AP84" s="96">
        <f>$I$16*$AP$16</f>
        <v>0</v>
      </c>
      <c r="AQ84" s="96">
        <f>$I$16*$AQ$16</f>
        <v>8902.5235222654519</v>
      </c>
      <c r="AR84" s="96">
        <f>$I$16*$AR$16</f>
        <v>1390.5172632842284</v>
      </c>
      <c r="AS84" s="96">
        <f>$I$16*$AS$16</f>
        <v>46.351302440229865</v>
      </c>
      <c r="AT84" s="96">
        <f>$I$16*$AT$16</f>
        <v>0</v>
      </c>
      <c r="AU84" s="96">
        <f>$I$16*$AU$16</f>
        <v>0</v>
      </c>
      <c r="AV84" s="96">
        <f>$I$16*$AV$16</f>
        <v>0</v>
      </c>
      <c r="AW84" s="96">
        <f>$I$16*$AW$16</f>
        <v>0</v>
      </c>
      <c r="AX84" s="96">
        <f>$I$16*$AX$16</f>
        <v>31970.413400450361</v>
      </c>
      <c r="AY84" s="96">
        <f>$I$16*$AY$16</f>
        <v>-2868.712633645991</v>
      </c>
      <c r="AZ84" s="96">
        <f>$I$16*$AZ$16</f>
        <v>0</v>
      </c>
      <c r="BA84" s="96">
        <f>$I$16*$BA$16</f>
        <v>0</v>
      </c>
      <c r="BB84" s="96">
        <f>$I$16*$BB$16</f>
        <v>0</v>
      </c>
      <c r="BC84" s="96">
        <f>$I$16*$BC$16</f>
        <v>0</v>
      </c>
      <c r="BD84" s="96">
        <f>$I$16*$BD$16</f>
        <v>0</v>
      </c>
    </row>
    <row r="85" spans="1:56" ht="11.25" customHeight="1" x14ac:dyDescent="0.25">
      <c r="A85" s="9" t="s">
        <v>42</v>
      </c>
      <c r="B85" s="9" t="s">
        <v>982</v>
      </c>
      <c r="C85" s="9" t="s">
        <v>983</v>
      </c>
      <c r="D85" s="9" t="s">
        <v>984</v>
      </c>
      <c r="E85" s="9" t="s">
        <v>985</v>
      </c>
      <c r="F85" s="9" t="s">
        <v>986</v>
      </c>
      <c r="G85" s="9" t="s">
        <v>988</v>
      </c>
      <c r="L85" s="96">
        <f>$I$17*$L$17</f>
        <v>653.64338106645346</v>
      </c>
      <c r="M85" s="96">
        <f>$I$17*$M$17</f>
        <v>24.885558986888455</v>
      </c>
      <c r="N85" s="96">
        <f ca="1">$I$17*$N$17</f>
        <v>435.68854464359299</v>
      </c>
      <c r="O85" s="96">
        <f>$I$17*$O$17</f>
        <v>0</v>
      </c>
      <c r="P85" s="96">
        <f>$I$17*$P$17</f>
        <v>0</v>
      </c>
      <c r="Q85" s="96">
        <f>$I$17*$Q$17</f>
        <v>1508.7923659382591</v>
      </c>
      <c r="R85" s="96">
        <f>$I$17*$R$17</f>
        <v>668.68995695217268</v>
      </c>
      <c r="S85" s="96">
        <f>$I$17*$S$17</f>
        <v>0</v>
      </c>
      <c r="T85" s="96">
        <f>$I$17*$T$17</f>
        <v>6463.1378410612406</v>
      </c>
      <c r="U85" s="96">
        <f>$I$17*$U$17</f>
        <v>979.62977066888675</v>
      </c>
      <c r="V85" s="96">
        <f>$I$17*$V$17</f>
        <v>35.833010943919618</v>
      </c>
      <c r="W85" s="96">
        <f>$I$17*$W$17</f>
        <v>0</v>
      </c>
      <c r="X85" s="96">
        <f>$I$17*$X$17</f>
        <v>0</v>
      </c>
      <c r="Y85" s="96">
        <f>$I$17*$Y$17</f>
        <v>0</v>
      </c>
      <c r="Z85" s="96">
        <f>$I$17*$Z$17</f>
        <v>0</v>
      </c>
      <c r="AA85" s="96">
        <f>$I$17*$AA$17</f>
        <v>35700.045765710274</v>
      </c>
      <c r="AB85" s="96">
        <f ca="1">$I$17*$AB$17</f>
        <v>-3319.6094439656445</v>
      </c>
      <c r="AC85" s="96">
        <f ca="1">$I$17*$AC$17</f>
        <v>0</v>
      </c>
      <c r="AD85" s="96">
        <f>$I$17*$AD$17</f>
        <v>906.79345464375706</v>
      </c>
      <c r="AE85" s="96">
        <f>$I$17*$AE$17</f>
        <v>73.318362960643924</v>
      </c>
      <c r="AF85" s="96">
        <f ca="1">$I$17*$AF$17</f>
        <v>1709.6304127944059</v>
      </c>
      <c r="AG85" s="96">
        <f ca="1">$I$17*$AG$17</f>
        <v>391.89799727866114</v>
      </c>
      <c r="AH85" s="96"/>
      <c r="AI85" s="96">
        <f>$I$17*$AI$17</f>
        <v>653.64338106645448</v>
      </c>
      <c r="AJ85" s="96">
        <f>$I$17*$AJ$17</f>
        <v>24.906744095891426</v>
      </c>
      <c r="AK85" s="96">
        <f>$I$17*$AK$17</f>
        <v>435.95318586268513</v>
      </c>
      <c r="AL85" s="96">
        <f>$I$17*$AL$17</f>
        <v>0</v>
      </c>
      <c r="AM85" s="96">
        <f>$I$17*$AM$17</f>
        <v>0</v>
      </c>
      <c r="AN85" s="96">
        <f>$I$17*$AN$17</f>
        <v>1508.7923659382579</v>
      </c>
      <c r="AO85" s="96">
        <f>$I$17*$AO$17</f>
        <v>668.68995695217302</v>
      </c>
      <c r="AP85" s="96">
        <f>$I$17*$AP$17</f>
        <v>0</v>
      </c>
      <c r="AQ85" s="96">
        <f>$I$17*$AQ$17</f>
        <v>6463.1378410612278</v>
      </c>
      <c r="AR85" s="96">
        <f>$I$17*$AR$17</f>
        <v>979.62977066888675</v>
      </c>
      <c r="AS85" s="96">
        <f>$I$17*$AS$17</f>
        <v>35.866069391164281</v>
      </c>
      <c r="AT85" s="96">
        <f>$I$17*$AT$17</f>
        <v>0</v>
      </c>
      <c r="AU85" s="96">
        <f>$I$17*$AU$17</f>
        <v>0</v>
      </c>
      <c r="AV85" s="96">
        <f>$I$17*$AV$17</f>
        <v>0</v>
      </c>
      <c r="AW85" s="96">
        <f>$I$17*$AW$17</f>
        <v>0</v>
      </c>
      <c r="AX85" s="96">
        <f>$I$17*$AX$17</f>
        <v>35732.702972056541</v>
      </c>
      <c r="AY85" s="96">
        <f>$I$17*$AY$17</f>
        <v>-3320.1561961363932</v>
      </c>
      <c r="AZ85" s="96">
        <f>$I$17*$AZ$17</f>
        <v>0</v>
      </c>
      <c r="BA85" s="96">
        <f>$I$17*$BA$17</f>
        <v>907.2796279643369</v>
      </c>
      <c r="BB85" s="96">
        <f>$I$17*$BB$17</f>
        <v>73.35767227832531</v>
      </c>
      <c r="BC85" s="96">
        <f>$I$17*$BC$17</f>
        <v>1710.4651477367327</v>
      </c>
      <c r="BD85" s="96">
        <f>$I$17*$BD$17</f>
        <v>392.08435239047191</v>
      </c>
    </row>
    <row r="86" spans="1:56" ht="11.25" customHeight="1" x14ac:dyDescent="0.25">
      <c r="A86" s="9" t="s">
        <v>42</v>
      </c>
      <c r="B86" s="9" t="s">
        <v>982</v>
      </c>
      <c r="C86" s="9" t="s">
        <v>983</v>
      </c>
      <c r="D86" s="9" t="s">
        <v>984</v>
      </c>
      <c r="E86" s="9" t="s">
        <v>985</v>
      </c>
      <c r="F86" s="9" t="s">
        <v>986</v>
      </c>
      <c r="G86" s="9" t="s">
        <v>989</v>
      </c>
      <c r="L86" s="96">
        <f>$I$18*$L$18</f>
        <v>4021.1827376283222</v>
      </c>
      <c r="M86" s="96">
        <f>$I$18*$M$18</f>
        <v>153.09476560603852</v>
      </c>
      <c r="N86" s="96">
        <f ca="1">$I$18*$N$18</f>
        <v>292.90429869283491</v>
      </c>
      <c r="O86" s="96">
        <f>$I$18*$O$18</f>
        <v>0</v>
      </c>
      <c r="P86" s="96">
        <f>$I$18*$P$18</f>
        <v>0</v>
      </c>
      <c r="Q86" s="96">
        <f>$I$18*$Q$18</f>
        <v>9282.0182875216778</v>
      </c>
      <c r="R86" s="96">
        <f>$I$18*$R$18</f>
        <v>4113.7485509826192</v>
      </c>
      <c r="S86" s="96">
        <f>$I$18*$S$18</f>
        <v>0</v>
      </c>
      <c r="T86" s="96">
        <f>$I$18*$T$18</f>
        <v>0</v>
      </c>
      <c r="U86" s="96">
        <f>$I$18*$U$18</f>
        <v>0</v>
      </c>
      <c r="V86" s="96">
        <f>$I$18*$V$18</f>
        <v>0</v>
      </c>
      <c r="W86" s="96">
        <f>$I$18*$W$18</f>
        <v>0</v>
      </c>
      <c r="X86" s="96">
        <f>$I$18*$X$18</f>
        <v>0</v>
      </c>
      <c r="Y86" s="96">
        <f>$I$18*$Y$18</f>
        <v>0</v>
      </c>
      <c r="Z86" s="96">
        <f>$I$18*$Z$18</f>
        <v>0</v>
      </c>
      <c r="AA86" s="96">
        <f>$I$18*$AA$18</f>
        <v>0</v>
      </c>
      <c r="AB86" s="96">
        <f ca="1">$I$18*$AB$18</f>
        <v>-2362.310121174401</v>
      </c>
      <c r="AC86" s="96">
        <f ca="1">$I$18*$AC$18</f>
        <v>0</v>
      </c>
      <c r="AD86" s="96">
        <f>$I$18*$AD$18</f>
        <v>5578.5498515391728</v>
      </c>
      <c r="AE86" s="96">
        <f>$I$18*$AE$18</f>
        <v>451.05105326314811</v>
      </c>
      <c r="AF86" s="96">
        <f ca="1">$I$18*$AF$18</f>
        <v>10517.564321445059</v>
      </c>
      <c r="AG86" s="96">
        <f ca="1">$I$18*$AG$18</f>
        <v>2410.9376874541445</v>
      </c>
      <c r="AH86" s="96"/>
      <c r="AI86" s="96">
        <f>$I$18*$AI$18</f>
        <v>4021.1827376283291</v>
      </c>
      <c r="AJ86" s="96">
        <f>$I$18*$AJ$18</f>
        <v>153.22509538078288</v>
      </c>
      <c r="AK86" s="96">
        <f>$I$18*$AK$18</f>
        <v>293.18546104627819</v>
      </c>
      <c r="AL86" s="96">
        <f>$I$18*$AL$18</f>
        <v>0</v>
      </c>
      <c r="AM86" s="96">
        <f>$I$18*$AM$18</f>
        <v>0</v>
      </c>
      <c r="AN86" s="96">
        <f>$I$18*$AN$18</f>
        <v>9282.0182875216724</v>
      </c>
      <c r="AO86" s="96">
        <f>$I$18*$AO$18</f>
        <v>4113.7485509826211</v>
      </c>
      <c r="AP86" s="96">
        <f>$I$18*$AP$18</f>
        <v>0</v>
      </c>
      <c r="AQ86" s="96">
        <f>$I$18*$AQ$18</f>
        <v>0</v>
      </c>
      <c r="AR86" s="96">
        <f>$I$18*$AR$18</f>
        <v>0</v>
      </c>
      <c r="AS86" s="96">
        <f>$I$18*$AS$18</f>
        <v>0</v>
      </c>
      <c r="AT86" s="96">
        <f>$I$18*$AT$18</f>
        <v>0</v>
      </c>
      <c r="AU86" s="96">
        <f>$I$18*$AU$18</f>
        <v>0</v>
      </c>
      <c r="AV86" s="96">
        <f>$I$18*$AV$18</f>
        <v>0</v>
      </c>
      <c r="AW86" s="96">
        <f>$I$18*$AW$18</f>
        <v>0</v>
      </c>
      <c r="AX86" s="96">
        <f>$I$18*$AX$18</f>
        <v>0</v>
      </c>
      <c r="AY86" s="96">
        <f>$I$18*$AY$18</f>
        <v>-2361.720925201193</v>
      </c>
      <c r="AZ86" s="96">
        <f>$I$18*$AZ$18</f>
        <v>0</v>
      </c>
      <c r="BA86" s="96">
        <f>$I$18*$BA$18</f>
        <v>5581.5407664950035</v>
      </c>
      <c r="BB86" s="96">
        <f>$I$18*$BB$18</f>
        <v>451.29288230061258</v>
      </c>
      <c r="BC86" s="96">
        <f>$I$18*$BC$18</f>
        <v>10522.699570784085</v>
      </c>
      <c r="BD86" s="96">
        <f>$I$18*$BD$18</f>
        <v>2412.0841351661365</v>
      </c>
    </row>
    <row r="87" spans="1:56" ht="11.25" customHeight="1" x14ac:dyDescent="0.25">
      <c r="A87" s="9" t="s">
        <v>42</v>
      </c>
      <c r="B87" s="9" t="s">
        <v>982</v>
      </c>
      <c r="C87" s="9" t="s">
        <v>983</v>
      </c>
      <c r="D87" s="9" t="s">
        <v>984</v>
      </c>
      <c r="E87" s="9" t="s">
        <v>990</v>
      </c>
      <c r="F87" s="9" t="s">
        <v>991</v>
      </c>
      <c r="G87" s="9" t="s">
        <v>992</v>
      </c>
      <c r="L87" s="96">
        <f>$I$19*$L$19</f>
        <v>0</v>
      </c>
      <c r="M87" s="96">
        <f>$I$19*$M$19</f>
        <v>0</v>
      </c>
      <c r="N87" s="96">
        <f ca="1">$I$19*$N$19</f>
        <v>0</v>
      </c>
      <c r="O87" s="96">
        <f>$I$19*$O$19</f>
        <v>0</v>
      </c>
      <c r="P87" s="96">
        <f>$I$19*$P$19</f>
        <v>0</v>
      </c>
      <c r="Q87" s="96">
        <f>$I$19*$Q$19</f>
        <v>0</v>
      </c>
      <c r="R87" s="96">
        <f>$I$19*$R$19</f>
        <v>0</v>
      </c>
      <c r="S87" s="96">
        <f>$I$19*$S$19</f>
        <v>0</v>
      </c>
      <c r="T87" s="96">
        <f>$I$19*$T$19</f>
        <v>0</v>
      </c>
      <c r="U87" s="96">
        <f>$I$19*$U$19</f>
        <v>0</v>
      </c>
      <c r="V87" s="96">
        <f>$I$19*$V$19</f>
        <v>0</v>
      </c>
      <c r="W87" s="96">
        <f>$I$19*$W$19</f>
        <v>0</v>
      </c>
      <c r="X87" s="96">
        <f>$I$19*$X$19</f>
        <v>0</v>
      </c>
      <c r="Y87" s="96">
        <f>$I$19*$Y$19</f>
        <v>0</v>
      </c>
      <c r="Z87" s="96">
        <f>$I$19*$Z$19</f>
        <v>0</v>
      </c>
      <c r="AA87" s="96">
        <f>$I$19*$AA$19</f>
        <v>0</v>
      </c>
      <c r="AB87" s="96">
        <f ca="1">$I$19*$AB$19</f>
        <v>0</v>
      </c>
      <c r="AC87" s="96">
        <f ca="1">$I$19*$AC$19</f>
        <v>0</v>
      </c>
      <c r="AD87" s="96">
        <f>$I$19*$AD$19</f>
        <v>0</v>
      </c>
      <c r="AE87" s="96">
        <f>$I$19*$AE$19</f>
        <v>0</v>
      </c>
      <c r="AF87" s="96">
        <f ca="1">$I$19*$AF$19</f>
        <v>0</v>
      </c>
      <c r="AG87" s="96">
        <f ca="1">$I$19*$AG$19</f>
        <v>0</v>
      </c>
      <c r="AH87" s="96"/>
      <c r="AI87" s="96">
        <f>$I$19*$AI$19</f>
        <v>0</v>
      </c>
      <c r="AJ87" s="96">
        <f>$I$19*$AJ$19</f>
        <v>0</v>
      </c>
      <c r="AK87" s="96">
        <f>$I$19*$AK$19</f>
        <v>0</v>
      </c>
      <c r="AL87" s="96">
        <f>$I$19*$AL$19</f>
        <v>0</v>
      </c>
      <c r="AM87" s="96">
        <f>$I$19*$AM$19</f>
        <v>0</v>
      </c>
      <c r="AN87" s="96">
        <f>$I$19*$AN$19</f>
        <v>0</v>
      </c>
      <c r="AO87" s="96">
        <f>$I$19*$AO$19</f>
        <v>0</v>
      </c>
      <c r="AP87" s="96">
        <f>$I$19*$AP$19</f>
        <v>0</v>
      </c>
      <c r="AQ87" s="96">
        <f>$I$19*$AQ$19</f>
        <v>0</v>
      </c>
      <c r="AR87" s="96">
        <f>$I$19*$AR$19</f>
        <v>0</v>
      </c>
      <c r="AS87" s="96">
        <f>$I$19*$AS$19</f>
        <v>0</v>
      </c>
      <c r="AT87" s="96">
        <f>$I$19*$AT$19</f>
        <v>0</v>
      </c>
      <c r="AU87" s="96">
        <f>$I$19*$AU$19</f>
        <v>0</v>
      </c>
      <c r="AV87" s="96">
        <f>$I$19*$AV$19</f>
        <v>0</v>
      </c>
      <c r="AW87" s="96">
        <f>$I$19*$AW$19</f>
        <v>0</v>
      </c>
      <c r="AX87" s="96">
        <f>$I$19*$AX$19</f>
        <v>0</v>
      </c>
      <c r="AY87" s="96">
        <f>$I$19*$AY$19</f>
        <v>0</v>
      </c>
      <c r="AZ87" s="96">
        <f>$I$19*$AZ$19</f>
        <v>0</v>
      </c>
      <c r="BA87" s="96">
        <f>$I$19*$BA$19</f>
        <v>0</v>
      </c>
      <c r="BB87" s="96">
        <f>$I$19*$BB$19</f>
        <v>0</v>
      </c>
      <c r="BC87" s="96">
        <f>$I$19*$BC$19</f>
        <v>0</v>
      </c>
      <c r="BD87" s="96">
        <f>$I$19*$BD$19</f>
        <v>0</v>
      </c>
    </row>
    <row r="88" spans="1:56" ht="11.25" customHeight="1" x14ac:dyDescent="0.25">
      <c r="A88" s="9" t="s">
        <v>42</v>
      </c>
      <c r="B88" s="9" t="s">
        <v>982</v>
      </c>
      <c r="C88" s="9" t="s">
        <v>983</v>
      </c>
      <c r="D88" s="9" t="s">
        <v>984</v>
      </c>
      <c r="E88" s="9" t="s">
        <v>990</v>
      </c>
      <c r="F88" s="9" t="s">
        <v>991</v>
      </c>
      <c r="G88" s="9" t="s">
        <v>993</v>
      </c>
      <c r="L88" s="96">
        <f>$I$20*$L$20</f>
        <v>0</v>
      </c>
      <c r="M88" s="96">
        <f>$I$20*$M$20</f>
        <v>0</v>
      </c>
      <c r="N88" s="96">
        <f ca="1">$I$20*$N$20</f>
        <v>0</v>
      </c>
      <c r="O88" s="96">
        <f>$I$20*$O$20</f>
        <v>0</v>
      </c>
      <c r="P88" s="96">
        <f>$I$20*$P$20</f>
        <v>0</v>
      </c>
      <c r="Q88" s="96">
        <f>$I$20*$Q$20</f>
        <v>0</v>
      </c>
      <c r="R88" s="96">
        <f>$I$20*$R$20</f>
        <v>0</v>
      </c>
      <c r="S88" s="96">
        <f>$I$20*$S$20</f>
        <v>0</v>
      </c>
      <c r="T88" s="96">
        <f>$I$20*$T$20</f>
        <v>0</v>
      </c>
      <c r="U88" s="96">
        <f>$I$20*$U$20</f>
        <v>0</v>
      </c>
      <c r="V88" s="96">
        <f>$I$20*$V$20</f>
        <v>0</v>
      </c>
      <c r="W88" s="96">
        <f>$I$20*$W$20</f>
        <v>0</v>
      </c>
      <c r="X88" s="96">
        <f>$I$20*$X$20</f>
        <v>0</v>
      </c>
      <c r="Y88" s="96">
        <f>$I$20*$Y$20</f>
        <v>0</v>
      </c>
      <c r="Z88" s="96">
        <f>$I$20*$Z$20</f>
        <v>0</v>
      </c>
      <c r="AA88" s="96">
        <f>$I$20*$AA$20</f>
        <v>0</v>
      </c>
      <c r="AB88" s="96">
        <f ca="1">$I$20*$AB$20</f>
        <v>0</v>
      </c>
      <c r="AC88" s="96">
        <f ca="1">$I$20*$AC$20</f>
        <v>0</v>
      </c>
      <c r="AD88" s="96">
        <f>$I$20*$AD$20</f>
        <v>0</v>
      </c>
      <c r="AE88" s="96">
        <f>$I$20*$AE$20</f>
        <v>0</v>
      </c>
      <c r="AF88" s="96">
        <f ca="1">$I$20*$AF$20</f>
        <v>0</v>
      </c>
      <c r="AG88" s="96">
        <f ca="1">$I$20*$AG$20</f>
        <v>0</v>
      </c>
      <c r="AH88" s="96"/>
      <c r="AI88" s="96">
        <f>$I$20*$AI$20</f>
        <v>0</v>
      </c>
      <c r="AJ88" s="96">
        <f>$I$20*$AJ$20</f>
        <v>0</v>
      </c>
      <c r="AK88" s="96">
        <f>$I$20*$AK$20</f>
        <v>0</v>
      </c>
      <c r="AL88" s="96">
        <f>$I$20*$AL$20</f>
        <v>0</v>
      </c>
      <c r="AM88" s="96">
        <f>$I$20*$AM$20</f>
        <v>0</v>
      </c>
      <c r="AN88" s="96">
        <f>$I$20*$AN$20</f>
        <v>0</v>
      </c>
      <c r="AO88" s="96">
        <f>$I$20*$AO$20</f>
        <v>0</v>
      </c>
      <c r="AP88" s="96">
        <f>$I$20*$AP$20</f>
        <v>0</v>
      </c>
      <c r="AQ88" s="96">
        <f>$I$20*$AQ$20</f>
        <v>0</v>
      </c>
      <c r="AR88" s="96">
        <f>$I$20*$AR$20</f>
        <v>0</v>
      </c>
      <c r="AS88" s="96">
        <f>$I$20*$AS$20</f>
        <v>0</v>
      </c>
      <c r="AT88" s="96">
        <f>$I$20*$AT$20</f>
        <v>0</v>
      </c>
      <c r="AU88" s="96">
        <f>$I$20*$AU$20</f>
        <v>0</v>
      </c>
      <c r="AV88" s="96">
        <f>$I$20*$AV$20</f>
        <v>0</v>
      </c>
      <c r="AW88" s="96">
        <f>$I$20*$AW$20</f>
        <v>0</v>
      </c>
      <c r="AX88" s="96">
        <f>$I$20*$AX$20</f>
        <v>0</v>
      </c>
      <c r="AY88" s="96">
        <f>$I$20*$AY$20</f>
        <v>0</v>
      </c>
      <c r="AZ88" s="96">
        <f>$I$20*$AZ$20</f>
        <v>0</v>
      </c>
      <c r="BA88" s="96">
        <f>$I$20*$BA$20</f>
        <v>0</v>
      </c>
      <c r="BB88" s="96">
        <f>$I$20*$BB$20</f>
        <v>0</v>
      </c>
      <c r="BC88" s="96">
        <f>$I$20*$BC$20</f>
        <v>0</v>
      </c>
      <c r="BD88" s="96">
        <f>$I$20*$BD$20</f>
        <v>0</v>
      </c>
    </row>
    <row r="89" spans="1:56" ht="11.25" customHeight="1" x14ac:dyDescent="0.25">
      <c r="A89" s="9" t="s">
        <v>41</v>
      </c>
      <c r="B89" s="9" t="s">
        <v>994</v>
      </c>
      <c r="C89" s="9" t="s">
        <v>995</v>
      </c>
      <c r="D89" s="9" t="s">
        <v>996</v>
      </c>
      <c r="E89" s="9" t="s">
        <v>997</v>
      </c>
      <c r="F89" s="9" t="s">
        <v>998</v>
      </c>
      <c r="G89" s="9" t="s">
        <v>999</v>
      </c>
      <c r="L89" s="96">
        <f>$I$21*$L$21</f>
        <v>0</v>
      </c>
      <c r="M89" s="96">
        <f>$I$21*$M$21</f>
        <v>0</v>
      </c>
      <c r="N89" s="96">
        <f ca="1">$I$21*$N$21</f>
        <v>0</v>
      </c>
      <c r="O89" s="96">
        <f>$I$21*$O$21</f>
        <v>0</v>
      </c>
      <c r="P89" s="96">
        <f>$I$21*$P$21</f>
        <v>0</v>
      </c>
      <c r="Q89" s="96">
        <f>$I$21*$Q$21</f>
        <v>0</v>
      </c>
      <c r="R89" s="96">
        <f>$I$21*$R$21</f>
        <v>0</v>
      </c>
      <c r="S89" s="96">
        <f>$I$21*$S$21</f>
        <v>0</v>
      </c>
      <c r="T89" s="96">
        <f>$I$21*$T$21</f>
        <v>1076525.2655783871</v>
      </c>
      <c r="U89" s="96">
        <f>$I$21*$U$21</f>
        <v>163166.93765600005</v>
      </c>
      <c r="V89" s="96">
        <f>$I$21*$V$21</f>
        <v>5966.9428362056624</v>
      </c>
      <c r="W89" s="96">
        <f>$I$21*$W$21</f>
        <v>0</v>
      </c>
      <c r="X89" s="96">
        <f>$I$21*$X$21</f>
        <v>0</v>
      </c>
      <c r="Y89" s="96">
        <f>$I$21*$Y$21</f>
        <v>0</v>
      </c>
      <c r="Z89" s="96">
        <f>$I$21*$Z$21</f>
        <v>0</v>
      </c>
      <c r="AA89" s="96">
        <f>$I$21*$AA$21</f>
        <v>5946338.4290765384</v>
      </c>
      <c r="AB89" s="96">
        <f ca="1">$I$21*$AB$21</f>
        <v>-484668.48751508648</v>
      </c>
      <c r="AC89" s="96">
        <f ca="1">$I$21*$AC$21</f>
        <v>0</v>
      </c>
      <c r="AD89" s="96">
        <f>$I$21*$AD$21</f>
        <v>0</v>
      </c>
      <c r="AE89" s="96">
        <f>$I$21*$AE$21</f>
        <v>0</v>
      </c>
      <c r="AF89" s="96">
        <f ca="1">$I$21*$AF$21</f>
        <v>0</v>
      </c>
      <c r="AG89" s="96">
        <f ca="1">$I$21*$AG$21</f>
        <v>0</v>
      </c>
      <c r="AH89" s="96"/>
      <c r="AI89" s="96">
        <f>$I$21*$AI$21</f>
        <v>0</v>
      </c>
      <c r="AJ89" s="96">
        <f>$I$21*$AJ$21</f>
        <v>0</v>
      </c>
      <c r="AK89" s="96">
        <f>$I$21*$AK$21</f>
        <v>0</v>
      </c>
      <c r="AL89" s="96">
        <f>$I$21*$AL$21</f>
        <v>0</v>
      </c>
      <c r="AM89" s="96">
        <f>$I$21*$AM$21</f>
        <v>0</v>
      </c>
      <c r="AN89" s="96">
        <f>$I$21*$AN$21</f>
        <v>0</v>
      </c>
      <c r="AO89" s="96">
        <f>$I$21*$AO$21</f>
        <v>0</v>
      </c>
      <c r="AP89" s="96">
        <f>$I$21*$AP$21</f>
        <v>0</v>
      </c>
      <c r="AQ89" s="96">
        <f>$I$21*$AQ$21</f>
        <v>1076525.2655783873</v>
      </c>
      <c r="AR89" s="96">
        <f>$I$21*$AR$21</f>
        <v>163166.93765600026</v>
      </c>
      <c r="AS89" s="96">
        <f>$I$21*$AS$21</f>
        <v>5972.4477563830596</v>
      </c>
      <c r="AT89" s="96">
        <f>$I$21*$AT$21</f>
        <v>0</v>
      </c>
      <c r="AU89" s="96">
        <f>$I$21*$AU$21</f>
        <v>0</v>
      </c>
      <c r="AV89" s="96">
        <f>$I$21*$AV$21</f>
        <v>0</v>
      </c>
      <c r="AW89" s="96">
        <f>$I$21*$AW$21</f>
        <v>0</v>
      </c>
      <c r="AX89" s="96">
        <f>$I$21*$AX$21</f>
        <v>5951777.9403409893</v>
      </c>
      <c r="AY89" s="96">
        <f>$I$21*$AY$21</f>
        <v>-484775.34732667287</v>
      </c>
      <c r="AZ89" s="96">
        <f>$I$21*$AZ$21</f>
        <v>0</v>
      </c>
      <c r="BA89" s="96">
        <f>$I$21*$BA$21</f>
        <v>0</v>
      </c>
      <c r="BB89" s="96">
        <f>$I$21*$BB$21</f>
        <v>0</v>
      </c>
      <c r="BC89" s="96">
        <f>$I$21*$BC$21</f>
        <v>0</v>
      </c>
      <c r="BD89" s="96">
        <f>$I$21*$BD$21</f>
        <v>0</v>
      </c>
    </row>
    <row r="90" spans="1:56" ht="11.25" customHeight="1" x14ac:dyDescent="0.25">
      <c r="A90" s="9" t="s">
        <v>41</v>
      </c>
      <c r="B90" s="9" t="s">
        <v>994</v>
      </c>
      <c r="C90" s="9" t="s">
        <v>995</v>
      </c>
      <c r="D90" s="9" t="s">
        <v>996</v>
      </c>
      <c r="E90" s="9" t="s">
        <v>997</v>
      </c>
      <c r="F90" s="9" t="s">
        <v>998</v>
      </c>
      <c r="G90" s="9" t="s">
        <v>1000</v>
      </c>
      <c r="L90" s="96">
        <f>$I$22*$L$22</f>
        <v>0</v>
      </c>
      <c r="M90" s="96">
        <f>$I$22*$M$22</f>
        <v>0</v>
      </c>
      <c r="N90" s="96">
        <f ca="1">$I$22*$N$22</f>
        <v>0</v>
      </c>
      <c r="O90" s="96">
        <f>$I$22*$O$22</f>
        <v>0</v>
      </c>
      <c r="P90" s="96">
        <f>$I$22*$P$22</f>
        <v>0</v>
      </c>
      <c r="Q90" s="96">
        <f>$I$22*$Q$22</f>
        <v>0</v>
      </c>
      <c r="R90" s="96">
        <f>$I$22*$R$22</f>
        <v>0</v>
      </c>
      <c r="S90" s="96">
        <f>$I$22*$S$22</f>
        <v>0</v>
      </c>
      <c r="T90" s="96">
        <f>$I$22*$T$22</f>
        <v>802792.23807474074</v>
      </c>
      <c r="U90" s="96">
        <f>$I$22*$U$22</f>
        <v>125391.01560154499</v>
      </c>
      <c r="V90" s="96">
        <f>$I$22*$V$22</f>
        <v>4175.9135066986055</v>
      </c>
      <c r="W90" s="96">
        <f>$I$22*$W$22</f>
        <v>0</v>
      </c>
      <c r="X90" s="96">
        <f>$I$22*$X$22</f>
        <v>0</v>
      </c>
      <c r="Y90" s="96">
        <f>$I$22*$Y$22</f>
        <v>0</v>
      </c>
      <c r="Z90" s="96">
        <f>$I$22*$Z$22</f>
        <v>0</v>
      </c>
      <c r="AA90" s="96">
        <f>$I$22*$AA$22</f>
        <v>2880322.9879636774</v>
      </c>
      <c r="AB90" s="96">
        <f ca="1">$I$22*$AB$22</f>
        <v>-258649.20199802905</v>
      </c>
      <c r="AC90" s="96">
        <f ca="1">$I$22*$AC$22</f>
        <v>0</v>
      </c>
      <c r="AD90" s="96">
        <f>$I$22*$AD$22</f>
        <v>0</v>
      </c>
      <c r="AE90" s="96">
        <f>$I$22*$AE$22</f>
        <v>0</v>
      </c>
      <c r="AF90" s="96">
        <f ca="1">$I$22*$AF$22</f>
        <v>0</v>
      </c>
      <c r="AG90" s="96">
        <f ca="1">$I$22*$AG$22</f>
        <v>0</v>
      </c>
      <c r="AH90" s="96"/>
      <c r="AI90" s="96">
        <f>$I$22*$AI$22</f>
        <v>0</v>
      </c>
      <c r="AJ90" s="96">
        <f>$I$22*$AJ$22</f>
        <v>0</v>
      </c>
      <c r="AK90" s="96">
        <f>$I$22*$AK$22</f>
        <v>0</v>
      </c>
      <c r="AL90" s="96">
        <f>$I$22*$AL$22</f>
        <v>0</v>
      </c>
      <c r="AM90" s="96">
        <f>$I$22*$AM$22</f>
        <v>0</v>
      </c>
      <c r="AN90" s="96">
        <f>$I$22*$AN$22</f>
        <v>0</v>
      </c>
      <c r="AO90" s="96">
        <f>$I$22*$AO$22</f>
        <v>0</v>
      </c>
      <c r="AP90" s="96">
        <f>$I$22*$AP$22</f>
        <v>0</v>
      </c>
      <c r="AQ90" s="96">
        <f>$I$22*$AQ$22</f>
        <v>802792.23807474051</v>
      </c>
      <c r="AR90" s="96">
        <f>$I$22*$AR$22</f>
        <v>125391.01560154505</v>
      </c>
      <c r="AS90" s="96">
        <f>$I$22*$AS$22</f>
        <v>4179.766077630341</v>
      </c>
      <c r="AT90" s="96">
        <f>$I$22*$AT$22</f>
        <v>0</v>
      </c>
      <c r="AU90" s="96">
        <f>$I$22*$AU$22</f>
        <v>0</v>
      </c>
      <c r="AV90" s="96">
        <f>$I$22*$AV$22</f>
        <v>0</v>
      </c>
      <c r="AW90" s="96">
        <f>$I$22*$AW$22</f>
        <v>0</v>
      </c>
      <c r="AX90" s="96">
        <f>$I$22*$AX$22</f>
        <v>2882957.8109770631</v>
      </c>
      <c r="AY90" s="96">
        <f>$I$22*$AY$22</f>
        <v>-258688.47521695759</v>
      </c>
      <c r="AZ90" s="96">
        <f>$I$22*$AZ$22</f>
        <v>0</v>
      </c>
      <c r="BA90" s="96">
        <f>$I$22*$BA$22</f>
        <v>0</v>
      </c>
      <c r="BB90" s="96">
        <f>$I$22*$BB$22</f>
        <v>0</v>
      </c>
      <c r="BC90" s="96">
        <f>$I$22*$BC$22</f>
        <v>0</v>
      </c>
      <c r="BD90" s="96">
        <f>$I$22*$BD$22</f>
        <v>0</v>
      </c>
    </row>
    <row r="91" spans="1:56" ht="11.25" customHeight="1" x14ac:dyDescent="0.25">
      <c r="A91" s="9" t="s">
        <v>41</v>
      </c>
      <c r="B91" s="9" t="s">
        <v>994</v>
      </c>
      <c r="C91" s="9" t="s">
        <v>995</v>
      </c>
      <c r="D91" s="9" t="s">
        <v>996</v>
      </c>
      <c r="E91" s="9" t="s">
        <v>997</v>
      </c>
      <c r="F91" s="9" t="s">
        <v>998</v>
      </c>
      <c r="G91" s="9" t="s">
        <v>1001</v>
      </c>
      <c r="L91" s="96">
        <f>$I$23*$L$23</f>
        <v>1100722.6625089687</v>
      </c>
      <c r="M91" s="96">
        <f>$I$23*$M$23</f>
        <v>41906.794346146686</v>
      </c>
      <c r="N91" s="96">
        <f ca="1">$I$23*$N$23</f>
        <v>80177.007749628785</v>
      </c>
      <c r="O91" s="96">
        <f>$I$23*$O$23</f>
        <v>0</v>
      </c>
      <c r="P91" s="96">
        <f>$I$23*$P$23</f>
        <v>0</v>
      </c>
      <c r="Q91" s="96">
        <f>$I$23*$Q$23</f>
        <v>2540776.8185446113</v>
      </c>
      <c r="R91" s="96">
        <f>$I$23*$R$23</f>
        <v>1126060.801852704</v>
      </c>
      <c r="S91" s="96">
        <f>$I$23*$S$23</f>
        <v>0</v>
      </c>
      <c r="T91" s="96">
        <f>$I$23*$T$23</f>
        <v>0</v>
      </c>
      <c r="U91" s="96">
        <f>$I$23*$U$23</f>
        <v>0</v>
      </c>
      <c r="V91" s="96">
        <f>$I$23*$V$23</f>
        <v>0</v>
      </c>
      <c r="W91" s="96">
        <f>$I$23*$W$23</f>
        <v>0</v>
      </c>
      <c r="X91" s="96">
        <f>$I$23*$X$23</f>
        <v>0</v>
      </c>
      <c r="Y91" s="96">
        <f>$I$23*$Y$23</f>
        <v>0</v>
      </c>
      <c r="Z91" s="96">
        <f>$I$23*$Z$23</f>
        <v>0</v>
      </c>
      <c r="AA91" s="96">
        <f>$I$23*$AA$23</f>
        <v>0</v>
      </c>
      <c r="AB91" s="96">
        <f ca="1">$I$23*$AB$23</f>
        <v>-646637.68247065227</v>
      </c>
      <c r="AC91" s="96">
        <f ca="1">$I$23*$AC$23</f>
        <v>0</v>
      </c>
      <c r="AD91" s="96">
        <f>$I$23*$AD$23</f>
        <v>1527022.4324962699</v>
      </c>
      <c r="AE91" s="96">
        <f>$I$23*$AE$23</f>
        <v>123466.68845199267</v>
      </c>
      <c r="AF91" s="96">
        <f ca="1">$I$23*$AF$23</f>
        <v>2878984.1592323068</v>
      </c>
      <c r="AG91" s="96">
        <f ca="1">$I$23*$AG$23</f>
        <v>659948.558329614</v>
      </c>
      <c r="AH91" s="96"/>
      <c r="AI91" s="96">
        <f>$I$23*$AI$23</f>
        <v>1100722.6625089706</v>
      </c>
      <c r="AJ91" s="96">
        <f>$I$23*$AJ$23</f>
        <v>41942.469655134359</v>
      </c>
      <c r="AK91" s="96">
        <f>$I$23*$AK$23</f>
        <v>80253.970622114881</v>
      </c>
      <c r="AL91" s="96">
        <f>$I$23*$AL$23</f>
        <v>0</v>
      </c>
      <c r="AM91" s="96">
        <f>$I$23*$AM$23</f>
        <v>0</v>
      </c>
      <c r="AN91" s="96">
        <f>$I$23*$AN$23</f>
        <v>2540776.8185446095</v>
      </c>
      <c r="AO91" s="96">
        <f>$I$23*$AO$23</f>
        <v>1126060.8018527045</v>
      </c>
      <c r="AP91" s="96">
        <f>$I$23*$AP$23</f>
        <v>0</v>
      </c>
      <c r="AQ91" s="96">
        <f>$I$23*$AQ$23</f>
        <v>0</v>
      </c>
      <c r="AR91" s="96">
        <f>$I$23*$AR$23</f>
        <v>0</v>
      </c>
      <c r="AS91" s="96">
        <f>$I$23*$AS$23</f>
        <v>0</v>
      </c>
      <c r="AT91" s="96">
        <f>$I$23*$AT$23</f>
        <v>0</v>
      </c>
      <c r="AU91" s="96">
        <f>$I$23*$AU$23</f>
        <v>0</v>
      </c>
      <c r="AV91" s="96">
        <f>$I$23*$AV$23</f>
        <v>0</v>
      </c>
      <c r="AW91" s="96">
        <f>$I$23*$AW$23</f>
        <v>0</v>
      </c>
      <c r="AX91" s="96">
        <f>$I$23*$AX$23</f>
        <v>0</v>
      </c>
      <c r="AY91" s="96">
        <f>$I$23*$AY$23</f>
        <v>-646476.40122513706</v>
      </c>
      <c r="AZ91" s="96">
        <f>$I$23*$AZ$23</f>
        <v>0</v>
      </c>
      <c r="BA91" s="96">
        <f>$I$23*$BA$23</f>
        <v>1527841.1388541562</v>
      </c>
      <c r="BB91" s="96">
        <f>$I$23*$BB$23</f>
        <v>123532.8845737205</v>
      </c>
      <c r="BC91" s="96">
        <f>$I$23*$BC$23</f>
        <v>2880389.8365401807</v>
      </c>
      <c r="BD91" s="96">
        <f>$I$23*$BD$23</f>
        <v>660262.37669110321</v>
      </c>
    </row>
    <row r="92" spans="1:56" ht="11.25" customHeight="1" x14ac:dyDescent="0.25">
      <c r="A92" s="9" t="s">
        <v>41</v>
      </c>
      <c r="B92" s="9" t="s">
        <v>994</v>
      </c>
      <c r="C92" s="9" t="s">
        <v>995</v>
      </c>
      <c r="D92" s="9" t="s">
        <v>996</v>
      </c>
      <c r="E92" s="9" t="s">
        <v>1002</v>
      </c>
      <c r="F92" s="9" t="s">
        <v>1003</v>
      </c>
      <c r="G92" s="9" t="s">
        <v>1004</v>
      </c>
      <c r="L92" s="96">
        <f>$I$24*$L$24</f>
        <v>0</v>
      </c>
      <c r="M92" s="96">
        <f>$I$24*$M$24</f>
        <v>0</v>
      </c>
      <c r="N92" s="96">
        <f ca="1">$I$24*$N$24</f>
        <v>0</v>
      </c>
      <c r="O92" s="96">
        <f>$I$24*$O$24</f>
        <v>0</v>
      </c>
      <c r="P92" s="96">
        <f>$I$24*$P$24</f>
        <v>0</v>
      </c>
      <c r="Q92" s="96">
        <f>$I$24*$Q$24</f>
        <v>0</v>
      </c>
      <c r="R92" s="96">
        <f>$I$24*$R$24</f>
        <v>0</v>
      </c>
      <c r="S92" s="96">
        <f>$I$24*$S$24</f>
        <v>0</v>
      </c>
      <c r="T92" s="96">
        <f>$I$24*$T$24</f>
        <v>0</v>
      </c>
      <c r="U92" s="96">
        <f>$I$24*$U$24</f>
        <v>0</v>
      </c>
      <c r="V92" s="96">
        <f>$I$24*$V$24</f>
        <v>0</v>
      </c>
      <c r="W92" s="96">
        <f>$I$24*$W$24</f>
        <v>0</v>
      </c>
      <c r="X92" s="96">
        <f>$I$24*$X$24</f>
        <v>0</v>
      </c>
      <c r="Y92" s="96">
        <f>$I$24*$Y$24</f>
        <v>0</v>
      </c>
      <c r="Z92" s="96">
        <f>$I$24*$Z$24</f>
        <v>0</v>
      </c>
      <c r="AA92" s="96">
        <f>$I$24*$AA$24</f>
        <v>0</v>
      </c>
      <c r="AB92" s="96">
        <f ca="1">$I$24*$AB$24</f>
        <v>0</v>
      </c>
      <c r="AC92" s="96">
        <f ca="1">$I$24*$AC$24</f>
        <v>0</v>
      </c>
      <c r="AD92" s="96">
        <f>$I$24*$AD$24</f>
        <v>0</v>
      </c>
      <c r="AE92" s="96">
        <f>$I$24*$AE$24</f>
        <v>0</v>
      </c>
      <c r="AF92" s="96">
        <f ca="1">$I$24*$AF$24</f>
        <v>0</v>
      </c>
      <c r="AG92" s="96">
        <f ca="1">$I$24*$AG$24</f>
        <v>0</v>
      </c>
      <c r="AH92" s="96"/>
      <c r="AI92" s="96">
        <f>$I$24*$AI$24</f>
        <v>0</v>
      </c>
      <c r="AJ92" s="96">
        <f>$I$24*$AJ$24</f>
        <v>0</v>
      </c>
      <c r="AK92" s="96">
        <f>$I$24*$AK$24</f>
        <v>0</v>
      </c>
      <c r="AL92" s="96">
        <f>$I$24*$AL$24</f>
        <v>0</v>
      </c>
      <c r="AM92" s="96">
        <f>$I$24*$AM$24</f>
        <v>0</v>
      </c>
      <c r="AN92" s="96">
        <f>$I$24*$AN$24</f>
        <v>0</v>
      </c>
      <c r="AO92" s="96">
        <f>$I$24*$AO$24</f>
        <v>0</v>
      </c>
      <c r="AP92" s="96">
        <f>$I$24*$AP$24</f>
        <v>0</v>
      </c>
      <c r="AQ92" s="96">
        <f>$I$24*$AQ$24</f>
        <v>0</v>
      </c>
      <c r="AR92" s="96">
        <f>$I$24*$AR$24</f>
        <v>0</v>
      </c>
      <c r="AS92" s="96">
        <f>$I$24*$AS$24</f>
        <v>0</v>
      </c>
      <c r="AT92" s="96">
        <f>$I$24*$AT$24</f>
        <v>0</v>
      </c>
      <c r="AU92" s="96">
        <f>$I$24*$AU$24</f>
        <v>0</v>
      </c>
      <c r="AV92" s="96">
        <f>$I$24*$AV$24</f>
        <v>0</v>
      </c>
      <c r="AW92" s="96">
        <f>$I$24*$AW$24</f>
        <v>0</v>
      </c>
      <c r="AX92" s="96">
        <f>$I$24*$AX$24</f>
        <v>0</v>
      </c>
      <c r="AY92" s="96">
        <f>$I$24*$AY$24</f>
        <v>0</v>
      </c>
      <c r="AZ92" s="96">
        <f>$I$24*$AZ$24</f>
        <v>0</v>
      </c>
      <c r="BA92" s="96">
        <f>$I$24*$BA$24</f>
        <v>0</v>
      </c>
      <c r="BB92" s="96">
        <f>$I$24*$BB$24</f>
        <v>0</v>
      </c>
      <c r="BC92" s="96">
        <f>$I$24*$BC$24</f>
        <v>0</v>
      </c>
      <c r="BD92" s="96">
        <f>$I$24*$BD$24</f>
        <v>0</v>
      </c>
    </row>
    <row r="93" spans="1:56" ht="11.25" customHeight="1" x14ac:dyDescent="0.25">
      <c r="A93" s="9" t="s">
        <v>41</v>
      </c>
      <c r="B93" s="9" t="s">
        <v>1005</v>
      </c>
      <c r="C93" s="9" t="s">
        <v>1006</v>
      </c>
      <c r="D93" s="9" t="s">
        <v>1007</v>
      </c>
      <c r="E93" s="9" t="s">
        <v>1008</v>
      </c>
      <c r="F93" s="9" t="s">
        <v>1009</v>
      </c>
      <c r="G93" s="9" t="s">
        <v>1010</v>
      </c>
      <c r="L93" s="96">
        <f>$I$25*$L$25</f>
        <v>0</v>
      </c>
      <c r="M93" s="96">
        <f>$I$25*$M$25</f>
        <v>0</v>
      </c>
      <c r="N93" s="96">
        <f ca="1">$I$25*$N$25</f>
        <v>0</v>
      </c>
      <c r="O93" s="96">
        <f>$I$25*$O$25</f>
        <v>0</v>
      </c>
      <c r="P93" s="96">
        <f>$I$25*$P$25</f>
        <v>0</v>
      </c>
      <c r="Q93" s="96">
        <f>$I$25*$Q$25</f>
        <v>0</v>
      </c>
      <c r="R93" s="96">
        <f>$I$25*$R$25</f>
        <v>0</v>
      </c>
      <c r="S93" s="96">
        <f>$I$25*$S$25</f>
        <v>0</v>
      </c>
      <c r="T93" s="96">
        <f>$I$25*$T$25</f>
        <v>0</v>
      </c>
      <c r="U93" s="96">
        <f>$I$25*$U$25</f>
        <v>0</v>
      </c>
      <c r="V93" s="96">
        <f>$I$25*$V$25</f>
        <v>0</v>
      </c>
      <c r="W93" s="96">
        <f>$I$25*$W$25</f>
        <v>0</v>
      </c>
      <c r="X93" s="96">
        <f>$I$25*$X$25</f>
        <v>0</v>
      </c>
      <c r="Y93" s="96">
        <f>$I$25*$Y$25</f>
        <v>0</v>
      </c>
      <c r="Z93" s="96">
        <f>$I$25*$Z$25</f>
        <v>0</v>
      </c>
      <c r="AA93" s="96">
        <f>$I$25*$AA$25</f>
        <v>0</v>
      </c>
      <c r="AB93" s="96">
        <f ca="1">$I$25*$AB$25</f>
        <v>0</v>
      </c>
      <c r="AC93" s="96">
        <f ca="1">$I$25*$AC$25</f>
        <v>0</v>
      </c>
      <c r="AD93" s="96">
        <f>$I$25*$AD$25</f>
        <v>0</v>
      </c>
      <c r="AE93" s="96">
        <f>$I$25*$AE$25</f>
        <v>0</v>
      </c>
      <c r="AF93" s="96">
        <f ca="1">$I$25*$AF$25</f>
        <v>0</v>
      </c>
      <c r="AG93" s="96">
        <f ca="1">$I$25*$AG$25</f>
        <v>0</v>
      </c>
      <c r="AH93" s="96"/>
      <c r="AI93" s="96">
        <f>$I$25*$AI$25</f>
        <v>0</v>
      </c>
      <c r="AJ93" s="96">
        <f>$I$25*$AJ$25</f>
        <v>0</v>
      </c>
      <c r="AK93" s="96">
        <f>$I$25*$AK$25</f>
        <v>0</v>
      </c>
      <c r="AL93" s="96">
        <f>$I$25*$AL$25</f>
        <v>0</v>
      </c>
      <c r="AM93" s="96">
        <f>$I$25*$AM$25</f>
        <v>0</v>
      </c>
      <c r="AN93" s="96">
        <f>$I$25*$AN$25</f>
        <v>0</v>
      </c>
      <c r="AO93" s="96">
        <f>$I$25*$AO$25</f>
        <v>0</v>
      </c>
      <c r="AP93" s="96">
        <f>$I$25*$AP$25</f>
        <v>0</v>
      </c>
      <c r="AQ93" s="96">
        <f>$I$25*$AQ$25</f>
        <v>0</v>
      </c>
      <c r="AR93" s="96">
        <f>$I$25*$AR$25</f>
        <v>0</v>
      </c>
      <c r="AS93" s="96">
        <f>$I$25*$AS$25</f>
        <v>0</v>
      </c>
      <c r="AT93" s="96">
        <f>$I$25*$AT$25</f>
        <v>0</v>
      </c>
      <c r="AU93" s="96">
        <f>$I$25*$AU$25</f>
        <v>0</v>
      </c>
      <c r="AV93" s="96">
        <f>$I$25*$AV$25</f>
        <v>0</v>
      </c>
      <c r="AW93" s="96">
        <f>$I$25*$AW$25</f>
        <v>0</v>
      </c>
      <c r="AX93" s="96">
        <f>$I$25*$AX$25</f>
        <v>0</v>
      </c>
      <c r="AY93" s="96">
        <f>$I$25*$AY$25</f>
        <v>0</v>
      </c>
      <c r="AZ93" s="96">
        <f>$I$25*$AZ$25</f>
        <v>0</v>
      </c>
      <c r="BA93" s="96">
        <f>$I$25*$BA$25</f>
        <v>0</v>
      </c>
      <c r="BB93" s="96">
        <f>$I$25*$BB$25</f>
        <v>0</v>
      </c>
      <c r="BC93" s="96">
        <f>$I$25*$BC$25</f>
        <v>0</v>
      </c>
      <c r="BD93" s="96">
        <f>$I$25*$BD$25</f>
        <v>0</v>
      </c>
    </row>
    <row r="94" spans="1:56" ht="11.25" customHeight="1" x14ac:dyDescent="0.25">
      <c r="A94" s="9" t="s">
        <v>41</v>
      </c>
      <c r="B94" s="9" t="s">
        <v>1011</v>
      </c>
      <c r="C94" s="9" t="s">
        <v>1012</v>
      </c>
      <c r="D94" s="9" t="s">
        <v>1013</v>
      </c>
      <c r="E94" s="9" t="s">
        <v>1014</v>
      </c>
      <c r="F94" s="9" t="s">
        <v>1015</v>
      </c>
      <c r="G94" s="9" t="s">
        <v>1016</v>
      </c>
      <c r="L94" s="96">
        <f>$I$26*$L$26</f>
        <v>0</v>
      </c>
      <c r="M94" s="96">
        <f>$I$26*$M$26</f>
        <v>0</v>
      </c>
      <c r="N94" s="96">
        <f ca="1">$I$26*$N$26</f>
        <v>0</v>
      </c>
      <c r="O94" s="96">
        <f>$I$26*$O$26</f>
        <v>0</v>
      </c>
      <c r="P94" s="96">
        <f>$I$26*$P$26</f>
        <v>0</v>
      </c>
      <c r="Q94" s="96">
        <f>$I$26*$Q$26</f>
        <v>0</v>
      </c>
      <c r="R94" s="96">
        <f>$I$26*$R$26</f>
        <v>0</v>
      </c>
      <c r="S94" s="96">
        <f>$I$26*$S$26</f>
        <v>0</v>
      </c>
      <c r="T94" s="96">
        <f>$I$26*$T$26</f>
        <v>4550577.5477386452</v>
      </c>
      <c r="U94" s="96">
        <f>$I$26*$U$26</f>
        <v>710771.12261692458</v>
      </c>
      <c r="V94" s="96">
        <f>$I$26*$V$26</f>
        <v>23670.904305768894</v>
      </c>
      <c r="W94" s="96">
        <f>$I$26*$W$26</f>
        <v>0</v>
      </c>
      <c r="X94" s="96">
        <f>$I$26*$X$26</f>
        <v>0</v>
      </c>
      <c r="Y94" s="96">
        <f>$I$26*$Y$26</f>
        <v>0</v>
      </c>
      <c r="Z94" s="96">
        <f>$I$26*$Z$26</f>
        <v>0</v>
      </c>
      <c r="AA94" s="96">
        <f>$I$26*$AA$26</f>
        <v>16326930.552662756</v>
      </c>
      <c r="AB94" s="96">
        <f ca="1">$I$26*$AB$26</f>
        <v>-1466136.8104099287</v>
      </c>
      <c r="AC94" s="96">
        <f ca="1">$I$26*$AC$26</f>
        <v>0</v>
      </c>
      <c r="AD94" s="96">
        <f>$I$26*$AD$26</f>
        <v>0</v>
      </c>
      <c r="AE94" s="96">
        <f>$I$26*$AE$26</f>
        <v>0</v>
      </c>
      <c r="AF94" s="96">
        <f ca="1">$I$26*$AF$26</f>
        <v>0</v>
      </c>
      <c r="AG94" s="96">
        <f ca="1">$I$26*$AG$26</f>
        <v>0</v>
      </c>
      <c r="AH94" s="96"/>
      <c r="AI94" s="96">
        <f>$I$26*$AI$26</f>
        <v>0</v>
      </c>
      <c r="AJ94" s="96">
        <f>$I$26*$AJ$26</f>
        <v>0</v>
      </c>
      <c r="AK94" s="96">
        <f>$I$26*$AK$26</f>
        <v>0</v>
      </c>
      <c r="AL94" s="96">
        <f>$I$26*$AL$26</f>
        <v>0</v>
      </c>
      <c r="AM94" s="96">
        <f>$I$26*$AM$26</f>
        <v>0</v>
      </c>
      <c r="AN94" s="96">
        <f>$I$26*$AN$26</f>
        <v>0</v>
      </c>
      <c r="AO94" s="96">
        <f>$I$26*$AO$26</f>
        <v>0</v>
      </c>
      <c r="AP94" s="96">
        <f>$I$26*$AP$26</f>
        <v>0</v>
      </c>
      <c r="AQ94" s="96">
        <f>$I$26*$AQ$26</f>
        <v>4550577.5477386443</v>
      </c>
      <c r="AR94" s="96">
        <f>$I$26*$AR$26</f>
        <v>710771.12261692481</v>
      </c>
      <c r="AS94" s="96">
        <f>$I$26*$AS$26</f>
        <v>23692.742362929326</v>
      </c>
      <c r="AT94" s="96">
        <f>$I$26*$AT$26</f>
        <v>0</v>
      </c>
      <c r="AU94" s="96">
        <f>$I$26*$AU$26</f>
        <v>0</v>
      </c>
      <c r="AV94" s="96">
        <f>$I$26*$AV$26</f>
        <v>0</v>
      </c>
      <c r="AW94" s="96">
        <f>$I$26*$AW$26</f>
        <v>0</v>
      </c>
      <c r="AX94" s="96">
        <f>$I$26*$AX$26</f>
        <v>16341865.881977517</v>
      </c>
      <c r="AY94" s="96">
        <f>$I$26*$AY$26</f>
        <v>-1466359.4281929708</v>
      </c>
      <c r="AZ94" s="96">
        <f>$I$26*$AZ$26</f>
        <v>0</v>
      </c>
      <c r="BA94" s="96">
        <f>$I$26*$BA$26</f>
        <v>0</v>
      </c>
      <c r="BB94" s="96">
        <f>$I$26*$BB$26</f>
        <v>0</v>
      </c>
      <c r="BC94" s="96">
        <f>$I$26*$BC$26</f>
        <v>0</v>
      </c>
      <c r="BD94" s="96">
        <f>$I$26*$BD$26</f>
        <v>0</v>
      </c>
    </row>
    <row r="95" spans="1:56" ht="11.25" customHeight="1" x14ac:dyDescent="0.25">
      <c r="A95" s="9" t="s">
        <v>41</v>
      </c>
      <c r="B95" s="9" t="s">
        <v>1011</v>
      </c>
      <c r="C95" s="9" t="s">
        <v>1012</v>
      </c>
      <c r="D95" s="9" t="s">
        <v>1013</v>
      </c>
      <c r="E95" s="9" t="s">
        <v>1014</v>
      </c>
      <c r="F95" s="9" t="s">
        <v>1015</v>
      </c>
      <c r="G95" s="9" t="s">
        <v>1017</v>
      </c>
      <c r="L95" s="96">
        <f>$I$27*$L$27</f>
        <v>529805.03578163055</v>
      </c>
      <c r="M95" s="96">
        <f>$I$27*$M$27</f>
        <v>20170.776376535967</v>
      </c>
      <c r="N95" s="96">
        <f ca="1">$I$27*$N$27</f>
        <v>353143.61266526423</v>
      </c>
      <c r="O95" s="96">
        <f>$I$27*$O$27</f>
        <v>0</v>
      </c>
      <c r="P95" s="96">
        <f>$I$27*$P$27</f>
        <v>0</v>
      </c>
      <c r="Q95" s="96">
        <f>$I$27*$Q$27</f>
        <v>1222938.7102777101</v>
      </c>
      <c r="R95" s="96">
        <f>$I$27*$R$27</f>
        <v>542000.9088011327</v>
      </c>
      <c r="S95" s="96">
        <f>$I$27*$S$27</f>
        <v>0</v>
      </c>
      <c r="T95" s="96">
        <f>$I$27*$T$27</f>
        <v>5238640.9383635074</v>
      </c>
      <c r="U95" s="96">
        <f>$I$27*$U$27</f>
        <v>794030.50766793278</v>
      </c>
      <c r="V95" s="96">
        <f>$I$27*$V$27</f>
        <v>29044.139656600932</v>
      </c>
      <c r="W95" s="96">
        <f>$I$27*$W$27</f>
        <v>0</v>
      </c>
      <c r="X95" s="96">
        <f>$I$27*$X$27</f>
        <v>0</v>
      </c>
      <c r="Y95" s="96">
        <f>$I$27*$Y$27</f>
        <v>0</v>
      </c>
      <c r="Z95" s="96">
        <f>$I$27*$Z$27</f>
        <v>0</v>
      </c>
      <c r="AA95" s="96">
        <f>$I$27*$AA$27</f>
        <v>28936365.871935695</v>
      </c>
      <c r="AB95" s="96">
        <f ca="1">$I$27*$AB$27</f>
        <v>-2690680.9602688416</v>
      </c>
      <c r="AC95" s="96">
        <f ca="1">$I$27*$AC$27</f>
        <v>0</v>
      </c>
      <c r="AD95" s="96">
        <f>$I$27*$AD$27</f>
        <v>734993.6564801553</v>
      </c>
      <c r="AE95" s="96">
        <f>$I$27*$AE$27</f>
        <v>59427.570196515713</v>
      </c>
      <c r="AF95" s="96">
        <f ca="1">$I$27*$AF$27</f>
        <v>1385726.2664330686</v>
      </c>
      <c r="AG95" s="96">
        <f ca="1">$I$27*$AG$27</f>
        <v>317649.5601197888</v>
      </c>
      <c r="AH95" s="96"/>
      <c r="AI95" s="96">
        <f>$I$27*$AI$27</f>
        <v>529805.03578163148</v>
      </c>
      <c r="AJ95" s="96">
        <f>$I$27*$AJ$27</f>
        <v>20187.947784919303</v>
      </c>
      <c r="AK95" s="96">
        <f>$I$27*$AK$27</f>
        <v>353358.11533539247</v>
      </c>
      <c r="AL95" s="96">
        <f>$I$27*$AL$27</f>
        <v>0</v>
      </c>
      <c r="AM95" s="96">
        <f>$I$27*$AM$27</f>
        <v>0</v>
      </c>
      <c r="AN95" s="96">
        <f>$I$27*$AN$27</f>
        <v>1222938.7102777092</v>
      </c>
      <c r="AO95" s="96">
        <f>$I$27*$AO$27</f>
        <v>542000.90880113293</v>
      </c>
      <c r="AP95" s="96">
        <f>$I$27*$AP$27</f>
        <v>0</v>
      </c>
      <c r="AQ95" s="96">
        <f>$I$27*$AQ$27</f>
        <v>5238640.9383634971</v>
      </c>
      <c r="AR95" s="96">
        <f>$I$27*$AR$27</f>
        <v>794030.50766793278</v>
      </c>
      <c r="AS95" s="96">
        <f>$I$27*$AS$27</f>
        <v>29070.934897450406</v>
      </c>
      <c r="AT95" s="96">
        <f>$I$27*$AT$27</f>
        <v>0</v>
      </c>
      <c r="AU95" s="96">
        <f>$I$27*$AU$27</f>
        <v>0</v>
      </c>
      <c r="AV95" s="96">
        <f>$I$27*$AV$27</f>
        <v>0</v>
      </c>
      <c r="AW95" s="96">
        <f>$I$27*$AW$27</f>
        <v>0</v>
      </c>
      <c r="AX95" s="96">
        <f>$I$27*$AX$27</f>
        <v>28962835.890416697</v>
      </c>
      <c r="AY95" s="96">
        <f>$I$27*$AY$27</f>
        <v>-2691124.1255509779</v>
      </c>
      <c r="AZ95" s="96">
        <f>$I$27*$AZ$27</f>
        <v>0</v>
      </c>
      <c r="BA95" s="96">
        <f>$I$27*$BA$27</f>
        <v>735387.72009491362</v>
      </c>
      <c r="BB95" s="96">
        <f>$I$27*$BB$27</f>
        <v>59459.43202677973</v>
      </c>
      <c r="BC95" s="96">
        <f>$I$27*$BC$27</f>
        <v>1386402.8536804849</v>
      </c>
      <c r="BD95" s="96">
        <f>$I$27*$BD$27</f>
        <v>317800.60865717306</v>
      </c>
    </row>
    <row r="96" spans="1:56" ht="11.25" customHeight="1" x14ac:dyDescent="0.25">
      <c r="A96" s="9" t="s">
        <v>41</v>
      </c>
      <c r="B96" s="9" t="s">
        <v>1011</v>
      </c>
      <c r="C96" s="9" t="s">
        <v>1012</v>
      </c>
      <c r="D96" s="9" t="s">
        <v>1013</v>
      </c>
      <c r="E96" s="9" t="s">
        <v>1014</v>
      </c>
      <c r="F96" s="9" t="s">
        <v>1015</v>
      </c>
      <c r="G96" s="9" t="s">
        <v>1018</v>
      </c>
      <c r="L96" s="96">
        <f>$I$28*$L$28</f>
        <v>3435958.9930398036</v>
      </c>
      <c r="M96" s="96">
        <f>$I$28*$M$28</f>
        <v>130814.08406265013</v>
      </c>
      <c r="N96" s="96">
        <f ca="1">$I$28*$N$28</f>
        <v>250276.40494329733</v>
      </c>
      <c r="O96" s="96">
        <f>$I$28*$O$28</f>
        <v>0</v>
      </c>
      <c r="P96" s="96">
        <f>$I$28*$P$28</f>
        <v>0</v>
      </c>
      <c r="Q96" s="96">
        <f>$I$28*$Q$28</f>
        <v>7931157.6442756187</v>
      </c>
      <c r="R96" s="96">
        <f>$I$28*$R$28</f>
        <v>3515053.2196877389</v>
      </c>
      <c r="S96" s="96">
        <f>$I$28*$S$28</f>
        <v>0</v>
      </c>
      <c r="T96" s="96">
        <f>$I$28*$T$28</f>
        <v>0</v>
      </c>
      <c r="U96" s="96">
        <f>$I$28*$U$28</f>
        <v>0</v>
      </c>
      <c r="V96" s="96">
        <f>$I$28*$V$28</f>
        <v>0</v>
      </c>
      <c r="W96" s="96">
        <f>$I$28*$W$28</f>
        <v>0</v>
      </c>
      <c r="X96" s="96">
        <f>$I$28*$X$28</f>
        <v>0</v>
      </c>
      <c r="Y96" s="96">
        <f>$I$28*$Y$28</f>
        <v>0</v>
      </c>
      <c r="Z96" s="96">
        <f>$I$28*$Z$28</f>
        <v>0</v>
      </c>
      <c r="AA96" s="96">
        <f>$I$28*$AA$28</f>
        <v>0</v>
      </c>
      <c r="AB96" s="96">
        <f ca="1">$I$28*$AB$28</f>
        <v>-2018510.7802351178</v>
      </c>
      <c r="AC96" s="96">
        <f ca="1">$I$28*$AC$28</f>
        <v>0</v>
      </c>
      <c r="AD96" s="96">
        <f>$I$28*$AD$28</f>
        <v>4766674.3297077566</v>
      </c>
      <c r="AE96" s="96">
        <f>$I$28*$AE$28</f>
        <v>385407.23560691776</v>
      </c>
      <c r="AF96" s="96">
        <f ca="1">$I$28*$AF$28</f>
        <v>8986888.205050271</v>
      </c>
      <c r="AG96" s="96">
        <f ca="1">$I$28*$AG$28</f>
        <v>2060061.3225929781</v>
      </c>
      <c r="AH96" s="96"/>
      <c r="AI96" s="96">
        <f>$I$28*$AI$28</f>
        <v>3435958.9930398092</v>
      </c>
      <c r="AJ96" s="96">
        <f>$I$28*$AJ$28</f>
        <v>130925.44626397545</v>
      </c>
      <c r="AK96" s="96">
        <f>$I$28*$AK$28</f>
        <v>250516.64826966438</v>
      </c>
      <c r="AL96" s="96">
        <f>$I$28*$AL$28</f>
        <v>0</v>
      </c>
      <c r="AM96" s="96">
        <f>$I$28*$AM$28</f>
        <v>0</v>
      </c>
      <c r="AN96" s="96">
        <f>$I$28*$AN$28</f>
        <v>7931157.6442756131</v>
      </c>
      <c r="AO96" s="96">
        <f>$I$28*$AO$28</f>
        <v>3515053.2196877403</v>
      </c>
      <c r="AP96" s="96">
        <f>$I$28*$AP$28</f>
        <v>0</v>
      </c>
      <c r="AQ96" s="96">
        <f>$I$28*$AQ$28</f>
        <v>0</v>
      </c>
      <c r="AR96" s="96">
        <f>$I$28*$AR$28</f>
        <v>0</v>
      </c>
      <c r="AS96" s="96">
        <f>$I$28*$AS$28</f>
        <v>0</v>
      </c>
      <c r="AT96" s="96">
        <f>$I$28*$AT$28</f>
        <v>0</v>
      </c>
      <c r="AU96" s="96">
        <f>$I$28*$AU$28</f>
        <v>0</v>
      </c>
      <c r="AV96" s="96">
        <f>$I$28*$AV$28</f>
        <v>0</v>
      </c>
      <c r="AW96" s="96">
        <f>$I$28*$AW$28</f>
        <v>0</v>
      </c>
      <c r="AX96" s="96">
        <f>$I$28*$AX$28</f>
        <v>0</v>
      </c>
      <c r="AY96" s="96">
        <f>$I$28*$AY$28</f>
        <v>-2018007.3330319198</v>
      </c>
      <c r="AZ96" s="96">
        <f>$I$28*$AZ$28</f>
        <v>0</v>
      </c>
      <c r="BA96" s="96">
        <f>$I$28*$BA$28</f>
        <v>4769229.9611750199</v>
      </c>
      <c r="BB96" s="96">
        <f>$I$28*$BB$28</f>
        <v>385613.87000039575</v>
      </c>
      <c r="BC96" s="96">
        <f>$I$28*$BC$28</f>
        <v>8991276.094708411</v>
      </c>
      <c r="BD96" s="96">
        <f>$I$28*$BD$28</f>
        <v>2061040.9217763748</v>
      </c>
    </row>
    <row r="97" spans="1:56" ht="11.25" customHeight="1" x14ac:dyDescent="0.25">
      <c r="A97" s="9" t="s">
        <v>41</v>
      </c>
      <c r="B97" s="9" t="s">
        <v>1011</v>
      </c>
      <c r="C97" s="9" t="s">
        <v>1012</v>
      </c>
      <c r="D97" s="9" t="s">
        <v>1013</v>
      </c>
      <c r="E97" s="9" t="s">
        <v>1019</v>
      </c>
      <c r="F97" s="9" t="s">
        <v>1020</v>
      </c>
      <c r="G97" s="9" t="s">
        <v>1021</v>
      </c>
      <c r="L97" s="96">
        <f>$I$29*$L$29</f>
        <v>0</v>
      </c>
      <c r="M97" s="96">
        <f>$I$29*$M$29</f>
        <v>0</v>
      </c>
      <c r="N97" s="96">
        <f ca="1">$I$29*$N$29</f>
        <v>0</v>
      </c>
      <c r="O97" s="96">
        <f>$I$29*$O$29</f>
        <v>0</v>
      </c>
      <c r="P97" s="96">
        <f>$I$29*$P$29</f>
        <v>0</v>
      </c>
      <c r="Q97" s="96">
        <f>$I$29*$Q$29</f>
        <v>0</v>
      </c>
      <c r="R97" s="96">
        <f>$I$29*$R$29</f>
        <v>0</v>
      </c>
      <c r="S97" s="96">
        <f>$I$29*$S$29</f>
        <v>0</v>
      </c>
      <c r="T97" s="96">
        <f>$I$29*$T$29</f>
        <v>0</v>
      </c>
      <c r="U97" s="96">
        <f>$I$29*$U$29</f>
        <v>0</v>
      </c>
      <c r="V97" s="96">
        <f>$I$29*$V$29</f>
        <v>0</v>
      </c>
      <c r="W97" s="96">
        <f>$I$29*$W$29</f>
        <v>0</v>
      </c>
      <c r="X97" s="96">
        <f>$I$29*$X$29</f>
        <v>0</v>
      </c>
      <c r="Y97" s="96">
        <f>$I$29*$Y$29</f>
        <v>0</v>
      </c>
      <c r="Z97" s="96">
        <f>$I$29*$Z$29</f>
        <v>0</v>
      </c>
      <c r="AA97" s="96">
        <f>$I$29*$AA$29</f>
        <v>0</v>
      </c>
      <c r="AB97" s="96">
        <f ca="1">$I$29*$AB$29</f>
        <v>0</v>
      </c>
      <c r="AC97" s="96">
        <f ca="1">$I$29*$AC$29</f>
        <v>0</v>
      </c>
      <c r="AD97" s="96">
        <f>$I$29*$AD$29</f>
        <v>0</v>
      </c>
      <c r="AE97" s="96">
        <f>$I$29*$AE$29</f>
        <v>0</v>
      </c>
      <c r="AF97" s="96">
        <f ca="1">$I$29*$AF$29</f>
        <v>0</v>
      </c>
      <c r="AG97" s="96">
        <f ca="1">$I$29*$AG$29</f>
        <v>0</v>
      </c>
      <c r="AH97" s="96"/>
      <c r="AI97" s="96">
        <f>$I$29*$AI$29</f>
        <v>0</v>
      </c>
      <c r="AJ97" s="96">
        <f>$I$29*$AJ$29</f>
        <v>0</v>
      </c>
      <c r="AK97" s="96">
        <f>$I$29*$AK$29</f>
        <v>0</v>
      </c>
      <c r="AL97" s="96">
        <f>$I$29*$AL$29</f>
        <v>0</v>
      </c>
      <c r="AM97" s="96">
        <f>$I$29*$AM$29</f>
        <v>0</v>
      </c>
      <c r="AN97" s="96">
        <f>$I$29*$AN$29</f>
        <v>0</v>
      </c>
      <c r="AO97" s="96">
        <f>$I$29*$AO$29</f>
        <v>0</v>
      </c>
      <c r="AP97" s="96">
        <f>$I$29*$AP$29</f>
        <v>0</v>
      </c>
      <c r="AQ97" s="96">
        <f>$I$29*$AQ$29</f>
        <v>0</v>
      </c>
      <c r="AR97" s="96">
        <f>$I$29*$AR$29</f>
        <v>0</v>
      </c>
      <c r="AS97" s="96">
        <f>$I$29*$AS$29</f>
        <v>0</v>
      </c>
      <c r="AT97" s="96">
        <f>$I$29*$AT$29</f>
        <v>0</v>
      </c>
      <c r="AU97" s="96">
        <f>$I$29*$AU$29</f>
        <v>0</v>
      </c>
      <c r="AV97" s="96">
        <f>$I$29*$AV$29</f>
        <v>0</v>
      </c>
      <c r="AW97" s="96">
        <f>$I$29*$AW$29</f>
        <v>0</v>
      </c>
      <c r="AX97" s="96">
        <f>$I$29*$AX$29</f>
        <v>0</v>
      </c>
      <c r="AY97" s="96">
        <f>$I$29*$AY$29</f>
        <v>0</v>
      </c>
      <c r="AZ97" s="96">
        <f>$I$29*$AZ$29</f>
        <v>0</v>
      </c>
      <c r="BA97" s="96">
        <f>$I$29*$BA$29</f>
        <v>0</v>
      </c>
      <c r="BB97" s="96">
        <f>$I$29*$BB$29</f>
        <v>0</v>
      </c>
      <c r="BC97" s="96">
        <f>$I$29*$BC$29</f>
        <v>0</v>
      </c>
      <c r="BD97" s="96">
        <f>$I$29*$BD$29</f>
        <v>0</v>
      </c>
    </row>
    <row r="98" spans="1:56" ht="11.25" customHeight="1" x14ac:dyDescent="0.25">
      <c r="A98" s="9" t="s">
        <v>41</v>
      </c>
      <c r="B98" s="9" t="s">
        <v>1011</v>
      </c>
      <c r="C98" s="9" t="s">
        <v>1012</v>
      </c>
      <c r="D98" s="9" t="s">
        <v>1013</v>
      </c>
      <c r="E98" s="9" t="s">
        <v>1019</v>
      </c>
      <c r="F98" s="9" t="s">
        <v>1020</v>
      </c>
      <c r="G98" s="9" t="s">
        <v>1022</v>
      </c>
      <c r="L98" s="96">
        <f>$I$30*$L$30</f>
        <v>0</v>
      </c>
      <c r="M98" s="96">
        <f>$I$30*$M$30</f>
        <v>0</v>
      </c>
      <c r="N98" s="96">
        <f ca="1">$I$30*$N$30</f>
        <v>0</v>
      </c>
      <c r="O98" s="96">
        <f>$I$30*$O$30</f>
        <v>0</v>
      </c>
      <c r="P98" s="96">
        <f>$I$30*$P$30</f>
        <v>0</v>
      </c>
      <c r="Q98" s="96">
        <f>$I$30*$Q$30</f>
        <v>0</v>
      </c>
      <c r="R98" s="96">
        <f>$I$30*$R$30</f>
        <v>0</v>
      </c>
      <c r="S98" s="96">
        <f>$I$30*$S$30</f>
        <v>0</v>
      </c>
      <c r="T98" s="96">
        <f>$I$30*$T$30</f>
        <v>0</v>
      </c>
      <c r="U98" s="96">
        <f>$I$30*$U$30</f>
        <v>0</v>
      </c>
      <c r="V98" s="96">
        <f>$I$30*$V$30</f>
        <v>0</v>
      </c>
      <c r="W98" s="96">
        <f>$I$30*$W$30</f>
        <v>0</v>
      </c>
      <c r="X98" s="96">
        <f>$I$30*$X$30</f>
        <v>0</v>
      </c>
      <c r="Y98" s="96">
        <f>$I$30*$Y$30</f>
        <v>0</v>
      </c>
      <c r="Z98" s="96">
        <f>$I$30*$Z$30</f>
        <v>0</v>
      </c>
      <c r="AA98" s="96">
        <f>$I$30*$AA$30</f>
        <v>0</v>
      </c>
      <c r="AB98" s="96">
        <f ca="1">$I$30*$AB$30</f>
        <v>0</v>
      </c>
      <c r="AC98" s="96">
        <f ca="1">$I$30*$AC$30</f>
        <v>0</v>
      </c>
      <c r="AD98" s="96">
        <f>$I$30*$AD$30</f>
        <v>0</v>
      </c>
      <c r="AE98" s="96">
        <f>$I$30*$AE$30</f>
        <v>0</v>
      </c>
      <c r="AF98" s="96">
        <f ca="1">$I$30*$AF$30</f>
        <v>0</v>
      </c>
      <c r="AG98" s="96">
        <f ca="1">$I$30*$AG$30</f>
        <v>0</v>
      </c>
      <c r="AH98" s="96"/>
      <c r="AI98" s="96">
        <f>$I$30*$AI$30</f>
        <v>0</v>
      </c>
      <c r="AJ98" s="96">
        <f>$I$30*$AJ$30</f>
        <v>0</v>
      </c>
      <c r="AK98" s="96">
        <f>$I$30*$AK$30</f>
        <v>0</v>
      </c>
      <c r="AL98" s="96">
        <f>$I$30*$AL$30</f>
        <v>0</v>
      </c>
      <c r="AM98" s="96">
        <f>$I$30*$AM$30</f>
        <v>0</v>
      </c>
      <c r="AN98" s="96">
        <f>$I$30*$AN$30</f>
        <v>0</v>
      </c>
      <c r="AO98" s="96">
        <f>$I$30*$AO$30</f>
        <v>0</v>
      </c>
      <c r="AP98" s="96">
        <f>$I$30*$AP$30</f>
        <v>0</v>
      </c>
      <c r="AQ98" s="96">
        <f>$I$30*$AQ$30</f>
        <v>0</v>
      </c>
      <c r="AR98" s="96">
        <f>$I$30*$AR$30</f>
        <v>0</v>
      </c>
      <c r="AS98" s="96">
        <f>$I$30*$AS$30</f>
        <v>0</v>
      </c>
      <c r="AT98" s="96">
        <f>$I$30*$AT$30</f>
        <v>0</v>
      </c>
      <c r="AU98" s="96">
        <f>$I$30*$AU$30</f>
        <v>0</v>
      </c>
      <c r="AV98" s="96">
        <f>$I$30*$AV$30</f>
        <v>0</v>
      </c>
      <c r="AW98" s="96">
        <f>$I$30*$AW$30</f>
        <v>0</v>
      </c>
      <c r="AX98" s="96">
        <f>$I$30*$AX$30</f>
        <v>0</v>
      </c>
      <c r="AY98" s="96">
        <f>$I$30*$AY$30</f>
        <v>0</v>
      </c>
      <c r="AZ98" s="96">
        <f>$I$30*$AZ$30</f>
        <v>0</v>
      </c>
      <c r="BA98" s="96">
        <f>$I$30*$BA$30</f>
        <v>0</v>
      </c>
      <c r="BB98" s="96">
        <f>$I$30*$BB$30</f>
        <v>0</v>
      </c>
      <c r="BC98" s="96">
        <f>$I$30*$BC$30</f>
        <v>0</v>
      </c>
      <c r="BD98" s="96">
        <f>$I$30*$BD$30</f>
        <v>0</v>
      </c>
    </row>
    <row r="99" spans="1:56" ht="11.25" customHeight="1" x14ac:dyDescent="0.25">
      <c r="A99" s="9" t="s">
        <v>87</v>
      </c>
      <c r="B99" s="9" t="s">
        <v>1023</v>
      </c>
      <c r="C99" s="9" t="s">
        <v>1024</v>
      </c>
      <c r="D99" s="9" t="s">
        <v>1025</v>
      </c>
      <c r="E99" s="9" t="s">
        <v>1026</v>
      </c>
      <c r="F99" s="9" t="s">
        <v>1027</v>
      </c>
      <c r="G99" s="9" t="s">
        <v>1028</v>
      </c>
      <c r="L99" s="96">
        <f>$I$31*$L$31</f>
        <v>0</v>
      </c>
      <c r="M99" s="96">
        <f>$I$31*$M$31</f>
        <v>3.5836335012395356E-10</v>
      </c>
      <c r="N99" s="96">
        <f ca="1">$I$31*$N$31</f>
        <v>9.6960414585497037E-10</v>
      </c>
      <c r="O99" s="96">
        <f>$I$31*$O$31</f>
        <v>0</v>
      </c>
      <c r="P99" s="96">
        <f>$I$31*$P$31</f>
        <v>0</v>
      </c>
      <c r="Q99" s="96">
        <f>$I$31*$Q$31</f>
        <v>0</v>
      </c>
      <c r="R99" s="96">
        <f>$I$31*$R$31</f>
        <v>0</v>
      </c>
      <c r="S99" s="96">
        <f>$I$31*$S$31</f>
        <v>0</v>
      </c>
      <c r="T99" s="96">
        <f>$I$31*$T$31</f>
        <v>0</v>
      </c>
      <c r="U99" s="96">
        <f>$I$31*$U$31</f>
        <v>0</v>
      </c>
      <c r="V99" s="96">
        <f>$I$31*$V$31</f>
        <v>0</v>
      </c>
      <c r="W99" s="96">
        <f>$I$31*$W$31</f>
        <v>0</v>
      </c>
      <c r="X99" s="96">
        <f>$I$31*$X$31</f>
        <v>0</v>
      </c>
      <c r="Y99" s="96">
        <f>$I$31*$Y$31</f>
        <v>0</v>
      </c>
      <c r="Z99" s="96">
        <f>$I$31*$Z$31</f>
        <v>0</v>
      </c>
      <c r="AA99" s="96">
        <f>$I$31*$AA$31</f>
        <v>1.0927193378196158E-7</v>
      </c>
      <c r="AB99" s="96">
        <f ca="1">$I$31*$AB$31</f>
        <v>-7.3293246484827472E-9</v>
      </c>
      <c r="AC99" s="96">
        <f ca="1">$I$31*$AC$31</f>
        <v>0</v>
      </c>
      <c r="AD99" s="96">
        <f>$I$31*$AD$31</f>
        <v>0</v>
      </c>
      <c r="AE99" s="96">
        <f>$I$31*$AE$31</f>
        <v>0</v>
      </c>
      <c r="AF99" s="96">
        <f ca="1">$I$31*$AF$31</f>
        <v>0</v>
      </c>
      <c r="AG99" s="96">
        <f ca="1">$I$31*$AG$31</f>
        <v>0</v>
      </c>
      <c r="AH99" s="96"/>
      <c r="AI99" s="96">
        <f>$I$31*$AI$31</f>
        <v>0</v>
      </c>
      <c r="AJ99" s="96">
        <f>$I$31*$AJ$31</f>
        <v>3.5834703149273103E-10</v>
      </c>
      <c r="AK99" s="96">
        <f>$I$31*$AK$31</f>
        <v>9.7015115968436897E-10</v>
      </c>
      <c r="AL99" s="96">
        <f>$I$31*$AL$31</f>
        <v>0</v>
      </c>
      <c r="AM99" s="96">
        <f>$I$31*$AM$31</f>
        <v>0</v>
      </c>
      <c r="AN99" s="96">
        <f>$I$31*$AN$31</f>
        <v>0</v>
      </c>
      <c r="AO99" s="96">
        <f>$I$31*$AO$31</f>
        <v>0</v>
      </c>
      <c r="AP99" s="96">
        <f>$I$31*$AP$31</f>
        <v>0</v>
      </c>
      <c r="AQ99" s="96">
        <f>$I$31*$AQ$31</f>
        <v>0</v>
      </c>
      <c r="AR99" s="96">
        <f>$I$31*$AR$31</f>
        <v>0</v>
      </c>
      <c r="AS99" s="96">
        <f>$I$31*$AS$31</f>
        <v>0</v>
      </c>
      <c r="AT99" s="96">
        <f>$I$31*$AT$31</f>
        <v>0</v>
      </c>
      <c r="AU99" s="96">
        <f>$I$31*$AU$31</f>
        <v>0</v>
      </c>
      <c r="AV99" s="96">
        <f>$I$31*$AV$31</f>
        <v>0</v>
      </c>
      <c r="AW99" s="96">
        <f>$I$31*$AW$31</f>
        <v>0</v>
      </c>
      <c r="AX99" s="96">
        <f>$I$31*$AX$31</f>
        <v>1.0937189208769601E-7</v>
      </c>
      <c r="AY99" s="96">
        <f>$I$31*$AY$31</f>
        <v>-7.3321478498540703E-9</v>
      </c>
      <c r="AZ99" s="96">
        <f>$I$31*$AZ$31</f>
        <v>0</v>
      </c>
      <c r="BA99" s="96">
        <f>$I$31*$BA$31</f>
        <v>0</v>
      </c>
      <c r="BB99" s="96">
        <f>$I$31*$BB$31</f>
        <v>0</v>
      </c>
      <c r="BC99" s="96">
        <f>$I$31*$BC$31</f>
        <v>0</v>
      </c>
      <c r="BD99" s="96">
        <f>$I$31*$BD$31</f>
        <v>0</v>
      </c>
    </row>
    <row r="100" spans="1:56" ht="11.25" customHeight="1" x14ac:dyDescent="0.25">
      <c r="A100" s="9" t="s">
        <v>87</v>
      </c>
      <c r="B100" s="9" t="s">
        <v>1023</v>
      </c>
      <c r="C100" s="9" t="s">
        <v>1024</v>
      </c>
      <c r="D100" s="9" t="s">
        <v>1025</v>
      </c>
      <c r="E100" s="9" t="s">
        <v>1029</v>
      </c>
      <c r="F100" s="9" t="s">
        <v>1030</v>
      </c>
      <c r="G100" s="9" t="s">
        <v>1031</v>
      </c>
      <c r="L100" s="96">
        <f>$I$32*$L$32</f>
        <v>0</v>
      </c>
      <c r="M100" s="96">
        <f>$I$32*$M$32</f>
        <v>3.5836335012395356E-10</v>
      </c>
      <c r="N100" s="96">
        <f ca="1">$I$32*$N$32</f>
        <v>9.6960414585497037E-10</v>
      </c>
      <c r="O100" s="96">
        <f>$I$32*$O$32</f>
        <v>0</v>
      </c>
      <c r="P100" s="96">
        <f>$I$32*$P$32</f>
        <v>0</v>
      </c>
      <c r="Q100" s="96">
        <f>$I$32*$Q$32</f>
        <v>0</v>
      </c>
      <c r="R100" s="96">
        <f>$I$32*$R$32</f>
        <v>0</v>
      </c>
      <c r="S100" s="96">
        <f>$I$32*$S$32</f>
        <v>0</v>
      </c>
      <c r="T100" s="96">
        <f>$I$32*$T$32</f>
        <v>0</v>
      </c>
      <c r="U100" s="96">
        <f>$I$32*$U$32</f>
        <v>0</v>
      </c>
      <c r="V100" s="96">
        <f>$I$32*$V$32</f>
        <v>0</v>
      </c>
      <c r="W100" s="96">
        <f>$I$32*$W$32</f>
        <v>0</v>
      </c>
      <c r="X100" s="96">
        <f>$I$32*$X$32</f>
        <v>0</v>
      </c>
      <c r="Y100" s="96">
        <f>$I$32*$Y$32</f>
        <v>0</v>
      </c>
      <c r="Z100" s="96">
        <f>$I$32*$Z$32</f>
        <v>0</v>
      </c>
      <c r="AA100" s="96">
        <f>$I$32*$AA$32</f>
        <v>2.4926430730131127E-7</v>
      </c>
      <c r="AB100" s="96">
        <f ca="1">$I$32*$AB$32</f>
        <v>-1.6607606508187861E-8</v>
      </c>
      <c r="AC100" s="96">
        <f ca="1">$I$32*$AC$32</f>
        <v>0</v>
      </c>
      <c r="AD100" s="96">
        <f>$I$32*$AD$32</f>
        <v>0</v>
      </c>
      <c r="AE100" s="96">
        <f>$I$32*$AE$32</f>
        <v>0</v>
      </c>
      <c r="AF100" s="96">
        <f ca="1">$I$32*$AF$32</f>
        <v>0</v>
      </c>
      <c r="AG100" s="96">
        <f ca="1">$I$32*$AG$32</f>
        <v>0</v>
      </c>
      <c r="AH100" s="96"/>
      <c r="AI100" s="96">
        <f>$I$32*$AI$32</f>
        <v>0</v>
      </c>
      <c r="AJ100" s="96">
        <f>$I$32*$AJ$32</f>
        <v>3.5834703149273103E-10</v>
      </c>
      <c r="AK100" s="96">
        <f>$I$32*$AK$32</f>
        <v>9.7015115968436897E-10</v>
      </c>
      <c r="AL100" s="96">
        <f>$I$32*$AL$32</f>
        <v>0</v>
      </c>
      <c r="AM100" s="96">
        <f>$I$32*$AM$32</f>
        <v>0</v>
      </c>
      <c r="AN100" s="96">
        <f>$I$32*$AN$32</f>
        <v>0</v>
      </c>
      <c r="AO100" s="96">
        <f>$I$32*$AO$32</f>
        <v>0</v>
      </c>
      <c r="AP100" s="96">
        <f>$I$32*$AP$32</f>
        <v>0</v>
      </c>
      <c r="AQ100" s="96">
        <f>$I$32*$AQ$32</f>
        <v>0</v>
      </c>
      <c r="AR100" s="96">
        <f>$I$32*$AR$32</f>
        <v>0</v>
      </c>
      <c r="AS100" s="96">
        <f>$I$32*$AS$32</f>
        <v>0</v>
      </c>
      <c r="AT100" s="96">
        <f>$I$32*$AT$32</f>
        <v>0</v>
      </c>
      <c r="AU100" s="96">
        <f>$I$32*$AU$32</f>
        <v>0</v>
      </c>
      <c r="AV100" s="96">
        <f>$I$32*$AV$32</f>
        <v>0</v>
      </c>
      <c r="AW100" s="96">
        <f>$I$32*$AW$32</f>
        <v>0</v>
      </c>
      <c r="AX100" s="96">
        <f>$I$32*$AX$32</f>
        <v>2.4949232594228901E-7</v>
      </c>
      <c r="AY100" s="96">
        <f>$I$32*$AY$32</f>
        <v>-1.6614058756950002E-8</v>
      </c>
      <c r="AZ100" s="96">
        <f>$I$32*$AZ$32</f>
        <v>0</v>
      </c>
      <c r="BA100" s="96">
        <f>$I$32*$BA$32</f>
        <v>0</v>
      </c>
      <c r="BB100" s="96">
        <f>$I$32*$BB$32</f>
        <v>0</v>
      </c>
      <c r="BC100" s="96">
        <f>$I$32*$BC$32</f>
        <v>0</v>
      </c>
      <c r="BD100" s="96">
        <f>$I$32*$BD$32</f>
        <v>0</v>
      </c>
    </row>
    <row r="101" spans="1:56" ht="11.25" customHeight="1" x14ac:dyDescent="0.25">
      <c r="A101" s="9" t="s">
        <v>22</v>
      </c>
      <c r="B101" s="9" t="s">
        <v>1032</v>
      </c>
      <c r="C101" s="9" t="s">
        <v>1033</v>
      </c>
      <c r="D101" s="9" t="s">
        <v>1034</v>
      </c>
      <c r="E101" s="9" t="s">
        <v>1035</v>
      </c>
      <c r="F101" s="9" t="s">
        <v>1036</v>
      </c>
      <c r="G101" s="9" t="s">
        <v>1037</v>
      </c>
      <c r="L101" s="96">
        <f>$I$33*$L$33</f>
        <v>378.0939184410451</v>
      </c>
      <c r="M101" s="96">
        <f>$I$33*$M$33</f>
        <v>15.015855063261977</v>
      </c>
      <c r="N101" s="96">
        <f ca="1">$I$33*$N$33</f>
        <v>162.83735792996561</v>
      </c>
      <c r="O101" s="96">
        <f>$I$33*$O$33</f>
        <v>0</v>
      </c>
      <c r="P101" s="96">
        <f>$I$33*$P$33</f>
        <v>0</v>
      </c>
      <c r="Q101" s="96">
        <f>$I$33*$Q$33</f>
        <v>872.74687432891562</v>
      </c>
      <c r="R101" s="96">
        <f>$I$33*$R$33</f>
        <v>324.90987475819639</v>
      </c>
      <c r="S101" s="96">
        <f>$I$33*$S$33</f>
        <v>0</v>
      </c>
      <c r="T101" s="96">
        <f>$I$33*$T$33</f>
        <v>1536.1527989146355</v>
      </c>
      <c r="U101" s="96">
        <f>$I$33*$U$33</f>
        <v>236.43086459123515</v>
      </c>
      <c r="V101" s="96">
        <f>$I$33*$V$33</f>
        <v>8.2515563013319309</v>
      </c>
      <c r="W101" s="96">
        <f>$I$33*$W$33</f>
        <v>0</v>
      </c>
      <c r="X101" s="96">
        <f>$I$33*$X$33</f>
        <v>0</v>
      </c>
      <c r="Y101" s="96">
        <f>$I$33*$Y$33</f>
        <v>0</v>
      </c>
      <c r="Z101" s="96">
        <f>$I$33*$Z$33</f>
        <v>0</v>
      </c>
      <c r="AA101" s="96">
        <f>$I$33*$AA$33</f>
        <v>13691.827833914467</v>
      </c>
      <c r="AB101" s="96">
        <f ca="1">$I$33*$AB$33</f>
        <v>-1248.196265099956</v>
      </c>
      <c r="AC101" s="96">
        <f ca="1">$I$33*$AC$33</f>
        <v>0</v>
      </c>
      <c r="AD101" s="96">
        <f>$I$33*$AD$33</f>
        <v>440.60202298047699</v>
      </c>
      <c r="AE101" s="96">
        <f>$I$33*$AE$33</f>
        <v>35.624671612531237</v>
      </c>
      <c r="AF101" s="96">
        <f ca="1">$I$33*$AF$33</f>
        <v>883.03293500213795</v>
      </c>
      <c r="AG101" s="96">
        <f ca="1">$I$33*$AG$33</f>
        <v>202.41733895737136</v>
      </c>
      <c r="AH101" s="96"/>
      <c r="AI101" s="96">
        <f>$I$33*$AI$33</f>
        <v>378.09391844104465</v>
      </c>
      <c r="AJ101" s="96">
        <f>$I$33*$AJ$33</f>
        <v>15.028638080370646</v>
      </c>
      <c r="AK101" s="96">
        <f>$I$33*$AK$33</f>
        <v>162.94067561939579</v>
      </c>
      <c r="AL101" s="96">
        <f>$I$33*$AL$33</f>
        <v>0</v>
      </c>
      <c r="AM101" s="96">
        <f>$I$33*$AM$33</f>
        <v>0</v>
      </c>
      <c r="AN101" s="96">
        <f>$I$33*$AN$33</f>
        <v>872.74687432891631</v>
      </c>
      <c r="AO101" s="96">
        <f>$I$33*$AO$33</f>
        <v>324.90987475819651</v>
      </c>
      <c r="AP101" s="96">
        <f>$I$33*$AP$33</f>
        <v>0</v>
      </c>
      <c r="AQ101" s="96">
        <f>$I$33*$AQ$33</f>
        <v>1536.1527989146382</v>
      </c>
      <c r="AR101" s="96">
        <f>$I$33*$AR$33</f>
        <v>236.43086459123532</v>
      </c>
      <c r="AS101" s="96">
        <f>$I$33*$AS$33</f>
        <v>8.2591689364827925</v>
      </c>
      <c r="AT101" s="96">
        <f>$I$33*$AT$33</f>
        <v>0</v>
      </c>
      <c r="AU101" s="96">
        <f>$I$33*$AU$33</f>
        <v>0</v>
      </c>
      <c r="AV101" s="96">
        <f>$I$33*$AV$33</f>
        <v>0</v>
      </c>
      <c r="AW101" s="96">
        <f>$I$33*$AW$33</f>
        <v>0</v>
      </c>
      <c r="AX101" s="96">
        <f>$I$33*$AX$33</f>
        <v>13704.352659506179</v>
      </c>
      <c r="AY101" s="96">
        <f>$I$33*$AY$33</f>
        <v>-1248.4375953964773</v>
      </c>
      <c r="AZ101" s="96">
        <f>$I$33*$AZ$33</f>
        <v>0</v>
      </c>
      <c r="BA101" s="96">
        <f>$I$33*$BA$33</f>
        <v>440.83824981633433</v>
      </c>
      <c r="BB101" s="96">
        <f>$I$33*$BB$33</f>
        <v>35.643771623458427</v>
      </c>
      <c r="BC101" s="96">
        <f>$I$33*$BC$33</f>
        <v>883.52765276789808</v>
      </c>
      <c r="BD101" s="96">
        <f>$I$33*$BD$33</f>
        <v>202.52816493393604</v>
      </c>
    </row>
    <row r="102" spans="1:56" ht="11.25" customHeight="1" x14ac:dyDescent="0.25">
      <c r="A102" s="9" t="s">
        <v>22</v>
      </c>
      <c r="B102" s="9" t="s">
        <v>1032</v>
      </c>
      <c r="C102" s="9" t="s">
        <v>1033</v>
      </c>
      <c r="D102" s="9" t="s">
        <v>1034</v>
      </c>
      <c r="E102" s="9" t="s">
        <v>1035</v>
      </c>
      <c r="F102" s="9" t="s">
        <v>1036</v>
      </c>
      <c r="G102" s="9" t="s">
        <v>1038</v>
      </c>
      <c r="L102" s="96">
        <f>$I$34*$L$34</f>
        <v>334.73047643807143</v>
      </c>
      <c r="M102" s="96">
        <f>$I$34*$M$34</f>
        <v>13.293692583511991</v>
      </c>
      <c r="N102" s="96">
        <f ca="1">$I$34*$N$34</f>
        <v>95.195245736879883</v>
      </c>
      <c r="O102" s="96">
        <f>$I$34*$O$34</f>
        <v>0</v>
      </c>
      <c r="P102" s="96">
        <f>$I$34*$P$34</f>
        <v>0</v>
      </c>
      <c r="Q102" s="96">
        <f>$I$34*$Q$34</f>
        <v>772.65188040708244</v>
      </c>
      <c r="R102" s="96">
        <f>$I$34*$R$34</f>
        <v>287.64608969557742</v>
      </c>
      <c r="S102" s="96">
        <f>$I$34*$S$34</f>
        <v>0</v>
      </c>
      <c r="T102" s="96">
        <f>$I$34*$T$34</f>
        <v>815.98222557372344</v>
      </c>
      <c r="U102" s="96">
        <f>$I$34*$U$34</f>
        <v>125.58905375735897</v>
      </c>
      <c r="V102" s="96">
        <f>$I$34*$V$34</f>
        <v>4.3834264688346902</v>
      </c>
      <c r="W102" s="96">
        <f>$I$34*$W$34</f>
        <v>0</v>
      </c>
      <c r="X102" s="96">
        <f>$I$34*$X$34</f>
        <v>0</v>
      </c>
      <c r="Y102" s="96">
        <f>$I$34*$Y$34</f>
        <v>0</v>
      </c>
      <c r="Z102" s="96">
        <f>$I$34*$Z$34</f>
        <v>0</v>
      </c>
      <c r="AA102" s="96">
        <f>$I$34*$AA$34</f>
        <v>7272.911202126932</v>
      </c>
      <c r="AB102" s="96">
        <f ca="1">$I$34*$AB$34</f>
        <v>-734.59642733753492</v>
      </c>
      <c r="AC102" s="96">
        <f ca="1">$I$34*$AC$34</f>
        <v>0</v>
      </c>
      <c r="AD102" s="96">
        <f>$I$34*$AD$34</f>
        <v>390.0695511843565</v>
      </c>
      <c r="AE102" s="96">
        <f>$I$34*$AE$34</f>
        <v>31.538892111727503</v>
      </c>
      <c r="AF102" s="96">
        <f ca="1">$I$34*$AF$34</f>
        <v>781.75823684892896</v>
      </c>
      <c r="AG102" s="96">
        <f ca="1">$I$34*$AG$34</f>
        <v>179.20217439067949</v>
      </c>
      <c r="AH102" s="96"/>
      <c r="AI102" s="96">
        <f>$I$34*$AI$34</f>
        <v>334.73047643807098</v>
      </c>
      <c r="AJ102" s="96">
        <f>$I$34*$AJ$34</f>
        <v>13.305009521443029</v>
      </c>
      <c r="AK102" s="96">
        <f>$I$34*$AK$34</f>
        <v>95.259089001001101</v>
      </c>
      <c r="AL102" s="96">
        <f>$I$34*$AL$34</f>
        <v>0</v>
      </c>
      <c r="AM102" s="96">
        <f>$I$34*$AM$34</f>
        <v>0</v>
      </c>
      <c r="AN102" s="96">
        <f>$I$34*$AN$34</f>
        <v>772.65188040708301</v>
      </c>
      <c r="AO102" s="96">
        <f>$I$34*$AO$34</f>
        <v>287.64608969557753</v>
      </c>
      <c r="AP102" s="96">
        <f>$I$34*$AP$34</f>
        <v>0</v>
      </c>
      <c r="AQ102" s="96">
        <f>$I$34*$AQ$34</f>
        <v>815.9822255737231</v>
      </c>
      <c r="AR102" s="96">
        <f>$I$34*$AR$34</f>
        <v>125.58905375735897</v>
      </c>
      <c r="AS102" s="96">
        <f>$I$34*$AS$34</f>
        <v>4.3874704849207786</v>
      </c>
      <c r="AT102" s="96">
        <f>$I$34*$AT$34</f>
        <v>0</v>
      </c>
      <c r="AU102" s="96">
        <f>$I$34*$AU$34</f>
        <v>0</v>
      </c>
      <c r="AV102" s="96">
        <f>$I$34*$AV$34</f>
        <v>0</v>
      </c>
      <c r="AW102" s="96">
        <f>$I$34*$AW$34</f>
        <v>0</v>
      </c>
      <c r="AX102" s="96">
        <f>$I$34*$AX$34</f>
        <v>7279.5642177400205</v>
      </c>
      <c r="AY102" s="96">
        <f>$I$34*$AY$34</f>
        <v>-734.70820584475689</v>
      </c>
      <c r="AZ102" s="96">
        <f>$I$34*$AZ$34</f>
        <v>0</v>
      </c>
      <c r="BA102" s="96">
        <f>$I$34*$BA$34</f>
        <v>390.27868525781633</v>
      </c>
      <c r="BB102" s="96">
        <f>$I$34*$BB$34</f>
        <v>31.555801549953834</v>
      </c>
      <c r="BC102" s="96">
        <f>$I$34*$BC$34</f>
        <v>782.19621562975169</v>
      </c>
      <c r="BD102" s="96">
        <f>$I$34*$BD$34</f>
        <v>179.30028977981391</v>
      </c>
    </row>
    <row r="103" spans="1:56" ht="11.25" customHeight="1" x14ac:dyDescent="0.25">
      <c r="A103" s="9" t="s">
        <v>22</v>
      </c>
      <c r="B103" s="9" t="s">
        <v>1032</v>
      </c>
      <c r="C103" s="9" t="s">
        <v>1033</v>
      </c>
      <c r="D103" s="9" t="s">
        <v>1034</v>
      </c>
      <c r="E103" s="9" t="s">
        <v>1035</v>
      </c>
      <c r="F103" s="9" t="s">
        <v>1036</v>
      </c>
      <c r="G103" s="9" t="s">
        <v>1039</v>
      </c>
      <c r="L103" s="96">
        <f>$I$35*$L$35</f>
        <v>4953.3656419141098</v>
      </c>
      <c r="M103" s="96">
        <f>$I$35*$M$35</f>
        <v>196.72101805023232</v>
      </c>
      <c r="N103" s="96">
        <f ca="1">$I$35*$N$35</f>
        <v>684.09837284518812</v>
      </c>
      <c r="O103" s="96">
        <f>$I$35*$O$35</f>
        <v>0</v>
      </c>
      <c r="P103" s="96">
        <f>$I$35*$P$35</f>
        <v>0</v>
      </c>
      <c r="Q103" s="96">
        <f>$I$35*$Q$35</f>
        <v>11433.758044068773</v>
      </c>
      <c r="R103" s="96">
        <f>$I$35*$R$35</f>
        <v>4256.6075037168685</v>
      </c>
      <c r="S103" s="96">
        <f>$I$35*$S$35</f>
        <v>0</v>
      </c>
      <c r="T103" s="96">
        <f>$I$35*$T$35</f>
        <v>4024.9878684284026</v>
      </c>
      <c r="U103" s="96">
        <f>$I$35*$U$35</f>
        <v>619.49767960213933</v>
      </c>
      <c r="V103" s="96">
        <f>$I$35*$V$35</f>
        <v>21.629814310474956</v>
      </c>
      <c r="W103" s="96">
        <f>$I$35*$W$35</f>
        <v>0</v>
      </c>
      <c r="X103" s="96">
        <f>$I$35*$X$35</f>
        <v>0</v>
      </c>
      <c r="Y103" s="96">
        <f>$I$35*$Y$35</f>
        <v>0</v>
      </c>
      <c r="Z103" s="96">
        <f>$I$35*$Z$35</f>
        <v>0</v>
      </c>
      <c r="AA103" s="96">
        <f>$I$35*$AA$35</f>
        <v>35875.012293168737</v>
      </c>
      <c r="AB103" s="96">
        <f ca="1">$I$35*$AB$35</f>
        <v>-5388.743530086459</v>
      </c>
      <c r="AC103" s="96">
        <f ca="1">$I$35*$AC$35</f>
        <v>0</v>
      </c>
      <c r="AD103" s="96">
        <f>$I$35*$AD$35</f>
        <v>5772.2772463203473</v>
      </c>
      <c r="AE103" s="96">
        <f>$I$35*$AE$35</f>
        <v>466.71479165169455</v>
      </c>
      <c r="AF103" s="96">
        <f ca="1">$I$35*$AF$35</f>
        <v>11568.514561019541</v>
      </c>
      <c r="AG103" s="96">
        <f ca="1">$I$35*$AG$35</f>
        <v>2651.8466529512957</v>
      </c>
      <c r="AH103" s="96"/>
      <c r="AI103" s="96">
        <f>$I$35*$AI$35</f>
        <v>4953.3656419141034</v>
      </c>
      <c r="AJ103" s="96">
        <f>$I$35*$AJ$35</f>
        <v>196.88848691089837</v>
      </c>
      <c r="AK103" s="96">
        <f>$I$35*$AK$35</f>
        <v>684.63433390664352</v>
      </c>
      <c r="AL103" s="96">
        <f>$I$35*$AL$35</f>
        <v>0</v>
      </c>
      <c r="AM103" s="96">
        <f>$I$35*$AM$35</f>
        <v>0</v>
      </c>
      <c r="AN103" s="96">
        <f>$I$35*$AN$35</f>
        <v>11433.758044068782</v>
      </c>
      <c r="AO103" s="96">
        <f>$I$35*$AO$35</f>
        <v>4256.6075037168712</v>
      </c>
      <c r="AP103" s="96">
        <f>$I$35*$AP$35</f>
        <v>0</v>
      </c>
      <c r="AQ103" s="96">
        <f>$I$35*$AQ$35</f>
        <v>4024.9878684283949</v>
      </c>
      <c r="AR103" s="96">
        <f>$I$35*$AR$35</f>
        <v>619.49767960213956</v>
      </c>
      <c r="AS103" s="96">
        <f>$I$35*$AS$35</f>
        <v>21.649769320016553</v>
      </c>
      <c r="AT103" s="96">
        <f>$I$35*$AT$35</f>
        <v>0</v>
      </c>
      <c r="AU103" s="96">
        <f>$I$35*$AU$35</f>
        <v>0</v>
      </c>
      <c r="AV103" s="96">
        <f>$I$35*$AV$35</f>
        <v>0</v>
      </c>
      <c r="AW103" s="96">
        <f>$I$35*$AW$35</f>
        <v>0</v>
      </c>
      <c r="AX103" s="96">
        <f>$I$35*$AX$35</f>
        <v>35907.829553035161</v>
      </c>
      <c r="AY103" s="96">
        <f>$I$35*$AY$35</f>
        <v>-5388.8901003144629</v>
      </c>
      <c r="AZ103" s="96">
        <f>$I$35*$AZ$35</f>
        <v>0</v>
      </c>
      <c r="BA103" s="96">
        <f>$I$35*$BA$35</f>
        <v>5775.3720273664385</v>
      </c>
      <c r="BB103" s="96">
        <f>$I$35*$BB$35</f>
        <v>466.96501873357153</v>
      </c>
      <c r="BC103" s="96">
        <f>$I$35*$BC$35</f>
        <v>11574.9958024885</v>
      </c>
      <c r="BD103" s="96">
        <f>$I$35*$BD$35</f>
        <v>2653.2985715296495</v>
      </c>
    </row>
    <row r="104" spans="1:56" ht="11.25" customHeight="1" x14ac:dyDescent="0.25">
      <c r="A104" s="9" t="s">
        <v>22</v>
      </c>
      <c r="B104" s="9" t="s">
        <v>1040</v>
      </c>
      <c r="C104" s="9" t="s">
        <v>1041</v>
      </c>
      <c r="D104" s="9" t="s">
        <v>1042</v>
      </c>
      <c r="E104" s="9" t="s">
        <v>1043</v>
      </c>
      <c r="F104" s="9" t="s">
        <v>1044</v>
      </c>
      <c r="G104" s="9" t="s">
        <v>1045</v>
      </c>
      <c r="L104" s="96">
        <f>$I$36*$L$36</f>
        <v>11388542.185074</v>
      </c>
      <c r="M104" s="96">
        <f>$I$36*$M$36</f>
        <v>452291.58812714636</v>
      </c>
      <c r="N104" s="96">
        <f ca="1">$I$36*$N$36</f>
        <v>2021380.0146318048</v>
      </c>
      <c r="O104" s="96">
        <f>$I$36*$O$36</f>
        <v>0</v>
      </c>
      <c r="P104" s="96">
        <f>$I$36*$P$36</f>
        <v>0</v>
      </c>
      <c r="Q104" s="96">
        <f>$I$36*$Q$36</f>
        <v>26287951.512597881</v>
      </c>
      <c r="R104" s="96">
        <f>$I$36*$R$36</f>
        <v>9786589.084235156</v>
      </c>
      <c r="S104" s="96">
        <f>$I$36*$S$36</f>
        <v>0</v>
      </c>
      <c r="T104" s="96">
        <f>$I$36*$T$36</f>
        <v>14236998.343418496</v>
      </c>
      <c r="U104" s="96">
        <f>$I$36*$U$36</f>
        <v>2191221.2869901108</v>
      </c>
      <c r="V104" s="96">
        <f>$I$36*$V$36</f>
        <v>76487.558051791362</v>
      </c>
      <c r="W104" s="96">
        <f>$I$36*$W$36</f>
        <v>0</v>
      </c>
      <c r="X104" s="96">
        <f>$I$36*$X$36</f>
        <v>0</v>
      </c>
      <c r="Y104" s="96">
        <f>$I$36*$Y$36</f>
        <v>0</v>
      </c>
      <c r="Z104" s="96">
        <f>$I$36*$Z$36</f>
        <v>0</v>
      </c>
      <c r="AA104" s="96">
        <f>$I$36*$AA$36</f>
        <v>126895607.49139632</v>
      </c>
      <c r="AB104" s="96">
        <f ca="1">$I$36*$AB$36</f>
        <v>-15782830.153952487</v>
      </c>
      <c r="AC104" s="96">
        <f ca="1">$I$36*$AC$36</f>
        <v>0</v>
      </c>
      <c r="AD104" s="96">
        <f>$I$36*$AD$36</f>
        <v>13271344.713058421</v>
      </c>
      <c r="AE104" s="96">
        <f>$I$36*$AE$36</f>
        <v>1073048.4033214664</v>
      </c>
      <c r="AF104" s="96">
        <f ca="1">$I$36*$AF$36</f>
        <v>26597777.273293074</v>
      </c>
      <c r="AG104" s="96">
        <f ca="1">$I$36*$AG$36</f>
        <v>6096999.4259928679</v>
      </c>
      <c r="AH104" s="96"/>
      <c r="AI104" s="96">
        <f>$I$36*$AI$36</f>
        <v>11388542.185073985</v>
      </c>
      <c r="AJ104" s="96">
        <f>$I$36*$AJ$36</f>
        <v>452676.6245493</v>
      </c>
      <c r="AK104" s="96">
        <f>$I$36*$AK$36</f>
        <v>2022865.3164021755</v>
      </c>
      <c r="AL104" s="96">
        <f>$I$36*$AL$36</f>
        <v>0</v>
      </c>
      <c r="AM104" s="96">
        <f>$I$36*$AM$36</f>
        <v>0</v>
      </c>
      <c r="AN104" s="96">
        <f>$I$36*$AN$36</f>
        <v>26287951.5125979</v>
      </c>
      <c r="AO104" s="96">
        <f>$I$36*$AO$36</f>
        <v>9786589.0842351597</v>
      </c>
      <c r="AP104" s="96">
        <f>$I$36*$AP$36</f>
        <v>0</v>
      </c>
      <c r="AQ104" s="96">
        <f>$I$36*$AQ$36</f>
        <v>14236998.343418516</v>
      </c>
      <c r="AR104" s="96">
        <f>$I$36*$AR$36</f>
        <v>2191221.2869901089</v>
      </c>
      <c r="AS104" s="96">
        <f>$I$36*$AS$36</f>
        <v>76558.123149060993</v>
      </c>
      <c r="AT104" s="96">
        <f>$I$36*$AT$36</f>
        <v>0</v>
      </c>
      <c r="AU104" s="96">
        <f>$I$36*$AU$36</f>
        <v>0</v>
      </c>
      <c r="AV104" s="96">
        <f>$I$36*$AV$36</f>
        <v>0</v>
      </c>
      <c r="AW104" s="96">
        <f>$I$36*$AW$36</f>
        <v>0</v>
      </c>
      <c r="AX104" s="96">
        <f>$I$36*$AX$36</f>
        <v>127011687.3436605</v>
      </c>
      <c r="AY104" s="96">
        <f>$I$36*$AY$36</f>
        <v>-15784100.312085524</v>
      </c>
      <c r="AZ104" s="96">
        <f>$I$36*$AZ$36</f>
        <v>0</v>
      </c>
      <c r="BA104" s="96">
        <f>$I$36*$BA$36</f>
        <v>13278460.086128954</v>
      </c>
      <c r="BB104" s="96">
        <f>$I$36*$BB$36</f>
        <v>1073623.7135012136</v>
      </c>
      <c r="BC104" s="96">
        <f>$I$36*$BC$36</f>
        <v>26612678.634754524</v>
      </c>
      <c r="BD104" s="96">
        <f>$I$36*$BD$36</f>
        <v>6100337.6079835044</v>
      </c>
    </row>
    <row r="105" spans="1:56" ht="11.25" customHeight="1" x14ac:dyDescent="0.25">
      <c r="A105" s="9" t="s">
        <v>22</v>
      </c>
      <c r="B105" s="9" t="s">
        <v>1040</v>
      </c>
      <c r="C105" s="9" t="s">
        <v>1041</v>
      </c>
      <c r="D105" s="9" t="s">
        <v>1046</v>
      </c>
      <c r="E105" s="9" t="s">
        <v>1047</v>
      </c>
      <c r="F105" s="9" t="s">
        <v>1048</v>
      </c>
      <c r="G105" s="9" t="s">
        <v>1049</v>
      </c>
      <c r="L105" s="96">
        <f>$I$37*$L$37</f>
        <v>0</v>
      </c>
      <c r="M105" s="96">
        <f>$I$37*$M$37</f>
        <v>5354.2847019461933</v>
      </c>
      <c r="N105" s="96">
        <f ca="1">$I$37*$N$37</f>
        <v>23867.624426885508</v>
      </c>
      <c r="O105" s="96">
        <f>$I$37*$O$37</f>
        <v>0</v>
      </c>
      <c r="P105" s="96">
        <f>$I$37*$P$37</f>
        <v>0</v>
      </c>
      <c r="Q105" s="96">
        <f>$I$37*$Q$37</f>
        <v>0</v>
      </c>
      <c r="R105" s="96">
        <f>$I$37*$R$37</f>
        <v>0</v>
      </c>
      <c r="S105" s="96">
        <f>$I$37*$S$37</f>
        <v>0</v>
      </c>
      <c r="T105" s="96">
        <f>$I$37*$T$37</f>
        <v>168539.37688173362</v>
      </c>
      <c r="U105" s="96">
        <f>$I$37*$U$37</f>
        <v>25939.953170678535</v>
      </c>
      <c r="V105" s="96">
        <f>$I$37*$V$37</f>
        <v>905.4693315472424</v>
      </c>
      <c r="W105" s="96">
        <f>$I$37*$W$37</f>
        <v>0</v>
      </c>
      <c r="X105" s="96">
        <f>$I$37*$X$37</f>
        <v>0</v>
      </c>
      <c r="Y105" s="96">
        <f>$I$37*$Y$37</f>
        <v>0</v>
      </c>
      <c r="Z105" s="96">
        <f>$I$37*$Z$37</f>
        <v>0</v>
      </c>
      <c r="AA105" s="96">
        <f>$I$37*$AA$37</f>
        <v>1502206.1602975293</v>
      </c>
      <c r="AB105" s="96">
        <f ca="1">$I$37*$AB$37</f>
        <v>-158413.18632444131</v>
      </c>
      <c r="AC105" s="96">
        <f ca="1">$I$37*$AC$37</f>
        <v>0</v>
      </c>
      <c r="AD105" s="96">
        <f>$I$37*$AD$37</f>
        <v>157107.8477617132</v>
      </c>
      <c r="AE105" s="96">
        <f>$I$37*$AE$37</f>
        <v>12702.881948661825</v>
      </c>
      <c r="AF105" s="96">
        <f ca="1">$I$37*$AF$37</f>
        <v>314867.83238632983</v>
      </c>
      <c r="AG105" s="96">
        <f ca="1">$I$37*$AG$37</f>
        <v>72177.045983864926</v>
      </c>
      <c r="AH105" s="96"/>
      <c r="AI105" s="96">
        <f>$I$37*$AI$37</f>
        <v>0</v>
      </c>
      <c r="AJ105" s="96">
        <f>$I$37*$AJ$37</f>
        <v>5358.8428115351126</v>
      </c>
      <c r="AK105" s="96">
        <f>$I$37*$AK$37</f>
        <v>23885.172792348378</v>
      </c>
      <c r="AL105" s="96">
        <f>$I$37*$AL$37</f>
        <v>0</v>
      </c>
      <c r="AM105" s="96">
        <f>$I$37*$AM$37</f>
        <v>0</v>
      </c>
      <c r="AN105" s="96">
        <f>$I$37*$AN$37</f>
        <v>0</v>
      </c>
      <c r="AO105" s="96">
        <f>$I$37*$AO$37</f>
        <v>0</v>
      </c>
      <c r="AP105" s="96">
        <f>$I$37*$AP$37</f>
        <v>0</v>
      </c>
      <c r="AQ105" s="96">
        <f>$I$37*$AQ$37</f>
        <v>168539.37688173301</v>
      </c>
      <c r="AR105" s="96">
        <f>$I$37*$AR$37</f>
        <v>25939.953170678462</v>
      </c>
      <c r="AS105" s="96">
        <f>$I$37*$AS$37</f>
        <v>906.3046900432214</v>
      </c>
      <c r="AT105" s="96">
        <f>$I$37*$AT$37</f>
        <v>0</v>
      </c>
      <c r="AU105" s="96">
        <f>$I$37*$AU$37</f>
        <v>0</v>
      </c>
      <c r="AV105" s="96">
        <f>$I$37*$AV$37</f>
        <v>0</v>
      </c>
      <c r="AW105" s="96">
        <f>$I$37*$AW$37</f>
        <v>0</v>
      </c>
      <c r="AX105" s="96">
        <f>$I$37*$AX$37</f>
        <v>1503580.3281872193</v>
      </c>
      <c r="AY105" s="96">
        <f>$I$37*$AY$37</f>
        <v>-158443.17802974209</v>
      </c>
      <c r="AZ105" s="96">
        <f>$I$37*$AZ$37</f>
        <v>0</v>
      </c>
      <c r="BA105" s="96">
        <f>$I$37*$BA$37</f>
        <v>157192.08044297443</v>
      </c>
      <c r="BB105" s="96">
        <f>$I$37*$BB$37</f>
        <v>12709.692542922601</v>
      </c>
      <c r="BC105" s="96">
        <f>$I$37*$BC$37</f>
        <v>315044.23657735571</v>
      </c>
      <c r="BD105" s="96">
        <f>$I$37*$BD$37</f>
        <v>72216.563802091114</v>
      </c>
    </row>
    <row r="106" spans="1:56" ht="11.25" customHeight="1" x14ac:dyDescent="0.25">
      <c r="A106" s="9" t="s">
        <v>22</v>
      </c>
      <c r="B106" s="9" t="s">
        <v>1040</v>
      </c>
      <c r="C106" s="9" t="s">
        <v>1041</v>
      </c>
      <c r="D106" s="9" t="s">
        <v>1050</v>
      </c>
      <c r="E106" s="9" t="s">
        <v>1051</v>
      </c>
      <c r="F106" s="9" t="s">
        <v>1052</v>
      </c>
      <c r="G106" s="9" t="s">
        <v>1053</v>
      </c>
      <c r="L106" s="96">
        <f>$I$38*$L$38</f>
        <v>0</v>
      </c>
      <c r="M106" s="96">
        <f>$I$38*$M$38</f>
        <v>13196.623696346687</v>
      </c>
      <c r="N106" s="96">
        <f ca="1">$I$38*$N$38</f>
        <v>58826.169249620434</v>
      </c>
      <c r="O106" s="96">
        <f>$I$38*$O$38</f>
        <v>0</v>
      </c>
      <c r="P106" s="96">
        <f>$I$38*$P$38</f>
        <v>0</v>
      </c>
      <c r="Q106" s="96">
        <f>$I$38*$Q$38</f>
        <v>0</v>
      </c>
      <c r="R106" s="96">
        <f>$I$38*$R$38</f>
        <v>0</v>
      </c>
      <c r="S106" s="96">
        <f>$I$38*$S$38</f>
        <v>0</v>
      </c>
      <c r="T106" s="96">
        <f>$I$38*$T$38</f>
        <v>415396.42707391881</v>
      </c>
      <c r="U106" s="96">
        <f>$I$38*$U$38</f>
        <v>63933.806241172089</v>
      </c>
      <c r="V106" s="96">
        <f>$I$38*$V$38</f>
        <v>2231.6964267268459</v>
      </c>
      <c r="W106" s="96">
        <f>$I$38*$W$38</f>
        <v>0</v>
      </c>
      <c r="X106" s="96">
        <f>$I$38*$X$38</f>
        <v>0</v>
      </c>
      <c r="Y106" s="96">
        <f>$I$38*$Y$38</f>
        <v>0</v>
      </c>
      <c r="Z106" s="96">
        <f>$I$38*$Z$38</f>
        <v>0</v>
      </c>
      <c r="AA106" s="96">
        <f>$I$38*$AA$38</f>
        <v>3702464.5709584015</v>
      </c>
      <c r="AB106" s="96">
        <f ca="1">$I$38*$AB$38</f>
        <v>-390438.55992622807</v>
      </c>
      <c r="AC106" s="96">
        <f ca="1">$I$38*$AC$38</f>
        <v>0</v>
      </c>
      <c r="AD106" s="96">
        <f>$I$38*$AD$38</f>
        <v>387221.31191504345</v>
      </c>
      <c r="AE106" s="96">
        <f>$I$38*$AE$38</f>
        <v>31308.59905052726</v>
      </c>
      <c r="AF106" s="96">
        <f ca="1">$I$38*$AF$38</f>
        <v>776049.93559203413</v>
      </c>
      <c r="AG106" s="96">
        <f ca="1">$I$38*$AG$38</f>
        <v>177893.66243762884</v>
      </c>
      <c r="AH106" s="96"/>
      <c r="AI106" s="96">
        <f>$I$38*$AI$38</f>
        <v>0</v>
      </c>
      <c r="AJ106" s="96">
        <f>$I$38*$AJ$38</f>
        <v>13207.85799940678</v>
      </c>
      <c r="AK106" s="96">
        <f>$I$38*$AK$38</f>
        <v>58869.420437853812</v>
      </c>
      <c r="AL106" s="96">
        <f>$I$38*$AL$38</f>
        <v>0</v>
      </c>
      <c r="AM106" s="96">
        <f>$I$38*$AM$38</f>
        <v>0</v>
      </c>
      <c r="AN106" s="96">
        <f>$I$38*$AN$38</f>
        <v>0</v>
      </c>
      <c r="AO106" s="96">
        <f>$I$38*$AO$38</f>
        <v>0</v>
      </c>
      <c r="AP106" s="96">
        <f>$I$38*$AP$38</f>
        <v>0</v>
      </c>
      <c r="AQ106" s="96">
        <f>$I$38*$AQ$38</f>
        <v>415396.4270739198</v>
      </c>
      <c r="AR106" s="96">
        <f>$I$38*$AR$38</f>
        <v>63933.806241172118</v>
      </c>
      <c r="AS106" s="96">
        <f>$I$38*$AS$38</f>
        <v>2233.7553220483828</v>
      </c>
      <c r="AT106" s="96">
        <f>$I$38*$AT$38</f>
        <v>0</v>
      </c>
      <c r="AU106" s="96">
        <f>$I$38*$AU$38</f>
        <v>0</v>
      </c>
      <c r="AV106" s="96">
        <f>$I$38*$AV$38</f>
        <v>0</v>
      </c>
      <c r="AW106" s="96">
        <f>$I$38*$AW$38</f>
        <v>0</v>
      </c>
      <c r="AX106" s="96">
        <f>$I$38*$AX$38</f>
        <v>3705851.4615600933</v>
      </c>
      <c r="AY106" s="96">
        <f>$I$38*$AY$38</f>
        <v>-390512.48002403701</v>
      </c>
      <c r="AZ106" s="96">
        <f>$I$38*$AZ$38</f>
        <v>0</v>
      </c>
      <c r="BA106" s="96">
        <f>$I$38*$BA$38</f>
        <v>387428.91891755204</v>
      </c>
      <c r="BB106" s="96">
        <f>$I$38*$BB$38</f>
        <v>31325.385018142228</v>
      </c>
      <c r="BC106" s="96">
        <f>$I$38*$BC$38</f>
        <v>776484.71630636102</v>
      </c>
      <c r="BD106" s="96">
        <f>$I$38*$BD$38</f>
        <v>177991.06140041514</v>
      </c>
    </row>
    <row r="107" spans="1:56" ht="11.25" customHeight="1" x14ac:dyDescent="0.25">
      <c r="A107" s="9" t="s">
        <v>22</v>
      </c>
      <c r="B107" s="9" t="s">
        <v>1040</v>
      </c>
      <c r="C107" s="9" t="s">
        <v>1041</v>
      </c>
      <c r="D107" s="9" t="s">
        <v>1054</v>
      </c>
      <c r="E107" s="9" t="s">
        <v>1055</v>
      </c>
      <c r="F107" s="9" t="s">
        <v>1056</v>
      </c>
      <c r="G107" s="9" t="s">
        <v>1057</v>
      </c>
      <c r="L107" s="96">
        <f>$I$39*$L$39</f>
        <v>0</v>
      </c>
      <c r="M107" s="96">
        <f>$I$39*$M$39</f>
        <v>21702.35704976026</v>
      </c>
      <c r="N107" s="96">
        <f ca="1">$I$39*$N$39</f>
        <v>96741.905982991593</v>
      </c>
      <c r="O107" s="96">
        <f>$I$39*$O$39</f>
        <v>0</v>
      </c>
      <c r="P107" s="96">
        <f>$I$39*$P$39</f>
        <v>0</v>
      </c>
      <c r="Q107" s="96">
        <f>$I$39*$Q$39</f>
        <v>0</v>
      </c>
      <c r="R107" s="96">
        <f>$I$39*$R$39</f>
        <v>0</v>
      </c>
      <c r="S107" s="96">
        <f>$I$39*$S$39</f>
        <v>0</v>
      </c>
      <c r="T107" s="96">
        <f>$I$39*$T$39</f>
        <v>683135.45835580595</v>
      </c>
      <c r="U107" s="96">
        <f>$I$39*$U$39</f>
        <v>105141.61216707442</v>
      </c>
      <c r="V107" s="96">
        <f>$I$39*$V$39</f>
        <v>3670.1109157873616</v>
      </c>
      <c r="W107" s="96">
        <f>$I$39*$W$39</f>
        <v>0</v>
      </c>
      <c r="X107" s="96">
        <f>$I$39*$X$39</f>
        <v>0</v>
      </c>
      <c r="Y107" s="96">
        <f>$I$39*$Y$39</f>
        <v>0</v>
      </c>
      <c r="Z107" s="96">
        <f>$I$39*$Z$39</f>
        <v>0</v>
      </c>
      <c r="AA107" s="96">
        <f>$I$39*$AA$39</f>
        <v>6088845.899672891</v>
      </c>
      <c r="AB107" s="96">
        <f ca="1">$I$39*$AB$39</f>
        <v>-642091.28247393912</v>
      </c>
      <c r="AC107" s="96">
        <f ca="1">$I$39*$AC$39</f>
        <v>0</v>
      </c>
      <c r="AD107" s="96">
        <f>$I$39*$AD$39</f>
        <v>636800.39393585874</v>
      </c>
      <c r="AE107" s="96">
        <f>$I$39*$AE$39</f>
        <v>51488.199630215269</v>
      </c>
      <c r="AF107" s="96">
        <f ca="1">$I$39*$AF$39</f>
        <v>1276244.0741054316</v>
      </c>
      <c r="AG107" s="96">
        <f ca="1">$I$39*$AG$39</f>
        <v>292552.99445870641</v>
      </c>
      <c r="AH107" s="96"/>
      <c r="AI107" s="96">
        <f>$I$39*$AI$39</f>
        <v>0</v>
      </c>
      <c r="AJ107" s="96">
        <f>$I$39*$AJ$39</f>
        <v>21720.832294779389</v>
      </c>
      <c r="AK107" s="96">
        <f>$I$39*$AK$39</f>
        <v>96813.0342315093</v>
      </c>
      <c r="AL107" s="96">
        <f>$I$39*$AL$39</f>
        <v>0</v>
      </c>
      <c r="AM107" s="96">
        <f>$I$39*$AM$39</f>
        <v>0</v>
      </c>
      <c r="AN107" s="96">
        <f>$I$39*$AN$39</f>
        <v>0</v>
      </c>
      <c r="AO107" s="96">
        <f>$I$39*$AO$39</f>
        <v>0</v>
      </c>
      <c r="AP107" s="96">
        <f>$I$39*$AP$39</f>
        <v>0</v>
      </c>
      <c r="AQ107" s="96">
        <f>$I$39*$AQ$39</f>
        <v>683135.45835580514</v>
      </c>
      <c r="AR107" s="96">
        <f>$I$39*$AR$39</f>
        <v>105141.61216707433</v>
      </c>
      <c r="AS107" s="96">
        <f>$I$39*$AS$39</f>
        <v>3673.4968486156531</v>
      </c>
      <c r="AT107" s="96">
        <f>$I$39*$AT$39</f>
        <v>0</v>
      </c>
      <c r="AU107" s="96">
        <f>$I$39*$AU$39</f>
        <v>0</v>
      </c>
      <c r="AV107" s="96">
        <f>$I$39*$AV$39</f>
        <v>0</v>
      </c>
      <c r="AW107" s="96">
        <f>$I$39*$AW$39</f>
        <v>0</v>
      </c>
      <c r="AX107" s="96">
        <f>$I$39*$AX$39</f>
        <v>6094415.7719991785</v>
      </c>
      <c r="AY107" s="96">
        <f>$I$39*$AY$39</f>
        <v>-642212.84692805237</v>
      </c>
      <c r="AZ107" s="96">
        <f>$I$39*$AZ$39</f>
        <v>0</v>
      </c>
      <c r="BA107" s="96">
        <f>$I$39*$BA$39</f>
        <v>637141.81166497967</v>
      </c>
      <c r="BB107" s="96">
        <f>$I$39*$BB$39</f>
        <v>51515.804801885424</v>
      </c>
      <c r="BC107" s="96">
        <f>$I$39*$BC$39</f>
        <v>1276959.0877723971</v>
      </c>
      <c r="BD107" s="96">
        <f>$I$39*$BD$39</f>
        <v>292713.17081254453</v>
      </c>
    </row>
    <row r="108" spans="1:56" ht="11.25" customHeight="1" x14ac:dyDescent="0.25">
      <c r="A108" s="9" t="s">
        <v>22</v>
      </c>
      <c r="B108" s="9" t="s">
        <v>1040</v>
      </c>
      <c r="C108" s="9" t="s">
        <v>1041</v>
      </c>
      <c r="D108" s="9" t="s">
        <v>1058</v>
      </c>
      <c r="E108" s="9" t="s">
        <v>1059</v>
      </c>
      <c r="F108" s="9" t="s">
        <v>1060</v>
      </c>
      <c r="G108" s="9" t="s">
        <v>1061</v>
      </c>
      <c r="L108" s="96">
        <f>$I$40*$L$40</f>
        <v>0</v>
      </c>
      <c r="M108" s="96">
        <f>$I$40*$M$40</f>
        <v>30409.321284155045</v>
      </c>
      <c r="N108" s="96">
        <f ca="1">$I$40*$N$40</f>
        <v>135554.66320699995</v>
      </c>
      <c r="O108" s="96">
        <f>$I$40*$O$40</f>
        <v>0</v>
      </c>
      <c r="P108" s="96">
        <f>$I$40*$P$40</f>
        <v>0</v>
      </c>
      <c r="Q108" s="96">
        <f>$I$40*$Q$40</f>
        <v>0</v>
      </c>
      <c r="R108" s="96">
        <f>$I$40*$R$40</f>
        <v>0</v>
      </c>
      <c r="S108" s="96">
        <f>$I$40*$S$40</f>
        <v>0</v>
      </c>
      <c r="T108" s="96">
        <f>$I$40*$T$40</f>
        <v>957208.73019042448</v>
      </c>
      <c r="U108" s="96">
        <f>$I$40*$U$40</f>
        <v>147324.32322404865</v>
      </c>
      <c r="V108" s="96">
        <f>$I$40*$V$40</f>
        <v>5142.5557938599704</v>
      </c>
      <c r="W108" s="96">
        <f>$I$40*$W$40</f>
        <v>0</v>
      </c>
      <c r="X108" s="96">
        <f>$I$40*$X$40</f>
        <v>0</v>
      </c>
      <c r="Y108" s="96">
        <f>$I$40*$Y$40</f>
        <v>0</v>
      </c>
      <c r="Z108" s="96">
        <f>$I$40*$Z$40</f>
        <v>0</v>
      </c>
      <c r="AA108" s="96">
        <f>$I$40*$AA$40</f>
        <v>8531684.866686333</v>
      </c>
      <c r="AB108" s="96">
        <f ca="1">$I$40*$AB$40</f>
        <v>-899697.67144352011</v>
      </c>
      <c r="AC108" s="96">
        <f ca="1">$I$40*$AC$40</f>
        <v>0</v>
      </c>
      <c r="AD108" s="96">
        <f>$I$40*$AD$40</f>
        <v>892284.08364454331</v>
      </c>
      <c r="AE108" s="96">
        <f>$I$40*$AE$40</f>
        <v>72145.21451785005</v>
      </c>
      <c r="AF108" s="96">
        <f ca="1">$I$40*$AF$40</f>
        <v>1788271.9373516056</v>
      </c>
      <c r="AG108" s="96">
        <f ca="1">$I$40*$AG$40</f>
        <v>409924.96717008488</v>
      </c>
      <c r="AH108" s="96"/>
      <c r="AI108" s="96">
        <f>$I$40*$AI$40</f>
        <v>0</v>
      </c>
      <c r="AJ108" s="96">
        <f>$I$40*$AJ$40</f>
        <v>30435.208779246113</v>
      </c>
      <c r="AK108" s="96">
        <f>$I$40*$AK$40</f>
        <v>135654.32803863974</v>
      </c>
      <c r="AL108" s="96">
        <f>$I$40*$AL$40</f>
        <v>0</v>
      </c>
      <c r="AM108" s="96">
        <f>$I$40*$AM$40</f>
        <v>0</v>
      </c>
      <c r="AN108" s="96">
        <f>$I$40*$AN$40</f>
        <v>0</v>
      </c>
      <c r="AO108" s="96">
        <f>$I$40*$AO$40</f>
        <v>0</v>
      </c>
      <c r="AP108" s="96">
        <f>$I$40*$AP$40</f>
        <v>0</v>
      </c>
      <c r="AQ108" s="96">
        <f>$I$40*$AQ$40</f>
        <v>957208.73019042576</v>
      </c>
      <c r="AR108" s="96">
        <f>$I$40*$AR$40</f>
        <v>147324.32322404851</v>
      </c>
      <c r="AS108" s="96">
        <f>$I$40*$AS$40</f>
        <v>5147.3001595980222</v>
      </c>
      <c r="AT108" s="96">
        <f>$I$40*$AT$40</f>
        <v>0</v>
      </c>
      <c r="AU108" s="96">
        <f>$I$40*$AU$40</f>
        <v>0</v>
      </c>
      <c r="AV108" s="96">
        <f>$I$40*$AV$40</f>
        <v>0</v>
      </c>
      <c r="AW108" s="96">
        <f>$I$40*$AW$40</f>
        <v>0</v>
      </c>
      <c r="AX108" s="96">
        <f>$I$40*$AX$40</f>
        <v>8539489.3662940655</v>
      </c>
      <c r="AY108" s="96">
        <f>$I$40*$AY$40</f>
        <v>-899868.00743667537</v>
      </c>
      <c r="AZ108" s="96">
        <f>$I$40*$AZ$40</f>
        <v>0</v>
      </c>
      <c r="BA108" s="96">
        <f>$I$40*$BA$40</f>
        <v>892762.47782970697</v>
      </c>
      <c r="BB108" s="96">
        <f>$I$40*$BB$40</f>
        <v>72183.894857155989</v>
      </c>
      <c r="BC108" s="96">
        <f>$I$40*$BC$40</f>
        <v>1789273.8137962436</v>
      </c>
      <c r="BD108" s="96">
        <f>$I$40*$BD$40</f>
        <v>410149.40611903503</v>
      </c>
    </row>
    <row r="109" spans="1:56" ht="11.25" customHeight="1" x14ac:dyDescent="0.25">
      <c r="A109" s="9" t="s">
        <v>22</v>
      </c>
      <c r="B109" s="9" t="s">
        <v>1062</v>
      </c>
      <c r="C109" s="9" t="s">
        <v>1063</v>
      </c>
      <c r="D109" s="9" t="s">
        <v>1064</v>
      </c>
      <c r="E109" s="9" t="s">
        <v>1065</v>
      </c>
      <c r="F109" s="9" t="s">
        <v>1066</v>
      </c>
      <c r="G109" s="9" t="s">
        <v>1067</v>
      </c>
      <c r="L109" s="96">
        <f>$I$41*$L$41</f>
        <v>0</v>
      </c>
      <c r="M109" s="96">
        <f>$I$41*$M$41</f>
        <v>0</v>
      </c>
      <c r="N109" s="96">
        <f ca="1">$I$41*$N$41</f>
        <v>0</v>
      </c>
      <c r="O109" s="96">
        <f>$I$41*$O$41</f>
        <v>0</v>
      </c>
      <c r="P109" s="96">
        <f>$I$41*$P$41</f>
        <v>0</v>
      </c>
      <c r="Q109" s="96">
        <f>$I$41*$Q$41</f>
        <v>0</v>
      </c>
      <c r="R109" s="96">
        <f>$I$41*$R$41</f>
        <v>0</v>
      </c>
      <c r="S109" s="96">
        <f>$I$41*$S$41</f>
        <v>0</v>
      </c>
      <c r="T109" s="96">
        <f>$I$41*$T$41</f>
        <v>0</v>
      </c>
      <c r="U109" s="96">
        <f>$I$41*$U$41</f>
        <v>0</v>
      </c>
      <c r="V109" s="96">
        <f>$I$41*$V$41</f>
        <v>0</v>
      </c>
      <c r="W109" s="96">
        <f>$I$41*$W$41</f>
        <v>0</v>
      </c>
      <c r="X109" s="96">
        <f>$I$41*$X$41</f>
        <v>0</v>
      </c>
      <c r="Y109" s="96">
        <f>$I$41*$Y$41</f>
        <v>0</v>
      </c>
      <c r="Z109" s="96">
        <f>$I$41*$Z$41</f>
        <v>0</v>
      </c>
      <c r="AA109" s="96">
        <f>$I$41*$AA$41</f>
        <v>0</v>
      </c>
      <c r="AB109" s="96">
        <f ca="1">$I$41*$AB$41</f>
        <v>0</v>
      </c>
      <c r="AC109" s="96">
        <f ca="1">$I$41*$AC$41</f>
        <v>0</v>
      </c>
      <c r="AD109" s="96">
        <f>$I$41*$AD$41</f>
        <v>0</v>
      </c>
      <c r="AE109" s="96">
        <f>$I$41*$AE$41</f>
        <v>0</v>
      </c>
      <c r="AF109" s="96">
        <f ca="1">$I$41*$AF$41</f>
        <v>0</v>
      </c>
      <c r="AG109" s="96">
        <f ca="1">$I$41*$AG$41</f>
        <v>0</v>
      </c>
      <c r="AH109" s="96"/>
      <c r="AI109" s="96">
        <f>$I$41*$AI$41</f>
        <v>0</v>
      </c>
      <c r="AJ109" s="96">
        <f>$I$41*$AJ$41</f>
        <v>0</v>
      </c>
      <c r="AK109" s="96">
        <f>$I$41*$AK$41</f>
        <v>0</v>
      </c>
      <c r="AL109" s="96">
        <f>$I$41*$AL$41</f>
        <v>0</v>
      </c>
      <c r="AM109" s="96">
        <f>$I$41*$AM$41</f>
        <v>0</v>
      </c>
      <c r="AN109" s="96">
        <f>$I$41*$AN$41</f>
        <v>0</v>
      </c>
      <c r="AO109" s="96">
        <f>$I$41*$AO$41</f>
        <v>0</v>
      </c>
      <c r="AP109" s="96">
        <f>$I$41*$AP$41</f>
        <v>0</v>
      </c>
      <c r="AQ109" s="96">
        <f>$I$41*$AQ$41</f>
        <v>0</v>
      </c>
      <c r="AR109" s="96">
        <f>$I$41*$AR$41</f>
        <v>0</v>
      </c>
      <c r="AS109" s="96">
        <f>$I$41*$AS$41</f>
        <v>0</v>
      </c>
      <c r="AT109" s="96">
        <f>$I$41*$AT$41</f>
        <v>0</v>
      </c>
      <c r="AU109" s="96">
        <f>$I$41*$AU$41</f>
        <v>0</v>
      </c>
      <c r="AV109" s="96">
        <f>$I$41*$AV$41</f>
        <v>0</v>
      </c>
      <c r="AW109" s="96">
        <f>$I$41*$AW$41</f>
        <v>0</v>
      </c>
      <c r="AX109" s="96">
        <f>$I$41*$AX$41</f>
        <v>0</v>
      </c>
      <c r="AY109" s="96">
        <f>$I$41*$AY$41</f>
        <v>0</v>
      </c>
      <c r="AZ109" s="96">
        <f>$I$41*$AZ$41</f>
        <v>0</v>
      </c>
      <c r="BA109" s="96">
        <f>$I$41*$BA$41</f>
        <v>0</v>
      </c>
      <c r="BB109" s="96">
        <f>$I$41*$BB$41</f>
        <v>0</v>
      </c>
      <c r="BC109" s="96">
        <f>$I$41*$BC$41</f>
        <v>0</v>
      </c>
      <c r="BD109" s="96">
        <f>$I$41*$BD$41</f>
        <v>0</v>
      </c>
    </row>
    <row r="110" spans="1:56" ht="11.25" customHeight="1" x14ac:dyDescent="0.25">
      <c r="A110" s="9" t="s">
        <v>22</v>
      </c>
      <c r="B110" s="9" t="s">
        <v>1062</v>
      </c>
      <c r="C110" s="9" t="s">
        <v>1063</v>
      </c>
      <c r="D110" s="9" t="s">
        <v>1068</v>
      </c>
      <c r="E110" s="9" t="s">
        <v>1069</v>
      </c>
      <c r="F110" s="9" t="s">
        <v>1070</v>
      </c>
      <c r="G110" s="9" t="s">
        <v>1071</v>
      </c>
      <c r="L110" s="96">
        <f>$I$42*$L$42</f>
        <v>0</v>
      </c>
      <c r="M110" s="96">
        <f>$I$42*$M$42</f>
        <v>0</v>
      </c>
      <c r="N110" s="96">
        <f ca="1">$I$42*$N$42</f>
        <v>0</v>
      </c>
      <c r="O110" s="96">
        <f>$I$42*$O$42</f>
        <v>0</v>
      </c>
      <c r="P110" s="96">
        <f>$I$42*$P$42</f>
        <v>0</v>
      </c>
      <c r="Q110" s="96">
        <f>$I$42*$Q$42</f>
        <v>0</v>
      </c>
      <c r="R110" s="96">
        <f>$I$42*$R$42</f>
        <v>0</v>
      </c>
      <c r="S110" s="96">
        <f>$I$42*$S$42</f>
        <v>0</v>
      </c>
      <c r="T110" s="96">
        <f>$I$42*$T$42</f>
        <v>0</v>
      </c>
      <c r="U110" s="96">
        <f>$I$42*$U$42</f>
        <v>0</v>
      </c>
      <c r="V110" s="96">
        <f>$I$42*$V$42</f>
        <v>0</v>
      </c>
      <c r="W110" s="96">
        <f>$I$42*$W$42</f>
        <v>0</v>
      </c>
      <c r="X110" s="96">
        <f>$I$42*$X$42</f>
        <v>0</v>
      </c>
      <c r="Y110" s="96">
        <f>$I$42*$Y$42</f>
        <v>0</v>
      </c>
      <c r="Z110" s="96">
        <f>$I$42*$Z$42</f>
        <v>0</v>
      </c>
      <c r="AA110" s="96">
        <f>$I$42*$AA$42</f>
        <v>0</v>
      </c>
      <c r="AB110" s="96">
        <f ca="1">$I$42*$AB$42</f>
        <v>0</v>
      </c>
      <c r="AC110" s="96">
        <f ca="1">$I$42*$AC$42</f>
        <v>0</v>
      </c>
      <c r="AD110" s="96">
        <f>$I$42*$AD$42</f>
        <v>0</v>
      </c>
      <c r="AE110" s="96">
        <f>$I$42*$AE$42</f>
        <v>0</v>
      </c>
      <c r="AF110" s="96">
        <f ca="1">$I$42*$AF$42</f>
        <v>0</v>
      </c>
      <c r="AG110" s="96">
        <f ca="1">$I$42*$AG$42</f>
        <v>0</v>
      </c>
      <c r="AH110" s="96"/>
      <c r="AI110" s="96">
        <f>$I$42*$AI$42</f>
        <v>0</v>
      </c>
      <c r="AJ110" s="96">
        <f>$I$42*$AJ$42</f>
        <v>0</v>
      </c>
      <c r="AK110" s="96">
        <f>$I$42*$AK$42</f>
        <v>0</v>
      </c>
      <c r="AL110" s="96">
        <f>$I$42*$AL$42</f>
        <v>0</v>
      </c>
      <c r="AM110" s="96">
        <f>$I$42*$AM$42</f>
        <v>0</v>
      </c>
      <c r="AN110" s="96">
        <f>$I$42*$AN$42</f>
        <v>0</v>
      </c>
      <c r="AO110" s="96">
        <f>$I$42*$AO$42</f>
        <v>0</v>
      </c>
      <c r="AP110" s="96">
        <f>$I$42*$AP$42</f>
        <v>0</v>
      </c>
      <c r="AQ110" s="96">
        <f>$I$42*$AQ$42</f>
        <v>0</v>
      </c>
      <c r="AR110" s="96">
        <f>$I$42*$AR$42</f>
        <v>0</v>
      </c>
      <c r="AS110" s="96">
        <f>$I$42*$AS$42</f>
        <v>0</v>
      </c>
      <c r="AT110" s="96">
        <f>$I$42*$AT$42</f>
        <v>0</v>
      </c>
      <c r="AU110" s="96">
        <f>$I$42*$AU$42</f>
        <v>0</v>
      </c>
      <c r="AV110" s="96">
        <f>$I$42*$AV$42</f>
        <v>0</v>
      </c>
      <c r="AW110" s="96">
        <f>$I$42*$AW$42</f>
        <v>0</v>
      </c>
      <c r="AX110" s="96">
        <f>$I$42*$AX$42</f>
        <v>0</v>
      </c>
      <c r="AY110" s="96">
        <f>$I$42*$AY$42</f>
        <v>0</v>
      </c>
      <c r="AZ110" s="96">
        <f>$I$42*$AZ$42</f>
        <v>0</v>
      </c>
      <c r="BA110" s="96">
        <f>$I$42*$BA$42</f>
        <v>0</v>
      </c>
      <c r="BB110" s="96">
        <f>$I$42*$BB$42</f>
        <v>0</v>
      </c>
      <c r="BC110" s="96">
        <f>$I$42*$BC$42</f>
        <v>0</v>
      </c>
      <c r="BD110" s="96">
        <f>$I$42*$BD$42</f>
        <v>0</v>
      </c>
    </row>
    <row r="111" spans="1:56" ht="11.25" customHeight="1" x14ac:dyDescent="0.25">
      <c r="A111" s="9" t="s">
        <v>22</v>
      </c>
      <c r="B111" s="9" t="s">
        <v>1062</v>
      </c>
      <c r="C111" s="9" t="s">
        <v>1063</v>
      </c>
      <c r="D111" s="9" t="s">
        <v>1072</v>
      </c>
      <c r="E111" s="9" t="s">
        <v>1073</v>
      </c>
      <c r="F111" s="9" t="s">
        <v>1074</v>
      </c>
      <c r="G111" s="9" t="s">
        <v>1075</v>
      </c>
      <c r="L111" s="96">
        <f>$I$43*$L$43</f>
        <v>0</v>
      </c>
      <c r="M111" s="96">
        <f>$I$43*$M$43</f>
        <v>0</v>
      </c>
      <c r="N111" s="96">
        <f ca="1">$I$43*$N$43</f>
        <v>0</v>
      </c>
      <c r="O111" s="96">
        <f>$I$43*$O$43</f>
        <v>0</v>
      </c>
      <c r="P111" s="96">
        <f>$I$43*$P$43</f>
        <v>0</v>
      </c>
      <c r="Q111" s="96">
        <f>$I$43*$Q$43</f>
        <v>0</v>
      </c>
      <c r="R111" s="96">
        <f>$I$43*$R$43</f>
        <v>0</v>
      </c>
      <c r="S111" s="96">
        <f>$I$43*$S$43</f>
        <v>0</v>
      </c>
      <c r="T111" s="96">
        <f>$I$43*$T$43</f>
        <v>0</v>
      </c>
      <c r="U111" s="96">
        <f>$I$43*$U$43</f>
        <v>0</v>
      </c>
      <c r="V111" s="96">
        <f>$I$43*$V$43</f>
        <v>0</v>
      </c>
      <c r="W111" s="96">
        <f>$I$43*$W$43</f>
        <v>0</v>
      </c>
      <c r="X111" s="96">
        <f>$I$43*$X$43</f>
        <v>0</v>
      </c>
      <c r="Y111" s="96">
        <f>$I$43*$Y$43</f>
        <v>0</v>
      </c>
      <c r="Z111" s="96">
        <f>$I$43*$Z$43</f>
        <v>0</v>
      </c>
      <c r="AA111" s="96">
        <f>$I$43*$AA$43</f>
        <v>0</v>
      </c>
      <c r="AB111" s="96">
        <f ca="1">$I$43*$AB$43</f>
        <v>0</v>
      </c>
      <c r="AC111" s="96">
        <f ca="1">$I$43*$AC$43</f>
        <v>0</v>
      </c>
      <c r="AD111" s="96">
        <f>$I$43*$AD$43</f>
        <v>0</v>
      </c>
      <c r="AE111" s="96">
        <f>$I$43*$AE$43</f>
        <v>0</v>
      </c>
      <c r="AF111" s="96">
        <f ca="1">$I$43*$AF$43</f>
        <v>0</v>
      </c>
      <c r="AG111" s="96">
        <f ca="1">$I$43*$AG$43</f>
        <v>0</v>
      </c>
      <c r="AH111" s="96"/>
      <c r="AI111" s="96">
        <f>$I$43*$AI$43</f>
        <v>0</v>
      </c>
      <c r="AJ111" s="96">
        <f>$I$43*$AJ$43</f>
        <v>0</v>
      </c>
      <c r="AK111" s="96">
        <f>$I$43*$AK$43</f>
        <v>0</v>
      </c>
      <c r="AL111" s="96">
        <f>$I$43*$AL$43</f>
        <v>0</v>
      </c>
      <c r="AM111" s="96">
        <f>$I$43*$AM$43</f>
        <v>0</v>
      </c>
      <c r="AN111" s="96">
        <f>$I$43*$AN$43</f>
        <v>0</v>
      </c>
      <c r="AO111" s="96">
        <f>$I$43*$AO$43</f>
        <v>0</v>
      </c>
      <c r="AP111" s="96">
        <f>$I$43*$AP$43</f>
        <v>0</v>
      </c>
      <c r="AQ111" s="96">
        <f>$I$43*$AQ$43</f>
        <v>0</v>
      </c>
      <c r="AR111" s="96">
        <f>$I$43*$AR$43</f>
        <v>0</v>
      </c>
      <c r="AS111" s="96">
        <f>$I$43*$AS$43</f>
        <v>0</v>
      </c>
      <c r="AT111" s="96">
        <f>$I$43*$AT$43</f>
        <v>0</v>
      </c>
      <c r="AU111" s="96">
        <f>$I$43*$AU$43</f>
        <v>0</v>
      </c>
      <c r="AV111" s="96">
        <f>$I$43*$AV$43</f>
        <v>0</v>
      </c>
      <c r="AW111" s="96">
        <f>$I$43*$AW$43</f>
        <v>0</v>
      </c>
      <c r="AX111" s="96">
        <f>$I$43*$AX$43</f>
        <v>0</v>
      </c>
      <c r="AY111" s="96">
        <f>$I$43*$AY$43</f>
        <v>0</v>
      </c>
      <c r="AZ111" s="96">
        <f>$I$43*$AZ$43</f>
        <v>0</v>
      </c>
      <c r="BA111" s="96">
        <f>$I$43*$BA$43</f>
        <v>0</v>
      </c>
      <c r="BB111" s="96">
        <f>$I$43*$BB$43</f>
        <v>0</v>
      </c>
      <c r="BC111" s="96">
        <f>$I$43*$BC$43</f>
        <v>0</v>
      </c>
      <c r="BD111" s="96">
        <f>$I$43*$BD$43</f>
        <v>0</v>
      </c>
    </row>
    <row r="112" spans="1:56" ht="11.25" customHeight="1" x14ac:dyDescent="0.25">
      <c r="A112" s="9" t="s">
        <v>22</v>
      </c>
      <c r="B112" s="9" t="s">
        <v>1062</v>
      </c>
      <c r="C112" s="9" t="s">
        <v>1063</v>
      </c>
      <c r="D112" s="9" t="s">
        <v>1076</v>
      </c>
      <c r="E112" s="9" t="s">
        <v>1077</v>
      </c>
      <c r="F112" s="9" t="s">
        <v>1078</v>
      </c>
      <c r="G112" s="9" t="s">
        <v>1079</v>
      </c>
      <c r="L112" s="96">
        <f>$I$44*$L$44</f>
        <v>0</v>
      </c>
      <c r="M112" s="96">
        <f>$I$44*$M$44</f>
        <v>0</v>
      </c>
      <c r="N112" s="96">
        <f ca="1">$I$44*$N$44</f>
        <v>0</v>
      </c>
      <c r="O112" s="96">
        <f>$I$44*$O$44</f>
        <v>0</v>
      </c>
      <c r="P112" s="96">
        <f>$I$44*$P$44</f>
        <v>0</v>
      </c>
      <c r="Q112" s="96">
        <f>$I$44*$Q$44</f>
        <v>0</v>
      </c>
      <c r="R112" s="96">
        <f>$I$44*$R$44</f>
        <v>0</v>
      </c>
      <c r="S112" s="96">
        <f>$I$44*$S$44</f>
        <v>0</v>
      </c>
      <c r="T112" s="96">
        <f>$I$44*$T$44</f>
        <v>0</v>
      </c>
      <c r="U112" s="96">
        <f>$I$44*$U$44</f>
        <v>0</v>
      </c>
      <c r="V112" s="96">
        <f>$I$44*$V$44</f>
        <v>0</v>
      </c>
      <c r="W112" s="96">
        <f>$I$44*$W$44</f>
        <v>0</v>
      </c>
      <c r="X112" s="96">
        <f>$I$44*$X$44</f>
        <v>0</v>
      </c>
      <c r="Y112" s="96">
        <f>$I$44*$Y$44</f>
        <v>0</v>
      </c>
      <c r="Z112" s="96">
        <f>$I$44*$Z$44</f>
        <v>0</v>
      </c>
      <c r="AA112" s="96">
        <f>$I$44*$AA$44</f>
        <v>0</v>
      </c>
      <c r="AB112" s="96">
        <f ca="1">$I$44*$AB$44</f>
        <v>0</v>
      </c>
      <c r="AC112" s="96">
        <f ca="1">$I$44*$AC$44</f>
        <v>0</v>
      </c>
      <c r="AD112" s="96">
        <f>$I$44*$AD$44</f>
        <v>0</v>
      </c>
      <c r="AE112" s="96">
        <f>$I$44*$AE$44</f>
        <v>0</v>
      </c>
      <c r="AF112" s="96">
        <f ca="1">$I$44*$AF$44</f>
        <v>0</v>
      </c>
      <c r="AG112" s="96">
        <f ca="1">$I$44*$AG$44</f>
        <v>0</v>
      </c>
      <c r="AH112" s="96"/>
      <c r="AI112" s="96">
        <f>$I$44*$AI$44</f>
        <v>0</v>
      </c>
      <c r="AJ112" s="96">
        <f>$I$44*$AJ$44</f>
        <v>0</v>
      </c>
      <c r="AK112" s="96">
        <f>$I$44*$AK$44</f>
        <v>0</v>
      </c>
      <c r="AL112" s="96">
        <f>$I$44*$AL$44</f>
        <v>0</v>
      </c>
      <c r="AM112" s="96">
        <f>$I$44*$AM$44</f>
        <v>0</v>
      </c>
      <c r="AN112" s="96">
        <f>$I$44*$AN$44</f>
        <v>0</v>
      </c>
      <c r="AO112" s="96">
        <f>$I$44*$AO$44</f>
        <v>0</v>
      </c>
      <c r="AP112" s="96">
        <f>$I$44*$AP$44</f>
        <v>0</v>
      </c>
      <c r="AQ112" s="96">
        <f>$I$44*$AQ$44</f>
        <v>0</v>
      </c>
      <c r="AR112" s="96">
        <f>$I$44*$AR$44</f>
        <v>0</v>
      </c>
      <c r="AS112" s="96">
        <f>$I$44*$AS$44</f>
        <v>0</v>
      </c>
      <c r="AT112" s="96">
        <f>$I$44*$AT$44</f>
        <v>0</v>
      </c>
      <c r="AU112" s="96">
        <f>$I$44*$AU$44</f>
        <v>0</v>
      </c>
      <c r="AV112" s="96">
        <f>$I$44*$AV$44</f>
        <v>0</v>
      </c>
      <c r="AW112" s="96">
        <f>$I$44*$AW$44</f>
        <v>0</v>
      </c>
      <c r="AX112" s="96">
        <f>$I$44*$AX$44</f>
        <v>0</v>
      </c>
      <c r="AY112" s="96">
        <f>$I$44*$AY$44</f>
        <v>0</v>
      </c>
      <c r="AZ112" s="96">
        <f>$I$44*$AZ$44</f>
        <v>0</v>
      </c>
      <c r="BA112" s="96">
        <f>$I$44*$BA$44</f>
        <v>0</v>
      </c>
      <c r="BB112" s="96">
        <f>$I$44*$BB$44</f>
        <v>0</v>
      </c>
      <c r="BC112" s="96">
        <f>$I$44*$BC$44</f>
        <v>0</v>
      </c>
      <c r="BD112" s="96">
        <f>$I$44*$BD$44</f>
        <v>0</v>
      </c>
    </row>
    <row r="113" spans="1:56" ht="11.25" customHeight="1" x14ac:dyDescent="0.25">
      <c r="A113" s="9" t="s">
        <v>22</v>
      </c>
      <c r="B113" s="9" t="s">
        <v>1062</v>
      </c>
      <c r="C113" s="9" t="s">
        <v>1063</v>
      </c>
      <c r="D113" s="9" t="s">
        <v>1080</v>
      </c>
      <c r="E113" s="9" t="s">
        <v>1081</v>
      </c>
      <c r="F113" s="9" t="s">
        <v>1082</v>
      </c>
      <c r="G113" s="9" t="s">
        <v>1083</v>
      </c>
      <c r="L113" s="96">
        <f>$I$45*$L$45</f>
        <v>0</v>
      </c>
      <c r="M113" s="96">
        <f>$I$45*$M$45</f>
        <v>0</v>
      </c>
      <c r="N113" s="96">
        <f ca="1">$I$45*$N$45</f>
        <v>0</v>
      </c>
      <c r="O113" s="96">
        <f>$I$45*$O$45</f>
        <v>0</v>
      </c>
      <c r="P113" s="96">
        <f>$I$45*$P$45</f>
        <v>0</v>
      </c>
      <c r="Q113" s="96">
        <f>$I$45*$Q$45</f>
        <v>0</v>
      </c>
      <c r="R113" s="96">
        <f>$I$45*$R$45</f>
        <v>0</v>
      </c>
      <c r="S113" s="96">
        <f>$I$45*$S$45</f>
        <v>0</v>
      </c>
      <c r="T113" s="96">
        <f>$I$45*$T$45</f>
        <v>0</v>
      </c>
      <c r="U113" s="96">
        <f>$I$45*$U$45</f>
        <v>0</v>
      </c>
      <c r="V113" s="96">
        <f>$I$45*$V$45</f>
        <v>0</v>
      </c>
      <c r="W113" s="96">
        <f>$I$45*$W$45</f>
        <v>0</v>
      </c>
      <c r="X113" s="96">
        <f>$I$45*$X$45</f>
        <v>0</v>
      </c>
      <c r="Y113" s="96">
        <f>$I$45*$Y$45</f>
        <v>0</v>
      </c>
      <c r="Z113" s="96">
        <f>$I$45*$Z$45</f>
        <v>0</v>
      </c>
      <c r="AA113" s="96">
        <f>$I$45*$AA$45</f>
        <v>0</v>
      </c>
      <c r="AB113" s="96">
        <f ca="1">$I$45*$AB$45</f>
        <v>0</v>
      </c>
      <c r="AC113" s="96">
        <f ca="1">$I$45*$AC$45</f>
        <v>0</v>
      </c>
      <c r="AD113" s="96">
        <f>$I$45*$AD$45</f>
        <v>0</v>
      </c>
      <c r="AE113" s="96">
        <f>$I$45*$AE$45</f>
        <v>0</v>
      </c>
      <c r="AF113" s="96">
        <f ca="1">$I$45*$AF$45</f>
        <v>0</v>
      </c>
      <c r="AG113" s="96">
        <f ca="1">$I$45*$AG$45</f>
        <v>0</v>
      </c>
      <c r="AH113" s="96"/>
      <c r="AI113" s="96">
        <f>$I$45*$AI$45</f>
        <v>0</v>
      </c>
      <c r="AJ113" s="96">
        <f>$I$45*$AJ$45</f>
        <v>0</v>
      </c>
      <c r="AK113" s="96">
        <f>$I$45*$AK$45</f>
        <v>0</v>
      </c>
      <c r="AL113" s="96">
        <f>$I$45*$AL$45</f>
        <v>0</v>
      </c>
      <c r="AM113" s="96">
        <f>$I$45*$AM$45</f>
        <v>0</v>
      </c>
      <c r="AN113" s="96">
        <f>$I$45*$AN$45</f>
        <v>0</v>
      </c>
      <c r="AO113" s="96">
        <f>$I$45*$AO$45</f>
        <v>0</v>
      </c>
      <c r="AP113" s="96">
        <f>$I$45*$AP$45</f>
        <v>0</v>
      </c>
      <c r="AQ113" s="96">
        <f>$I$45*$AQ$45</f>
        <v>0</v>
      </c>
      <c r="AR113" s="96">
        <f>$I$45*$AR$45</f>
        <v>0</v>
      </c>
      <c r="AS113" s="96">
        <f>$I$45*$AS$45</f>
        <v>0</v>
      </c>
      <c r="AT113" s="96">
        <f>$I$45*$AT$45</f>
        <v>0</v>
      </c>
      <c r="AU113" s="96">
        <f>$I$45*$AU$45</f>
        <v>0</v>
      </c>
      <c r="AV113" s="96">
        <f>$I$45*$AV$45</f>
        <v>0</v>
      </c>
      <c r="AW113" s="96">
        <f>$I$45*$AW$45</f>
        <v>0</v>
      </c>
      <c r="AX113" s="96">
        <f>$I$45*$AX$45</f>
        <v>0</v>
      </c>
      <c r="AY113" s="96">
        <f>$I$45*$AY$45</f>
        <v>0</v>
      </c>
      <c r="AZ113" s="96">
        <f>$I$45*$AZ$45</f>
        <v>0</v>
      </c>
      <c r="BA113" s="96">
        <f>$I$45*$BA$45</f>
        <v>0</v>
      </c>
      <c r="BB113" s="96">
        <f>$I$45*$BB$45</f>
        <v>0</v>
      </c>
      <c r="BC113" s="96">
        <f>$I$45*$BC$45</f>
        <v>0</v>
      </c>
      <c r="BD113" s="96">
        <f>$I$45*$BD$45</f>
        <v>0</v>
      </c>
    </row>
    <row r="114" spans="1:56" ht="11.25" customHeight="1" x14ac:dyDescent="0.25">
      <c r="A114" s="9" t="s">
        <v>45</v>
      </c>
      <c r="B114" s="9" t="s">
        <v>1084</v>
      </c>
      <c r="C114" s="9" t="s">
        <v>1085</v>
      </c>
      <c r="D114" s="9" t="s">
        <v>1086</v>
      </c>
      <c r="E114" s="9" t="s">
        <v>1087</v>
      </c>
      <c r="F114" s="9" t="s">
        <v>1088</v>
      </c>
      <c r="G114" s="9" t="s">
        <v>1089</v>
      </c>
      <c r="L114" s="96">
        <f>$I$46*$L$46</f>
        <v>0</v>
      </c>
      <c r="M114" s="96">
        <f>$I$46*$M$46</f>
        <v>0</v>
      </c>
      <c r="N114" s="96">
        <f ca="1">$I$46*$N$46</f>
        <v>0</v>
      </c>
      <c r="O114" s="96">
        <f>$I$46*$O$46</f>
        <v>0</v>
      </c>
      <c r="P114" s="96">
        <f>$I$46*$P$46</f>
        <v>0</v>
      </c>
      <c r="Q114" s="96">
        <f>$I$46*$Q$46</f>
        <v>0</v>
      </c>
      <c r="R114" s="96">
        <f>$I$46*$R$46</f>
        <v>0</v>
      </c>
      <c r="S114" s="96">
        <f>$I$46*$S$46</f>
        <v>0</v>
      </c>
      <c r="T114" s="96">
        <f>$I$46*$T$46</f>
        <v>0</v>
      </c>
      <c r="U114" s="96">
        <f>$I$46*$U$46</f>
        <v>0</v>
      </c>
      <c r="V114" s="96">
        <f>$I$46*$V$46</f>
        <v>0</v>
      </c>
      <c r="W114" s="96">
        <f>$I$46*$W$46</f>
        <v>0</v>
      </c>
      <c r="X114" s="96">
        <f>$I$46*$X$46</f>
        <v>0</v>
      </c>
      <c r="Y114" s="96">
        <f>$I$46*$Y$46</f>
        <v>0</v>
      </c>
      <c r="Z114" s="96">
        <f>$I$46*$Z$46</f>
        <v>0</v>
      </c>
      <c r="AA114" s="96">
        <f>$I$46*$AA$46</f>
        <v>0</v>
      </c>
      <c r="AB114" s="96">
        <f ca="1">$I$46*$AB$46</f>
        <v>0</v>
      </c>
      <c r="AC114" s="96">
        <f ca="1">$I$46*$AC$46</f>
        <v>0</v>
      </c>
      <c r="AD114" s="96">
        <f>$I$46*$AD$46</f>
        <v>0</v>
      </c>
      <c r="AE114" s="96">
        <f>$I$46*$AE$46</f>
        <v>0</v>
      </c>
      <c r="AF114" s="96">
        <f ca="1">$I$46*$AF$46</f>
        <v>0</v>
      </c>
      <c r="AG114" s="96">
        <f ca="1">$I$46*$AG$46</f>
        <v>0</v>
      </c>
      <c r="AH114" s="96"/>
      <c r="AI114" s="96">
        <f>$I$46*$AI$46</f>
        <v>0</v>
      </c>
      <c r="AJ114" s="96">
        <f>$I$46*$AJ$46</f>
        <v>0</v>
      </c>
      <c r="AK114" s="96">
        <f>$I$46*$AK$46</f>
        <v>0</v>
      </c>
      <c r="AL114" s="96">
        <f>$I$46*$AL$46</f>
        <v>0</v>
      </c>
      <c r="AM114" s="96">
        <f>$I$46*$AM$46</f>
        <v>0</v>
      </c>
      <c r="AN114" s="96">
        <f>$I$46*$AN$46</f>
        <v>0</v>
      </c>
      <c r="AO114" s="96">
        <f>$I$46*$AO$46</f>
        <v>0</v>
      </c>
      <c r="AP114" s="96">
        <f>$I$46*$AP$46</f>
        <v>0</v>
      </c>
      <c r="AQ114" s="96">
        <f>$I$46*$AQ$46</f>
        <v>0</v>
      </c>
      <c r="AR114" s="96">
        <f>$I$46*$AR$46</f>
        <v>0</v>
      </c>
      <c r="AS114" s="96">
        <f>$I$46*$AS$46</f>
        <v>0</v>
      </c>
      <c r="AT114" s="96">
        <f>$I$46*$AT$46</f>
        <v>0</v>
      </c>
      <c r="AU114" s="96">
        <f>$I$46*$AU$46</f>
        <v>0</v>
      </c>
      <c r="AV114" s="96">
        <f>$I$46*$AV$46</f>
        <v>0</v>
      </c>
      <c r="AW114" s="96">
        <f>$I$46*$AW$46</f>
        <v>0</v>
      </c>
      <c r="AX114" s="96">
        <f>$I$46*$AX$46</f>
        <v>0</v>
      </c>
      <c r="AY114" s="96">
        <f>$I$46*$AY$46</f>
        <v>0</v>
      </c>
      <c r="AZ114" s="96">
        <f>$I$46*$AZ$46</f>
        <v>0</v>
      </c>
      <c r="BA114" s="96">
        <f>$I$46*$BA$46</f>
        <v>0</v>
      </c>
      <c r="BB114" s="96">
        <f>$I$46*$BB$46</f>
        <v>0</v>
      </c>
      <c r="BC114" s="96">
        <f>$I$46*$BC$46</f>
        <v>0</v>
      </c>
      <c r="BD114" s="96">
        <f>$I$46*$BD$46</f>
        <v>0</v>
      </c>
    </row>
    <row r="115" spans="1:56" ht="11.25" customHeight="1" x14ac:dyDescent="0.25">
      <c r="A115" s="9" t="s">
        <v>45</v>
      </c>
      <c r="B115" s="9" t="s">
        <v>1084</v>
      </c>
      <c r="C115" s="9" t="s">
        <v>1085</v>
      </c>
      <c r="D115" s="9" t="s">
        <v>1086</v>
      </c>
      <c r="E115" s="9" t="s">
        <v>1087</v>
      </c>
      <c r="F115" s="9" t="s">
        <v>1088</v>
      </c>
      <c r="G115" s="9" t="s">
        <v>1090</v>
      </c>
      <c r="L115" s="96">
        <f>$I$47*$L$47</f>
        <v>0</v>
      </c>
      <c r="M115" s="96">
        <f>$I$47*$M$47</f>
        <v>0</v>
      </c>
      <c r="N115" s="96">
        <f ca="1">$I$47*$N$47</f>
        <v>0</v>
      </c>
      <c r="O115" s="96">
        <f>$I$47*$O$47</f>
        <v>0</v>
      </c>
      <c r="P115" s="96">
        <f>$I$47*$P$47</f>
        <v>0</v>
      </c>
      <c r="Q115" s="96">
        <f>$I$47*$Q$47</f>
        <v>0</v>
      </c>
      <c r="R115" s="96">
        <f>$I$47*$R$47</f>
        <v>0</v>
      </c>
      <c r="S115" s="96">
        <f>$I$47*$S$47</f>
        <v>0</v>
      </c>
      <c r="T115" s="96">
        <f>$I$47*$T$47</f>
        <v>0</v>
      </c>
      <c r="U115" s="96">
        <f>$I$47*$U$47</f>
        <v>0</v>
      </c>
      <c r="V115" s="96">
        <f>$I$47*$V$47</f>
        <v>0</v>
      </c>
      <c r="W115" s="96">
        <f>$I$47*$W$47</f>
        <v>0</v>
      </c>
      <c r="X115" s="96">
        <f>$I$47*$X$47</f>
        <v>0</v>
      </c>
      <c r="Y115" s="96">
        <f>$I$47*$Y$47</f>
        <v>0</v>
      </c>
      <c r="Z115" s="96">
        <f>$I$47*$Z$47</f>
        <v>0</v>
      </c>
      <c r="AA115" s="96">
        <f>$I$47*$AA$47</f>
        <v>0</v>
      </c>
      <c r="AB115" s="96">
        <f ca="1">$I$47*$AB$47</f>
        <v>0</v>
      </c>
      <c r="AC115" s="96">
        <f ca="1">$I$47*$AC$47</f>
        <v>0</v>
      </c>
      <c r="AD115" s="96">
        <f>$I$47*$AD$47</f>
        <v>0</v>
      </c>
      <c r="AE115" s="96">
        <f>$I$47*$AE$47</f>
        <v>0</v>
      </c>
      <c r="AF115" s="96">
        <f ca="1">$I$47*$AF$47</f>
        <v>0</v>
      </c>
      <c r="AG115" s="96">
        <f ca="1">$I$47*$AG$47</f>
        <v>0</v>
      </c>
      <c r="AH115" s="96"/>
      <c r="AI115" s="96">
        <f>$I$47*$AI$47</f>
        <v>0</v>
      </c>
      <c r="AJ115" s="96">
        <f>$I$47*$AJ$47</f>
        <v>0</v>
      </c>
      <c r="AK115" s="96">
        <f>$I$47*$AK$47</f>
        <v>0</v>
      </c>
      <c r="AL115" s="96">
        <f>$I$47*$AL$47</f>
        <v>0</v>
      </c>
      <c r="AM115" s="96">
        <f>$I$47*$AM$47</f>
        <v>0</v>
      </c>
      <c r="AN115" s="96">
        <f>$I$47*$AN$47</f>
        <v>0</v>
      </c>
      <c r="AO115" s="96">
        <f>$I$47*$AO$47</f>
        <v>0</v>
      </c>
      <c r="AP115" s="96">
        <f>$I$47*$AP$47</f>
        <v>0</v>
      </c>
      <c r="AQ115" s="96">
        <f>$I$47*$AQ$47</f>
        <v>0</v>
      </c>
      <c r="AR115" s="96">
        <f>$I$47*$AR$47</f>
        <v>0</v>
      </c>
      <c r="AS115" s="96">
        <f>$I$47*$AS$47</f>
        <v>0</v>
      </c>
      <c r="AT115" s="96">
        <f>$I$47*$AT$47</f>
        <v>0</v>
      </c>
      <c r="AU115" s="96">
        <f>$I$47*$AU$47</f>
        <v>0</v>
      </c>
      <c r="AV115" s="96">
        <f>$I$47*$AV$47</f>
        <v>0</v>
      </c>
      <c r="AW115" s="96">
        <f>$I$47*$AW$47</f>
        <v>0</v>
      </c>
      <c r="AX115" s="96">
        <f>$I$47*$AX$47</f>
        <v>0</v>
      </c>
      <c r="AY115" s="96">
        <f>$I$47*$AY$47</f>
        <v>0</v>
      </c>
      <c r="AZ115" s="96">
        <f>$I$47*$AZ$47</f>
        <v>0</v>
      </c>
      <c r="BA115" s="96">
        <f>$I$47*$BA$47</f>
        <v>0</v>
      </c>
      <c r="BB115" s="96">
        <f>$I$47*$BB$47</f>
        <v>0</v>
      </c>
      <c r="BC115" s="96">
        <f>$I$47*$BC$47</f>
        <v>0</v>
      </c>
      <c r="BD115" s="96">
        <f>$I$47*$BD$47</f>
        <v>0</v>
      </c>
    </row>
    <row r="116" spans="1:56" ht="11.25" customHeight="1" x14ac:dyDescent="0.25">
      <c r="A116" s="9" t="s">
        <v>45</v>
      </c>
      <c r="B116" s="9" t="s">
        <v>1084</v>
      </c>
      <c r="C116" s="9" t="s">
        <v>1085</v>
      </c>
      <c r="D116" s="9" t="s">
        <v>1086</v>
      </c>
      <c r="E116" s="9" t="s">
        <v>1087</v>
      </c>
      <c r="F116" s="9" t="s">
        <v>1088</v>
      </c>
      <c r="G116" s="9" t="s">
        <v>1091</v>
      </c>
      <c r="L116" s="96">
        <f>$I$48*$L$48</f>
        <v>0</v>
      </c>
      <c r="M116" s="96">
        <f>$I$48*$M$48</f>
        <v>0</v>
      </c>
      <c r="N116" s="96">
        <f ca="1">$I$48*$N$48</f>
        <v>0</v>
      </c>
      <c r="O116" s="96">
        <f>$I$48*$O$48</f>
        <v>0</v>
      </c>
      <c r="P116" s="96">
        <f>$I$48*$P$48</f>
        <v>0</v>
      </c>
      <c r="Q116" s="96">
        <f>$I$48*$Q$48</f>
        <v>0</v>
      </c>
      <c r="R116" s="96">
        <f>$I$48*$R$48</f>
        <v>0</v>
      </c>
      <c r="S116" s="96">
        <f>$I$48*$S$48</f>
        <v>0</v>
      </c>
      <c r="T116" s="96">
        <f>$I$48*$T$48</f>
        <v>0</v>
      </c>
      <c r="U116" s="96">
        <f>$I$48*$U$48</f>
        <v>0</v>
      </c>
      <c r="V116" s="96">
        <f>$I$48*$V$48</f>
        <v>0</v>
      </c>
      <c r="W116" s="96">
        <f>$I$48*$W$48</f>
        <v>0</v>
      </c>
      <c r="X116" s="96">
        <f>$I$48*$X$48</f>
        <v>0</v>
      </c>
      <c r="Y116" s="96">
        <f>$I$48*$Y$48</f>
        <v>0</v>
      </c>
      <c r="Z116" s="96">
        <f>$I$48*$Z$48</f>
        <v>0</v>
      </c>
      <c r="AA116" s="96">
        <f>$I$48*$AA$48</f>
        <v>0</v>
      </c>
      <c r="AB116" s="96">
        <f ca="1">$I$48*$AB$48</f>
        <v>0</v>
      </c>
      <c r="AC116" s="96">
        <f ca="1">$I$48*$AC$48</f>
        <v>0</v>
      </c>
      <c r="AD116" s="96">
        <f>$I$48*$AD$48</f>
        <v>0</v>
      </c>
      <c r="AE116" s="96">
        <f>$I$48*$AE$48</f>
        <v>0</v>
      </c>
      <c r="AF116" s="96">
        <f ca="1">$I$48*$AF$48</f>
        <v>0</v>
      </c>
      <c r="AG116" s="96">
        <f ca="1">$I$48*$AG$48</f>
        <v>0</v>
      </c>
      <c r="AH116" s="96"/>
      <c r="AI116" s="96">
        <f>$I$48*$AI$48</f>
        <v>0</v>
      </c>
      <c r="AJ116" s="96">
        <f>$I$48*$AJ$48</f>
        <v>0</v>
      </c>
      <c r="AK116" s="96">
        <f>$I$48*$AK$48</f>
        <v>0</v>
      </c>
      <c r="AL116" s="96">
        <f>$I$48*$AL$48</f>
        <v>0</v>
      </c>
      <c r="AM116" s="96">
        <f>$I$48*$AM$48</f>
        <v>0</v>
      </c>
      <c r="AN116" s="96">
        <f>$I$48*$AN$48</f>
        <v>0</v>
      </c>
      <c r="AO116" s="96">
        <f>$I$48*$AO$48</f>
        <v>0</v>
      </c>
      <c r="AP116" s="96">
        <f>$I$48*$AP$48</f>
        <v>0</v>
      </c>
      <c r="AQ116" s="96">
        <f>$I$48*$AQ$48</f>
        <v>0</v>
      </c>
      <c r="AR116" s="96">
        <f>$I$48*$AR$48</f>
        <v>0</v>
      </c>
      <c r="AS116" s="96">
        <f>$I$48*$AS$48</f>
        <v>0</v>
      </c>
      <c r="AT116" s="96">
        <f>$I$48*$AT$48</f>
        <v>0</v>
      </c>
      <c r="AU116" s="96">
        <f>$I$48*$AU$48</f>
        <v>0</v>
      </c>
      <c r="AV116" s="96">
        <f>$I$48*$AV$48</f>
        <v>0</v>
      </c>
      <c r="AW116" s="96">
        <f>$I$48*$AW$48</f>
        <v>0</v>
      </c>
      <c r="AX116" s="96">
        <f>$I$48*$AX$48</f>
        <v>0</v>
      </c>
      <c r="AY116" s="96">
        <f>$I$48*$AY$48</f>
        <v>0</v>
      </c>
      <c r="AZ116" s="96">
        <f>$I$48*$AZ$48</f>
        <v>0</v>
      </c>
      <c r="BA116" s="96">
        <f>$I$48*$BA$48</f>
        <v>0</v>
      </c>
      <c r="BB116" s="96">
        <f>$I$48*$BB$48</f>
        <v>0</v>
      </c>
      <c r="BC116" s="96">
        <f>$I$48*$BC$48</f>
        <v>0</v>
      </c>
      <c r="BD116" s="96">
        <f>$I$48*$BD$48</f>
        <v>0</v>
      </c>
    </row>
    <row r="117" spans="1:56" ht="11.25" customHeight="1" x14ac:dyDescent="0.25">
      <c r="A117" s="9" t="s">
        <v>45</v>
      </c>
      <c r="B117" s="9" t="s">
        <v>1092</v>
      </c>
      <c r="C117" s="9" t="s">
        <v>1093</v>
      </c>
      <c r="D117" s="9" t="s">
        <v>1094</v>
      </c>
      <c r="E117" s="9" t="s">
        <v>1095</v>
      </c>
      <c r="F117" s="9" t="s">
        <v>1096</v>
      </c>
      <c r="G117" s="9" t="s">
        <v>1097</v>
      </c>
      <c r="L117" s="96">
        <f>$I$49*$L$49</f>
        <v>98256.98876941581</v>
      </c>
      <c r="M117" s="96">
        <f>$I$49*$M$49</f>
        <v>3902.2386511730251</v>
      </c>
      <c r="N117" s="96">
        <f ca="1">$I$49*$N$49</f>
        <v>17439.871598026508</v>
      </c>
      <c r="O117" s="96">
        <f>$I$49*$O$49</f>
        <v>0</v>
      </c>
      <c r="P117" s="96">
        <f>$I$49*$P$49</f>
        <v>0</v>
      </c>
      <c r="Q117" s="96">
        <f>$I$49*$Q$49</f>
        <v>226804.70551617787</v>
      </c>
      <c r="R117" s="96">
        <f>$I$49*$R$49</f>
        <v>84435.809088969254</v>
      </c>
      <c r="S117" s="96">
        <f>$I$49*$S$49</f>
        <v>0</v>
      </c>
      <c r="T117" s="96">
        <f>$I$49*$T$49</f>
        <v>122832.62981392494</v>
      </c>
      <c r="U117" s="96">
        <f>$I$49*$U$49</f>
        <v>18905.212088450739</v>
      </c>
      <c r="V117" s="96">
        <f>$I$49*$V$49</f>
        <v>659.91213013591425</v>
      </c>
      <c r="W117" s="96">
        <f>$I$49*$W$49</f>
        <v>0</v>
      </c>
      <c r="X117" s="96">
        <f>$I$49*$X$49</f>
        <v>0</v>
      </c>
      <c r="Y117" s="96">
        <f>$I$49*$Y$49</f>
        <v>0</v>
      </c>
      <c r="Z117" s="96">
        <f>$I$49*$Z$49</f>
        <v>0</v>
      </c>
      <c r="AA117" s="96">
        <f>$I$49*$AA$49</f>
        <v>1094817.9387271863</v>
      </c>
      <c r="AB117" s="96">
        <f ca="1">$I$49*$AB$49</f>
        <v>-136169.61152578195</v>
      </c>
      <c r="AC117" s="96">
        <f ca="1">$I$49*$AC$49</f>
        <v>0</v>
      </c>
      <c r="AD117" s="96">
        <f>$I$49*$AD$49</f>
        <v>114501.25461492981</v>
      </c>
      <c r="AE117" s="96">
        <f>$I$49*$AE$49</f>
        <v>9257.9456791564589</v>
      </c>
      <c r="AF117" s="96">
        <f ca="1">$I$49*$AF$49</f>
        <v>229477.79095541887</v>
      </c>
      <c r="AG117" s="96">
        <f ca="1">$I$49*$AG$49</f>
        <v>52603.115867812303</v>
      </c>
      <c r="AH117" s="96"/>
      <c r="AI117" s="96">
        <f>$I$49*$AI$49</f>
        <v>98256.988769415941</v>
      </c>
      <c r="AJ117" s="96">
        <f>$I$49*$AJ$49</f>
        <v>3905.5606320545603</v>
      </c>
      <c r="AK117" s="96">
        <f>$I$49*$AK$49</f>
        <v>17452.686344374066</v>
      </c>
      <c r="AL117" s="96">
        <f>$I$49*$AL$49</f>
        <v>0</v>
      </c>
      <c r="AM117" s="96">
        <f>$I$49*$AM$49</f>
        <v>0</v>
      </c>
      <c r="AN117" s="96">
        <f>$I$49*$AN$49</f>
        <v>226804.70551617787</v>
      </c>
      <c r="AO117" s="96">
        <f>$I$49*$AO$49</f>
        <v>84435.809088969167</v>
      </c>
      <c r="AP117" s="96">
        <f>$I$49*$AP$49</f>
        <v>0</v>
      </c>
      <c r="AQ117" s="96">
        <f>$I$49*$AQ$49</f>
        <v>122832.62981392487</v>
      </c>
      <c r="AR117" s="96">
        <f>$I$49*$AR$49</f>
        <v>18905.212088450757</v>
      </c>
      <c r="AS117" s="96">
        <f>$I$49*$AS$49</f>
        <v>660.52094501821159</v>
      </c>
      <c r="AT117" s="96">
        <f>$I$49*$AT$49</f>
        <v>0</v>
      </c>
      <c r="AU117" s="96">
        <f>$I$49*$AU$49</f>
        <v>0</v>
      </c>
      <c r="AV117" s="96">
        <f>$I$49*$AV$49</f>
        <v>0</v>
      </c>
      <c r="AW117" s="96">
        <f>$I$49*$AW$49</f>
        <v>0</v>
      </c>
      <c r="AX117" s="96">
        <f>$I$49*$AX$49</f>
        <v>1095819.4415143651</v>
      </c>
      <c r="AY117" s="96">
        <f>$I$49*$AY$49</f>
        <v>-136180.57007617262</v>
      </c>
      <c r="AZ117" s="96">
        <f>$I$49*$AZ$49</f>
        <v>0</v>
      </c>
      <c r="BA117" s="96">
        <f>$I$49*$BA$49</f>
        <v>114562.64395875632</v>
      </c>
      <c r="BB117" s="96">
        <f>$I$49*$BB$49</f>
        <v>9262.9092859949451</v>
      </c>
      <c r="BC117" s="96">
        <f>$I$49*$BC$49</f>
        <v>229606.35551460239</v>
      </c>
      <c r="BD117" s="96">
        <f>$I$49*$BD$49</f>
        <v>52631.916719144538</v>
      </c>
    </row>
    <row r="118" spans="1:56" ht="11.25" customHeight="1" x14ac:dyDescent="0.25">
      <c r="A118" s="9" t="s">
        <v>45</v>
      </c>
      <c r="B118" s="9" t="s">
        <v>1084</v>
      </c>
      <c r="C118" s="9" t="s">
        <v>1085</v>
      </c>
      <c r="D118" s="9" t="s">
        <v>1098</v>
      </c>
      <c r="E118" s="9" t="s">
        <v>1099</v>
      </c>
      <c r="F118" s="9" t="s">
        <v>1100</v>
      </c>
      <c r="G118" s="9" t="s">
        <v>1101</v>
      </c>
      <c r="L118" s="96">
        <f>$I$50*$L$50</f>
        <v>0</v>
      </c>
      <c r="M118" s="96">
        <f>$I$50*$M$50</f>
        <v>0</v>
      </c>
      <c r="N118" s="96">
        <f ca="1">$I$50*$N$50</f>
        <v>0</v>
      </c>
      <c r="O118" s="96">
        <f>$I$50*$O$50</f>
        <v>0</v>
      </c>
      <c r="P118" s="96">
        <f>$I$50*$P$50</f>
        <v>0</v>
      </c>
      <c r="Q118" s="96">
        <f>$I$50*$Q$50</f>
        <v>0</v>
      </c>
      <c r="R118" s="96">
        <f>$I$50*$R$50</f>
        <v>0</v>
      </c>
      <c r="S118" s="96">
        <f>$I$50*$S$50</f>
        <v>0</v>
      </c>
      <c r="T118" s="96">
        <f>$I$50*$T$50</f>
        <v>0</v>
      </c>
      <c r="U118" s="96">
        <f>$I$50*$U$50</f>
        <v>0</v>
      </c>
      <c r="V118" s="96">
        <f>$I$50*$V$50</f>
        <v>0</v>
      </c>
      <c r="W118" s="96">
        <f>$I$50*$W$50</f>
        <v>0</v>
      </c>
      <c r="X118" s="96">
        <f>$I$50*$X$50</f>
        <v>0</v>
      </c>
      <c r="Y118" s="96">
        <f>$I$50*$Y$50</f>
        <v>0</v>
      </c>
      <c r="Z118" s="96">
        <f>$I$50*$Z$50</f>
        <v>0</v>
      </c>
      <c r="AA118" s="96">
        <f>$I$50*$AA$50</f>
        <v>0</v>
      </c>
      <c r="AB118" s="96">
        <f ca="1">$I$50*$AB$50</f>
        <v>0</v>
      </c>
      <c r="AC118" s="96">
        <f ca="1">$I$50*$AC$50</f>
        <v>0</v>
      </c>
      <c r="AD118" s="96">
        <f>$I$50*$AD$50</f>
        <v>0</v>
      </c>
      <c r="AE118" s="96">
        <f>$I$50*$AE$50</f>
        <v>0</v>
      </c>
      <c r="AF118" s="96">
        <f ca="1">$I$50*$AF$50</f>
        <v>0</v>
      </c>
      <c r="AG118" s="96">
        <f ca="1">$I$50*$AG$50</f>
        <v>0</v>
      </c>
      <c r="AH118" s="96"/>
      <c r="AI118" s="96">
        <f>$I$50*$AI$50</f>
        <v>0</v>
      </c>
      <c r="AJ118" s="96">
        <f>$I$50*$AJ$50</f>
        <v>0</v>
      </c>
      <c r="AK118" s="96">
        <f>$I$50*$AK$50</f>
        <v>0</v>
      </c>
      <c r="AL118" s="96">
        <f>$I$50*$AL$50</f>
        <v>0</v>
      </c>
      <c r="AM118" s="96">
        <f>$I$50*$AM$50</f>
        <v>0</v>
      </c>
      <c r="AN118" s="96">
        <f>$I$50*$AN$50</f>
        <v>0</v>
      </c>
      <c r="AO118" s="96">
        <f>$I$50*$AO$50</f>
        <v>0</v>
      </c>
      <c r="AP118" s="96">
        <f>$I$50*$AP$50</f>
        <v>0</v>
      </c>
      <c r="AQ118" s="96">
        <f>$I$50*$AQ$50</f>
        <v>0</v>
      </c>
      <c r="AR118" s="96">
        <f>$I$50*$AR$50</f>
        <v>0</v>
      </c>
      <c r="AS118" s="96">
        <f>$I$50*$AS$50</f>
        <v>0</v>
      </c>
      <c r="AT118" s="96">
        <f>$I$50*$AT$50</f>
        <v>0</v>
      </c>
      <c r="AU118" s="96">
        <f>$I$50*$AU$50</f>
        <v>0</v>
      </c>
      <c r="AV118" s="96">
        <f>$I$50*$AV$50</f>
        <v>0</v>
      </c>
      <c r="AW118" s="96">
        <f>$I$50*$AW$50</f>
        <v>0</v>
      </c>
      <c r="AX118" s="96">
        <f>$I$50*$AX$50</f>
        <v>0</v>
      </c>
      <c r="AY118" s="96">
        <f>$I$50*$AY$50</f>
        <v>0</v>
      </c>
      <c r="AZ118" s="96">
        <f>$I$50*$AZ$50</f>
        <v>0</v>
      </c>
      <c r="BA118" s="96">
        <f>$I$50*$BA$50</f>
        <v>0</v>
      </c>
      <c r="BB118" s="96">
        <f>$I$50*$BB$50</f>
        <v>0</v>
      </c>
      <c r="BC118" s="96">
        <f>$I$50*$BC$50</f>
        <v>0</v>
      </c>
      <c r="BD118" s="96">
        <f>$I$50*$BD$50</f>
        <v>0</v>
      </c>
    </row>
    <row r="119" spans="1:56" ht="11.25" customHeight="1" x14ac:dyDescent="0.25">
      <c r="A119" s="9" t="s">
        <v>45</v>
      </c>
      <c r="B119" s="9" t="s">
        <v>1084</v>
      </c>
      <c r="C119" s="9" t="s">
        <v>1085</v>
      </c>
      <c r="D119" s="9" t="s">
        <v>1098</v>
      </c>
      <c r="E119" s="9" t="s">
        <v>1099</v>
      </c>
      <c r="F119" s="9" t="s">
        <v>1100</v>
      </c>
      <c r="G119" s="9" t="s">
        <v>1102</v>
      </c>
      <c r="L119" s="96">
        <f>$I$51*$L$51</f>
        <v>0</v>
      </c>
      <c r="M119" s="96">
        <f>$I$51*$M$51</f>
        <v>0</v>
      </c>
      <c r="N119" s="96">
        <f ca="1">$I$51*$N$51</f>
        <v>0</v>
      </c>
      <c r="O119" s="96">
        <f>$I$51*$O$51</f>
        <v>0</v>
      </c>
      <c r="P119" s="96">
        <f>$I$51*$P$51</f>
        <v>0</v>
      </c>
      <c r="Q119" s="96">
        <f>$I$51*$Q$51</f>
        <v>0</v>
      </c>
      <c r="R119" s="96">
        <f>$I$51*$R$51</f>
        <v>0</v>
      </c>
      <c r="S119" s="96">
        <f>$I$51*$S$51</f>
        <v>0</v>
      </c>
      <c r="T119" s="96">
        <f>$I$51*$T$51</f>
        <v>0</v>
      </c>
      <c r="U119" s="96">
        <f>$I$51*$U$51</f>
        <v>0</v>
      </c>
      <c r="V119" s="96">
        <f>$I$51*$V$51</f>
        <v>0</v>
      </c>
      <c r="W119" s="96">
        <f>$I$51*$W$51</f>
        <v>0</v>
      </c>
      <c r="X119" s="96">
        <f>$I$51*$X$51</f>
        <v>0</v>
      </c>
      <c r="Y119" s="96">
        <f>$I$51*$Y$51</f>
        <v>0</v>
      </c>
      <c r="Z119" s="96">
        <f>$I$51*$Z$51</f>
        <v>0</v>
      </c>
      <c r="AA119" s="96">
        <f>$I$51*$AA$51</f>
        <v>0</v>
      </c>
      <c r="AB119" s="96">
        <f ca="1">$I$51*$AB$51</f>
        <v>0</v>
      </c>
      <c r="AC119" s="96">
        <f ca="1">$I$51*$AC$51</f>
        <v>0</v>
      </c>
      <c r="AD119" s="96">
        <f>$I$51*$AD$51</f>
        <v>0</v>
      </c>
      <c r="AE119" s="96">
        <f>$I$51*$AE$51</f>
        <v>0</v>
      </c>
      <c r="AF119" s="96">
        <f ca="1">$I$51*$AF$51</f>
        <v>0</v>
      </c>
      <c r="AG119" s="96">
        <f ca="1">$I$51*$AG$51</f>
        <v>0</v>
      </c>
      <c r="AH119" s="96"/>
      <c r="AI119" s="96">
        <f>$I$51*$AI$51</f>
        <v>0</v>
      </c>
      <c r="AJ119" s="96">
        <f>$I$51*$AJ$51</f>
        <v>0</v>
      </c>
      <c r="AK119" s="96">
        <f>$I$51*$AK$51</f>
        <v>0</v>
      </c>
      <c r="AL119" s="96">
        <f>$I$51*$AL$51</f>
        <v>0</v>
      </c>
      <c r="AM119" s="96">
        <f>$I$51*$AM$51</f>
        <v>0</v>
      </c>
      <c r="AN119" s="96">
        <f>$I$51*$AN$51</f>
        <v>0</v>
      </c>
      <c r="AO119" s="96">
        <f>$I$51*$AO$51</f>
        <v>0</v>
      </c>
      <c r="AP119" s="96">
        <f>$I$51*$AP$51</f>
        <v>0</v>
      </c>
      <c r="AQ119" s="96">
        <f>$I$51*$AQ$51</f>
        <v>0</v>
      </c>
      <c r="AR119" s="96">
        <f>$I$51*$AR$51</f>
        <v>0</v>
      </c>
      <c r="AS119" s="96">
        <f>$I$51*$AS$51</f>
        <v>0</v>
      </c>
      <c r="AT119" s="96">
        <f>$I$51*$AT$51</f>
        <v>0</v>
      </c>
      <c r="AU119" s="96">
        <f>$I$51*$AU$51</f>
        <v>0</v>
      </c>
      <c r="AV119" s="96">
        <f>$I$51*$AV$51</f>
        <v>0</v>
      </c>
      <c r="AW119" s="96">
        <f>$I$51*$AW$51</f>
        <v>0</v>
      </c>
      <c r="AX119" s="96">
        <f>$I$51*$AX$51</f>
        <v>0</v>
      </c>
      <c r="AY119" s="96">
        <f>$I$51*$AY$51</f>
        <v>0</v>
      </c>
      <c r="AZ119" s="96">
        <f>$I$51*$AZ$51</f>
        <v>0</v>
      </c>
      <c r="BA119" s="96">
        <f>$I$51*$BA$51</f>
        <v>0</v>
      </c>
      <c r="BB119" s="96">
        <f>$I$51*$BB$51</f>
        <v>0</v>
      </c>
      <c r="BC119" s="96">
        <f>$I$51*$BC$51</f>
        <v>0</v>
      </c>
      <c r="BD119" s="96">
        <f>$I$51*$BD$51</f>
        <v>0</v>
      </c>
    </row>
    <row r="120" spans="1:56" ht="11.25" customHeight="1" x14ac:dyDescent="0.25">
      <c r="A120" s="9" t="s">
        <v>45</v>
      </c>
      <c r="B120" s="9" t="s">
        <v>1084</v>
      </c>
      <c r="C120" s="9" t="s">
        <v>1085</v>
      </c>
      <c r="D120" s="9" t="s">
        <v>1098</v>
      </c>
      <c r="E120" s="9" t="s">
        <v>1099</v>
      </c>
      <c r="F120" s="9" t="s">
        <v>1100</v>
      </c>
      <c r="G120" s="9" t="s">
        <v>1103</v>
      </c>
      <c r="L120" s="96">
        <f>$I$52*$L$52</f>
        <v>0</v>
      </c>
      <c r="M120" s="96">
        <f>$I$52*$M$52</f>
        <v>0</v>
      </c>
      <c r="N120" s="96">
        <f ca="1">$I$52*$N$52</f>
        <v>0</v>
      </c>
      <c r="O120" s="96">
        <f>$I$52*$O$52</f>
        <v>0</v>
      </c>
      <c r="P120" s="96">
        <f>$I$52*$P$52</f>
        <v>0</v>
      </c>
      <c r="Q120" s="96">
        <f>$I$52*$Q$52</f>
        <v>0</v>
      </c>
      <c r="R120" s="96">
        <f>$I$52*$R$52</f>
        <v>0</v>
      </c>
      <c r="S120" s="96">
        <f>$I$52*$S$52</f>
        <v>0</v>
      </c>
      <c r="T120" s="96">
        <f>$I$52*$T$52</f>
        <v>0</v>
      </c>
      <c r="U120" s="96">
        <f>$I$52*$U$52</f>
        <v>0</v>
      </c>
      <c r="V120" s="96">
        <f>$I$52*$V$52</f>
        <v>0</v>
      </c>
      <c r="W120" s="96">
        <f>$I$52*$W$52</f>
        <v>0</v>
      </c>
      <c r="X120" s="96">
        <f>$I$52*$X$52</f>
        <v>0</v>
      </c>
      <c r="Y120" s="96">
        <f>$I$52*$Y$52</f>
        <v>0</v>
      </c>
      <c r="Z120" s="96">
        <f>$I$52*$Z$52</f>
        <v>0</v>
      </c>
      <c r="AA120" s="96">
        <f>$I$52*$AA$52</f>
        <v>0</v>
      </c>
      <c r="AB120" s="96">
        <f ca="1">$I$52*$AB$52</f>
        <v>0</v>
      </c>
      <c r="AC120" s="96">
        <f ca="1">$I$52*$AC$52</f>
        <v>0</v>
      </c>
      <c r="AD120" s="96">
        <f>$I$52*$AD$52</f>
        <v>0</v>
      </c>
      <c r="AE120" s="96">
        <f>$I$52*$AE$52</f>
        <v>0</v>
      </c>
      <c r="AF120" s="96">
        <f ca="1">$I$52*$AF$52</f>
        <v>0</v>
      </c>
      <c r="AG120" s="96">
        <f ca="1">$I$52*$AG$52</f>
        <v>0</v>
      </c>
      <c r="AH120" s="96"/>
      <c r="AI120" s="96">
        <f>$I$52*$AI$52</f>
        <v>0</v>
      </c>
      <c r="AJ120" s="96">
        <f>$I$52*$AJ$52</f>
        <v>0</v>
      </c>
      <c r="AK120" s="96">
        <f>$I$52*$AK$52</f>
        <v>0</v>
      </c>
      <c r="AL120" s="96">
        <f>$I$52*$AL$52</f>
        <v>0</v>
      </c>
      <c r="AM120" s="96">
        <f>$I$52*$AM$52</f>
        <v>0</v>
      </c>
      <c r="AN120" s="96">
        <f>$I$52*$AN$52</f>
        <v>0</v>
      </c>
      <c r="AO120" s="96">
        <f>$I$52*$AO$52</f>
        <v>0</v>
      </c>
      <c r="AP120" s="96">
        <f>$I$52*$AP$52</f>
        <v>0</v>
      </c>
      <c r="AQ120" s="96">
        <f>$I$52*$AQ$52</f>
        <v>0</v>
      </c>
      <c r="AR120" s="96">
        <f>$I$52*$AR$52</f>
        <v>0</v>
      </c>
      <c r="AS120" s="96">
        <f>$I$52*$AS$52</f>
        <v>0</v>
      </c>
      <c r="AT120" s="96">
        <f>$I$52*$AT$52</f>
        <v>0</v>
      </c>
      <c r="AU120" s="96">
        <f>$I$52*$AU$52</f>
        <v>0</v>
      </c>
      <c r="AV120" s="96">
        <f>$I$52*$AV$52</f>
        <v>0</v>
      </c>
      <c r="AW120" s="96">
        <f>$I$52*$AW$52</f>
        <v>0</v>
      </c>
      <c r="AX120" s="96">
        <f>$I$52*$AX$52</f>
        <v>0</v>
      </c>
      <c r="AY120" s="96">
        <f>$I$52*$AY$52</f>
        <v>0</v>
      </c>
      <c r="AZ120" s="96">
        <f>$I$52*$AZ$52</f>
        <v>0</v>
      </c>
      <c r="BA120" s="96">
        <f>$I$52*$BA$52</f>
        <v>0</v>
      </c>
      <c r="BB120" s="96">
        <f>$I$52*$BB$52</f>
        <v>0</v>
      </c>
      <c r="BC120" s="96">
        <f>$I$52*$BC$52</f>
        <v>0</v>
      </c>
      <c r="BD120" s="96">
        <f>$I$52*$BD$52</f>
        <v>0</v>
      </c>
    </row>
    <row r="121" spans="1:56" ht="11.25" customHeight="1" x14ac:dyDescent="0.25">
      <c r="A121" s="9" t="s">
        <v>45</v>
      </c>
      <c r="B121" s="9" t="s">
        <v>1092</v>
      </c>
      <c r="C121" s="9" t="s">
        <v>1093</v>
      </c>
      <c r="D121" s="9" t="s">
        <v>1104</v>
      </c>
      <c r="E121" s="9" t="s">
        <v>1105</v>
      </c>
      <c r="F121" s="9" t="s">
        <v>1106</v>
      </c>
      <c r="G121" s="9" t="s">
        <v>1107</v>
      </c>
      <c r="L121" s="96">
        <f>$I$53*$L$53</f>
        <v>0</v>
      </c>
      <c r="M121" s="96">
        <f>$I$53*$M$53</f>
        <v>0</v>
      </c>
      <c r="N121" s="96">
        <f ca="1">$I$53*$N$53</f>
        <v>0</v>
      </c>
      <c r="O121" s="96">
        <f>$I$53*$O$53</f>
        <v>0</v>
      </c>
      <c r="P121" s="96">
        <f>$I$53*$P$53</f>
        <v>0</v>
      </c>
      <c r="Q121" s="96">
        <f>$I$53*$Q$53</f>
        <v>0</v>
      </c>
      <c r="R121" s="96">
        <f>$I$53*$R$53</f>
        <v>0</v>
      </c>
      <c r="S121" s="96">
        <f>$I$53*$S$53</f>
        <v>0</v>
      </c>
      <c r="T121" s="96">
        <f>$I$53*$T$53</f>
        <v>0</v>
      </c>
      <c r="U121" s="96">
        <f>$I$53*$U$53</f>
        <v>0</v>
      </c>
      <c r="V121" s="96">
        <f>$I$53*$V$53</f>
        <v>0</v>
      </c>
      <c r="W121" s="96">
        <f>$I$53*$W$53</f>
        <v>0</v>
      </c>
      <c r="X121" s="96">
        <f>$I$53*$X$53</f>
        <v>0</v>
      </c>
      <c r="Y121" s="96">
        <f>$I$53*$Y$53</f>
        <v>0</v>
      </c>
      <c r="Z121" s="96">
        <f>$I$53*$Z$53</f>
        <v>0</v>
      </c>
      <c r="AA121" s="96">
        <f>$I$53*$AA$53</f>
        <v>0</v>
      </c>
      <c r="AB121" s="96">
        <f ca="1">$I$53*$AB$53</f>
        <v>0</v>
      </c>
      <c r="AC121" s="96">
        <f ca="1">$I$53*$AC$53</f>
        <v>0</v>
      </c>
      <c r="AD121" s="96">
        <f>$I$53*$AD$53</f>
        <v>0</v>
      </c>
      <c r="AE121" s="96">
        <f>$I$53*$AE$53</f>
        <v>0</v>
      </c>
      <c r="AF121" s="96">
        <f ca="1">$I$53*$AF$53</f>
        <v>0</v>
      </c>
      <c r="AG121" s="96">
        <f ca="1">$I$53*$AG$53</f>
        <v>0</v>
      </c>
      <c r="AH121" s="96"/>
      <c r="AI121" s="96">
        <f>$I$53*$AI$53</f>
        <v>0</v>
      </c>
      <c r="AJ121" s="96">
        <f>$I$53*$AJ$53</f>
        <v>0</v>
      </c>
      <c r="AK121" s="96">
        <f>$I$53*$AK$53</f>
        <v>0</v>
      </c>
      <c r="AL121" s="96">
        <f>$I$53*$AL$53</f>
        <v>0</v>
      </c>
      <c r="AM121" s="96">
        <f>$I$53*$AM$53</f>
        <v>0</v>
      </c>
      <c r="AN121" s="96">
        <f>$I$53*$AN$53</f>
        <v>0</v>
      </c>
      <c r="AO121" s="96">
        <f>$I$53*$AO$53</f>
        <v>0</v>
      </c>
      <c r="AP121" s="96">
        <f>$I$53*$AP$53</f>
        <v>0</v>
      </c>
      <c r="AQ121" s="96">
        <f>$I$53*$AQ$53</f>
        <v>0</v>
      </c>
      <c r="AR121" s="96">
        <f>$I$53*$AR$53</f>
        <v>0</v>
      </c>
      <c r="AS121" s="96">
        <f>$I$53*$AS$53</f>
        <v>0</v>
      </c>
      <c r="AT121" s="96">
        <f>$I$53*$AT$53</f>
        <v>0</v>
      </c>
      <c r="AU121" s="96">
        <f>$I$53*$AU$53</f>
        <v>0</v>
      </c>
      <c r="AV121" s="96">
        <f>$I$53*$AV$53</f>
        <v>0</v>
      </c>
      <c r="AW121" s="96">
        <f>$I$53*$AW$53</f>
        <v>0</v>
      </c>
      <c r="AX121" s="96">
        <f>$I$53*$AX$53</f>
        <v>0</v>
      </c>
      <c r="AY121" s="96">
        <f>$I$53*$AY$53</f>
        <v>0</v>
      </c>
      <c r="AZ121" s="96">
        <f>$I$53*$AZ$53</f>
        <v>0</v>
      </c>
      <c r="BA121" s="96">
        <f>$I$53*$BA$53</f>
        <v>0</v>
      </c>
      <c r="BB121" s="96">
        <f>$I$53*$BB$53</f>
        <v>0</v>
      </c>
      <c r="BC121" s="96">
        <f>$I$53*$BC$53</f>
        <v>0</v>
      </c>
      <c r="BD121" s="96">
        <f>$I$53*$BD$53</f>
        <v>0</v>
      </c>
    </row>
    <row r="122" spans="1:56" ht="11.25" customHeight="1" x14ac:dyDescent="0.25">
      <c r="A122" s="9" t="s">
        <v>45</v>
      </c>
      <c r="B122" s="9" t="s">
        <v>1084</v>
      </c>
      <c r="C122" s="9" t="s">
        <v>1085</v>
      </c>
      <c r="D122" s="9" t="s">
        <v>1108</v>
      </c>
      <c r="E122" s="9" t="s">
        <v>1109</v>
      </c>
      <c r="F122" s="9" t="s">
        <v>1110</v>
      </c>
      <c r="G122" s="9" t="s">
        <v>1111</v>
      </c>
      <c r="L122" s="96">
        <f>$I$54*$L$54</f>
        <v>0</v>
      </c>
      <c r="M122" s="96">
        <f>$I$54*$M$54</f>
        <v>0</v>
      </c>
      <c r="N122" s="96">
        <f ca="1">$I$54*$N$54</f>
        <v>0</v>
      </c>
      <c r="O122" s="96">
        <f>$I$54*$O$54</f>
        <v>0</v>
      </c>
      <c r="P122" s="96">
        <f>$I$54*$P$54</f>
        <v>0</v>
      </c>
      <c r="Q122" s="96">
        <f>$I$54*$Q$54</f>
        <v>0</v>
      </c>
      <c r="R122" s="96">
        <f>$I$54*$R$54</f>
        <v>0</v>
      </c>
      <c r="S122" s="96">
        <f>$I$54*$S$54</f>
        <v>0</v>
      </c>
      <c r="T122" s="96">
        <f>$I$54*$T$54</f>
        <v>0</v>
      </c>
      <c r="U122" s="96">
        <f>$I$54*$U$54</f>
        <v>0</v>
      </c>
      <c r="V122" s="96">
        <f>$I$54*$V$54</f>
        <v>0</v>
      </c>
      <c r="W122" s="96">
        <f>$I$54*$W$54</f>
        <v>0</v>
      </c>
      <c r="X122" s="96">
        <f>$I$54*$X$54</f>
        <v>0</v>
      </c>
      <c r="Y122" s="96">
        <f>$I$54*$Y$54</f>
        <v>0</v>
      </c>
      <c r="Z122" s="96">
        <f>$I$54*$Z$54</f>
        <v>0</v>
      </c>
      <c r="AA122" s="96">
        <f>$I$54*$AA$54</f>
        <v>0</v>
      </c>
      <c r="AB122" s="96">
        <f ca="1">$I$54*$AB$54</f>
        <v>0</v>
      </c>
      <c r="AC122" s="96">
        <f ca="1">$I$54*$AC$54</f>
        <v>0</v>
      </c>
      <c r="AD122" s="96">
        <f>$I$54*$AD$54</f>
        <v>0</v>
      </c>
      <c r="AE122" s="96">
        <f>$I$54*$AE$54</f>
        <v>0</v>
      </c>
      <c r="AF122" s="96">
        <f ca="1">$I$54*$AF$54</f>
        <v>0</v>
      </c>
      <c r="AG122" s="96">
        <f ca="1">$I$54*$AG$54</f>
        <v>0</v>
      </c>
      <c r="AH122" s="96"/>
      <c r="AI122" s="96">
        <f>$I$54*$AI$54</f>
        <v>0</v>
      </c>
      <c r="AJ122" s="96">
        <f>$I$54*$AJ$54</f>
        <v>0</v>
      </c>
      <c r="AK122" s="96">
        <f>$I$54*$AK$54</f>
        <v>0</v>
      </c>
      <c r="AL122" s="96">
        <f>$I$54*$AL$54</f>
        <v>0</v>
      </c>
      <c r="AM122" s="96">
        <f>$I$54*$AM$54</f>
        <v>0</v>
      </c>
      <c r="AN122" s="96">
        <f>$I$54*$AN$54</f>
        <v>0</v>
      </c>
      <c r="AO122" s="96">
        <f>$I$54*$AO$54</f>
        <v>0</v>
      </c>
      <c r="AP122" s="96">
        <f>$I$54*$AP$54</f>
        <v>0</v>
      </c>
      <c r="AQ122" s="96">
        <f>$I$54*$AQ$54</f>
        <v>0</v>
      </c>
      <c r="AR122" s="96">
        <f>$I$54*$AR$54</f>
        <v>0</v>
      </c>
      <c r="AS122" s="96">
        <f>$I$54*$AS$54</f>
        <v>0</v>
      </c>
      <c r="AT122" s="96">
        <f>$I$54*$AT$54</f>
        <v>0</v>
      </c>
      <c r="AU122" s="96">
        <f>$I$54*$AU$54</f>
        <v>0</v>
      </c>
      <c r="AV122" s="96">
        <f>$I$54*$AV$54</f>
        <v>0</v>
      </c>
      <c r="AW122" s="96">
        <f>$I$54*$AW$54</f>
        <v>0</v>
      </c>
      <c r="AX122" s="96">
        <f>$I$54*$AX$54</f>
        <v>0</v>
      </c>
      <c r="AY122" s="96">
        <f>$I$54*$AY$54</f>
        <v>0</v>
      </c>
      <c r="AZ122" s="96">
        <f>$I$54*$AZ$54</f>
        <v>0</v>
      </c>
      <c r="BA122" s="96">
        <f>$I$54*$BA$54</f>
        <v>0</v>
      </c>
      <c r="BB122" s="96">
        <f>$I$54*$BB$54</f>
        <v>0</v>
      </c>
      <c r="BC122" s="96">
        <f>$I$54*$BC$54</f>
        <v>0</v>
      </c>
      <c r="BD122" s="96">
        <f>$I$54*$BD$54</f>
        <v>0</v>
      </c>
    </row>
    <row r="123" spans="1:56" ht="11.25" customHeight="1" x14ac:dyDescent="0.25">
      <c r="A123" s="9" t="s">
        <v>45</v>
      </c>
      <c r="B123" s="9" t="s">
        <v>1084</v>
      </c>
      <c r="C123" s="9" t="s">
        <v>1085</v>
      </c>
      <c r="D123" s="9" t="s">
        <v>1108</v>
      </c>
      <c r="E123" s="9" t="s">
        <v>1109</v>
      </c>
      <c r="F123" s="9" t="s">
        <v>1110</v>
      </c>
      <c r="G123" s="9" t="s">
        <v>1112</v>
      </c>
      <c r="L123" s="96">
        <f>$I$55*$L$55</f>
        <v>0</v>
      </c>
      <c r="M123" s="96">
        <f>$I$55*$M$55</f>
        <v>0</v>
      </c>
      <c r="N123" s="96">
        <f ca="1">$I$55*$N$55</f>
        <v>0</v>
      </c>
      <c r="O123" s="96">
        <f>$I$55*$O$55</f>
        <v>0</v>
      </c>
      <c r="P123" s="96">
        <f>$I$55*$P$55</f>
        <v>0</v>
      </c>
      <c r="Q123" s="96">
        <f>$I$55*$Q$55</f>
        <v>0</v>
      </c>
      <c r="R123" s="96">
        <f>$I$55*$R$55</f>
        <v>0</v>
      </c>
      <c r="S123" s="96">
        <f>$I$55*$S$55</f>
        <v>0</v>
      </c>
      <c r="T123" s="96">
        <f>$I$55*$T$55</f>
        <v>0</v>
      </c>
      <c r="U123" s="96">
        <f>$I$55*$U$55</f>
        <v>0</v>
      </c>
      <c r="V123" s="96">
        <f>$I$55*$V$55</f>
        <v>0</v>
      </c>
      <c r="W123" s="96">
        <f>$I$55*$W$55</f>
        <v>0</v>
      </c>
      <c r="X123" s="96">
        <f>$I$55*$X$55</f>
        <v>0</v>
      </c>
      <c r="Y123" s="96">
        <f>$I$55*$Y$55</f>
        <v>0</v>
      </c>
      <c r="Z123" s="96">
        <f>$I$55*$Z$55</f>
        <v>0</v>
      </c>
      <c r="AA123" s="96">
        <f>$I$55*$AA$55</f>
        <v>0</v>
      </c>
      <c r="AB123" s="96">
        <f ca="1">$I$55*$AB$55</f>
        <v>0</v>
      </c>
      <c r="AC123" s="96">
        <f ca="1">$I$55*$AC$55</f>
        <v>0</v>
      </c>
      <c r="AD123" s="96">
        <f>$I$55*$AD$55</f>
        <v>0</v>
      </c>
      <c r="AE123" s="96">
        <f>$I$55*$AE$55</f>
        <v>0</v>
      </c>
      <c r="AF123" s="96">
        <f ca="1">$I$55*$AF$55</f>
        <v>0</v>
      </c>
      <c r="AG123" s="96">
        <f ca="1">$I$55*$AG$55</f>
        <v>0</v>
      </c>
      <c r="AH123" s="96"/>
      <c r="AI123" s="96">
        <f>$I$55*$AI$55</f>
        <v>0</v>
      </c>
      <c r="AJ123" s="96">
        <f>$I$55*$AJ$55</f>
        <v>0</v>
      </c>
      <c r="AK123" s="96">
        <f>$I$55*$AK$55</f>
        <v>0</v>
      </c>
      <c r="AL123" s="96">
        <f>$I$55*$AL$55</f>
        <v>0</v>
      </c>
      <c r="AM123" s="96">
        <f>$I$55*$AM$55</f>
        <v>0</v>
      </c>
      <c r="AN123" s="96">
        <f>$I$55*$AN$55</f>
        <v>0</v>
      </c>
      <c r="AO123" s="96">
        <f>$I$55*$AO$55</f>
        <v>0</v>
      </c>
      <c r="AP123" s="96">
        <f>$I$55*$AP$55</f>
        <v>0</v>
      </c>
      <c r="AQ123" s="96">
        <f>$I$55*$AQ$55</f>
        <v>0</v>
      </c>
      <c r="AR123" s="96">
        <f>$I$55*$AR$55</f>
        <v>0</v>
      </c>
      <c r="AS123" s="96">
        <f>$I$55*$AS$55</f>
        <v>0</v>
      </c>
      <c r="AT123" s="96">
        <f>$I$55*$AT$55</f>
        <v>0</v>
      </c>
      <c r="AU123" s="96">
        <f>$I$55*$AU$55</f>
        <v>0</v>
      </c>
      <c r="AV123" s="96">
        <f>$I$55*$AV$55</f>
        <v>0</v>
      </c>
      <c r="AW123" s="96">
        <f>$I$55*$AW$55</f>
        <v>0</v>
      </c>
      <c r="AX123" s="96">
        <f>$I$55*$AX$55</f>
        <v>0</v>
      </c>
      <c r="AY123" s="96">
        <f>$I$55*$AY$55</f>
        <v>0</v>
      </c>
      <c r="AZ123" s="96">
        <f>$I$55*$AZ$55</f>
        <v>0</v>
      </c>
      <c r="BA123" s="96">
        <f>$I$55*$BA$55</f>
        <v>0</v>
      </c>
      <c r="BB123" s="96">
        <f>$I$55*$BB$55</f>
        <v>0</v>
      </c>
      <c r="BC123" s="96">
        <f>$I$55*$BC$55</f>
        <v>0</v>
      </c>
      <c r="BD123" s="96">
        <f>$I$55*$BD$55</f>
        <v>0</v>
      </c>
    </row>
    <row r="124" spans="1:56" ht="11.25" customHeight="1" x14ac:dyDescent="0.25">
      <c r="A124" s="9" t="s">
        <v>45</v>
      </c>
      <c r="B124" s="9" t="s">
        <v>1084</v>
      </c>
      <c r="C124" s="9" t="s">
        <v>1085</v>
      </c>
      <c r="D124" s="9" t="s">
        <v>1108</v>
      </c>
      <c r="E124" s="9" t="s">
        <v>1109</v>
      </c>
      <c r="F124" s="9" t="s">
        <v>1110</v>
      </c>
      <c r="G124" s="9" t="s">
        <v>1113</v>
      </c>
      <c r="L124" s="96">
        <f>$I$56*$L$56</f>
        <v>0</v>
      </c>
      <c r="M124" s="96">
        <f>$I$56*$M$56</f>
        <v>0</v>
      </c>
      <c r="N124" s="96">
        <f ca="1">$I$56*$N$56</f>
        <v>0</v>
      </c>
      <c r="O124" s="96">
        <f>$I$56*$O$56</f>
        <v>0</v>
      </c>
      <c r="P124" s="96">
        <f>$I$56*$P$56</f>
        <v>0</v>
      </c>
      <c r="Q124" s="96">
        <f>$I$56*$Q$56</f>
        <v>0</v>
      </c>
      <c r="R124" s="96">
        <f>$I$56*$R$56</f>
        <v>0</v>
      </c>
      <c r="S124" s="96">
        <f>$I$56*$S$56</f>
        <v>0</v>
      </c>
      <c r="T124" s="96">
        <f>$I$56*$T$56</f>
        <v>0</v>
      </c>
      <c r="U124" s="96">
        <f>$I$56*$U$56</f>
        <v>0</v>
      </c>
      <c r="V124" s="96">
        <f>$I$56*$V$56</f>
        <v>0</v>
      </c>
      <c r="W124" s="96">
        <f>$I$56*$W$56</f>
        <v>0</v>
      </c>
      <c r="X124" s="96">
        <f>$I$56*$X$56</f>
        <v>0</v>
      </c>
      <c r="Y124" s="96">
        <f>$I$56*$Y$56</f>
        <v>0</v>
      </c>
      <c r="Z124" s="96">
        <f>$I$56*$Z$56</f>
        <v>0</v>
      </c>
      <c r="AA124" s="96">
        <f>$I$56*$AA$56</f>
        <v>0</v>
      </c>
      <c r="AB124" s="96">
        <f ca="1">$I$56*$AB$56</f>
        <v>0</v>
      </c>
      <c r="AC124" s="96">
        <f ca="1">$I$56*$AC$56</f>
        <v>0</v>
      </c>
      <c r="AD124" s="96">
        <f>$I$56*$AD$56</f>
        <v>0</v>
      </c>
      <c r="AE124" s="96">
        <f>$I$56*$AE$56</f>
        <v>0</v>
      </c>
      <c r="AF124" s="96">
        <f ca="1">$I$56*$AF$56</f>
        <v>0</v>
      </c>
      <c r="AG124" s="96">
        <f ca="1">$I$56*$AG$56</f>
        <v>0</v>
      </c>
      <c r="AH124" s="96"/>
      <c r="AI124" s="96">
        <f>$I$56*$AI$56</f>
        <v>0</v>
      </c>
      <c r="AJ124" s="96">
        <f>$I$56*$AJ$56</f>
        <v>0</v>
      </c>
      <c r="AK124" s="96">
        <f>$I$56*$AK$56</f>
        <v>0</v>
      </c>
      <c r="AL124" s="96">
        <f>$I$56*$AL$56</f>
        <v>0</v>
      </c>
      <c r="AM124" s="96">
        <f>$I$56*$AM$56</f>
        <v>0</v>
      </c>
      <c r="AN124" s="96">
        <f>$I$56*$AN$56</f>
        <v>0</v>
      </c>
      <c r="AO124" s="96">
        <f>$I$56*$AO$56</f>
        <v>0</v>
      </c>
      <c r="AP124" s="96">
        <f>$I$56*$AP$56</f>
        <v>0</v>
      </c>
      <c r="AQ124" s="96">
        <f>$I$56*$AQ$56</f>
        <v>0</v>
      </c>
      <c r="AR124" s="96">
        <f>$I$56*$AR$56</f>
        <v>0</v>
      </c>
      <c r="AS124" s="96">
        <f>$I$56*$AS$56</f>
        <v>0</v>
      </c>
      <c r="AT124" s="96">
        <f>$I$56*$AT$56</f>
        <v>0</v>
      </c>
      <c r="AU124" s="96">
        <f>$I$56*$AU$56</f>
        <v>0</v>
      </c>
      <c r="AV124" s="96">
        <f>$I$56*$AV$56</f>
        <v>0</v>
      </c>
      <c r="AW124" s="96">
        <f>$I$56*$AW$56</f>
        <v>0</v>
      </c>
      <c r="AX124" s="96">
        <f>$I$56*$AX$56</f>
        <v>0</v>
      </c>
      <c r="AY124" s="96">
        <f>$I$56*$AY$56</f>
        <v>0</v>
      </c>
      <c r="AZ124" s="96">
        <f>$I$56*$AZ$56</f>
        <v>0</v>
      </c>
      <c r="BA124" s="96">
        <f>$I$56*$BA$56</f>
        <v>0</v>
      </c>
      <c r="BB124" s="96">
        <f>$I$56*$BB$56</f>
        <v>0</v>
      </c>
      <c r="BC124" s="96">
        <f>$I$56*$BC$56</f>
        <v>0</v>
      </c>
      <c r="BD124" s="96">
        <f>$I$56*$BD$56</f>
        <v>0</v>
      </c>
    </row>
    <row r="125" spans="1:56" ht="11.25" customHeight="1" x14ac:dyDescent="0.25">
      <c r="A125" s="9" t="s">
        <v>45</v>
      </c>
      <c r="B125" s="9" t="s">
        <v>1092</v>
      </c>
      <c r="C125" s="9" t="s">
        <v>1093</v>
      </c>
      <c r="D125" s="9" t="s">
        <v>1114</v>
      </c>
      <c r="E125" s="9" t="s">
        <v>1115</v>
      </c>
      <c r="F125" s="9" t="s">
        <v>1116</v>
      </c>
      <c r="G125" s="9" t="s">
        <v>1117</v>
      </c>
      <c r="L125" s="96">
        <f>$I$57*$L$57</f>
        <v>0</v>
      </c>
      <c r="M125" s="96">
        <f>$I$57*$M$57</f>
        <v>0</v>
      </c>
      <c r="N125" s="96">
        <f ca="1">$I$57*$N$57</f>
        <v>0</v>
      </c>
      <c r="O125" s="96">
        <f>$I$57*$O$57</f>
        <v>0</v>
      </c>
      <c r="P125" s="96">
        <f>$I$57*$P$57</f>
        <v>0</v>
      </c>
      <c r="Q125" s="96">
        <f>$I$57*$Q$57</f>
        <v>0</v>
      </c>
      <c r="R125" s="96">
        <f>$I$57*$R$57</f>
        <v>0</v>
      </c>
      <c r="S125" s="96">
        <f>$I$57*$S$57</f>
        <v>0</v>
      </c>
      <c r="T125" s="96">
        <f>$I$57*$T$57</f>
        <v>0</v>
      </c>
      <c r="U125" s="96">
        <f>$I$57*$U$57</f>
        <v>0</v>
      </c>
      <c r="V125" s="96">
        <f>$I$57*$V$57</f>
        <v>0</v>
      </c>
      <c r="W125" s="96">
        <f>$I$57*$W$57</f>
        <v>0</v>
      </c>
      <c r="X125" s="96">
        <f>$I$57*$X$57</f>
        <v>0</v>
      </c>
      <c r="Y125" s="96">
        <f>$I$57*$Y$57</f>
        <v>0</v>
      </c>
      <c r="Z125" s="96">
        <f>$I$57*$Z$57</f>
        <v>0</v>
      </c>
      <c r="AA125" s="96">
        <f>$I$57*$AA$57</f>
        <v>0</v>
      </c>
      <c r="AB125" s="96">
        <f ca="1">$I$57*$AB$57</f>
        <v>0</v>
      </c>
      <c r="AC125" s="96">
        <f ca="1">$I$57*$AC$57</f>
        <v>0</v>
      </c>
      <c r="AD125" s="96">
        <f>$I$57*$AD$57</f>
        <v>0</v>
      </c>
      <c r="AE125" s="96">
        <f>$I$57*$AE$57</f>
        <v>0</v>
      </c>
      <c r="AF125" s="96">
        <f ca="1">$I$57*$AF$57</f>
        <v>0</v>
      </c>
      <c r="AG125" s="96">
        <f ca="1">$I$57*$AG$57</f>
        <v>0</v>
      </c>
      <c r="AH125" s="96"/>
      <c r="AI125" s="96">
        <f>$I$57*$AI$57</f>
        <v>0</v>
      </c>
      <c r="AJ125" s="96">
        <f>$I$57*$AJ$57</f>
        <v>0</v>
      </c>
      <c r="AK125" s="96">
        <f>$I$57*$AK$57</f>
        <v>0</v>
      </c>
      <c r="AL125" s="96">
        <f>$I$57*$AL$57</f>
        <v>0</v>
      </c>
      <c r="AM125" s="96">
        <f>$I$57*$AM$57</f>
        <v>0</v>
      </c>
      <c r="AN125" s="96">
        <f>$I$57*$AN$57</f>
        <v>0</v>
      </c>
      <c r="AO125" s="96">
        <f>$I$57*$AO$57</f>
        <v>0</v>
      </c>
      <c r="AP125" s="96">
        <f>$I$57*$AP$57</f>
        <v>0</v>
      </c>
      <c r="AQ125" s="96">
        <f>$I$57*$AQ$57</f>
        <v>0</v>
      </c>
      <c r="AR125" s="96">
        <f>$I$57*$AR$57</f>
        <v>0</v>
      </c>
      <c r="AS125" s="96">
        <f>$I$57*$AS$57</f>
        <v>0</v>
      </c>
      <c r="AT125" s="96">
        <f>$I$57*$AT$57</f>
        <v>0</v>
      </c>
      <c r="AU125" s="96">
        <f>$I$57*$AU$57</f>
        <v>0</v>
      </c>
      <c r="AV125" s="96">
        <f>$I$57*$AV$57</f>
        <v>0</v>
      </c>
      <c r="AW125" s="96">
        <f>$I$57*$AW$57</f>
        <v>0</v>
      </c>
      <c r="AX125" s="96">
        <f>$I$57*$AX$57</f>
        <v>0</v>
      </c>
      <c r="AY125" s="96">
        <f>$I$57*$AY$57</f>
        <v>0</v>
      </c>
      <c r="AZ125" s="96">
        <f>$I$57*$AZ$57</f>
        <v>0</v>
      </c>
      <c r="BA125" s="96">
        <f>$I$57*$BA$57</f>
        <v>0</v>
      </c>
      <c r="BB125" s="96">
        <f>$I$57*$BB$57</f>
        <v>0</v>
      </c>
      <c r="BC125" s="96">
        <f>$I$57*$BC$57</f>
        <v>0</v>
      </c>
      <c r="BD125" s="96">
        <f>$I$57*$BD$57</f>
        <v>0</v>
      </c>
    </row>
    <row r="126" spans="1:56" ht="11.25" customHeight="1" x14ac:dyDescent="0.25">
      <c r="A126" s="9" t="s">
        <v>45</v>
      </c>
      <c r="B126" s="9" t="s">
        <v>1118</v>
      </c>
      <c r="C126" s="9" t="s">
        <v>1119</v>
      </c>
      <c r="D126" s="9" t="s">
        <v>1120</v>
      </c>
      <c r="E126" s="9" t="s">
        <v>1121</v>
      </c>
      <c r="F126" s="9" t="s">
        <v>1122</v>
      </c>
      <c r="G126" s="9" t="s">
        <v>1123</v>
      </c>
      <c r="L126" s="96">
        <f>$I$58*$L$58</f>
        <v>0</v>
      </c>
      <c r="M126" s="96">
        <f>$I$58*$M$58</f>
        <v>0</v>
      </c>
      <c r="N126" s="96">
        <f ca="1">$I$58*$N$58</f>
        <v>0</v>
      </c>
      <c r="O126" s="96">
        <f>$I$58*$O$58</f>
        <v>0</v>
      </c>
      <c r="P126" s="96">
        <f>$I$58*$P$58</f>
        <v>0</v>
      </c>
      <c r="Q126" s="96">
        <f>$I$58*$Q$58</f>
        <v>0</v>
      </c>
      <c r="R126" s="96">
        <f>$I$58*$R$58</f>
        <v>0</v>
      </c>
      <c r="S126" s="96">
        <f>$I$58*$S$58</f>
        <v>0</v>
      </c>
      <c r="T126" s="96">
        <f>$I$58*$T$58</f>
        <v>0</v>
      </c>
      <c r="U126" s="96">
        <f>$I$58*$U$58</f>
        <v>0</v>
      </c>
      <c r="V126" s="96">
        <f>$I$58*$V$58</f>
        <v>0</v>
      </c>
      <c r="W126" s="96">
        <f>$I$58*$W$58</f>
        <v>0</v>
      </c>
      <c r="X126" s="96">
        <f>$I$58*$X$58</f>
        <v>0</v>
      </c>
      <c r="Y126" s="96">
        <f>$I$58*$Y$58</f>
        <v>0</v>
      </c>
      <c r="Z126" s="96">
        <f>$I$58*$Z$58</f>
        <v>0</v>
      </c>
      <c r="AA126" s="96">
        <f>$I$58*$AA$58</f>
        <v>0</v>
      </c>
      <c r="AB126" s="96">
        <f ca="1">$I$58*$AB$58</f>
        <v>0</v>
      </c>
      <c r="AC126" s="96">
        <f ca="1">$I$58*$AC$58</f>
        <v>0</v>
      </c>
      <c r="AD126" s="96">
        <f>$I$58*$AD$58</f>
        <v>0</v>
      </c>
      <c r="AE126" s="96">
        <f>$I$58*$AE$58</f>
        <v>0</v>
      </c>
      <c r="AF126" s="96">
        <f ca="1">$I$58*$AF$58</f>
        <v>0</v>
      </c>
      <c r="AG126" s="96">
        <f ca="1">$I$58*$AG$58</f>
        <v>0</v>
      </c>
      <c r="AH126" s="96"/>
      <c r="AI126" s="96">
        <f>$I$58*$AI$58</f>
        <v>0</v>
      </c>
      <c r="AJ126" s="96">
        <f>$I$58*$AJ$58</f>
        <v>0</v>
      </c>
      <c r="AK126" s="96">
        <f>$I$58*$AK$58</f>
        <v>0</v>
      </c>
      <c r="AL126" s="96">
        <f>$I$58*$AL$58</f>
        <v>0</v>
      </c>
      <c r="AM126" s="96">
        <f>$I$58*$AM$58</f>
        <v>0</v>
      </c>
      <c r="AN126" s="96">
        <f>$I$58*$AN$58</f>
        <v>0</v>
      </c>
      <c r="AO126" s="96">
        <f>$I$58*$AO$58</f>
        <v>0</v>
      </c>
      <c r="AP126" s="96">
        <f>$I$58*$AP$58</f>
        <v>0</v>
      </c>
      <c r="AQ126" s="96">
        <f>$I$58*$AQ$58</f>
        <v>0</v>
      </c>
      <c r="AR126" s="96">
        <f>$I$58*$AR$58</f>
        <v>0</v>
      </c>
      <c r="AS126" s="96">
        <f>$I$58*$AS$58</f>
        <v>0</v>
      </c>
      <c r="AT126" s="96">
        <f>$I$58*$AT$58</f>
        <v>0</v>
      </c>
      <c r="AU126" s="96">
        <f>$I$58*$AU$58</f>
        <v>0</v>
      </c>
      <c r="AV126" s="96">
        <f>$I$58*$AV$58</f>
        <v>0</v>
      </c>
      <c r="AW126" s="96">
        <f>$I$58*$AW$58</f>
        <v>0</v>
      </c>
      <c r="AX126" s="96">
        <f>$I$58*$AX$58</f>
        <v>0</v>
      </c>
      <c r="AY126" s="96">
        <f>$I$58*$AY$58</f>
        <v>0</v>
      </c>
      <c r="AZ126" s="96">
        <f>$I$58*$AZ$58</f>
        <v>0</v>
      </c>
      <c r="BA126" s="96">
        <f>$I$58*$BA$58</f>
        <v>0</v>
      </c>
      <c r="BB126" s="96">
        <f>$I$58*$BB$58</f>
        <v>0</v>
      </c>
      <c r="BC126" s="96">
        <f>$I$58*$BC$58</f>
        <v>0</v>
      </c>
      <c r="BD126" s="96">
        <f>$I$58*$BD$58</f>
        <v>0</v>
      </c>
    </row>
    <row r="127" spans="1:56" ht="11.25" customHeight="1" x14ac:dyDescent="0.25">
      <c r="A127" s="9" t="s">
        <v>45</v>
      </c>
      <c r="B127" s="9" t="s">
        <v>1118</v>
      </c>
      <c r="C127" s="9" t="s">
        <v>1119</v>
      </c>
      <c r="D127" s="9" t="s">
        <v>1124</v>
      </c>
      <c r="E127" s="9" t="s">
        <v>1125</v>
      </c>
      <c r="F127" s="9" t="s">
        <v>1126</v>
      </c>
      <c r="G127" s="9" t="s">
        <v>1127</v>
      </c>
      <c r="L127" s="96">
        <f>$I$59*$L$59</f>
        <v>0</v>
      </c>
      <c r="M127" s="96">
        <f>$I$59*$M$59</f>
        <v>0</v>
      </c>
      <c r="N127" s="96">
        <f ca="1">$I$59*$N$59</f>
        <v>0</v>
      </c>
      <c r="O127" s="96">
        <f>$I$59*$O$59</f>
        <v>0</v>
      </c>
      <c r="P127" s="96">
        <f>$I$59*$P$59</f>
        <v>0</v>
      </c>
      <c r="Q127" s="96">
        <f>$I$59*$Q$59</f>
        <v>0</v>
      </c>
      <c r="R127" s="96">
        <f>$I$59*$R$59</f>
        <v>0</v>
      </c>
      <c r="S127" s="96">
        <f>$I$59*$S$59</f>
        <v>0</v>
      </c>
      <c r="T127" s="96">
        <f>$I$59*$T$59</f>
        <v>0</v>
      </c>
      <c r="U127" s="96">
        <f>$I$59*$U$59</f>
        <v>0</v>
      </c>
      <c r="V127" s="96">
        <f>$I$59*$V$59</f>
        <v>0</v>
      </c>
      <c r="W127" s="96">
        <f>$I$59*$W$59</f>
        <v>0</v>
      </c>
      <c r="X127" s="96">
        <f>$I$59*$X$59</f>
        <v>0</v>
      </c>
      <c r="Y127" s="96">
        <f>$I$59*$Y$59</f>
        <v>0</v>
      </c>
      <c r="Z127" s="96">
        <f>$I$59*$Z$59</f>
        <v>0</v>
      </c>
      <c r="AA127" s="96">
        <f>$I$59*$AA$59</f>
        <v>0</v>
      </c>
      <c r="AB127" s="96">
        <f ca="1">$I$59*$AB$59</f>
        <v>0</v>
      </c>
      <c r="AC127" s="96">
        <f ca="1">$I$59*$AC$59</f>
        <v>0</v>
      </c>
      <c r="AD127" s="96">
        <f>$I$59*$AD$59</f>
        <v>0</v>
      </c>
      <c r="AE127" s="96">
        <f>$I$59*$AE$59</f>
        <v>0</v>
      </c>
      <c r="AF127" s="96">
        <f ca="1">$I$59*$AF$59</f>
        <v>0</v>
      </c>
      <c r="AG127" s="96">
        <f ca="1">$I$59*$AG$59</f>
        <v>0</v>
      </c>
      <c r="AH127" s="96"/>
      <c r="AI127" s="96">
        <f>$I$59*$AI$59</f>
        <v>0</v>
      </c>
      <c r="AJ127" s="96">
        <f>$I$59*$AJ$59</f>
        <v>0</v>
      </c>
      <c r="AK127" s="96">
        <f>$I$59*$AK$59</f>
        <v>0</v>
      </c>
      <c r="AL127" s="96">
        <f>$I$59*$AL$59</f>
        <v>0</v>
      </c>
      <c r="AM127" s="96">
        <f>$I$59*$AM$59</f>
        <v>0</v>
      </c>
      <c r="AN127" s="96">
        <f>$I$59*$AN$59</f>
        <v>0</v>
      </c>
      <c r="AO127" s="96">
        <f>$I$59*$AO$59</f>
        <v>0</v>
      </c>
      <c r="AP127" s="96">
        <f>$I$59*$AP$59</f>
        <v>0</v>
      </c>
      <c r="AQ127" s="96">
        <f>$I$59*$AQ$59</f>
        <v>0</v>
      </c>
      <c r="AR127" s="96">
        <f>$I$59*$AR$59</f>
        <v>0</v>
      </c>
      <c r="AS127" s="96">
        <f>$I$59*$AS$59</f>
        <v>0</v>
      </c>
      <c r="AT127" s="96">
        <f>$I$59*$AT$59</f>
        <v>0</v>
      </c>
      <c r="AU127" s="96">
        <f>$I$59*$AU$59</f>
        <v>0</v>
      </c>
      <c r="AV127" s="96">
        <f>$I$59*$AV$59</f>
        <v>0</v>
      </c>
      <c r="AW127" s="96">
        <f>$I$59*$AW$59</f>
        <v>0</v>
      </c>
      <c r="AX127" s="96">
        <f>$I$59*$AX$59</f>
        <v>0</v>
      </c>
      <c r="AY127" s="96">
        <f>$I$59*$AY$59</f>
        <v>0</v>
      </c>
      <c r="AZ127" s="96">
        <f>$I$59*$AZ$59</f>
        <v>0</v>
      </c>
      <c r="BA127" s="96">
        <f>$I$59*$BA$59</f>
        <v>0</v>
      </c>
      <c r="BB127" s="96">
        <f>$I$59*$BB$59</f>
        <v>0</v>
      </c>
      <c r="BC127" s="96">
        <f>$I$59*$BC$59</f>
        <v>0</v>
      </c>
      <c r="BD127" s="96">
        <f>$I$59*$BD$59</f>
        <v>0</v>
      </c>
    </row>
    <row r="128" spans="1:56" ht="11.25" customHeight="1" x14ac:dyDescent="0.25">
      <c r="A128" s="9" t="s">
        <v>45</v>
      </c>
      <c r="B128" s="9" t="s">
        <v>1118</v>
      </c>
      <c r="C128" s="9" t="s">
        <v>1119</v>
      </c>
      <c r="D128" s="9" t="s">
        <v>1128</v>
      </c>
      <c r="E128" s="9" t="s">
        <v>1129</v>
      </c>
      <c r="F128" s="9" t="s">
        <v>1130</v>
      </c>
      <c r="G128" s="9" t="s">
        <v>1131</v>
      </c>
      <c r="L128" s="96">
        <f>$I$60*$L$60</f>
        <v>0</v>
      </c>
      <c r="M128" s="96">
        <f>$I$60*$M$60</f>
        <v>0</v>
      </c>
      <c r="N128" s="96">
        <f ca="1">$I$60*$N$60</f>
        <v>0</v>
      </c>
      <c r="O128" s="96">
        <f>$I$60*$O$60</f>
        <v>0</v>
      </c>
      <c r="P128" s="96">
        <f>$I$60*$P$60</f>
        <v>0</v>
      </c>
      <c r="Q128" s="96">
        <f>$I$60*$Q$60</f>
        <v>0</v>
      </c>
      <c r="R128" s="96">
        <f>$I$60*$R$60</f>
        <v>0</v>
      </c>
      <c r="S128" s="96">
        <f>$I$60*$S$60</f>
        <v>0</v>
      </c>
      <c r="T128" s="96">
        <f>$I$60*$T$60</f>
        <v>0</v>
      </c>
      <c r="U128" s="96">
        <f>$I$60*$U$60</f>
        <v>0</v>
      </c>
      <c r="V128" s="96">
        <f>$I$60*$V$60</f>
        <v>0</v>
      </c>
      <c r="W128" s="96">
        <f>$I$60*$W$60</f>
        <v>0</v>
      </c>
      <c r="X128" s="96">
        <f>$I$60*$X$60</f>
        <v>0</v>
      </c>
      <c r="Y128" s="96">
        <f>$I$60*$Y$60</f>
        <v>0</v>
      </c>
      <c r="Z128" s="96">
        <f>$I$60*$Z$60</f>
        <v>0</v>
      </c>
      <c r="AA128" s="96">
        <f>$I$60*$AA$60</f>
        <v>0</v>
      </c>
      <c r="AB128" s="96">
        <f ca="1">$I$60*$AB$60</f>
        <v>0</v>
      </c>
      <c r="AC128" s="96">
        <f ca="1">$I$60*$AC$60</f>
        <v>0</v>
      </c>
      <c r="AD128" s="96">
        <f>$I$60*$AD$60</f>
        <v>0</v>
      </c>
      <c r="AE128" s="96">
        <f>$I$60*$AE$60</f>
        <v>0</v>
      </c>
      <c r="AF128" s="96">
        <f ca="1">$I$60*$AF$60</f>
        <v>0</v>
      </c>
      <c r="AG128" s="96">
        <f ca="1">$I$60*$AG$60</f>
        <v>0</v>
      </c>
      <c r="AH128" s="96"/>
      <c r="AI128" s="96">
        <f>$I$60*$AI$60</f>
        <v>0</v>
      </c>
      <c r="AJ128" s="96">
        <f>$I$60*$AJ$60</f>
        <v>0</v>
      </c>
      <c r="AK128" s="96">
        <f>$I$60*$AK$60</f>
        <v>0</v>
      </c>
      <c r="AL128" s="96">
        <f>$I$60*$AL$60</f>
        <v>0</v>
      </c>
      <c r="AM128" s="96">
        <f>$I$60*$AM$60</f>
        <v>0</v>
      </c>
      <c r="AN128" s="96">
        <f>$I$60*$AN$60</f>
        <v>0</v>
      </c>
      <c r="AO128" s="96">
        <f>$I$60*$AO$60</f>
        <v>0</v>
      </c>
      <c r="AP128" s="96">
        <f>$I$60*$AP$60</f>
        <v>0</v>
      </c>
      <c r="AQ128" s="96">
        <f>$I$60*$AQ$60</f>
        <v>0</v>
      </c>
      <c r="AR128" s="96">
        <f>$I$60*$AR$60</f>
        <v>0</v>
      </c>
      <c r="AS128" s="96">
        <f>$I$60*$AS$60</f>
        <v>0</v>
      </c>
      <c r="AT128" s="96">
        <f>$I$60*$AT$60</f>
        <v>0</v>
      </c>
      <c r="AU128" s="96">
        <f>$I$60*$AU$60</f>
        <v>0</v>
      </c>
      <c r="AV128" s="96">
        <f>$I$60*$AV$60</f>
        <v>0</v>
      </c>
      <c r="AW128" s="96">
        <f>$I$60*$AW$60</f>
        <v>0</v>
      </c>
      <c r="AX128" s="96">
        <f>$I$60*$AX$60</f>
        <v>0</v>
      </c>
      <c r="AY128" s="96">
        <f>$I$60*$AY$60</f>
        <v>0</v>
      </c>
      <c r="AZ128" s="96">
        <f>$I$60*$AZ$60</f>
        <v>0</v>
      </c>
      <c r="BA128" s="96">
        <f>$I$60*$BA$60</f>
        <v>0</v>
      </c>
      <c r="BB128" s="96">
        <f>$I$60*$BB$60</f>
        <v>0</v>
      </c>
      <c r="BC128" s="96">
        <f>$I$60*$BC$60</f>
        <v>0</v>
      </c>
      <c r="BD128" s="96">
        <f>$I$60*$BD$60</f>
        <v>0</v>
      </c>
    </row>
    <row r="129" spans="1:56" ht="11.25" customHeight="1" x14ac:dyDescent="0.25">
      <c r="A129" s="9" t="s">
        <v>37</v>
      </c>
      <c r="B129" s="9" t="s">
        <v>1132</v>
      </c>
      <c r="C129" s="9" t="s">
        <v>1133</v>
      </c>
      <c r="D129" s="9" t="s">
        <v>1134</v>
      </c>
      <c r="E129" s="9" t="s">
        <v>1135</v>
      </c>
      <c r="F129" s="9" t="s">
        <v>1136</v>
      </c>
      <c r="G129" s="9" t="s">
        <v>1137</v>
      </c>
      <c r="L129" s="96">
        <f>$I$61*$L$61</f>
        <v>633.45921149227843</v>
      </c>
      <c r="M129" s="96">
        <f>$I$61*$M$61</f>
        <v>25.157589805929216</v>
      </c>
      <c r="N129" s="96">
        <f ca="1">$I$61*$N$61</f>
        <v>272.81799395534546</v>
      </c>
      <c r="O129" s="96">
        <f>$I$61*$O$61</f>
        <v>0</v>
      </c>
      <c r="P129" s="96">
        <f>$I$61*$P$61</f>
        <v>0</v>
      </c>
      <c r="Q129" s="96">
        <f>$I$61*$Q$61</f>
        <v>1462.2016379534798</v>
      </c>
      <c r="R129" s="96">
        <f>$I$61*$R$61</f>
        <v>544.35457179265472</v>
      </c>
      <c r="S129" s="96">
        <f>$I$61*$S$61</f>
        <v>0</v>
      </c>
      <c r="T129" s="96">
        <f>$I$61*$T$61</f>
        <v>2573.6730829852058</v>
      </c>
      <c r="U129" s="96">
        <f>$I$61*$U$61</f>
        <v>396.11668358467523</v>
      </c>
      <c r="V129" s="96">
        <f>$I$61*$V$61</f>
        <v>13.824671842852979</v>
      </c>
      <c r="W129" s="96">
        <f>$I$61*$W$61</f>
        <v>0</v>
      </c>
      <c r="X129" s="96">
        <f>$I$61*$X$61</f>
        <v>0</v>
      </c>
      <c r="Y129" s="96">
        <f>$I$61*$Y$61</f>
        <v>0</v>
      </c>
      <c r="Z129" s="96">
        <f>$I$61*$Z$61</f>
        <v>0</v>
      </c>
      <c r="AA129" s="96">
        <f>$I$61*$AA$61</f>
        <v>22939.312272783551</v>
      </c>
      <c r="AB129" s="96">
        <f ca="1">$I$61*$AB$61</f>
        <v>-2091.2302031673998</v>
      </c>
      <c r="AC129" s="96">
        <f ca="1">$I$61*$AC$61</f>
        <v>0</v>
      </c>
      <c r="AD129" s="96">
        <f>$I$61*$AD$61</f>
        <v>738.18539904030581</v>
      </c>
      <c r="AE129" s="96">
        <f>$I$61*$AE$61</f>
        <v>59.685637056508632</v>
      </c>
      <c r="AF129" s="96">
        <f ca="1">$I$61*$AF$61</f>
        <v>1479.4349219753096</v>
      </c>
      <c r="AG129" s="96">
        <f ca="1">$I$61*$AG$61</f>
        <v>339.13036331552399</v>
      </c>
      <c r="AH129" s="96"/>
      <c r="AI129" s="96">
        <f>$I$61*$AI$61</f>
        <v>633.45921149227763</v>
      </c>
      <c r="AJ129" s="96">
        <f>$I$61*$AJ$61</f>
        <v>25.179006495125218</v>
      </c>
      <c r="AK129" s="96">
        <f>$I$61*$AK$61</f>
        <v>272.99109259271444</v>
      </c>
      <c r="AL129" s="96">
        <f>$I$61*$AL$61</f>
        <v>0</v>
      </c>
      <c r="AM129" s="96">
        <f>$I$61*$AM$61</f>
        <v>0</v>
      </c>
      <c r="AN129" s="96">
        <f>$I$61*$AN$61</f>
        <v>1462.2016379534807</v>
      </c>
      <c r="AO129" s="96">
        <f>$I$61*$AO$61</f>
        <v>544.35457179265495</v>
      </c>
      <c r="AP129" s="96">
        <f>$I$61*$AP$61</f>
        <v>0</v>
      </c>
      <c r="AQ129" s="96">
        <f>$I$61*$AQ$61</f>
        <v>2573.6730829852104</v>
      </c>
      <c r="AR129" s="96">
        <f>$I$61*$AR$61</f>
        <v>396.11668358467551</v>
      </c>
      <c r="AS129" s="96">
        <f>$I$61*$AS$61</f>
        <v>13.837426065084127</v>
      </c>
      <c r="AT129" s="96">
        <f>$I$61*$AT$61</f>
        <v>0</v>
      </c>
      <c r="AU129" s="96">
        <f>$I$61*$AU$61</f>
        <v>0</v>
      </c>
      <c r="AV129" s="96">
        <f>$I$61*$AV$61</f>
        <v>0</v>
      </c>
      <c r="AW129" s="96">
        <f>$I$61*$AW$61</f>
        <v>0</v>
      </c>
      <c r="AX129" s="96">
        <f>$I$61*$AX$61</f>
        <v>22960.296387460974</v>
      </c>
      <c r="AY129" s="96">
        <f>$I$61*$AY$61</f>
        <v>-2091.6345283677992</v>
      </c>
      <c r="AZ129" s="96">
        <f>$I$61*$AZ$61</f>
        <v>0</v>
      </c>
      <c r="BA129" s="96">
        <f>$I$61*$BA$61</f>
        <v>738.58117389379311</v>
      </c>
      <c r="BB129" s="96">
        <f>$I$61*$BB$61</f>
        <v>59.717637248184069</v>
      </c>
      <c r="BC129" s="96">
        <f>$I$61*$BC$61</f>
        <v>1480.2637729843441</v>
      </c>
      <c r="BD129" s="96">
        <f>$I$61*$BD$61</f>
        <v>339.31604135027521</v>
      </c>
    </row>
    <row r="130" spans="1:56" ht="11.25" customHeight="1" x14ac:dyDescent="0.25">
      <c r="A130" s="9" t="s">
        <v>37</v>
      </c>
      <c r="B130" s="9" t="s">
        <v>1132</v>
      </c>
      <c r="C130" s="9" t="s">
        <v>1133</v>
      </c>
      <c r="D130" s="9" t="s">
        <v>1134</v>
      </c>
      <c r="E130" s="9" t="s">
        <v>1135</v>
      </c>
      <c r="F130" s="9" t="s">
        <v>1136</v>
      </c>
      <c r="G130" s="9" t="s">
        <v>1138</v>
      </c>
      <c r="L130" s="96">
        <f>$I$62*$L$62</f>
        <v>690.91577214621873</v>
      </c>
      <c r="M130" s="96">
        <f>$I$62*$M$62</f>
        <v>27.439455091597956</v>
      </c>
      <c r="N130" s="96">
        <f ca="1">$I$62*$N$62</f>
        <v>196.49210736003565</v>
      </c>
      <c r="O130" s="96">
        <f>$I$62*$O$62</f>
        <v>0</v>
      </c>
      <c r="P130" s="96">
        <f>$I$62*$P$62</f>
        <v>0</v>
      </c>
      <c r="Q130" s="96">
        <f>$I$62*$Q$62</f>
        <v>1594.8275048999092</v>
      </c>
      <c r="R130" s="96">
        <f>$I$62*$R$62</f>
        <v>593.72908700062499</v>
      </c>
      <c r="S130" s="96">
        <f>$I$62*$S$62</f>
        <v>0</v>
      </c>
      <c r="T130" s="96">
        <f>$I$62*$T$62</f>
        <v>1684.2654885778331</v>
      </c>
      <c r="U130" s="96">
        <f>$I$62*$U$62</f>
        <v>259.22783898624857</v>
      </c>
      <c r="V130" s="96">
        <f>$I$62*$V$62</f>
        <v>9.0478121848621438</v>
      </c>
      <c r="W130" s="96">
        <f>$I$62*$W$62</f>
        <v>0</v>
      </c>
      <c r="X130" s="96">
        <f>$I$62*$X$62</f>
        <v>0</v>
      </c>
      <c r="Y130" s="96">
        <f>$I$62*$Y$62</f>
        <v>0</v>
      </c>
      <c r="Z130" s="96">
        <f>$I$62*$Z$62</f>
        <v>0</v>
      </c>
      <c r="AA130" s="96">
        <f>$I$62*$AA$62</f>
        <v>15011.985500812576</v>
      </c>
      <c r="AB130" s="96">
        <f ca="1">$I$62*$AB$62</f>
        <v>-1516.2774038702375</v>
      </c>
      <c r="AC130" s="96">
        <f ca="1">$I$62*$AC$62</f>
        <v>0</v>
      </c>
      <c r="AD130" s="96">
        <f>$I$62*$AD$62</f>
        <v>805.14092417016559</v>
      </c>
      <c r="AE130" s="96">
        <f>$I$62*$AE$62</f>
        <v>65.099294895073598</v>
      </c>
      <c r="AF130" s="96">
        <f ca="1">$I$62*$AF$62</f>
        <v>1613.6238970283121</v>
      </c>
      <c r="AG130" s="96">
        <f ca="1">$I$62*$AG$62</f>
        <v>369.89045636639082</v>
      </c>
      <c r="AH130" s="96"/>
      <c r="AI130" s="96">
        <f>$I$62*$AI$62</f>
        <v>690.91577214621793</v>
      </c>
      <c r="AJ130" s="96">
        <f>$I$62*$AJ$62</f>
        <v>27.462814335704316</v>
      </c>
      <c r="AK130" s="96">
        <f>$I$62*$AK$62</f>
        <v>196.62388597367138</v>
      </c>
      <c r="AL130" s="96">
        <f>$I$62*$AL$62</f>
        <v>0</v>
      </c>
      <c r="AM130" s="96">
        <f>$I$62*$AM$62</f>
        <v>0</v>
      </c>
      <c r="AN130" s="96">
        <f>$I$62*$AN$62</f>
        <v>1594.8275048999103</v>
      </c>
      <c r="AO130" s="96">
        <f>$I$62*$AO$62</f>
        <v>593.72908700062533</v>
      </c>
      <c r="AP130" s="96">
        <f>$I$62*$AP$62</f>
        <v>0</v>
      </c>
      <c r="AQ130" s="96">
        <f>$I$62*$AQ$62</f>
        <v>1684.2654885778325</v>
      </c>
      <c r="AR130" s="96">
        <f>$I$62*$AR$62</f>
        <v>259.22783898624857</v>
      </c>
      <c r="AS130" s="96">
        <f>$I$62*$AS$62</f>
        <v>9.0561594214998831</v>
      </c>
      <c r="AT130" s="96">
        <f>$I$62*$AT$62</f>
        <v>0</v>
      </c>
      <c r="AU130" s="96">
        <f>$I$62*$AU$62</f>
        <v>0</v>
      </c>
      <c r="AV130" s="96">
        <f>$I$62*$AV$62</f>
        <v>0</v>
      </c>
      <c r="AW130" s="96">
        <f>$I$62*$AW$62</f>
        <v>0</v>
      </c>
      <c r="AX130" s="96">
        <f>$I$62*$AX$62</f>
        <v>15025.717962428655</v>
      </c>
      <c r="AY130" s="96">
        <f>$I$62*$AY$62</f>
        <v>-1516.5081254180584</v>
      </c>
      <c r="AZ130" s="96">
        <f>$I$62*$AZ$62</f>
        <v>0</v>
      </c>
      <c r="BA130" s="96">
        <f>$I$62*$BA$62</f>
        <v>805.57259693382969</v>
      </c>
      <c r="BB130" s="96">
        <f>$I$62*$BB$62</f>
        <v>65.134197595577675</v>
      </c>
      <c r="BC130" s="96">
        <f>$I$62*$BC$62</f>
        <v>1614.5279271923887</v>
      </c>
      <c r="BD130" s="96">
        <f>$I$62*$BD$62</f>
        <v>370.09297592948712</v>
      </c>
    </row>
    <row r="131" spans="1:56" ht="11.25" customHeight="1" x14ac:dyDescent="0.25">
      <c r="A131" s="9" t="s">
        <v>37</v>
      </c>
      <c r="B131" s="9" t="s">
        <v>1132</v>
      </c>
      <c r="C131" s="9" t="s">
        <v>1133</v>
      </c>
      <c r="D131" s="9" t="s">
        <v>1134</v>
      </c>
      <c r="E131" s="9" t="s">
        <v>1135</v>
      </c>
      <c r="F131" s="9" t="s">
        <v>1136</v>
      </c>
      <c r="G131" s="9" t="s">
        <v>1139</v>
      </c>
      <c r="L131" s="96">
        <f>$I$63*$L$63</f>
        <v>14879.055825966885</v>
      </c>
      <c r="M131" s="96">
        <f>$I$63*$M$63</f>
        <v>590.91599960695976</v>
      </c>
      <c r="N131" s="96">
        <f ca="1">$I$63*$N$63</f>
        <v>2054.9134903118784</v>
      </c>
      <c r="O131" s="96">
        <f>$I$63*$O$63</f>
        <v>0</v>
      </c>
      <c r="P131" s="96">
        <f>$I$63*$P$63</f>
        <v>0</v>
      </c>
      <c r="Q131" s="96">
        <f>$I$63*$Q$63</f>
        <v>34345.036594665165</v>
      </c>
      <c r="R131" s="96">
        <f>$I$63*$R$63</f>
        <v>12786.114584619845</v>
      </c>
      <c r="S131" s="96">
        <f>$I$63*$S$63</f>
        <v>0</v>
      </c>
      <c r="T131" s="96">
        <f>$I$63*$T$63</f>
        <v>12090.369159592945</v>
      </c>
      <c r="U131" s="96">
        <f>$I$63*$U$63</f>
        <v>1860.8641528218136</v>
      </c>
      <c r="V131" s="96">
        <f>$I$63*$V$63</f>
        <v>64.972230579467237</v>
      </c>
      <c r="W131" s="96">
        <f>$I$63*$W$63</f>
        <v>0</v>
      </c>
      <c r="X131" s="96">
        <f>$I$63*$X$63</f>
        <v>0</v>
      </c>
      <c r="Y131" s="96">
        <f>$I$63*$Y$63</f>
        <v>0</v>
      </c>
      <c r="Z131" s="96">
        <f>$I$63*$Z$63</f>
        <v>0</v>
      </c>
      <c r="AA131" s="96">
        <f>$I$63*$AA$63</f>
        <v>107762.34771577189</v>
      </c>
      <c r="AB131" s="96">
        <f ca="1">$I$63*$AB$63</f>
        <v>-16186.855889966337</v>
      </c>
      <c r="AC131" s="96">
        <f ca="1">$I$63*$AC$63</f>
        <v>0</v>
      </c>
      <c r="AD131" s="96">
        <f>$I$63*$AD$63</f>
        <v>17338.92500569981</v>
      </c>
      <c r="AE131" s="96">
        <f>$I$63*$AE$63</f>
        <v>1401.9307157600863</v>
      </c>
      <c r="AF131" s="96">
        <f ca="1">$I$63*$AF$63</f>
        <v>34749.821923181422</v>
      </c>
      <c r="AG131" s="96">
        <f ca="1">$I$63*$AG$63</f>
        <v>7965.6898447574649</v>
      </c>
      <c r="AH131" s="96"/>
      <c r="AI131" s="96">
        <f>$I$63*$AI$63</f>
        <v>14879.055825966867</v>
      </c>
      <c r="AJ131" s="96">
        <f>$I$63*$AJ$63</f>
        <v>591.41904717241232</v>
      </c>
      <c r="AK131" s="96">
        <f>$I$63*$AK$63</f>
        <v>2056.5234248756551</v>
      </c>
      <c r="AL131" s="96">
        <f>$I$63*$AL$63</f>
        <v>0</v>
      </c>
      <c r="AM131" s="96">
        <f>$I$63*$AM$63</f>
        <v>0</v>
      </c>
      <c r="AN131" s="96">
        <f>$I$63*$AN$63</f>
        <v>34345.036594665195</v>
      </c>
      <c r="AO131" s="96">
        <f>$I$63*$AO$63</f>
        <v>12786.114584619851</v>
      </c>
      <c r="AP131" s="96">
        <f>$I$63*$AP$63</f>
        <v>0</v>
      </c>
      <c r="AQ131" s="96">
        <f>$I$63*$AQ$63</f>
        <v>12090.369159592921</v>
      </c>
      <c r="AR131" s="96">
        <f>$I$63*$AR$63</f>
        <v>1860.8641528218143</v>
      </c>
      <c r="AS131" s="96">
        <f>$I$63*$AS$63</f>
        <v>65.03217198546092</v>
      </c>
      <c r="AT131" s="96">
        <f>$I$63*$AT$63</f>
        <v>0</v>
      </c>
      <c r="AU131" s="96">
        <f>$I$63*$AU$63</f>
        <v>0</v>
      </c>
      <c r="AV131" s="96">
        <f>$I$63*$AV$63</f>
        <v>0</v>
      </c>
      <c r="AW131" s="96">
        <f>$I$63*$AW$63</f>
        <v>0</v>
      </c>
      <c r="AX131" s="96">
        <f>$I$63*$AX$63</f>
        <v>107860.92510272593</v>
      </c>
      <c r="AY131" s="96">
        <f>$I$63*$AY$63</f>
        <v>-16187.296161644736</v>
      </c>
      <c r="AZ131" s="96">
        <f>$I$63*$AZ$63</f>
        <v>0</v>
      </c>
      <c r="BA131" s="96">
        <f>$I$63*$BA$63</f>
        <v>17348.221194045829</v>
      </c>
      <c r="BB131" s="96">
        <f>$I$63*$BB$63</f>
        <v>1402.6823547444794</v>
      </c>
      <c r="BC131" s="96">
        <f>$I$63*$BC$63</f>
        <v>34769.290454400318</v>
      </c>
      <c r="BD131" s="96">
        <f>$I$63*$BD$63</f>
        <v>7970.051157679588</v>
      </c>
    </row>
    <row r="132" spans="1:56" ht="11.25" customHeight="1" x14ac:dyDescent="0.25">
      <c r="A132" s="9" t="s">
        <v>37</v>
      </c>
      <c r="B132" s="9" t="s">
        <v>1140</v>
      </c>
      <c r="C132" s="9" t="s">
        <v>1141</v>
      </c>
      <c r="D132" s="9" t="s">
        <v>1142</v>
      </c>
      <c r="E132" s="9" t="s">
        <v>1143</v>
      </c>
      <c r="F132" s="9" t="s">
        <v>1144</v>
      </c>
      <c r="G132" s="9" t="s">
        <v>1145</v>
      </c>
      <c r="L132" s="96">
        <f>$I$64*$L$64</f>
        <v>4574042.8236957435</v>
      </c>
      <c r="M132" s="96">
        <f>$I$64*$M$64</f>
        <v>181656.35770330005</v>
      </c>
      <c r="N132" s="96">
        <f ca="1">$I$64*$N$64</f>
        <v>811857.97090047202</v>
      </c>
      <c r="O132" s="96">
        <f>$I$64*$O$64</f>
        <v>0</v>
      </c>
      <c r="P132" s="96">
        <f>$I$64*$P$64</f>
        <v>0</v>
      </c>
      <c r="Q132" s="96">
        <f>$I$64*$Q$64</f>
        <v>10558174.524167925</v>
      </c>
      <c r="R132" s="96">
        <f>$I$64*$R$64</f>
        <v>3930641.5906219915</v>
      </c>
      <c r="S132" s="96">
        <f>$I$64*$S$64</f>
        <v>0</v>
      </c>
      <c r="T132" s="96">
        <f>$I$64*$T$64</f>
        <v>5718083.9343098449</v>
      </c>
      <c r="U132" s="96">
        <f>$I$64*$U$64</f>
        <v>880072.25507953321</v>
      </c>
      <c r="V132" s="96">
        <f>$I$64*$V$64</f>
        <v>30720.118547511411</v>
      </c>
      <c r="W132" s="96">
        <f>$I$64*$W$64</f>
        <v>0</v>
      </c>
      <c r="X132" s="96">
        <f>$I$64*$X$64</f>
        <v>0</v>
      </c>
      <c r="Y132" s="96">
        <f>$I$64*$Y$64</f>
        <v>0</v>
      </c>
      <c r="Z132" s="96">
        <f>$I$64*$Z$64</f>
        <v>0</v>
      </c>
      <c r="AA132" s="96">
        <f>$I$64*$AA$64</f>
        <v>50965780.639180355</v>
      </c>
      <c r="AB132" s="96">
        <f ca="1">$I$64*$AB$64</f>
        <v>-6338944.8649459509</v>
      </c>
      <c r="AC132" s="96">
        <f ca="1">$I$64*$AC$64</f>
        <v>0</v>
      </c>
      <c r="AD132" s="96">
        <f>$I$64*$AD$64</f>
        <v>5330243.1565926438</v>
      </c>
      <c r="AE132" s="96">
        <f>$I$64*$AE$64</f>
        <v>430974.33094847319</v>
      </c>
      <c r="AF132" s="96">
        <f ca="1">$I$64*$AF$64</f>
        <v>10682611.548176255</v>
      </c>
      <c r="AG132" s="96">
        <f ca="1">$I$64*$AG$64</f>
        <v>2448771.407027856</v>
      </c>
      <c r="AH132" s="96"/>
      <c r="AI132" s="96">
        <f>$I$64*$AI$64</f>
        <v>4574042.8236957379</v>
      </c>
      <c r="AJ132" s="96">
        <f>$I$64*$AJ$64</f>
        <v>181811.00199885544</v>
      </c>
      <c r="AK132" s="96">
        <f>$I$64*$AK$64</f>
        <v>812454.52081822092</v>
      </c>
      <c r="AL132" s="96">
        <f>$I$64*$AL$64</f>
        <v>0</v>
      </c>
      <c r="AM132" s="96">
        <f>$I$64*$AM$64</f>
        <v>0</v>
      </c>
      <c r="AN132" s="96">
        <f>$I$64*$AN$64</f>
        <v>10558174.524167933</v>
      </c>
      <c r="AO132" s="96">
        <f>$I$64*$AO$64</f>
        <v>3930641.5906219934</v>
      </c>
      <c r="AP132" s="96">
        <f>$I$64*$AP$64</f>
        <v>0</v>
      </c>
      <c r="AQ132" s="96">
        <f>$I$64*$AQ$64</f>
        <v>5718083.9343098523</v>
      </c>
      <c r="AR132" s="96">
        <f>$I$64*$AR$64</f>
        <v>880072.25507953239</v>
      </c>
      <c r="AS132" s="96">
        <f>$I$64*$AS$64</f>
        <v>30748.459995567209</v>
      </c>
      <c r="AT132" s="96">
        <f>$I$64*$AT$64</f>
        <v>0</v>
      </c>
      <c r="AU132" s="96">
        <f>$I$64*$AU$64</f>
        <v>0</v>
      </c>
      <c r="AV132" s="96">
        <f>$I$64*$AV$64</f>
        <v>0</v>
      </c>
      <c r="AW132" s="96">
        <f>$I$64*$AW$64</f>
        <v>0</v>
      </c>
      <c r="AX132" s="96">
        <f>$I$64*$AX$64</f>
        <v>51012402.4285715</v>
      </c>
      <c r="AY132" s="96">
        <f>$I$64*$AY$64</f>
        <v>-6339455.0055415565</v>
      </c>
      <c r="AZ132" s="96">
        <f>$I$64*$AZ$64</f>
        <v>0</v>
      </c>
      <c r="BA132" s="96">
        <f>$I$64*$BA$64</f>
        <v>5333100.9430065928</v>
      </c>
      <c r="BB132" s="96">
        <f>$I$64*$BB$64</f>
        <v>431205.39593961148</v>
      </c>
      <c r="BC132" s="96">
        <f>$I$64*$BC$64</f>
        <v>10688596.463923009</v>
      </c>
      <c r="BD132" s="96">
        <f>$I$64*$BD$64</f>
        <v>2450112.1394175091</v>
      </c>
    </row>
    <row r="133" spans="1:56" ht="11.25" customHeight="1" x14ac:dyDescent="0.25">
      <c r="A133" s="9" t="s">
        <v>37</v>
      </c>
      <c r="B133" s="9" t="s">
        <v>1146</v>
      </c>
      <c r="C133" s="9" t="s">
        <v>1147</v>
      </c>
      <c r="D133" s="9" t="s">
        <v>1148</v>
      </c>
      <c r="E133" s="9" t="s">
        <v>1149</v>
      </c>
      <c r="F133" s="9" t="s">
        <v>1150</v>
      </c>
      <c r="G133" s="9" t="s">
        <v>1151</v>
      </c>
      <c r="L133" s="96">
        <f>$I$65*$L$65</f>
        <v>0</v>
      </c>
      <c r="M133" s="96">
        <f>$I$65*$M$65</f>
        <v>0</v>
      </c>
      <c r="N133" s="96">
        <f ca="1">$I$65*$N$65</f>
        <v>0</v>
      </c>
      <c r="O133" s="96">
        <f>$I$65*$O$65</f>
        <v>0</v>
      </c>
      <c r="P133" s="96">
        <f>$I$65*$P$65</f>
        <v>0</v>
      </c>
      <c r="Q133" s="96">
        <f>$I$65*$Q$65</f>
        <v>0</v>
      </c>
      <c r="R133" s="96">
        <f>$I$65*$R$65</f>
        <v>0</v>
      </c>
      <c r="S133" s="96">
        <f>$I$65*$S$65</f>
        <v>0</v>
      </c>
      <c r="T133" s="96">
        <f>$I$65*$T$65</f>
        <v>0</v>
      </c>
      <c r="U133" s="96">
        <f>$I$65*$U$65</f>
        <v>0</v>
      </c>
      <c r="V133" s="96">
        <f>$I$65*$V$65</f>
        <v>0</v>
      </c>
      <c r="W133" s="96">
        <f>$I$65*$W$65</f>
        <v>0</v>
      </c>
      <c r="X133" s="96">
        <f>$I$65*$X$65</f>
        <v>0</v>
      </c>
      <c r="Y133" s="96">
        <f>$I$65*$Y$65</f>
        <v>0</v>
      </c>
      <c r="Z133" s="96">
        <f>$I$65*$Z$65</f>
        <v>0</v>
      </c>
      <c r="AA133" s="96">
        <f>$I$65*$AA$65</f>
        <v>0</v>
      </c>
      <c r="AB133" s="96">
        <f ca="1">$I$65*$AB$65</f>
        <v>0</v>
      </c>
      <c r="AC133" s="96">
        <f ca="1">$I$65*$AC$65</f>
        <v>0</v>
      </c>
      <c r="AD133" s="96">
        <f>$I$65*$AD$65</f>
        <v>0</v>
      </c>
      <c r="AE133" s="96">
        <f>$I$65*$AE$65</f>
        <v>0</v>
      </c>
      <c r="AF133" s="96">
        <f ca="1">$I$65*$AF$65</f>
        <v>0</v>
      </c>
      <c r="AG133" s="96">
        <f ca="1">$I$65*$AG$65</f>
        <v>0</v>
      </c>
      <c r="AH133" s="96"/>
      <c r="AI133" s="96">
        <f>$I$65*$AI$65</f>
        <v>0</v>
      </c>
      <c r="AJ133" s="96">
        <f>$I$65*$AJ$65</f>
        <v>0</v>
      </c>
      <c r="AK133" s="96">
        <f>$I$65*$AK$65</f>
        <v>0</v>
      </c>
      <c r="AL133" s="96">
        <f>$I$65*$AL$65</f>
        <v>0</v>
      </c>
      <c r="AM133" s="96">
        <f>$I$65*$AM$65</f>
        <v>0</v>
      </c>
      <c r="AN133" s="96">
        <f>$I$65*$AN$65</f>
        <v>0</v>
      </c>
      <c r="AO133" s="96">
        <f>$I$65*$AO$65</f>
        <v>0</v>
      </c>
      <c r="AP133" s="96">
        <f>$I$65*$AP$65</f>
        <v>0</v>
      </c>
      <c r="AQ133" s="96">
        <f>$I$65*$AQ$65</f>
        <v>0</v>
      </c>
      <c r="AR133" s="96">
        <f>$I$65*$AR$65</f>
        <v>0</v>
      </c>
      <c r="AS133" s="96">
        <f>$I$65*$AS$65</f>
        <v>0</v>
      </c>
      <c r="AT133" s="96">
        <f>$I$65*$AT$65</f>
        <v>0</v>
      </c>
      <c r="AU133" s="96">
        <f>$I$65*$AU$65</f>
        <v>0</v>
      </c>
      <c r="AV133" s="96">
        <f>$I$65*$AV$65</f>
        <v>0</v>
      </c>
      <c r="AW133" s="96">
        <f>$I$65*$AW$65</f>
        <v>0</v>
      </c>
      <c r="AX133" s="96">
        <f>$I$65*$AX$65</f>
        <v>0</v>
      </c>
      <c r="AY133" s="96">
        <f>$I$65*$AY$65</f>
        <v>0</v>
      </c>
      <c r="AZ133" s="96">
        <f>$I$65*$AZ$65</f>
        <v>0</v>
      </c>
      <c r="BA133" s="96">
        <f>$I$65*$BA$65</f>
        <v>0</v>
      </c>
      <c r="BB133" s="96">
        <f>$I$65*$BB$65</f>
        <v>0</v>
      </c>
      <c r="BC133" s="96">
        <f>$I$65*$BC$65</f>
        <v>0</v>
      </c>
      <c r="BD133" s="96">
        <f>$I$65*$BD$65</f>
        <v>0</v>
      </c>
    </row>
    <row r="134" spans="1:56" ht="11.25" customHeight="1" x14ac:dyDescent="0.25">
      <c r="A134" s="9" t="s">
        <v>48</v>
      </c>
      <c r="B134" s="9" t="s">
        <v>1152</v>
      </c>
      <c r="C134" s="9" t="s">
        <v>1153</v>
      </c>
      <c r="D134" s="9" t="s">
        <v>1154</v>
      </c>
      <c r="E134" s="9" t="s">
        <v>1155</v>
      </c>
      <c r="F134" s="9" t="s">
        <v>1156</v>
      </c>
      <c r="G134" s="9" t="s">
        <v>1157</v>
      </c>
      <c r="L134" s="96">
        <f>$I$66*$L$66</f>
        <v>547489.17459879932</v>
      </c>
      <c r="M134" s="96">
        <f>$I$66*$M$66</f>
        <v>21743.322739432995</v>
      </c>
      <c r="N134" s="96">
        <f ca="1">$I$66*$N$66</f>
        <v>97175.183423538823</v>
      </c>
      <c r="O134" s="96">
        <f>$I$66*$O$66</f>
        <v>0</v>
      </c>
      <c r="P134" s="96">
        <f>$I$66*$P$66</f>
        <v>0</v>
      </c>
      <c r="Q134" s="96">
        <f>$I$66*$Q$66</f>
        <v>1263758.665651547</v>
      </c>
      <c r="R134" s="96">
        <f>$I$66*$R$66</f>
        <v>470477.38795645593</v>
      </c>
      <c r="S134" s="96">
        <f>$I$66*$S$66</f>
        <v>0</v>
      </c>
      <c r="T134" s="96">
        <f>$I$66*$T$66</f>
        <v>684424.95493570669</v>
      </c>
      <c r="U134" s="96">
        <f>$I$66*$U$66</f>
        <v>105340.07902695752</v>
      </c>
      <c r="V134" s="96">
        <f>$I$66*$V$66</f>
        <v>3677.0386713530797</v>
      </c>
      <c r="W134" s="96">
        <f>$I$66*$W$66</f>
        <v>0</v>
      </c>
      <c r="X134" s="96">
        <f>$I$66*$X$66</f>
        <v>0</v>
      </c>
      <c r="Y134" s="96">
        <f>$I$66*$Y$66</f>
        <v>0</v>
      </c>
      <c r="Z134" s="96">
        <f>$I$66*$Z$66</f>
        <v>0</v>
      </c>
      <c r="AA134" s="96">
        <f>$I$66*$AA$66</f>
        <v>6100339.2951146513</v>
      </c>
      <c r="AB134" s="96">
        <f ca="1">$I$66*$AB$66</f>
        <v>-758738.78442013625</v>
      </c>
      <c r="AC134" s="96">
        <f ca="1">$I$66*$AC$66</f>
        <v>0</v>
      </c>
      <c r="AD134" s="96">
        <f>$I$66*$AD$66</f>
        <v>638002.42776387301</v>
      </c>
      <c r="AE134" s="96">
        <f>$I$66*$AE$66</f>
        <v>51585.389516227347</v>
      </c>
      <c r="AF134" s="96">
        <f ca="1">$I$66*$AF$66</f>
        <v>1278653.1312675914</v>
      </c>
      <c r="AG134" s="96">
        <f ca="1">$I$66*$AG$66</f>
        <v>293105.22181153938</v>
      </c>
      <c r="AH134" s="96"/>
      <c r="AI134" s="96">
        <f>$I$66*$AI$66</f>
        <v>547489.17459880048</v>
      </c>
      <c r="AJ134" s="96">
        <f>$I$66*$AJ$66</f>
        <v>21761.832858597474</v>
      </c>
      <c r="AK134" s="96">
        <f>$I$66*$AK$66</f>
        <v>97246.587351019145</v>
      </c>
      <c r="AL134" s="96">
        <f>$I$66*$AL$66</f>
        <v>0</v>
      </c>
      <c r="AM134" s="96">
        <f>$I$66*$AM$66</f>
        <v>0</v>
      </c>
      <c r="AN134" s="96">
        <f>$I$66*$AN$66</f>
        <v>1263758.6656515484</v>
      </c>
      <c r="AO134" s="96">
        <f>$I$66*$AO$66</f>
        <v>470477.3879564557</v>
      </c>
      <c r="AP134" s="96">
        <f>$I$66*$AP$66</f>
        <v>0</v>
      </c>
      <c r="AQ134" s="96">
        <f>$I$66*$AQ$66</f>
        <v>684424.95493570692</v>
      </c>
      <c r="AR134" s="96">
        <f>$I$66*$AR$66</f>
        <v>105340.0790269576</v>
      </c>
      <c r="AS134" s="96">
        <f>$I$66*$AS$66</f>
        <v>3680.4309955181729</v>
      </c>
      <c r="AT134" s="96">
        <f>$I$66*$AT$66</f>
        <v>0</v>
      </c>
      <c r="AU134" s="96">
        <f>$I$66*$AU$66</f>
        <v>0</v>
      </c>
      <c r="AV134" s="96">
        <f>$I$66*$AV$66</f>
        <v>0</v>
      </c>
      <c r="AW134" s="96">
        <f>$I$66*$AW$66</f>
        <v>0</v>
      </c>
      <c r="AX134" s="96">
        <f>$I$66*$AX$66</f>
        <v>6105919.6812141733</v>
      </c>
      <c r="AY134" s="96">
        <f>$I$66*$AY$66</f>
        <v>-758799.84560044867</v>
      </c>
      <c r="AZ134" s="96">
        <f>$I$66*$AZ$66</f>
        <v>0</v>
      </c>
      <c r="BA134" s="96">
        <f>$I$66*$BA$66</f>
        <v>638344.4899581396</v>
      </c>
      <c r="BB134" s="96">
        <f>$I$66*$BB$66</f>
        <v>51613.046795827111</v>
      </c>
      <c r="BC134" s="96">
        <f>$I$66*$BC$66</f>
        <v>1279369.4946049138</v>
      </c>
      <c r="BD134" s="96">
        <f>$I$66*$BD$66</f>
        <v>293265.70051662938</v>
      </c>
    </row>
    <row r="135" spans="1:56" ht="11.25" customHeight="1" x14ac:dyDescent="0.25">
      <c r="A135" s="9" t="s">
        <v>48</v>
      </c>
      <c r="B135" s="9" t="s">
        <v>1152</v>
      </c>
      <c r="C135" s="9" t="s">
        <v>1153</v>
      </c>
      <c r="D135" s="9" t="s">
        <v>1158</v>
      </c>
      <c r="E135" s="9" t="s">
        <v>1159</v>
      </c>
      <c r="F135" s="9" t="s">
        <v>1160</v>
      </c>
      <c r="G135" s="9" t="s">
        <v>1161</v>
      </c>
      <c r="L135" s="96">
        <f>$I$67*$L$67</f>
        <v>0</v>
      </c>
      <c r="M135" s="96">
        <f>$I$67*$M$67</f>
        <v>0</v>
      </c>
      <c r="N135" s="96">
        <f ca="1">$I$67*$N$67</f>
        <v>0</v>
      </c>
      <c r="O135" s="96">
        <f>$I$67*$O$67</f>
        <v>0</v>
      </c>
      <c r="P135" s="96">
        <f>$I$67*$P$67</f>
        <v>0</v>
      </c>
      <c r="Q135" s="96">
        <f>$I$67*$Q$67</f>
        <v>0</v>
      </c>
      <c r="R135" s="96">
        <f>$I$67*$R$67</f>
        <v>0</v>
      </c>
      <c r="S135" s="96">
        <f>$I$67*$S$67</f>
        <v>0</v>
      </c>
      <c r="T135" s="96">
        <f>$I$67*$T$67</f>
        <v>0</v>
      </c>
      <c r="U135" s="96">
        <f>$I$67*$U$67</f>
        <v>0</v>
      </c>
      <c r="V135" s="96">
        <f>$I$67*$V$67</f>
        <v>0</v>
      </c>
      <c r="W135" s="96">
        <f>$I$67*$W$67</f>
        <v>0</v>
      </c>
      <c r="X135" s="96">
        <f>$I$67*$X$67</f>
        <v>0</v>
      </c>
      <c r="Y135" s="96">
        <f>$I$67*$Y$67</f>
        <v>0</v>
      </c>
      <c r="Z135" s="96">
        <f>$I$67*$Z$67</f>
        <v>0</v>
      </c>
      <c r="AA135" s="96">
        <f>$I$67*$AA$67</f>
        <v>0</v>
      </c>
      <c r="AB135" s="96">
        <f ca="1">$I$67*$AB$67</f>
        <v>0</v>
      </c>
      <c r="AC135" s="96">
        <f ca="1">$I$67*$AC$67</f>
        <v>0</v>
      </c>
      <c r="AD135" s="96">
        <f>$I$67*$AD$67</f>
        <v>0</v>
      </c>
      <c r="AE135" s="96">
        <f>$I$67*$AE$67</f>
        <v>0</v>
      </c>
      <c r="AF135" s="96">
        <f ca="1">$I$67*$AF$67</f>
        <v>0</v>
      </c>
      <c r="AG135" s="96">
        <f ca="1">$I$67*$AG$67</f>
        <v>0</v>
      </c>
      <c r="AH135" s="96"/>
      <c r="AI135" s="96">
        <f>$I$67*$AI$67</f>
        <v>0</v>
      </c>
      <c r="AJ135" s="96">
        <f>$I$67*$AJ$67</f>
        <v>0</v>
      </c>
      <c r="AK135" s="96">
        <f>$I$67*$AK$67</f>
        <v>0</v>
      </c>
      <c r="AL135" s="96">
        <f>$I$67*$AL$67</f>
        <v>0</v>
      </c>
      <c r="AM135" s="96">
        <f>$I$67*$AM$67</f>
        <v>0</v>
      </c>
      <c r="AN135" s="96">
        <f>$I$67*$AN$67</f>
        <v>0</v>
      </c>
      <c r="AO135" s="96">
        <f>$I$67*$AO$67</f>
        <v>0</v>
      </c>
      <c r="AP135" s="96">
        <f>$I$67*$AP$67</f>
        <v>0</v>
      </c>
      <c r="AQ135" s="96">
        <f>$I$67*$AQ$67</f>
        <v>0</v>
      </c>
      <c r="AR135" s="96">
        <f>$I$67*$AR$67</f>
        <v>0</v>
      </c>
      <c r="AS135" s="96">
        <f>$I$67*$AS$67</f>
        <v>0</v>
      </c>
      <c r="AT135" s="96">
        <f>$I$67*$AT$67</f>
        <v>0</v>
      </c>
      <c r="AU135" s="96">
        <f>$I$67*$AU$67</f>
        <v>0</v>
      </c>
      <c r="AV135" s="96">
        <f>$I$67*$AV$67</f>
        <v>0</v>
      </c>
      <c r="AW135" s="96">
        <f>$I$67*$AW$67</f>
        <v>0</v>
      </c>
      <c r="AX135" s="96">
        <f>$I$67*$AX$67</f>
        <v>0</v>
      </c>
      <c r="AY135" s="96">
        <f>$I$67*$AY$67</f>
        <v>0</v>
      </c>
      <c r="AZ135" s="96">
        <f>$I$67*$AZ$67</f>
        <v>0</v>
      </c>
      <c r="BA135" s="96">
        <f>$I$67*$BA$67</f>
        <v>0</v>
      </c>
      <c r="BB135" s="96">
        <f>$I$67*$BB$67</f>
        <v>0</v>
      </c>
      <c r="BC135" s="96">
        <f>$I$67*$BC$67</f>
        <v>0</v>
      </c>
      <c r="BD135" s="96">
        <f>$I$67*$BD$67</f>
        <v>0</v>
      </c>
    </row>
  </sheetData>
  <mergeCells count="112">
    <mergeCell ref="A7:A10"/>
    <mergeCell ref="B7:B10"/>
    <mergeCell ref="C7:C10"/>
    <mergeCell ref="D7:D10"/>
    <mergeCell ref="E7:E9"/>
    <mergeCell ref="F7:F9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E26:E28"/>
    <mergeCell ref="F26:F28"/>
    <mergeCell ref="E29:E30"/>
    <mergeCell ref="F29:F30"/>
    <mergeCell ref="F16:F18"/>
    <mergeCell ref="E19:E20"/>
    <mergeCell ref="F19:F20"/>
    <mergeCell ref="A21:A30"/>
    <mergeCell ref="B21:B24"/>
    <mergeCell ref="C21:C24"/>
    <mergeCell ref="D21:D24"/>
    <mergeCell ref="E21:E23"/>
    <mergeCell ref="F21:F23"/>
    <mergeCell ref="B26:B30"/>
    <mergeCell ref="A11:A20"/>
    <mergeCell ref="B11:B14"/>
    <mergeCell ref="C11:C14"/>
    <mergeCell ref="D11:D14"/>
    <mergeCell ref="E11:E13"/>
    <mergeCell ref="F11:F13"/>
    <mergeCell ref="B16:B20"/>
    <mergeCell ref="C16:C20"/>
    <mergeCell ref="D16:D20"/>
    <mergeCell ref="E16:E18"/>
    <mergeCell ref="A31:A32"/>
    <mergeCell ref="B31:B32"/>
    <mergeCell ref="C31:C32"/>
    <mergeCell ref="D31:D32"/>
    <mergeCell ref="A33:A45"/>
    <mergeCell ref="B33:B35"/>
    <mergeCell ref="C33:C35"/>
    <mergeCell ref="D33:D35"/>
    <mergeCell ref="C26:C30"/>
    <mergeCell ref="D26:D30"/>
    <mergeCell ref="C46:C48"/>
    <mergeCell ref="D46:D48"/>
    <mergeCell ref="E46:E48"/>
    <mergeCell ref="F46:F48"/>
    <mergeCell ref="B50:B52"/>
    <mergeCell ref="C50:C52"/>
    <mergeCell ref="D50:D52"/>
    <mergeCell ref="E50:E52"/>
    <mergeCell ref="E33:E35"/>
    <mergeCell ref="F33:F35"/>
    <mergeCell ref="B36:B40"/>
    <mergeCell ref="C36:C40"/>
    <mergeCell ref="B41:B45"/>
    <mergeCell ref="C41:C45"/>
    <mergeCell ref="E61:E63"/>
    <mergeCell ref="F61:F63"/>
    <mergeCell ref="A66:A67"/>
    <mergeCell ref="B66:B67"/>
    <mergeCell ref="C66:C67"/>
    <mergeCell ref="AI1:BD1"/>
    <mergeCell ref="AI2:BD2"/>
    <mergeCell ref="AI3:AP3"/>
    <mergeCell ref="AQ3:AW3"/>
    <mergeCell ref="AY3:AZ3"/>
    <mergeCell ref="B58:B60"/>
    <mergeCell ref="C58:C60"/>
    <mergeCell ref="A61:A65"/>
    <mergeCell ref="B61:B63"/>
    <mergeCell ref="C61:C63"/>
    <mergeCell ref="D61:D63"/>
    <mergeCell ref="F50:F52"/>
    <mergeCell ref="B54:B56"/>
    <mergeCell ref="C54:C56"/>
    <mergeCell ref="D54:D56"/>
    <mergeCell ref="E54:E56"/>
    <mergeCell ref="F54:F56"/>
    <mergeCell ref="A46:A60"/>
    <mergeCell ref="B46:B48"/>
    <mergeCell ref="AQ71:AW71"/>
    <mergeCell ref="AY71:AZ71"/>
    <mergeCell ref="BA71:BD71"/>
    <mergeCell ref="BA3:BD3"/>
    <mergeCell ref="L69:AG69"/>
    <mergeCell ref="AI69:BD69"/>
    <mergeCell ref="L70:AG70"/>
    <mergeCell ref="AI70:BD70"/>
    <mergeCell ref="L71:S71"/>
    <mergeCell ref="T71:Z71"/>
    <mergeCell ref="AB71:AC71"/>
    <mergeCell ref="AD71:AG71"/>
    <mergeCell ref="AI71:AP71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7AC11-41BA-47A5-B3AC-DB3D45ACE659}">
  <dimension ref="A1:AH95"/>
  <sheetViews>
    <sheetView showGridLines="0" topLeftCell="K1" workbookViewId="0">
      <selection activeCell="V48" sqref="V48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10" style="9" bestFit="1" customWidth="1"/>
    <col min="25" max="25" width="10.85546875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28" t="s">
        <v>67</v>
      </c>
      <c r="B1" s="128" t="s">
        <v>68</v>
      </c>
      <c r="C1" s="128" t="s">
        <v>69</v>
      </c>
      <c r="D1" s="128" t="s">
        <v>70</v>
      </c>
      <c r="E1" s="128" t="s">
        <v>71</v>
      </c>
      <c r="F1" s="128" t="s">
        <v>15</v>
      </c>
      <c r="G1" s="128" t="s">
        <v>73</v>
      </c>
      <c r="H1" s="128" t="s">
        <v>74</v>
      </c>
      <c r="I1" s="128" t="s">
        <v>744</v>
      </c>
      <c r="J1" s="107"/>
      <c r="L1" s="126" t="s">
        <v>1162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X1" s="126" t="s">
        <v>1163</v>
      </c>
      <c r="Y1" s="126"/>
      <c r="Z1" s="126"/>
      <c r="AA1" s="126"/>
      <c r="AB1" s="126"/>
      <c r="AC1" s="126"/>
      <c r="AD1" s="126"/>
      <c r="AE1" s="126"/>
      <c r="AF1" s="126"/>
      <c r="AG1" s="126"/>
      <c r="AH1" s="126"/>
    </row>
    <row r="2" spans="1:34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07"/>
      <c r="L2" s="126" t="s">
        <v>672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X2" s="126" t="s">
        <v>672</v>
      </c>
      <c r="Y2" s="126"/>
      <c r="Z2" s="126"/>
      <c r="AA2" s="126"/>
      <c r="AB2" s="126"/>
      <c r="AC2" s="126"/>
      <c r="AD2" s="126"/>
      <c r="AE2" s="126"/>
      <c r="AF2" s="126"/>
      <c r="AG2" s="126"/>
      <c r="AH2" s="126"/>
    </row>
    <row r="3" spans="1:34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07"/>
      <c r="L3" s="126" t="s">
        <v>645</v>
      </c>
      <c r="M3" s="126"/>
      <c r="N3" s="126"/>
      <c r="O3" s="126"/>
      <c r="P3" s="126"/>
      <c r="Q3" s="99" t="s">
        <v>676</v>
      </c>
      <c r="R3" s="126" t="s">
        <v>654</v>
      </c>
      <c r="S3" s="126"/>
      <c r="T3" s="126"/>
      <c r="U3" s="99" t="s">
        <v>664</v>
      </c>
      <c r="V3" s="99" t="s">
        <v>667</v>
      </c>
      <c r="X3" s="126" t="s">
        <v>645</v>
      </c>
      <c r="Y3" s="126"/>
      <c r="Z3" s="126"/>
      <c r="AA3" s="126"/>
      <c r="AB3" s="126"/>
      <c r="AC3" s="99" t="s">
        <v>676</v>
      </c>
      <c r="AD3" s="126" t="s">
        <v>654</v>
      </c>
      <c r="AE3" s="126"/>
      <c r="AF3" s="126"/>
      <c r="AG3" s="99" t="s">
        <v>664</v>
      </c>
      <c r="AH3" s="99" t="s">
        <v>667</v>
      </c>
    </row>
    <row r="4" spans="1:34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07"/>
      <c r="L4" s="99" t="s">
        <v>647</v>
      </c>
      <c r="M4" s="99" t="s">
        <v>673</v>
      </c>
      <c r="N4" s="99" t="s">
        <v>674</v>
      </c>
      <c r="O4" s="99" t="s">
        <v>733</v>
      </c>
      <c r="P4" s="99" t="s">
        <v>675</v>
      </c>
      <c r="Q4" s="99" t="s">
        <v>677</v>
      </c>
      <c r="R4" s="99" t="s">
        <v>678</v>
      </c>
      <c r="S4" s="99" t="s">
        <v>679</v>
      </c>
      <c r="T4" s="99" t="s">
        <v>680</v>
      </c>
      <c r="U4" s="99" t="s">
        <v>665</v>
      </c>
      <c r="V4" s="99" t="s">
        <v>681</v>
      </c>
      <c r="W4" s="99"/>
      <c r="X4" s="99" t="s">
        <v>647</v>
      </c>
      <c r="Y4" s="99" t="s">
        <v>673</v>
      </c>
      <c r="Z4" s="99" t="s">
        <v>674</v>
      </c>
      <c r="AA4" s="99" t="s">
        <v>733</v>
      </c>
      <c r="AB4" s="99" t="s">
        <v>675</v>
      </c>
      <c r="AC4" s="99" t="s">
        <v>677</v>
      </c>
      <c r="AD4" s="99" t="s">
        <v>678</v>
      </c>
      <c r="AE4" s="99" t="s">
        <v>679</v>
      </c>
      <c r="AF4" s="99" t="s">
        <v>680</v>
      </c>
      <c r="AG4" s="99" t="s">
        <v>665</v>
      </c>
      <c r="AH4" s="99" t="s">
        <v>681</v>
      </c>
    </row>
    <row r="5" spans="1:34" ht="11.25" customHeight="1" x14ac:dyDescent="0.25">
      <c r="A5" s="129" t="s">
        <v>39</v>
      </c>
      <c r="B5" s="129" t="s">
        <v>78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80</v>
      </c>
      <c r="H5" s="32" t="s">
        <v>79</v>
      </c>
      <c r="I5" s="32">
        <f>'MERCADO TE'!$U$2</f>
        <v>6416.6180000000004</v>
      </c>
      <c r="J5" s="17"/>
      <c r="L5" s="30">
        <f>('TE BE'!$L$5+'TE BF'!$L$5+'TE CVA'!$L$5)*1</f>
        <v>2.3178389475020338</v>
      </c>
      <c r="M5" s="30">
        <f>('TE BE'!$M$5+'TE BF'!$M$5+'TE CVA'!$M$5)*1</f>
        <v>68.505017061818037</v>
      </c>
      <c r="N5" s="30">
        <f>('TE BE'!$N$5+'TE BF'!$N$5+'TE CVA'!$N$5)*1</f>
        <v>0</v>
      </c>
      <c r="O5" s="30">
        <f>('TE BE'!$O$5+'TE BF'!$O$5+'TE CVA'!$O$5)*1</f>
        <v>11.803829801518312</v>
      </c>
      <c r="P5" s="30">
        <f>('TE BE'!$P$5+'TE BF'!$P$5+'TE CVA'!$P$5)*1</f>
        <v>-17.197125811903035</v>
      </c>
      <c r="Q5" s="30">
        <f>('TE BE'!$R$5+'TE BF'!$R$5+'TE CVA'!$R$5)*1</f>
        <v>276.0729850544364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BE'!$V$5+'TE BF'!$V$5+'TE CVA'!$V$5)*1</f>
        <v>0</v>
      </c>
      <c r="U5" s="30">
        <f>('TE BE'!$X$5+'TE BF'!$X$5+'TE CVA'!$X$5)*1</f>
        <v>-24.104402290528213</v>
      </c>
      <c r="V5" s="30">
        <f>('TE BE'!$Z$5+'TE BF'!$Z$5+'TE CVA'!$Z$5)*1</f>
        <v>4.7266311293982382</v>
      </c>
      <c r="W5" s="30"/>
      <c r="X5" s="30">
        <v>2.3187839097810601</v>
      </c>
      <c r="Y5" s="30">
        <v>68.505017061817995</v>
      </c>
      <c r="Z5" s="30">
        <v>0</v>
      </c>
      <c r="AA5" s="30">
        <v>0</v>
      </c>
      <c r="AB5" s="30">
        <v>-17.197125811903</v>
      </c>
      <c r="AC5" s="30">
        <v>276.22100037057999</v>
      </c>
      <c r="AD5" s="30">
        <v>0</v>
      </c>
      <c r="AE5" s="30">
        <v>0</v>
      </c>
      <c r="AF5" s="30">
        <v>0</v>
      </c>
      <c r="AG5" s="30">
        <v>-24.101788119422999</v>
      </c>
      <c r="AH5" s="30">
        <v>4.7291652918798501</v>
      </c>
    </row>
    <row r="6" spans="1:34" ht="11.25" customHeight="1" x14ac:dyDescent="0.25">
      <c r="A6" s="129"/>
      <c r="B6" s="129"/>
      <c r="C6" s="129"/>
      <c r="D6" s="129"/>
      <c r="E6" s="129"/>
      <c r="F6" s="129"/>
      <c r="G6" s="32" t="s">
        <v>81</v>
      </c>
      <c r="H6" s="32" t="s">
        <v>79</v>
      </c>
      <c r="I6" s="32">
        <f>'MERCADO TE'!$U$3</f>
        <v>66718.100999999995</v>
      </c>
      <c r="J6" s="17"/>
      <c r="L6" s="30">
        <f>('TE BE'!$L$6+'TE BF'!$L$6+'TE CVA'!$L$6)*1</f>
        <v>2.3178389475020338</v>
      </c>
      <c r="M6" s="30">
        <f>('TE BE'!$M$6+'TE BF'!$M$6+'TE CVA'!$M$6)*1</f>
        <v>68.505017061818037</v>
      </c>
      <c r="N6" s="30">
        <f>('TE BE'!$N$6+'TE BF'!$N$6+'TE CVA'!$N$6)*1</f>
        <v>0</v>
      </c>
      <c r="O6" s="30">
        <f>('TE BE'!$O$6+'TE BF'!$O$6+'TE CVA'!$O$6)*1</f>
        <v>11.803829801518312</v>
      </c>
      <c r="P6" s="30">
        <f>('TE BE'!$P$6+'TE BF'!$P$6+'TE CVA'!$P$6)*1</f>
        <v>-17.197125811903035</v>
      </c>
      <c r="Q6" s="30">
        <f>('TE BE'!$R$6+'TE BF'!$R$6+'TE CVA'!$R$6)*1</f>
        <v>160.50754945025372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BE'!$V$6+'TE BF'!$V$6+'TE CVA'!$V$6)*1</f>
        <v>0</v>
      </c>
      <c r="U6" s="30">
        <f>('TE BE'!$X$6+'TE BF'!$X$6+'TE CVA'!$X$6)*1</f>
        <v>-15.060960319602618</v>
      </c>
      <c r="V6" s="30">
        <f>('TE BE'!$Z$6+'TE BF'!$Z$6+'TE CVA'!$Z$6)*1</f>
        <v>4.7266311293982382</v>
      </c>
      <c r="W6" s="30"/>
      <c r="X6" s="30">
        <v>2.3187839097810601</v>
      </c>
      <c r="Y6" s="30">
        <v>68.505017061817995</v>
      </c>
      <c r="Z6" s="30">
        <v>0</v>
      </c>
      <c r="AA6" s="30">
        <v>0</v>
      </c>
      <c r="AB6" s="30">
        <v>-17.197125811903</v>
      </c>
      <c r="AC6" s="30">
        <v>160.593604866616</v>
      </c>
      <c r="AD6" s="30">
        <v>0</v>
      </c>
      <c r="AE6" s="30">
        <v>0</v>
      </c>
      <c r="AF6" s="30">
        <v>0</v>
      </c>
      <c r="AG6" s="30">
        <v>-15.0589864436641</v>
      </c>
      <c r="AH6" s="30">
        <v>4.7291652918798501</v>
      </c>
    </row>
    <row r="7" spans="1:34" ht="11.25" customHeight="1" x14ac:dyDescent="0.25">
      <c r="A7" s="129" t="s">
        <v>42</v>
      </c>
      <c r="B7" s="129" t="s">
        <v>78</v>
      </c>
      <c r="C7" s="129" t="s">
        <v>25</v>
      </c>
      <c r="D7" s="129" t="s">
        <v>25</v>
      </c>
      <c r="E7" s="129" t="s">
        <v>25</v>
      </c>
      <c r="F7" s="129" t="s">
        <v>25</v>
      </c>
      <c r="G7" s="32" t="s">
        <v>80</v>
      </c>
      <c r="H7" s="32" t="s">
        <v>79</v>
      </c>
      <c r="I7" s="32">
        <f>'MERCADO TE'!$U$4</f>
        <v>30.865000000000002</v>
      </c>
      <c r="J7" s="17"/>
      <c r="L7" s="30">
        <f>('TE BE'!$L$7+'TE BF'!$L$7+'TE CVA'!$L$7)*1</f>
        <v>2.3178389475020338</v>
      </c>
      <c r="M7" s="30">
        <f>('TE BE'!$M$7+'TE BF'!$M$7+'TE CVA'!$M$7)*1</f>
        <v>68.505017061818037</v>
      </c>
      <c r="N7" s="30">
        <f>('TE BE'!$N$7+'TE BF'!$N$7+'TE CVA'!$N$7)*1</f>
        <v>0</v>
      </c>
      <c r="O7" s="30">
        <f>('TE BE'!$O$7+'TE BF'!$O$7+'TE CVA'!$O$7)*1</f>
        <v>11.803829801518312</v>
      </c>
      <c r="P7" s="30">
        <f>('TE BE'!$P$7+'TE BF'!$P$7+'TE CVA'!$P$7)*1</f>
        <v>-17.197125811903035</v>
      </c>
      <c r="Q7" s="30">
        <f>('TE BE'!$R$7+'TE BF'!$R$7+'TE CVA'!$R$7)*1</f>
        <v>276.0729850544364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BE'!$V$7+'TE BF'!$V$7+'TE CVA'!$V$7)*1</f>
        <v>0</v>
      </c>
      <c r="U7" s="30">
        <f>('TE BE'!$X$7+'TE BF'!$X$7+'TE CVA'!$X$7)*1</f>
        <v>-24.104402290528213</v>
      </c>
      <c r="V7" s="30">
        <f>('TE BE'!$Z$7+'TE BF'!$Z$7+'TE CVA'!$Z$7)*1</f>
        <v>4.7266311293982382</v>
      </c>
      <c r="W7" s="30"/>
      <c r="X7" s="30">
        <v>2.3187839097810601</v>
      </c>
      <c r="Y7" s="30">
        <v>68.505017061817995</v>
      </c>
      <c r="Z7" s="30">
        <v>0</v>
      </c>
      <c r="AA7" s="30">
        <v>0</v>
      </c>
      <c r="AB7" s="30">
        <v>-17.197125811903</v>
      </c>
      <c r="AC7" s="30">
        <v>276.22100037057999</v>
      </c>
      <c r="AD7" s="30">
        <v>0</v>
      </c>
      <c r="AE7" s="30">
        <v>0</v>
      </c>
      <c r="AF7" s="30">
        <v>0</v>
      </c>
      <c r="AG7" s="30">
        <v>-24.101788119422999</v>
      </c>
      <c r="AH7" s="30">
        <v>4.7291652918798501</v>
      </c>
    </row>
    <row r="8" spans="1:34" ht="11.25" customHeight="1" x14ac:dyDescent="0.25">
      <c r="A8" s="129"/>
      <c r="B8" s="129"/>
      <c r="C8" s="129"/>
      <c r="D8" s="129"/>
      <c r="E8" s="129"/>
      <c r="F8" s="129"/>
      <c r="G8" s="32" t="s">
        <v>81</v>
      </c>
      <c r="H8" s="32" t="s">
        <v>79</v>
      </c>
      <c r="I8" s="32">
        <f>'MERCADO TE'!$U$5</f>
        <v>189.88</v>
      </c>
      <c r="J8" s="17"/>
      <c r="L8" s="30">
        <f>('TE BE'!$L$8+'TE BF'!$L$8+'TE CVA'!$L$8)*1</f>
        <v>2.3178389475020338</v>
      </c>
      <c r="M8" s="30">
        <f>('TE BE'!$M$8+'TE BF'!$M$8+'TE CVA'!$M$8)*1</f>
        <v>68.505017061818037</v>
      </c>
      <c r="N8" s="30">
        <f>('TE BE'!$N$8+'TE BF'!$N$8+'TE CVA'!$N$8)*1</f>
        <v>0</v>
      </c>
      <c r="O8" s="30">
        <f>('TE BE'!$O$8+'TE BF'!$O$8+'TE CVA'!$O$8)*1</f>
        <v>11.803829801518312</v>
      </c>
      <c r="P8" s="30">
        <f>('TE BE'!$P$8+'TE BF'!$P$8+'TE CVA'!$P$8)*1</f>
        <v>-17.197125811903035</v>
      </c>
      <c r="Q8" s="30">
        <f>('TE BE'!$R$8+'TE BF'!$R$8+'TE CVA'!$R$8)*1</f>
        <v>160.50754945025372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BE'!$V$8+'TE BF'!$V$8+'TE CVA'!$V$8)*1</f>
        <v>0</v>
      </c>
      <c r="U8" s="30">
        <f>('TE BE'!$X$8+'TE BF'!$X$8+'TE CVA'!$X$8)*1</f>
        <v>-15.060960319602618</v>
      </c>
      <c r="V8" s="30">
        <f>('TE BE'!$Z$8+'TE BF'!$Z$8+'TE CVA'!$Z$8)*1</f>
        <v>4.7266311293982382</v>
      </c>
      <c r="W8" s="30"/>
      <c r="X8" s="30">
        <v>2.3187839097810601</v>
      </c>
      <c r="Y8" s="30">
        <v>68.505017061817995</v>
      </c>
      <c r="Z8" s="30">
        <v>0</v>
      </c>
      <c r="AA8" s="30">
        <v>0</v>
      </c>
      <c r="AB8" s="30">
        <v>-17.197125811903</v>
      </c>
      <c r="AC8" s="30">
        <v>160.593604866616</v>
      </c>
      <c r="AD8" s="30">
        <v>0</v>
      </c>
      <c r="AE8" s="30">
        <v>0</v>
      </c>
      <c r="AF8" s="30">
        <v>0</v>
      </c>
      <c r="AG8" s="30">
        <v>-15.0589864436641</v>
      </c>
      <c r="AH8" s="30">
        <v>4.7291652918798501</v>
      </c>
    </row>
    <row r="9" spans="1:34" ht="11.25" customHeight="1" x14ac:dyDescent="0.25">
      <c r="A9" s="129"/>
      <c r="B9" s="100" t="s">
        <v>86</v>
      </c>
      <c r="C9" s="100" t="s">
        <v>25</v>
      </c>
      <c r="D9" s="100" t="s">
        <v>25</v>
      </c>
      <c r="E9" s="100" t="s">
        <v>25</v>
      </c>
      <c r="F9" s="100" t="s">
        <v>25</v>
      </c>
      <c r="G9" s="32" t="s">
        <v>84</v>
      </c>
      <c r="H9" s="32" t="s">
        <v>79</v>
      </c>
      <c r="I9" s="32">
        <f>'MERCADO TE'!$U$6</f>
        <v>0</v>
      </c>
      <c r="J9" s="17"/>
      <c r="L9" s="30">
        <f>('TE BE'!$L$9+'TE BF'!$L$9+'TE CVA'!$L$9)*1</f>
        <v>2.3178389475020338</v>
      </c>
      <c r="M9" s="30">
        <f>('TE BE'!$M$9+'TE BF'!$M$9+'TE CVA'!$M$9)*1</f>
        <v>68.505017061818037</v>
      </c>
      <c r="N9" s="30">
        <f>('TE BE'!$N$9+'TE BF'!$N$9+'TE CVA'!$N$9)*1</f>
        <v>0</v>
      </c>
      <c r="O9" s="30">
        <f>('TE BE'!$O$9+'TE BF'!$O$9+'TE CVA'!$O$9)*1</f>
        <v>11.803829801518312</v>
      </c>
      <c r="P9" s="30">
        <f>('TE BE'!$P$9+'TE BF'!$P$9+'TE CVA'!$P$9)*1</f>
        <v>-17.197125811903035</v>
      </c>
      <c r="Q9" s="30">
        <f>('TE BE'!$R$9+'TE BF'!$R$9+'TE CVA'!$R$9)*1</f>
        <v>170.13800241726895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BE'!$V$9+'TE BF'!$V$9+'TE CVA'!$V$9)*1</f>
        <v>0</v>
      </c>
      <c r="U9" s="30">
        <f>('TE BE'!$X$9+'TE BF'!$X$9+'TE CVA'!$X$9)*1</f>
        <v>-15.814580483846418</v>
      </c>
      <c r="V9" s="30">
        <f>('TE BE'!$Z$9+'TE BF'!$Z$9+'TE CVA'!$Z$9)*1</f>
        <v>4.7266311293982382</v>
      </c>
      <c r="W9" s="30"/>
      <c r="X9" s="30">
        <v>2.3187839097810601</v>
      </c>
      <c r="Y9" s="30">
        <v>68.505017061817995</v>
      </c>
      <c r="Z9" s="30">
        <v>0</v>
      </c>
      <c r="AA9" s="30">
        <v>0</v>
      </c>
      <c r="AB9" s="30">
        <v>-17.197125811903</v>
      </c>
      <c r="AC9" s="30">
        <v>170.229221158613</v>
      </c>
      <c r="AD9" s="30">
        <v>0</v>
      </c>
      <c r="AE9" s="30">
        <v>0</v>
      </c>
      <c r="AF9" s="30">
        <v>0</v>
      </c>
      <c r="AG9" s="30">
        <v>-15.8125532499774</v>
      </c>
      <c r="AH9" s="30">
        <v>4.7291652918798501</v>
      </c>
    </row>
    <row r="10" spans="1:34" ht="11.25" customHeight="1" x14ac:dyDescent="0.25">
      <c r="A10" s="129" t="s">
        <v>41</v>
      </c>
      <c r="B10" s="129" t="s">
        <v>78</v>
      </c>
      <c r="C10" s="129" t="s">
        <v>25</v>
      </c>
      <c r="D10" s="129" t="s">
        <v>25</v>
      </c>
      <c r="E10" s="129" t="s">
        <v>25</v>
      </c>
      <c r="F10" s="129" t="s">
        <v>25</v>
      </c>
      <c r="G10" s="32" t="s">
        <v>80</v>
      </c>
      <c r="H10" s="32" t="s">
        <v>79</v>
      </c>
      <c r="I10" s="32">
        <f>'MERCADO TE'!$U$7</f>
        <v>17653.802</v>
      </c>
      <c r="J10" s="17"/>
      <c r="L10" s="30">
        <f>('TE BE'!$L$10+'TE BF'!$L$10+'TE CVA'!$L$10)*1</f>
        <v>2.3178389475020338</v>
      </c>
      <c r="M10" s="30">
        <f>('TE BE'!$M$10+'TE BF'!$M$10+'TE CVA'!$M$10)*1</f>
        <v>68.505017061818037</v>
      </c>
      <c r="N10" s="30">
        <f>('TE BE'!$N$10+'TE BF'!$N$10+'TE CVA'!$N$10)*1</f>
        <v>0</v>
      </c>
      <c r="O10" s="30">
        <f>('TE BE'!$O$10+'TE BF'!$O$10+'TE CVA'!$O$10)*1</f>
        <v>11.803829801518312</v>
      </c>
      <c r="P10" s="30">
        <f>('TE BE'!$P$10+'TE BF'!$P$10+'TE CVA'!$P$10)*1</f>
        <v>-17.197125811903035</v>
      </c>
      <c r="Q10" s="30">
        <f>('TE BE'!$R$10+'TE BF'!$R$10+'TE CVA'!$R$10)*1</f>
        <v>276.0729850544364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BE'!$V$10+'TE BF'!$V$10+'TE CVA'!$V$10)*1</f>
        <v>0</v>
      </c>
      <c r="U10" s="30">
        <f>('TE BE'!$X$10+'TE BF'!$X$10+'TE CVA'!$X$10)*1</f>
        <v>-24.104402290528213</v>
      </c>
      <c r="V10" s="30">
        <f>('TE BE'!$Z$10+'TE BF'!$Z$10+'TE CVA'!$Z$10)*1</f>
        <v>4.7266311293982382</v>
      </c>
      <c r="W10" s="30"/>
      <c r="X10" s="30">
        <v>2.3187839097810601</v>
      </c>
      <c r="Y10" s="30">
        <v>68.505017061817995</v>
      </c>
      <c r="Z10" s="30">
        <v>0</v>
      </c>
      <c r="AA10" s="30">
        <v>0</v>
      </c>
      <c r="AB10" s="30">
        <v>-17.197125811903</v>
      </c>
      <c r="AC10" s="30">
        <v>276.22100037057999</v>
      </c>
      <c r="AD10" s="30">
        <v>0</v>
      </c>
      <c r="AE10" s="30">
        <v>0</v>
      </c>
      <c r="AF10" s="30">
        <v>0</v>
      </c>
      <c r="AG10" s="30">
        <v>-24.101788119422999</v>
      </c>
      <c r="AH10" s="30">
        <v>4.7291652918798501</v>
      </c>
    </row>
    <row r="11" spans="1:34" ht="11.25" customHeight="1" x14ac:dyDescent="0.25">
      <c r="A11" s="129"/>
      <c r="B11" s="129"/>
      <c r="C11" s="129"/>
      <c r="D11" s="129"/>
      <c r="E11" s="129"/>
      <c r="F11" s="129"/>
      <c r="G11" s="32" t="s">
        <v>81</v>
      </c>
      <c r="H11" s="32" t="s">
        <v>79</v>
      </c>
      <c r="I11" s="32">
        <f>'MERCADO TE'!$U$8</f>
        <v>207546.47200000001</v>
      </c>
      <c r="J11" s="17"/>
      <c r="L11" s="30">
        <f>('TE BE'!$L$11+'TE BF'!$L$11+'TE CVA'!$L$11)*1</f>
        <v>2.3178389475020338</v>
      </c>
      <c r="M11" s="30">
        <f>('TE BE'!$M$11+'TE BF'!$M$11+'TE CVA'!$M$11)*1</f>
        <v>68.505017061818037</v>
      </c>
      <c r="N11" s="30">
        <f>('TE BE'!$N$11+'TE BF'!$N$11+'TE CVA'!$N$11)*1</f>
        <v>0</v>
      </c>
      <c r="O11" s="30">
        <f>('TE BE'!$O$11+'TE BF'!$O$11+'TE CVA'!$O$11)*1</f>
        <v>11.803829801518312</v>
      </c>
      <c r="P11" s="30">
        <f>('TE BE'!$P$11+'TE BF'!$P$11+'TE CVA'!$P$11)*1</f>
        <v>-17.197125811903035</v>
      </c>
      <c r="Q11" s="30">
        <f>('TE BE'!$R$11+'TE BF'!$R$11+'TE CVA'!$R$11)*1</f>
        <v>160.50754945025372</v>
      </c>
      <c r="R11" s="30">
        <f>('TE BE'!$T$11+'TE BF'!$T$11+'TE CVA'!$T$11)*1</f>
        <v>0</v>
      </c>
      <c r="S11" s="30">
        <f>('TE BE'!$U$11+'TE BF'!$U$11+'TE CVA'!$U$11)*1</f>
        <v>0</v>
      </c>
      <c r="T11" s="30">
        <f>('TE BE'!$V$11+'TE BF'!$V$11+'TE CVA'!$V$11)*1</f>
        <v>0</v>
      </c>
      <c r="U11" s="30">
        <f>('TE BE'!$X$11+'TE BF'!$X$11+'TE CVA'!$X$11)*1</f>
        <v>-15.060960319602618</v>
      </c>
      <c r="V11" s="30">
        <f>('TE BE'!$Z$11+'TE BF'!$Z$11+'TE CVA'!$Z$11)*1</f>
        <v>4.7266311293982382</v>
      </c>
      <c r="W11" s="30"/>
      <c r="X11" s="30">
        <v>2.3187839097810601</v>
      </c>
      <c r="Y11" s="30">
        <v>68.505017061817995</v>
      </c>
      <c r="Z11" s="30">
        <v>0</v>
      </c>
      <c r="AA11" s="30">
        <v>0</v>
      </c>
      <c r="AB11" s="30">
        <v>-17.197125811903</v>
      </c>
      <c r="AC11" s="30">
        <v>160.593604866616</v>
      </c>
      <c r="AD11" s="30">
        <v>0</v>
      </c>
      <c r="AE11" s="30">
        <v>0</v>
      </c>
      <c r="AF11" s="30">
        <v>0</v>
      </c>
      <c r="AG11" s="30">
        <v>-15.0589864436641</v>
      </c>
      <c r="AH11" s="30">
        <v>4.7291652918798501</v>
      </c>
    </row>
    <row r="12" spans="1:34" ht="11.25" customHeight="1" x14ac:dyDescent="0.25">
      <c r="A12" s="129"/>
      <c r="B12" s="100" t="s">
        <v>86</v>
      </c>
      <c r="C12" s="100" t="s">
        <v>25</v>
      </c>
      <c r="D12" s="100" t="s">
        <v>25</v>
      </c>
      <c r="E12" s="100" t="s">
        <v>25</v>
      </c>
      <c r="F12" s="100" t="s">
        <v>25</v>
      </c>
      <c r="G12" s="32" t="s">
        <v>84</v>
      </c>
      <c r="H12" s="32" t="s">
        <v>79</v>
      </c>
      <c r="I12" s="32">
        <f>'MERCADO TE'!$U$9</f>
        <v>0</v>
      </c>
      <c r="J12" s="17"/>
      <c r="L12" s="30">
        <f>('TE BE'!$L$12+'TE BF'!$L$12+'TE CVA'!$L$12)*1</f>
        <v>2.3178389475020338</v>
      </c>
      <c r="M12" s="30">
        <f>('TE BE'!$M$12+'TE BF'!$M$12+'TE CVA'!$M$12)*1</f>
        <v>68.505017061818037</v>
      </c>
      <c r="N12" s="30">
        <f>('TE BE'!$N$12+'TE BF'!$N$12+'TE CVA'!$N$12)*1</f>
        <v>0</v>
      </c>
      <c r="O12" s="30">
        <f>('TE BE'!$O$12+'TE BF'!$O$12+'TE CVA'!$O$12)*1</f>
        <v>11.803829801518312</v>
      </c>
      <c r="P12" s="30">
        <f>('TE BE'!$P$12+'TE BF'!$P$12+'TE CVA'!$P$12)*1</f>
        <v>-17.197125811903035</v>
      </c>
      <c r="Q12" s="30">
        <f>('TE BE'!$R$12+'TE BF'!$R$12+'TE CVA'!$R$12)*1</f>
        <v>170.13800241726895</v>
      </c>
      <c r="R12" s="30">
        <f>('TE BE'!$T$12+'TE BF'!$T$12+'TE CVA'!$T$12)*1</f>
        <v>0</v>
      </c>
      <c r="S12" s="30">
        <f>('TE BE'!$U$12+'TE BF'!$U$12+'TE CVA'!$U$12)*1</f>
        <v>0</v>
      </c>
      <c r="T12" s="30">
        <f>('TE BE'!$V$12+'TE BF'!$V$12+'TE CVA'!$V$12)*1</f>
        <v>0</v>
      </c>
      <c r="U12" s="30">
        <f>('TE BE'!$X$12+'TE BF'!$X$12+'TE CVA'!$X$12)*1</f>
        <v>-15.814580483846418</v>
      </c>
      <c r="V12" s="30">
        <f>('TE BE'!$Z$12+'TE BF'!$Z$12+'TE CVA'!$Z$12)*1</f>
        <v>4.7266311293982382</v>
      </c>
      <c r="W12" s="30"/>
      <c r="X12" s="30">
        <v>2.3187839097810601</v>
      </c>
      <c r="Y12" s="30">
        <v>68.505017061817995</v>
      </c>
      <c r="Z12" s="30">
        <v>0</v>
      </c>
      <c r="AA12" s="30">
        <v>0</v>
      </c>
      <c r="AB12" s="30">
        <v>-17.197125811903</v>
      </c>
      <c r="AC12" s="30">
        <v>170.229221158613</v>
      </c>
      <c r="AD12" s="30">
        <v>0</v>
      </c>
      <c r="AE12" s="30">
        <v>0</v>
      </c>
      <c r="AF12" s="30">
        <v>0</v>
      </c>
      <c r="AG12" s="30">
        <v>-15.8125532499774</v>
      </c>
      <c r="AH12" s="30">
        <v>4.7291652918798501</v>
      </c>
    </row>
    <row r="13" spans="1:34" ht="11.25" customHeight="1" x14ac:dyDescent="0.25">
      <c r="A13" s="129" t="s">
        <v>22</v>
      </c>
      <c r="B13" s="129" t="s">
        <v>78</v>
      </c>
      <c r="C13" s="129" t="s">
        <v>24</v>
      </c>
      <c r="D13" s="129" t="s">
        <v>24</v>
      </c>
      <c r="E13" s="129" t="s">
        <v>25</v>
      </c>
      <c r="F13" s="129" t="s">
        <v>25</v>
      </c>
      <c r="G13" s="32" t="s">
        <v>80</v>
      </c>
      <c r="H13" s="32" t="s">
        <v>79</v>
      </c>
      <c r="I13" s="32">
        <f>'MERCADO TE'!$U$10</f>
        <v>14.996999999999998</v>
      </c>
      <c r="J13" s="17"/>
      <c r="L13" s="30">
        <f>('TE BE'!$L$13+'TE BF'!$L$13+'TE CVA'!$L$13)*1</f>
        <v>2.3178389475020338</v>
      </c>
      <c r="M13" s="30">
        <f>('TE BE'!$M$13+'TE BF'!$M$13+'TE CVA'!$M$13)*1</f>
        <v>68.505017061818037</v>
      </c>
      <c r="N13" s="30">
        <f>('TE BE'!$N$13+'TE BF'!$N$13+'TE CVA'!$N$13)*1</f>
        <v>0</v>
      </c>
      <c r="O13" s="30">
        <f>('TE BE'!$O$13+'TE BF'!$O$13+'TE CVA'!$O$13)*1</f>
        <v>11.803829801518312</v>
      </c>
      <c r="P13" s="30">
        <f>('TE BE'!$P$13+'TE BF'!$P$13+'TE CVA'!$P$13)*1</f>
        <v>-17.197125811903035</v>
      </c>
      <c r="Q13" s="30">
        <f>('TE BE'!$R$13+'TE BF'!$R$13+'TE CVA'!$R$13)*1</f>
        <v>276.0729850544364</v>
      </c>
      <c r="R13" s="30">
        <f>('TE BE'!$T$13+'TE BF'!$T$13+'TE CVA'!$T$13)*1</f>
        <v>0</v>
      </c>
      <c r="S13" s="30">
        <f>('TE BE'!$U$13+'TE BF'!$U$13+'TE CVA'!$U$13)*1</f>
        <v>0</v>
      </c>
      <c r="T13" s="30">
        <f>('TE BE'!$V$13+'TE BF'!$V$13+'TE CVA'!$V$13)*1</f>
        <v>0</v>
      </c>
      <c r="U13" s="30">
        <f>('TE BE'!$X$13+'TE BF'!$X$13+'TE CVA'!$X$13)*1</f>
        <v>-24.104402290528213</v>
      </c>
      <c r="V13" s="30">
        <f>('TE BE'!$Z$13+'TE BF'!$Z$13+'TE CVA'!$Z$13)*1</f>
        <v>4.7266311293982382</v>
      </c>
      <c r="W13" s="30"/>
      <c r="X13" s="30">
        <v>2.3187839097810601</v>
      </c>
      <c r="Y13" s="30">
        <v>68.505017061817995</v>
      </c>
      <c r="Z13" s="30">
        <v>0</v>
      </c>
      <c r="AA13" s="30">
        <v>0</v>
      </c>
      <c r="AB13" s="30">
        <v>-17.197125811903</v>
      </c>
      <c r="AC13" s="30">
        <v>276.22100037057999</v>
      </c>
      <c r="AD13" s="30">
        <v>0</v>
      </c>
      <c r="AE13" s="30">
        <v>0</v>
      </c>
      <c r="AF13" s="30">
        <v>0</v>
      </c>
      <c r="AG13" s="30">
        <v>-24.101788119422999</v>
      </c>
      <c r="AH13" s="30">
        <v>4.7291652918798501</v>
      </c>
    </row>
    <row r="14" spans="1:34" ht="11.25" customHeight="1" x14ac:dyDescent="0.25">
      <c r="A14" s="129"/>
      <c r="B14" s="129"/>
      <c r="C14" s="129"/>
      <c r="D14" s="129"/>
      <c r="E14" s="129"/>
      <c r="F14" s="129"/>
      <c r="G14" s="32" t="s">
        <v>90</v>
      </c>
      <c r="H14" s="32" t="s">
        <v>79</v>
      </c>
      <c r="I14" s="32">
        <f>'MERCADO TE'!$U$11</f>
        <v>13.277000000000001</v>
      </c>
      <c r="J14" s="17"/>
      <c r="L14" s="30">
        <f>('TE BE'!$L$14+'TE BF'!$L$14+'TE CVA'!$L$14)*1</f>
        <v>2.3178389475020338</v>
      </c>
      <c r="M14" s="30">
        <f>('TE BE'!$M$14+'TE BF'!$M$14+'TE CVA'!$M$14)*1</f>
        <v>68.505017061818037</v>
      </c>
      <c r="N14" s="30">
        <f>('TE BE'!$N$14+'TE BF'!$N$14+'TE CVA'!$N$14)*1</f>
        <v>0</v>
      </c>
      <c r="O14" s="30">
        <f>('TE BE'!$O$14+'TE BF'!$O$14+'TE CVA'!$O$14)*1</f>
        <v>11.803829801518312</v>
      </c>
      <c r="P14" s="30">
        <f>('TE BE'!$P$14+'TE BF'!$P$14+'TE CVA'!$P$14)*1</f>
        <v>-17.197125811903035</v>
      </c>
      <c r="Q14" s="30">
        <f>('TE BE'!$R$14+'TE BF'!$R$14+'TE CVA'!$R$14)*1</f>
        <v>160.50754945025372</v>
      </c>
      <c r="R14" s="30">
        <f>('TE BE'!$T$14+'TE BF'!$T$14+'TE CVA'!$T$14)*1</f>
        <v>0</v>
      </c>
      <c r="S14" s="30">
        <f>('TE BE'!$U$14+'TE BF'!$U$14+'TE CVA'!$U$14)*1</f>
        <v>0</v>
      </c>
      <c r="T14" s="30">
        <f>('TE BE'!$V$14+'TE BF'!$V$14+'TE CVA'!$V$14)*1</f>
        <v>0</v>
      </c>
      <c r="U14" s="30">
        <f>('TE BE'!$X$14+'TE BF'!$X$14+'TE CVA'!$X$14)*1</f>
        <v>-15.060960319602618</v>
      </c>
      <c r="V14" s="30">
        <f>('TE BE'!$Z$14+'TE BF'!$Z$14+'TE CVA'!$Z$14)*1</f>
        <v>4.7266311293982382</v>
      </c>
      <c r="W14" s="30"/>
      <c r="X14" s="30">
        <v>2.3187839097810601</v>
      </c>
      <c r="Y14" s="30">
        <v>68.505017061817995</v>
      </c>
      <c r="Z14" s="30">
        <v>0</v>
      </c>
      <c r="AA14" s="30">
        <v>0</v>
      </c>
      <c r="AB14" s="30">
        <v>-17.197125811903</v>
      </c>
      <c r="AC14" s="30">
        <v>160.593604866616</v>
      </c>
      <c r="AD14" s="30">
        <v>0</v>
      </c>
      <c r="AE14" s="30">
        <v>0</v>
      </c>
      <c r="AF14" s="30">
        <v>0</v>
      </c>
      <c r="AG14" s="30">
        <v>-15.0589864436641</v>
      </c>
      <c r="AH14" s="30">
        <v>4.7291652918798501</v>
      </c>
    </row>
    <row r="15" spans="1:34" ht="11.25" customHeight="1" x14ac:dyDescent="0.25">
      <c r="A15" s="129"/>
      <c r="B15" s="129"/>
      <c r="C15" s="129"/>
      <c r="D15" s="129"/>
      <c r="E15" s="129"/>
      <c r="F15" s="129"/>
      <c r="G15" s="32" t="s">
        <v>81</v>
      </c>
      <c r="H15" s="32" t="s">
        <v>79</v>
      </c>
      <c r="I15" s="32">
        <f>'MERCADO TE'!$U$12</f>
        <v>196.47399999999999</v>
      </c>
      <c r="J15" s="17"/>
      <c r="L15" s="30">
        <f>('TE BE'!$L$15+'TE BF'!$L$15+'TE CVA'!$L$15)*1</f>
        <v>2.3178389475020338</v>
      </c>
      <c r="M15" s="30">
        <f>('TE BE'!$M$15+'TE BF'!$M$15+'TE CVA'!$M$15)*1</f>
        <v>68.505017061818037</v>
      </c>
      <c r="N15" s="30">
        <f>('TE BE'!$N$15+'TE BF'!$N$15+'TE CVA'!$N$15)*1</f>
        <v>0</v>
      </c>
      <c r="O15" s="30">
        <f>('TE BE'!$O$15+'TE BF'!$O$15+'TE CVA'!$O$15)*1</f>
        <v>11.803829801518312</v>
      </c>
      <c r="P15" s="30">
        <f>('TE BE'!$P$15+'TE BF'!$P$15+'TE CVA'!$P$15)*1</f>
        <v>-17.197125811903035</v>
      </c>
      <c r="Q15" s="30">
        <f>('TE BE'!$R$15+'TE BF'!$R$15+'TE CVA'!$R$15)*1</f>
        <v>160.50754945025372</v>
      </c>
      <c r="R15" s="30">
        <f>('TE BE'!$T$15+'TE BF'!$T$15+'TE CVA'!$T$15)*1</f>
        <v>0</v>
      </c>
      <c r="S15" s="30">
        <f>('TE BE'!$U$15+'TE BF'!$U$15+'TE CVA'!$U$15)*1</f>
        <v>0</v>
      </c>
      <c r="T15" s="30">
        <f>('TE BE'!$V$15+'TE BF'!$V$15+'TE CVA'!$V$15)*1</f>
        <v>0</v>
      </c>
      <c r="U15" s="30">
        <f>('TE BE'!$X$15+'TE BF'!$X$15+'TE CVA'!$X$15)*1</f>
        <v>-15.060960319602618</v>
      </c>
      <c r="V15" s="30">
        <f>('TE BE'!$Z$15+'TE BF'!$Z$15+'TE CVA'!$Z$15)*1</f>
        <v>4.7266311293982382</v>
      </c>
      <c r="W15" s="30"/>
      <c r="X15" s="30">
        <v>2.3187839097810601</v>
      </c>
      <c r="Y15" s="30">
        <v>68.505017061817995</v>
      </c>
      <c r="Z15" s="30">
        <v>0</v>
      </c>
      <c r="AA15" s="30">
        <v>0</v>
      </c>
      <c r="AB15" s="30">
        <v>-17.197125811903</v>
      </c>
      <c r="AC15" s="30">
        <v>160.593604866616</v>
      </c>
      <c r="AD15" s="30">
        <v>0</v>
      </c>
      <c r="AE15" s="30">
        <v>0</v>
      </c>
      <c r="AF15" s="30">
        <v>0</v>
      </c>
      <c r="AG15" s="30">
        <v>-15.0589864436641</v>
      </c>
      <c r="AH15" s="30">
        <v>4.7291652918798501</v>
      </c>
    </row>
    <row r="16" spans="1:34" ht="11.25" customHeight="1" x14ac:dyDescent="0.25">
      <c r="A16" s="129"/>
      <c r="B16" s="129" t="s">
        <v>86</v>
      </c>
      <c r="C16" s="129" t="s">
        <v>24</v>
      </c>
      <c r="D16" s="100" t="s">
        <v>24</v>
      </c>
      <c r="E16" s="100" t="s">
        <v>25</v>
      </c>
      <c r="F16" s="100" t="s">
        <v>25</v>
      </c>
      <c r="G16" s="32" t="s">
        <v>84</v>
      </c>
      <c r="H16" s="32" t="s">
        <v>79</v>
      </c>
      <c r="I16" s="32">
        <f>'MERCADO TE'!$U$13</f>
        <v>451723.65600000008</v>
      </c>
      <c r="J16" s="17"/>
      <c r="L16" s="30">
        <f>('TE BE'!$L$16+'TE BF'!$L$16+'TE CVA'!$L$16)*1</f>
        <v>2.3178389475020338</v>
      </c>
      <c r="M16" s="30">
        <f>('TE BE'!$M$16+'TE BF'!$M$16+'TE CVA'!$M$16)*1</f>
        <v>68.505017061818037</v>
      </c>
      <c r="N16" s="30">
        <f>('TE BE'!$N$16+'TE BF'!$N$16+'TE CVA'!$N$16)*1</f>
        <v>0</v>
      </c>
      <c r="O16" s="30">
        <f>('TE BE'!$O$16+'TE BF'!$O$16+'TE CVA'!$O$16)*1</f>
        <v>11.803829801518312</v>
      </c>
      <c r="P16" s="30">
        <f>('TE BE'!$P$16+'TE BF'!$P$16+'TE CVA'!$P$16)*1</f>
        <v>-17.197125811903035</v>
      </c>
      <c r="Q16" s="30">
        <f>('TE BE'!$R$16+'TE BF'!$R$16+'TE CVA'!$R$16)*1</f>
        <v>170.13800241726895</v>
      </c>
      <c r="R16" s="30">
        <f>('TE BE'!$T$16+'TE BF'!$T$16+'TE CVA'!$T$16)*1</f>
        <v>0</v>
      </c>
      <c r="S16" s="30">
        <f>('TE BE'!$U$16+'TE BF'!$U$16+'TE CVA'!$U$16)*1</f>
        <v>0</v>
      </c>
      <c r="T16" s="30">
        <f>('TE BE'!$V$16+'TE BF'!$V$16+'TE CVA'!$V$16)*1</f>
        <v>0</v>
      </c>
      <c r="U16" s="30">
        <f>('TE BE'!$X$16+'TE BF'!$X$16+'TE CVA'!$X$16)*1</f>
        <v>-15.814580483846418</v>
      </c>
      <c r="V16" s="30">
        <f>('TE BE'!$Z$16+'TE BF'!$Z$16+'TE CVA'!$Z$16)*1</f>
        <v>4.7266311293982382</v>
      </c>
      <c r="W16" s="30"/>
      <c r="X16" s="30">
        <v>2.3187839097810601</v>
      </c>
      <c r="Y16" s="30">
        <v>68.505017061817995</v>
      </c>
      <c r="Z16" s="30">
        <v>0</v>
      </c>
      <c r="AA16" s="30">
        <v>0</v>
      </c>
      <c r="AB16" s="30">
        <v>-17.197125811903</v>
      </c>
      <c r="AC16" s="30">
        <v>170.229221158613</v>
      </c>
      <c r="AD16" s="30">
        <v>0</v>
      </c>
      <c r="AE16" s="30">
        <v>0</v>
      </c>
      <c r="AF16" s="30">
        <v>0</v>
      </c>
      <c r="AG16" s="30">
        <v>-15.8125532499774</v>
      </c>
      <c r="AH16" s="30">
        <v>4.7291652918798501</v>
      </c>
    </row>
    <row r="17" spans="1:34" ht="11.25" customHeight="1" x14ac:dyDescent="0.25">
      <c r="A17" s="129"/>
      <c r="B17" s="129"/>
      <c r="C17" s="129"/>
      <c r="D17" s="100" t="s">
        <v>29</v>
      </c>
      <c r="E17" s="100" t="s">
        <v>25</v>
      </c>
      <c r="F17" s="100" t="s">
        <v>25</v>
      </c>
      <c r="G17" s="32" t="s">
        <v>84</v>
      </c>
      <c r="H17" s="32" t="s">
        <v>79</v>
      </c>
      <c r="I17" s="32">
        <f>'MERCADO TE'!$U$14</f>
        <v>15278.746999999999</v>
      </c>
      <c r="J17" s="17"/>
      <c r="L17" s="30">
        <f>('TE BE'!$L$17+'TE BF'!$L$17+'TE CVA'!$L$17)*(1 - 0.65)</f>
        <v>0.81124363162571178</v>
      </c>
      <c r="M17" s="30">
        <f>('TE BE'!$M$17+'TE BF'!$M$17+'TE CVA'!$M$17)*(1 - 0.65)</f>
        <v>23.976755971636312</v>
      </c>
      <c r="N17" s="30">
        <f>('TE BE'!$N$17+'TE BF'!$N$17+'TE CVA'!$N$17)*(1 - 0.65)</f>
        <v>0</v>
      </c>
      <c r="O17" s="30">
        <f>('TE BE'!$O$17+'TE BF'!$O$17+'TE CVA'!$O$17)*(1 - 0.65)</f>
        <v>4.1313404305314085</v>
      </c>
      <c r="P17" s="30">
        <f>('TE BE'!$P$17+'TE BF'!$P$17+'TE CVA'!$P$17)*(1 - 0.65)</f>
        <v>-6.0189940341660622</v>
      </c>
      <c r="Q17" s="30">
        <f>('TE BE'!$R$17+'TE BF'!$R$17+'TE CVA'!$R$17)*(1 - 0.65)</f>
        <v>59.548300846044128</v>
      </c>
      <c r="R17" s="30">
        <f>('TE BE'!$T$17+'TE BF'!$T$17+'TE CVA'!$T$17)*(1 - 0.65)</f>
        <v>0</v>
      </c>
      <c r="S17" s="30">
        <f>('TE BE'!$U$17+'TE BF'!$U$17+'TE CVA'!$U$17)*(1 - 0.65)</f>
        <v>0</v>
      </c>
      <c r="T17" s="30">
        <f>('TE BE'!$V$17+'TE BF'!$V$17+'TE CVA'!$V$17)*(1 - 0.65)</f>
        <v>0</v>
      </c>
      <c r="U17" s="30">
        <f>('TE BE'!$X$17+'TE BF'!$X$17+'TE CVA'!$X$17)*(1 - 0.65)</f>
        <v>-5.5351031693462458</v>
      </c>
      <c r="V17" s="30">
        <f>('TE BE'!$Z$17+'TE BF'!$Z$17+'TE CVA'!$Z$17)*(1 - 0.65)</f>
        <v>1.6543208952893833</v>
      </c>
      <c r="W17" s="30"/>
      <c r="X17" s="30">
        <v>0.81157436842337205</v>
      </c>
      <c r="Y17" s="30">
        <v>23.976755971636301</v>
      </c>
      <c r="Z17" s="30">
        <v>0</v>
      </c>
      <c r="AA17" s="30">
        <v>0</v>
      </c>
      <c r="AB17" s="30">
        <v>-6.0189940341660604</v>
      </c>
      <c r="AC17" s="30">
        <v>59.580227405514698</v>
      </c>
      <c r="AD17" s="30">
        <v>0</v>
      </c>
      <c r="AE17" s="30">
        <v>0</v>
      </c>
      <c r="AF17" s="30">
        <v>0</v>
      </c>
      <c r="AG17" s="30">
        <v>-5.5343936374920801</v>
      </c>
      <c r="AH17" s="30">
        <v>1.6552078521579501</v>
      </c>
    </row>
    <row r="18" spans="1:34" ht="11.25" customHeight="1" x14ac:dyDescent="0.25">
      <c r="A18" s="129"/>
      <c r="B18" s="129"/>
      <c r="C18" s="129"/>
      <c r="D18" s="100" t="s">
        <v>30</v>
      </c>
      <c r="E18" s="100" t="s">
        <v>25</v>
      </c>
      <c r="F18" s="100" t="s">
        <v>25</v>
      </c>
      <c r="G18" s="32" t="s">
        <v>84</v>
      </c>
      <c r="H18" s="32" t="s">
        <v>79</v>
      </c>
      <c r="I18" s="32">
        <f>'MERCADO TE'!$U$15</f>
        <v>21966.755000000005</v>
      </c>
      <c r="J18" s="17"/>
      <c r="L18" s="30">
        <f>('TE BE'!$L$18+'TE BF'!$L$18+'TE CVA'!$L$18)*(1 - 0.4)</f>
        <v>1.3907033685012202</v>
      </c>
      <c r="M18" s="30">
        <f>('TE BE'!$M$18+'TE BF'!$M$18+'TE CVA'!$M$18)*(1 - 0.4)</f>
        <v>41.103010237090821</v>
      </c>
      <c r="N18" s="30">
        <f>('TE BE'!$N$18+'TE BF'!$N$18+'TE CVA'!$N$18)*(1 - 0.4)</f>
        <v>0</v>
      </c>
      <c r="O18" s="30">
        <f>('TE BE'!$O$18+'TE BF'!$O$18+'TE CVA'!$O$18)*(1 - 0.4)</f>
        <v>7.0822978809109864</v>
      </c>
      <c r="P18" s="30">
        <f>('TE BE'!$P$18+'TE BF'!$P$18+'TE CVA'!$P$18)*(1 - 0.4)</f>
        <v>-10.31827548714182</v>
      </c>
      <c r="Q18" s="30">
        <f>('TE BE'!$R$18+'TE BF'!$R$18+'TE CVA'!$R$18)*(1 - 0.4)</f>
        <v>102.08280145036137</v>
      </c>
      <c r="R18" s="30">
        <f>('TE BE'!$T$18+'TE BF'!$T$18+'TE CVA'!$T$18)*(1 - 0.4)</f>
        <v>0</v>
      </c>
      <c r="S18" s="30">
        <f>('TE BE'!$U$18+'TE BF'!$U$18+'TE CVA'!$U$18)*(1 - 0.4)</f>
        <v>0</v>
      </c>
      <c r="T18" s="30">
        <f>('TE BE'!$V$18+'TE BF'!$V$18+'TE CVA'!$V$18)*(1 - 0.4)</f>
        <v>0</v>
      </c>
      <c r="U18" s="30">
        <f>('TE BE'!$X$18+'TE BF'!$X$18+'TE CVA'!$X$18)*(1 - 0.4)</f>
        <v>-9.4887482903078499</v>
      </c>
      <c r="V18" s="30">
        <f>('TE BE'!$Z$18+'TE BF'!$Z$18+'TE CVA'!$Z$18)*(1 - 0.4)</f>
        <v>2.8359786776389426</v>
      </c>
      <c r="W18" s="30"/>
      <c r="X18" s="30">
        <v>1.39127034586864</v>
      </c>
      <c r="Y18" s="30">
        <v>41.1030102370908</v>
      </c>
      <c r="Z18" s="30">
        <v>0</v>
      </c>
      <c r="AA18" s="30">
        <v>0</v>
      </c>
      <c r="AB18" s="30">
        <v>-10.318275487141801</v>
      </c>
      <c r="AC18" s="30">
        <v>102.13753269516801</v>
      </c>
      <c r="AD18" s="30">
        <v>0</v>
      </c>
      <c r="AE18" s="30">
        <v>0</v>
      </c>
      <c r="AF18" s="30">
        <v>0</v>
      </c>
      <c r="AG18" s="30">
        <v>-9.4875319499864297</v>
      </c>
      <c r="AH18" s="30">
        <v>2.8374991751279102</v>
      </c>
    </row>
    <row r="19" spans="1:34" ht="11.25" customHeight="1" x14ac:dyDescent="0.25">
      <c r="A19" s="129"/>
      <c r="B19" s="129"/>
      <c r="C19" s="129"/>
      <c r="D19" s="100" t="s">
        <v>31</v>
      </c>
      <c r="E19" s="100" t="s">
        <v>25</v>
      </c>
      <c r="F19" s="100" t="s">
        <v>25</v>
      </c>
      <c r="G19" s="32" t="s">
        <v>84</v>
      </c>
      <c r="H19" s="32" t="s">
        <v>79</v>
      </c>
      <c r="I19" s="32">
        <f>'MERCADO TE'!$U$16</f>
        <v>24083.450999999997</v>
      </c>
      <c r="J19" s="17"/>
      <c r="L19" s="30">
        <f>('TE BE'!$L$19+'TE BF'!$L$19+'TE CVA'!$L$19)*(1 - 0.1)</f>
        <v>2.0860550527518305</v>
      </c>
      <c r="M19" s="30">
        <f>('TE BE'!$M$19+'TE BF'!$M$19+'TE CVA'!$M$19)*(1 - 0.1)</f>
        <v>61.654515355636235</v>
      </c>
      <c r="N19" s="30">
        <f>('TE BE'!$N$19+'TE BF'!$N$19+'TE CVA'!$N$19)*(1 - 0.1)</f>
        <v>0</v>
      </c>
      <c r="O19" s="30">
        <f>('TE BE'!$O$19+'TE BF'!$O$19+'TE CVA'!$O$19)*(1 - 0.1)</f>
        <v>10.62344682136648</v>
      </c>
      <c r="P19" s="30">
        <f>('TE BE'!$P$19+'TE BF'!$P$19+'TE CVA'!$P$19)*(1 - 0.1)</f>
        <v>-15.477413230712733</v>
      </c>
      <c r="Q19" s="30">
        <f>('TE BE'!$R$19+'TE BF'!$R$19+'TE CVA'!$R$19)*(1 - 0.1)</f>
        <v>153.12420217554205</v>
      </c>
      <c r="R19" s="30">
        <f>('TE BE'!$T$19+'TE BF'!$T$19+'TE CVA'!$T$19)*(1 - 0.1)</f>
        <v>0</v>
      </c>
      <c r="S19" s="30">
        <f>('TE BE'!$U$19+'TE BF'!$U$19+'TE CVA'!$U$19)*(1 - 0.1)</f>
        <v>0</v>
      </c>
      <c r="T19" s="30">
        <f>('TE BE'!$V$19+'TE BF'!$V$19+'TE CVA'!$V$19)*(1 - 0.1)</f>
        <v>0</v>
      </c>
      <c r="U19" s="30">
        <f>('TE BE'!$X$19+'TE BF'!$X$19+'TE CVA'!$X$19)*(1 - 0.1)</f>
        <v>-14.233122435461777</v>
      </c>
      <c r="V19" s="30">
        <f>('TE BE'!$Z$19+'TE BF'!$Z$19+'TE CVA'!$Z$19)*(1 - 0.1)</f>
        <v>4.2539680164584146</v>
      </c>
      <c r="W19" s="30"/>
      <c r="X19" s="30">
        <v>2.0869055188029599</v>
      </c>
      <c r="Y19" s="30">
        <v>61.6545153556362</v>
      </c>
      <c r="Z19" s="30">
        <v>0</v>
      </c>
      <c r="AA19" s="30">
        <v>0</v>
      </c>
      <c r="AB19" s="30">
        <v>-15.477413230712701</v>
      </c>
      <c r="AC19" s="30">
        <v>153.20629904275199</v>
      </c>
      <c r="AD19" s="30">
        <v>0</v>
      </c>
      <c r="AE19" s="30">
        <v>0</v>
      </c>
      <c r="AF19" s="30">
        <v>0</v>
      </c>
      <c r="AG19" s="30">
        <v>-14.2312979249796</v>
      </c>
      <c r="AH19" s="30">
        <v>4.2562487626918699</v>
      </c>
    </row>
    <row r="20" spans="1:34" ht="11.25" customHeight="1" x14ac:dyDescent="0.25">
      <c r="A20" s="129"/>
      <c r="B20" s="129"/>
      <c r="C20" s="129"/>
      <c r="D20" s="100" t="s">
        <v>32</v>
      </c>
      <c r="E20" s="100" t="s">
        <v>25</v>
      </c>
      <c r="F20" s="100" t="s">
        <v>25</v>
      </c>
      <c r="G20" s="32" t="s">
        <v>84</v>
      </c>
      <c r="H20" s="32" t="s">
        <v>79</v>
      </c>
      <c r="I20" s="32">
        <f>'MERCADO TE'!$U$17</f>
        <v>30371.136999999999</v>
      </c>
      <c r="J20" s="17"/>
      <c r="L20" s="30">
        <f>('TE BE'!$L$20+'TE BF'!$L$20+'TE CVA'!$L$20)*1</f>
        <v>2.3178389475020338</v>
      </c>
      <c r="M20" s="30">
        <f>('TE BE'!$M$20+'TE BF'!$M$20+'TE CVA'!$M$20)*1</f>
        <v>68.505017061818037</v>
      </c>
      <c r="N20" s="30">
        <f>('TE BE'!$N$20+'TE BF'!$N$20+'TE CVA'!$N$20)*1</f>
        <v>0</v>
      </c>
      <c r="O20" s="30">
        <f>('TE BE'!$O$20+'TE BF'!$O$20+'TE CVA'!$O$20)*1</f>
        <v>11.803829801518312</v>
      </c>
      <c r="P20" s="30">
        <f>('TE BE'!$P$20+'TE BF'!$P$20+'TE CVA'!$P$20)*1</f>
        <v>-17.197125811903035</v>
      </c>
      <c r="Q20" s="30">
        <f>('TE BE'!$R$20+'TE BF'!$R$20+'TE CVA'!$R$20)*1</f>
        <v>170.13800241726895</v>
      </c>
      <c r="R20" s="30">
        <f>('TE BE'!$T$20+'TE BF'!$T$20+'TE CVA'!$T$20)*1</f>
        <v>0</v>
      </c>
      <c r="S20" s="30">
        <f>('TE BE'!$U$20+'TE BF'!$U$20+'TE CVA'!$U$20)*1</f>
        <v>0</v>
      </c>
      <c r="T20" s="30">
        <f>('TE BE'!$V$20+'TE BF'!$V$20+'TE CVA'!$V$20)*1</f>
        <v>0</v>
      </c>
      <c r="U20" s="30">
        <f>('TE BE'!$X$20+'TE BF'!$X$20+'TE CVA'!$X$20)*1</f>
        <v>-15.814580483846418</v>
      </c>
      <c r="V20" s="30">
        <f>('TE BE'!$Z$20+'TE BF'!$Z$20+'TE CVA'!$Z$20)*1</f>
        <v>4.7266311293982382</v>
      </c>
      <c r="W20" s="30"/>
      <c r="X20" s="30">
        <v>2.3187839097810601</v>
      </c>
      <c r="Y20" s="30">
        <v>68.505017061817995</v>
      </c>
      <c r="Z20" s="30">
        <v>0</v>
      </c>
      <c r="AA20" s="30">
        <v>0</v>
      </c>
      <c r="AB20" s="30">
        <v>-17.197125811903</v>
      </c>
      <c r="AC20" s="30">
        <v>170.229221158613</v>
      </c>
      <c r="AD20" s="30">
        <v>0</v>
      </c>
      <c r="AE20" s="30">
        <v>0</v>
      </c>
      <c r="AF20" s="30">
        <v>0</v>
      </c>
      <c r="AG20" s="30">
        <v>-15.8125532499774</v>
      </c>
      <c r="AH20" s="30">
        <v>4.7291652918798501</v>
      </c>
    </row>
    <row r="21" spans="1:34" ht="11.25" customHeight="1" x14ac:dyDescent="0.25">
      <c r="A21" s="129"/>
      <c r="B21" s="129" t="s">
        <v>91</v>
      </c>
      <c r="C21" s="129" t="s">
        <v>24</v>
      </c>
      <c r="D21" s="100" t="s">
        <v>24</v>
      </c>
      <c r="E21" s="100" t="s">
        <v>25</v>
      </c>
      <c r="F21" s="100" t="s">
        <v>25</v>
      </c>
      <c r="G21" s="32" t="s">
        <v>84</v>
      </c>
      <c r="H21" s="32" t="s">
        <v>79</v>
      </c>
      <c r="I21" s="32">
        <f>'MERCADO TE'!$U$18</f>
        <v>0</v>
      </c>
      <c r="J21" s="17"/>
      <c r="L21" s="30">
        <f>('TE BE'!$L$21+'TE BF'!$L$21+'TE CVA'!$L$21)*1</f>
        <v>2.3178389475020338</v>
      </c>
      <c r="M21" s="30">
        <f>('TE BE'!$M$21+'TE BF'!$M$21+'TE CVA'!$M$21)*1</f>
        <v>68.505017061818037</v>
      </c>
      <c r="N21" s="30">
        <f>('TE BE'!$N$21+'TE BF'!$N$21+'TE CVA'!$N$21)*1</f>
        <v>0</v>
      </c>
      <c r="O21" s="30">
        <f>('TE BE'!$O$21+'TE BF'!$O$21+'TE CVA'!$O$21)*1</f>
        <v>11.803829801518312</v>
      </c>
      <c r="P21" s="30">
        <f>('TE BE'!$P$21+'TE BF'!$P$21+'TE CVA'!$P$21)*1</f>
        <v>-17.197125811903035</v>
      </c>
      <c r="Q21" s="30">
        <f>('TE BE'!$R$21+'TE BF'!$R$21+'TE CVA'!$R$21)*1</f>
        <v>170.13800241726895</v>
      </c>
      <c r="R21" s="30">
        <f>('TE BE'!$T$21+'TE BF'!$T$21+'TE CVA'!$T$21)*1</f>
        <v>0</v>
      </c>
      <c r="S21" s="30">
        <f>('TE BE'!$U$21+'TE BF'!$U$21+'TE CVA'!$U$21)*1</f>
        <v>0</v>
      </c>
      <c r="T21" s="30">
        <f>('TE BE'!$V$21+'TE BF'!$V$21+'TE CVA'!$V$21)*1</f>
        <v>0</v>
      </c>
      <c r="U21" s="30">
        <f>('TE BE'!$X$21+'TE BF'!$X$21+'TE CVA'!$X$21)*1</f>
        <v>-15.814580483846418</v>
      </c>
      <c r="V21" s="30">
        <f>('TE BE'!$Z$21+'TE BF'!$Z$21+'TE CVA'!$Z$21)*1</f>
        <v>4.7266311293982382</v>
      </c>
      <c r="W21" s="30"/>
      <c r="X21" s="30">
        <v>2.3187839097810601</v>
      </c>
      <c r="Y21" s="30">
        <v>68.505017061817995</v>
      </c>
      <c r="Z21" s="30">
        <v>0</v>
      </c>
      <c r="AA21" s="30">
        <v>0</v>
      </c>
      <c r="AB21" s="30">
        <v>-17.197125811903</v>
      </c>
      <c r="AC21" s="30">
        <v>170.229221158613</v>
      </c>
      <c r="AD21" s="30">
        <v>0</v>
      </c>
      <c r="AE21" s="30">
        <v>0</v>
      </c>
      <c r="AF21" s="30">
        <v>0</v>
      </c>
      <c r="AG21" s="30">
        <v>-15.8125532499774</v>
      </c>
      <c r="AH21" s="30">
        <v>4.7291652918798501</v>
      </c>
    </row>
    <row r="22" spans="1:34" ht="11.25" customHeight="1" x14ac:dyDescent="0.25">
      <c r="A22" s="129"/>
      <c r="B22" s="129"/>
      <c r="C22" s="129"/>
      <c r="D22" s="100" t="s">
        <v>29</v>
      </c>
      <c r="E22" s="100" t="s">
        <v>25</v>
      </c>
      <c r="F22" s="100" t="s">
        <v>25</v>
      </c>
      <c r="G22" s="32" t="s">
        <v>84</v>
      </c>
      <c r="H22" s="32" t="s">
        <v>79</v>
      </c>
      <c r="I22" s="32">
        <f>'MERCADO TE'!$U$19</f>
        <v>0</v>
      </c>
      <c r="J22" s="17"/>
      <c r="L22" s="30">
        <f>('TE BE'!$L$22+'TE BF'!$L$22+'TE CVA'!$L$22)*(1 - 0.65)</f>
        <v>0.81124363162571178</v>
      </c>
      <c r="M22" s="30">
        <f>('TE BE'!$M$22+'TE BF'!$M$22+'TE CVA'!$M$22)*(1 - 0.65)</f>
        <v>23.976755971636312</v>
      </c>
      <c r="N22" s="30">
        <f>('TE BE'!$N$22+'TE BF'!$N$22+'TE CVA'!$N$22)*(1 - 0.65)</f>
        <v>0</v>
      </c>
      <c r="O22" s="30">
        <f>('TE BE'!$O$22+'TE BF'!$O$22+'TE CVA'!$O$22)*(1 - 0.65)</f>
        <v>4.1313404305314085</v>
      </c>
      <c r="P22" s="30">
        <f>('TE BE'!$P$22+'TE BF'!$P$22+'TE CVA'!$P$22)*(1 - 0.65)</f>
        <v>-6.0189940341660622</v>
      </c>
      <c r="Q22" s="30">
        <f>('TE BE'!$R$22+'TE BF'!$R$22+'TE CVA'!$R$22)*(1 - 0.65)</f>
        <v>59.548300846044128</v>
      </c>
      <c r="R22" s="30">
        <f>('TE BE'!$T$22+'TE BF'!$T$22+'TE CVA'!$T$22)*(1 - 0.65)</f>
        <v>0</v>
      </c>
      <c r="S22" s="30">
        <f>('TE BE'!$U$22+'TE BF'!$U$22+'TE CVA'!$U$22)*(1 - 0.65)</f>
        <v>0</v>
      </c>
      <c r="T22" s="30">
        <f>('TE BE'!$V$22+'TE BF'!$V$22+'TE CVA'!$V$22)*(1 - 0.65)</f>
        <v>0</v>
      </c>
      <c r="U22" s="30">
        <f>('TE BE'!$X$22+'TE BF'!$X$22+'TE CVA'!$X$22)*(1 - 0.65)</f>
        <v>-5.5351031693462458</v>
      </c>
      <c r="V22" s="30">
        <f>('TE BE'!$Z$22+'TE BF'!$Z$22+'TE CVA'!$Z$22)*(1 - 0.65)</f>
        <v>1.6543208952893833</v>
      </c>
      <c r="W22" s="30"/>
      <c r="X22" s="30">
        <v>0.81157436842337205</v>
      </c>
      <c r="Y22" s="30">
        <v>23.976755971636301</v>
      </c>
      <c r="Z22" s="30">
        <v>0</v>
      </c>
      <c r="AA22" s="30">
        <v>0</v>
      </c>
      <c r="AB22" s="30">
        <v>-6.0189940341660604</v>
      </c>
      <c r="AC22" s="30">
        <v>59.580227405514698</v>
      </c>
      <c r="AD22" s="30">
        <v>0</v>
      </c>
      <c r="AE22" s="30">
        <v>0</v>
      </c>
      <c r="AF22" s="30">
        <v>0</v>
      </c>
      <c r="AG22" s="30">
        <v>-5.5343936374920801</v>
      </c>
      <c r="AH22" s="30">
        <v>1.6552078521579501</v>
      </c>
    </row>
    <row r="23" spans="1:34" ht="11.25" customHeight="1" x14ac:dyDescent="0.25">
      <c r="A23" s="129"/>
      <c r="B23" s="129"/>
      <c r="C23" s="129"/>
      <c r="D23" s="100" t="s">
        <v>30</v>
      </c>
      <c r="E23" s="100" t="s">
        <v>25</v>
      </c>
      <c r="F23" s="100" t="s">
        <v>25</v>
      </c>
      <c r="G23" s="32" t="s">
        <v>84</v>
      </c>
      <c r="H23" s="32" t="s">
        <v>79</v>
      </c>
      <c r="I23" s="32">
        <f>'MERCADO TE'!$U$20</f>
        <v>0</v>
      </c>
      <c r="J23" s="17"/>
      <c r="L23" s="30">
        <f>('TE BE'!$L$23+'TE BF'!$L$23+'TE CVA'!$L$23)*(1 - 0.4)</f>
        <v>1.3907033685012202</v>
      </c>
      <c r="M23" s="30">
        <f>('TE BE'!$M$23+'TE BF'!$M$23+'TE CVA'!$M$23)*(1 - 0.4)</f>
        <v>41.103010237090821</v>
      </c>
      <c r="N23" s="30">
        <f>('TE BE'!$N$23+'TE BF'!$N$23+'TE CVA'!$N$23)*(1 - 0.4)</f>
        <v>0</v>
      </c>
      <c r="O23" s="30">
        <f>('TE BE'!$O$23+'TE BF'!$O$23+'TE CVA'!$O$23)*(1 - 0.4)</f>
        <v>7.0822978809109864</v>
      </c>
      <c r="P23" s="30">
        <f>('TE BE'!$P$23+'TE BF'!$P$23+'TE CVA'!$P$23)*(1 - 0.4)</f>
        <v>-10.31827548714182</v>
      </c>
      <c r="Q23" s="30">
        <f>('TE BE'!$R$23+'TE BF'!$R$23+'TE CVA'!$R$23)*(1 - 0.4)</f>
        <v>102.08280145036137</v>
      </c>
      <c r="R23" s="30">
        <f>('TE BE'!$T$23+'TE BF'!$T$23+'TE CVA'!$T$23)*(1 - 0.4)</f>
        <v>0</v>
      </c>
      <c r="S23" s="30">
        <f>('TE BE'!$U$23+'TE BF'!$U$23+'TE CVA'!$U$23)*(1 - 0.4)</f>
        <v>0</v>
      </c>
      <c r="T23" s="30">
        <f>('TE BE'!$V$23+'TE BF'!$V$23+'TE CVA'!$V$23)*(1 - 0.4)</f>
        <v>0</v>
      </c>
      <c r="U23" s="30">
        <f>('TE BE'!$X$23+'TE BF'!$X$23+'TE CVA'!$X$23)*(1 - 0.4)</f>
        <v>-9.4887482903078499</v>
      </c>
      <c r="V23" s="30">
        <f>('TE BE'!$Z$23+'TE BF'!$Z$23+'TE CVA'!$Z$23)*(1 - 0.4)</f>
        <v>2.8359786776389426</v>
      </c>
      <c r="W23" s="30"/>
      <c r="X23" s="30">
        <v>1.39127034586864</v>
      </c>
      <c r="Y23" s="30">
        <v>41.1030102370908</v>
      </c>
      <c r="Z23" s="30">
        <v>0</v>
      </c>
      <c r="AA23" s="30">
        <v>0</v>
      </c>
      <c r="AB23" s="30">
        <v>-10.318275487141801</v>
      </c>
      <c r="AC23" s="30">
        <v>102.13753269516801</v>
      </c>
      <c r="AD23" s="30">
        <v>0</v>
      </c>
      <c r="AE23" s="30">
        <v>0</v>
      </c>
      <c r="AF23" s="30">
        <v>0</v>
      </c>
      <c r="AG23" s="30">
        <v>-9.4875319499864297</v>
      </c>
      <c r="AH23" s="30">
        <v>2.8374991751279102</v>
      </c>
    </row>
    <row r="24" spans="1:34" ht="11.25" customHeight="1" x14ac:dyDescent="0.25">
      <c r="A24" s="129"/>
      <c r="B24" s="129"/>
      <c r="C24" s="129"/>
      <c r="D24" s="100" t="s">
        <v>31</v>
      </c>
      <c r="E24" s="100" t="s">
        <v>25</v>
      </c>
      <c r="F24" s="100" t="s">
        <v>25</v>
      </c>
      <c r="G24" s="32" t="s">
        <v>84</v>
      </c>
      <c r="H24" s="32" t="s">
        <v>79</v>
      </c>
      <c r="I24" s="32">
        <f>'MERCADO TE'!$U$21</f>
        <v>0</v>
      </c>
      <c r="J24" s="17"/>
      <c r="L24" s="30">
        <f>('TE BE'!$L$24+'TE BF'!$L$24+'TE CVA'!$L$24)*(1 - 0.1)</f>
        <v>2.0860550527518305</v>
      </c>
      <c r="M24" s="30">
        <f>('TE BE'!$M$24+'TE BF'!$M$24+'TE CVA'!$M$24)*(1 - 0.1)</f>
        <v>61.654515355636235</v>
      </c>
      <c r="N24" s="30">
        <f>('TE BE'!$N$24+'TE BF'!$N$24+'TE CVA'!$N$24)*(1 - 0.1)</f>
        <v>0</v>
      </c>
      <c r="O24" s="30">
        <f>('TE BE'!$O$24+'TE BF'!$O$24+'TE CVA'!$O$24)*(1 - 0.1)</f>
        <v>10.62344682136648</v>
      </c>
      <c r="P24" s="30">
        <f>('TE BE'!$P$24+'TE BF'!$P$24+'TE CVA'!$P$24)*(1 - 0.1)</f>
        <v>-15.477413230712733</v>
      </c>
      <c r="Q24" s="30">
        <f>('TE BE'!$R$24+'TE BF'!$R$24+'TE CVA'!$R$24)*(1 - 0.1)</f>
        <v>153.12420217554205</v>
      </c>
      <c r="R24" s="30">
        <f>('TE BE'!$T$24+'TE BF'!$T$24+'TE CVA'!$T$24)*(1 - 0.1)</f>
        <v>0</v>
      </c>
      <c r="S24" s="30">
        <f>('TE BE'!$U$24+'TE BF'!$U$24+'TE CVA'!$U$24)*(1 - 0.1)</f>
        <v>0</v>
      </c>
      <c r="T24" s="30">
        <f>('TE BE'!$V$24+'TE BF'!$V$24+'TE CVA'!$V$24)*(1 - 0.1)</f>
        <v>0</v>
      </c>
      <c r="U24" s="30">
        <f>('TE BE'!$X$24+'TE BF'!$X$24+'TE CVA'!$X$24)*(1 - 0.1)</f>
        <v>-14.233122435461777</v>
      </c>
      <c r="V24" s="30">
        <f>('TE BE'!$Z$24+'TE BF'!$Z$24+'TE CVA'!$Z$24)*(1 - 0.1)</f>
        <v>4.2539680164584146</v>
      </c>
      <c r="W24" s="30"/>
      <c r="X24" s="30">
        <v>2.0869055188029599</v>
      </c>
      <c r="Y24" s="30">
        <v>61.6545153556362</v>
      </c>
      <c r="Z24" s="30">
        <v>0</v>
      </c>
      <c r="AA24" s="30">
        <v>0</v>
      </c>
      <c r="AB24" s="30">
        <v>-15.477413230712701</v>
      </c>
      <c r="AC24" s="30">
        <v>153.20629904275199</v>
      </c>
      <c r="AD24" s="30">
        <v>0</v>
      </c>
      <c r="AE24" s="30">
        <v>0</v>
      </c>
      <c r="AF24" s="30">
        <v>0</v>
      </c>
      <c r="AG24" s="30">
        <v>-14.2312979249796</v>
      </c>
      <c r="AH24" s="30">
        <v>4.2562487626918699</v>
      </c>
    </row>
    <row r="25" spans="1:34" ht="11.25" customHeight="1" x14ac:dyDescent="0.25">
      <c r="A25" s="129"/>
      <c r="B25" s="129"/>
      <c r="C25" s="129"/>
      <c r="D25" s="100" t="s">
        <v>32</v>
      </c>
      <c r="E25" s="100" t="s">
        <v>25</v>
      </c>
      <c r="F25" s="100" t="s">
        <v>25</v>
      </c>
      <c r="G25" s="32" t="s">
        <v>84</v>
      </c>
      <c r="H25" s="32" t="s">
        <v>79</v>
      </c>
      <c r="I25" s="32">
        <f>'MERCADO TE'!$U$22</f>
        <v>0</v>
      </c>
      <c r="J25" s="17"/>
      <c r="L25" s="30">
        <f>('TE BE'!$L$25+'TE BF'!$L$25+'TE CVA'!$L$25)*1</f>
        <v>2.3178389475020338</v>
      </c>
      <c r="M25" s="30">
        <f>('TE BE'!$M$25+'TE BF'!$M$25+'TE CVA'!$M$25)*1</f>
        <v>68.505017061818037</v>
      </c>
      <c r="N25" s="30">
        <f>('TE BE'!$N$25+'TE BF'!$N$25+'TE CVA'!$N$25)*1</f>
        <v>0</v>
      </c>
      <c r="O25" s="30">
        <f>('TE BE'!$O$25+'TE BF'!$O$25+'TE CVA'!$O$25)*1</f>
        <v>11.803829801518312</v>
      </c>
      <c r="P25" s="30">
        <f>('TE BE'!$P$25+'TE BF'!$P$25+'TE CVA'!$P$25)*1</f>
        <v>-17.197125811903035</v>
      </c>
      <c r="Q25" s="30">
        <f>('TE BE'!$R$25+'TE BF'!$R$25+'TE CVA'!$R$25)*1</f>
        <v>170.13800241726895</v>
      </c>
      <c r="R25" s="30">
        <f>('TE BE'!$T$25+'TE BF'!$T$25+'TE CVA'!$T$25)*1</f>
        <v>0</v>
      </c>
      <c r="S25" s="30">
        <f>('TE BE'!$U$25+'TE BF'!$U$25+'TE CVA'!$U$25)*1</f>
        <v>0</v>
      </c>
      <c r="T25" s="30">
        <f>('TE BE'!$V$25+'TE BF'!$V$25+'TE CVA'!$V$25)*1</f>
        <v>0</v>
      </c>
      <c r="U25" s="30">
        <f>('TE BE'!$X$25+'TE BF'!$X$25+'TE CVA'!$X$25)*1</f>
        <v>-15.814580483846418</v>
      </c>
      <c r="V25" s="30">
        <f>('TE BE'!$Z$25+'TE BF'!$Z$25+'TE CVA'!$Z$25)*1</f>
        <v>4.7266311293982382</v>
      </c>
      <c r="W25" s="30"/>
      <c r="X25" s="30">
        <v>2.3187839097810601</v>
      </c>
      <c r="Y25" s="30">
        <v>68.505017061817995</v>
      </c>
      <c r="Z25" s="30">
        <v>0</v>
      </c>
      <c r="AA25" s="30">
        <v>0</v>
      </c>
      <c r="AB25" s="30">
        <v>-17.197125811903</v>
      </c>
      <c r="AC25" s="30">
        <v>170.229221158613</v>
      </c>
      <c r="AD25" s="30">
        <v>0</v>
      </c>
      <c r="AE25" s="30">
        <v>0</v>
      </c>
      <c r="AF25" s="30">
        <v>0</v>
      </c>
      <c r="AG25" s="30">
        <v>-15.8125532499774</v>
      </c>
      <c r="AH25" s="30">
        <v>4.7291652918798501</v>
      </c>
    </row>
    <row r="26" spans="1:34" ht="11.25" customHeight="1" x14ac:dyDescent="0.25">
      <c r="A26" s="129" t="s">
        <v>45</v>
      </c>
      <c r="B26" s="129" t="s">
        <v>78</v>
      </c>
      <c r="C26" s="129" t="s">
        <v>46</v>
      </c>
      <c r="D26" s="129" t="s">
        <v>25</v>
      </c>
      <c r="E26" s="129" t="s">
        <v>25</v>
      </c>
      <c r="F26" s="129" t="s">
        <v>25</v>
      </c>
      <c r="G26" s="32" t="s">
        <v>80</v>
      </c>
      <c r="H26" s="32" t="s">
        <v>79</v>
      </c>
      <c r="I26" s="32">
        <f>'MERCADO TE'!$U$23</f>
        <v>0</v>
      </c>
      <c r="J26" s="17"/>
      <c r="L26" s="30">
        <f>('TE BE'!$L$26+'TE BF'!$L$26+'TE CVA'!$L$26)*(1 - CUSTOS!$M$38)</f>
        <v>2.1787686106519115</v>
      </c>
      <c r="M26" s="30">
        <f>('TE BE'!$M$26+'TE BF'!$M$26+'TE CVA'!$M$26)*(1 - CUSTOS!$M$38)</f>
        <v>64.394716038108953</v>
      </c>
      <c r="N26" s="30">
        <f>('TE BE'!$N$26+'TE BF'!$N$26+'TE CVA'!$N$26)*(1 - CUSTOS!$M$38)</f>
        <v>0</v>
      </c>
      <c r="O26" s="30">
        <f>('TE BE'!$O$26+'TE BF'!$O$26+'TE CVA'!$O$26)*(1 - CUSTOS!$M$38)</f>
        <v>11.095600013427212</v>
      </c>
      <c r="P26" s="30">
        <f>('TE BE'!$P$26+'TE BF'!$P$26+'TE CVA'!$P$26)*(1 - CUSTOS!$M$38)</f>
        <v>-16.165298263188852</v>
      </c>
      <c r="Q26" s="30">
        <f>('TE BE'!$R$26+'TE BF'!$R$26+'TE CVA'!$R$26)*(1 - CUSTOS!$M$38)</f>
        <v>259.50860595117018</v>
      </c>
      <c r="R26" s="30">
        <f>('TE BE'!$T$26+'TE BF'!$T$26+'TE CVA'!$T$26)*(1 - CUSTOS!$M$38)</f>
        <v>0</v>
      </c>
      <c r="S26" s="30">
        <f>('TE BE'!$U$26+'TE BF'!$U$26+'TE CVA'!$U$26)*(1 - CUSTOS!$M$38)</f>
        <v>0</v>
      </c>
      <c r="T26" s="30">
        <f>('TE BE'!$V$26+'TE BF'!$V$26+'TE CVA'!$V$26)*(1 - CUSTOS!$M$38)</f>
        <v>0</v>
      </c>
      <c r="U26" s="30">
        <f>('TE BE'!$X$26+'TE BF'!$X$26+'TE CVA'!$X$26)*(1 - CUSTOS!$M$38)</f>
        <v>-22.65813815309652</v>
      </c>
      <c r="V26" s="30">
        <f>('TE BE'!$Z$26+'TE BF'!$Z$26+'TE CVA'!$Z$26)*(1 - CUSTOS!$M$38)</f>
        <v>4.4430332616343433</v>
      </c>
      <c r="W26" s="30"/>
      <c r="X26" s="30">
        <v>2.1796568751941998</v>
      </c>
      <c r="Y26" s="30">
        <v>64.394716038108996</v>
      </c>
      <c r="Z26" s="30">
        <v>0</v>
      </c>
      <c r="AA26" s="30">
        <v>0</v>
      </c>
      <c r="AB26" s="30">
        <v>-16.165298263188902</v>
      </c>
      <c r="AC26" s="30">
        <v>259.647740348345</v>
      </c>
      <c r="AD26" s="30">
        <v>0</v>
      </c>
      <c r="AE26" s="30">
        <v>0</v>
      </c>
      <c r="AF26" s="30">
        <v>0</v>
      </c>
      <c r="AG26" s="30">
        <v>-22.655680832257602</v>
      </c>
      <c r="AH26" s="30">
        <v>4.4454153743670597</v>
      </c>
    </row>
    <row r="27" spans="1:34" ht="11.25" customHeight="1" x14ac:dyDescent="0.25">
      <c r="A27" s="129"/>
      <c r="B27" s="129"/>
      <c r="C27" s="129"/>
      <c r="D27" s="129"/>
      <c r="E27" s="129"/>
      <c r="F27" s="129"/>
      <c r="G27" s="32" t="s">
        <v>90</v>
      </c>
      <c r="H27" s="32" t="s">
        <v>79</v>
      </c>
      <c r="I27" s="32">
        <f>'MERCADO TE'!$U$24</f>
        <v>0</v>
      </c>
      <c r="J27" s="17"/>
      <c r="L27" s="30">
        <f>('TE BE'!$L$27+'TE BF'!$L$27+'TE CVA'!$L$27)*(1 - CUSTOS!$M$38)</f>
        <v>2.1787686106519115</v>
      </c>
      <c r="M27" s="30">
        <f>('TE BE'!$M$27+'TE BF'!$M$27+'TE CVA'!$M$27)*(1 - CUSTOS!$M$38)</f>
        <v>64.394716038108953</v>
      </c>
      <c r="N27" s="30">
        <f>('TE BE'!$N$27+'TE BF'!$N$27+'TE CVA'!$N$27)*(1 - CUSTOS!$M$38)</f>
        <v>0</v>
      </c>
      <c r="O27" s="30">
        <f>('TE BE'!$O$27+'TE BF'!$O$27+'TE CVA'!$O$27)*(1 - CUSTOS!$M$38)</f>
        <v>11.095600013427212</v>
      </c>
      <c r="P27" s="30">
        <f>('TE BE'!$P$27+'TE BF'!$P$27+'TE CVA'!$P$27)*(1 - CUSTOS!$M$38)</f>
        <v>-16.165298263188852</v>
      </c>
      <c r="Q27" s="30">
        <f>('TE BE'!$R$27+'TE BF'!$R$27+'TE CVA'!$R$27)*(1 - CUSTOS!$M$38)</f>
        <v>150.87709648323849</v>
      </c>
      <c r="R27" s="30">
        <f>('TE BE'!$T$27+'TE BF'!$T$27+'TE CVA'!$T$27)*(1 - CUSTOS!$M$38)</f>
        <v>0</v>
      </c>
      <c r="S27" s="30">
        <f>('TE BE'!$U$27+'TE BF'!$U$27+'TE CVA'!$U$27)*(1 - CUSTOS!$M$38)</f>
        <v>0</v>
      </c>
      <c r="T27" s="30">
        <f>('TE BE'!$V$27+'TE BF'!$V$27+'TE CVA'!$V$27)*(1 - CUSTOS!$M$38)</f>
        <v>0</v>
      </c>
      <c r="U27" s="30">
        <f>('TE BE'!$X$27+'TE BF'!$X$27+'TE CVA'!$X$27)*(1 - CUSTOS!$M$38)</f>
        <v>-14.15730270042646</v>
      </c>
      <c r="V27" s="30">
        <f>('TE BE'!$Z$27+'TE BF'!$Z$27+'TE CVA'!$Z$27)*(1 - CUSTOS!$M$38)</f>
        <v>4.4430332616343433</v>
      </c>
      <c r="W27" s="30"/>
      <c r="X27" s="30">
        <v>2.1796568751941998</v>
      </c>
      <c r="Y27" s="30">
        <v>64.394716038108996</v>
      </c>
      <c r="Z27" s="30">
        <v>0</v>
      </c>
      <c r="AA27" s="30">
        <v>0</v>
      </c>
      <c r="AB27" s="30">
        <v>-16.165298263188902</v>
      </c>
      <c r="AC27" s="30">
        <v>150.95798857461901</v>
      </c>
      <c r="AD27" s="30">
        <v>0</v>
      </c>
      <c r="AE27" s="30">
        <v>0</v>
      </c>
      <c r="AF27" s="30">
        <v>0</v>
      </c>
      <c r="AG27" s="30">
        <v>-14.155447257044299</v>
      </c>
      <c r="AH27" s="30">
        <v>4.4454153743670597</v>
      </c>
    </row>
    <row r="28" spans="1:34" ht="11.25" customHeight="1" x14ac:dyDescent="0.25">
      <c r="A28" s="129"/>
      <c r="B28" s="129"/>
      <c r="C28" s="129"/>
      <c r="D28" s="129"/>
      <c r="E28" s="129"/>
      <c r="F28" s="129"/>
      <c r="G28" s="32" t="s">
        <v>81</v>
      </c>
      <c r="H28" s="32" t="s">
        <v>79</v>
      </c>
      <c r="I28" s="32">
        <f>'MERCADO TE'!$U$25</f>
        <v>0</v>
      </c>
      <c r="J28" s="17"/>
      <c r="L28" s="30">
        <f>('TE BE'!$L$28+'TE BF'!$L$28+'TE CVA'!$L$28)*(1 - CUSTOS!$M$38)</f>
        <v>2.1787686106519115</v>
      </c>
      <c r="M28" s="30">
        <f>('TE BE'!$M$28+'TE BF'!$M$28+'TE CVA'!$M$28)*(1 - CUSTOS!$M$38)</f>
        <v>64.394716038108953</v>
      </c>
      <c r="N28" s="30">
        <f>('TE BE'!$N$28+'TE BF'!$N$28+'TE CVA'!$N$28)*(1 - CUSTOS!$M$38)</f>
        <v>0</v>
      </c>
      <c r="O28" s="30">
        <f>('TE BE'!$O$28+'TE BF'!$O$28+'TE CVA'!$O$28)*(1 - CUSTOS!$M$38)</f>
        <v>11.095600013427212</v>
      </c>
      <c r="P28" s="30">
        <f>('TE BE'!$P$28+'TE BF'!$P$28+'TE CVA'!$P$28)*(1 - CUSTOS!$M$38)</f>
        <v>-16.165298263188852</v>
      </c>
      <c r="Q28" s="30">
        <f>('TE BE'!$R$28+'TE BF'!$R$28+'TE CVA'!$R$28)*(1 - CUSTOS!$M$38)</f>
        <v>150.87709648323849</v>
      </c>
      <c r="R28" s="30">
        <f>('TE BE'!$T$28+'TE BF'!$T$28+'TE CVA'!$T$28)*(1 - CUSTOS!$M$38)</f>
        <v>0</v>
      </c>
      <c r="S28" s="30">
        <f>('TE BE'!$U$28+'TE BF'!$U$28+'TE CVA'!$U$28)*(1 - CUSTOS!$M$38)</f>
        <v>0</v>
      </c>
      <c r="T28" s="30">
        <f>('TE BE'!$V$28+'TE BF'!$V$28+'TE CVA'!$V$28)*(1 - CUSTOS!$M$38)</f>
        <v>0</v>
      </c>
      <c r="U28" s="30">
        <f>('TE BE'!$X$28+'TE BF'!$X$28+'TE CVA'!$X$28)*(1 - CUSTOS!$M$38)</f>
        <v>-14.15730270042646</v>
      </c>
      <c r="V28" s="30">
        <f>('TE BE'!$Z$28+'TE BF'!$Z$28+'TE CVA'!$Z$28)*(1 - CUSTOS!$M$38)</f>
        <v>4.4430332616343433</v>
      </c>
      <c r="W28" s="30"/>
      <c r="X28" s="30">
        <v>2.1796568751941998</v>
      </c>
      <c r="Y28" s="30">
        <v>64.394716038108996</v>
      </c>
      <c r="Z28" s="30">
        <v>0</v>
      </c>
      <c r="AA28" s="30">
        <v>0</v>
      </c>
      <c r="AB28" s="30">
        <v>-16.165298263188902</v>
      </c>
      <c r="AC28" s="30">
        <v>150.95798857461901</v>
      </c>
      <c r="AD28" s="30">
        <v>0</v>
      </c>
      <c r="AE28" s="30">
        <v>0</v>
      </c>
      <c r="AF28" s="30">
        <v>0</v>
      </c>
      <c r="AG28" s="30">
        <v>-14.155447257044299</v>
      </c>
      <c r="AH28" s="30">
        <v>4.4454153743670597</v>
      </c>
    </row>
    <row r="29" spans="1:34" ht="11.25" customHeight="1" x14ac:dyDescent="0.25">
      <c r="A29" s="129"/>
      <c r="B29" s="100" t="s">
        <v>86</v>
      </c>
      <c r="C29" s="100" t="s">
        <v>46</v>
      </c>
      <c r="D29" s="100" t="s">
        <v>25</v>
      </c>
      <c r="E29" s="100" t="s">
        <v>25</v>
      </c>
      <c r="F29" s="100" t="s">
        <v>25</v>
      </c>
      <c r="G29" s="32" t="s">
        <v>84</v>
      </c>
      <c r="H29" s="32" t="s">
        <v>79</v>
      </c>
      <c r="I29" s="32">
        <f>'MERCADO TE'!$U$26</f>
        <v>4146.1049999999996</v>
      </c>
      <c r="J29" s="17"/>
      <c r="L29" s="30">
        <f>('TE BE'!$L$29+'TE BF'!$L$29+'TE CVA'!$L$29)*(1 - CUSTOS!$M$38)</f>
        <v>2.1787686106519115</v>
      </c>
      <c r="M29" s="30">
        <f>('TE BE'!$M$29+'TE BF'!$M$29+'TE CVA'!$M$29)*(1 - CUSTOS!$M$38)</f>
        <v>64.394716038108953</v>
      </c>
      <c r="N29" s="30">
        <f>('TE BE'!$N$29+'TE BF'!$N$29+'TE CVA'!$N$29)*(1 - CUSTOS!$M$38)</f>
        <v>0</v>
      </c>
      <c r="O29" s="30">
        <f>('TE BE'!$O$29+'TE BF'!$O$29+'TE CVA'!$O$29)*(1 - CUSTOS!$M$38)</f>
        <v>11.095600013427212</v>
      </c>
      <c r="P29" s="30">
        <f>('TE BE'!$P$29+'TE BF'!$P$29+'TE CVA'!$P$29)*(1 - CUSTOS!$M$38)</f>
        <v>-16.165298263188852</v>
      </c>
      <c r="Q29" s="30">
        <f>('TE BE'!$R$29+'TE BF'!$R$29+'TE CVA'!$R$29)*(1 - CUSTOS!$M$38)</f>
        <v>159.92972227223279</v>
      </c>
      <c r="R29" s="30">
        <f>('TE BE'!$T$29+'TE BF'!$T$29+'TE CVA'!$T$29)*(1 - CUSTOS!$M$38)</f>
        <v>0</v>
      </c>
      <c r="S29" s="30">
        <f>('TE BE'!$U$29+'TE BF'!$U$29+'TE CVA'!$U$29)*(1 - CUSTOS!$M$38)</f>
        <v>0</v>
      </c>
      <c r="T29" s="30">
        <f>('TE BE'!$V$29+'TE BF'!$V$29+'TE CVA'!$V$29)*(1 - CUSTOS!$M$38)</f>
        <v>0</v>
      </c>
      <c r="U29" s="30">
        <f>('TE BE'!$X$29+'TE BF'!$X$29+'TE CVA'!$X$29)*(1 - CUSTOS!$M$38)</f>
        <v>-14.865705654815633</v>
      </c>
      <c r="V29" s="30">
        <f>('TE BE'!$Z$29+'TE BF'!$Z$29+'TE CVA'!$Z$29)*(1 - CUSTOS!$M$38)</f>
        <v>4.4430332616343433</v>
      </c>
      <c r="W29" s="30"/>
      <c r="X29" s="30">
        <v>2.1796568751941998</v>
      </c>
      <c r="Y29" s="30">
        <v>64.394716038108996</v>
      </c>
      <c r="Z29" s="30">
        <v>0</v>
      </c>
      <c r="AA29" s="30">
        <v>0</v>
      </c>
      <c r="AB29" s="30">
        <v>-16.165298263188902</v>
      </c>
      <c r="AC29" s="30">
        <v>160.01546788909599</v>
      </c>
      <c r="AD29" s="30">
        <v>0</v>
      </c>
      <c r="AE29" s="30">
        <v>0</v>
      </c>
      <c r="AF29" s="30">
        <v>0</v>
      </c>
      <c r="AG29" s="30">
        <v>-14.8638000549787</v>
      </c>
      <c r="AH29" s="30">
        <v>4.4454153743670597</v>
      </c>
    </row>
    <row r="30" spans="1:34" ht="11.25" customHeight="1" x14ac:dyDescent="0.25">
      <c r="A30" s="129"/>
      <c r="B30" s="129" t="s">
        <v>78</v>
      </c>
      <c r="C30" s="129" t="s">
        <v>46</v>
      </c>
      <c r="D30" s="129" t="s">
        <v>93</v>
      </c>
      <c r="E30" s="129" t="s">
        <v>25</v>
      </c>
      <c r="F30" s="129" t="s">
        <v>25</v>
      </c>
      <c r="G30" s="32" t="s">
        <v>80</v>
      </c>
      <c r="H30" s="32" t="s">
        <v>79</v>
      </c>
      <c r="I30" s="32">
        <f>'MERCADO TE'!$U$27</f>
        <v>0</v>
      </c>
      <c r="J30" s="17"/>
      <c r="L30" s="30">
        <f>('TE BE'!$L$30+'TE BF'!$L$30+'TE CVA'!$L$30)*(1 - CUSTOS!$M$39)</f>
        <v>2.1787686106519115</v>
      </c>
      <c r="M30" s="30">
        <f>('TE BE'!$M$30+'TE BF'!$M$30+'TE CVA'!$M$30)*(1 - CUSTOS!$M$39)</f>
        <v>64.394716038108953</v>
      </c>
      <c r="N30" s="30">
        <f>('TE BE'!$N$30+'TE BF'!$N$30+'TE CVA'!$N$30)*(1 - CUSTOS!$M$39)</f>
        <v>0</v>
      </c>
      <c r="O30" s="30">
        <f>('TE BE'!$O$30+'TE BF'!$O$30+'TE CVA'!$O$30)*(1 - CUSTOS!$M$39)</f>
        <v>11.095600013427212</v>
      </c>
      <c r="P30" s="30">
        <f>('TE BE'!$P$30+'TE BF'!$P$30+'TE CVA'!$P$30)*(1 - CUSTOS!$M$39)</f>
        <v>-16.165298263188852</v>
      </c>
      <c r="Q30" s="30">
        <f>('TE BE'!$R$30+'TE BF'!$R$30+'TE CVA'!$R$30)*(1 - CUSTOS!$M$39)</f>
        <v>259.50860595117018</v>
      </c>
      <c r="R30" s="30">
        <f>('TE BE'!$T$30+'TE BF'!$T$30+'TE CVA'!$T$30)*(1 - CUSTOS!$M$39)</f>
        <v>0</v>
      </c>
      <c r="S30" s="30">
        <f>('TE BE'!$U$30+'TE BF'!$U$30+'TE CVA'!$U$30)*(1 - CUSTOS!$M$39)</f>
        <v>0</v>
      </c>
      <c r="T30" s="30">
        <f>('TE BE'!$V$30+'TE BF'!$V$30+'TE CVA'!$V$30)*(1 - CUSTOS!$M$39)</f>
        <v>0</v>
      </c>
      <c r="U30" s="30">
        <f>('TE BE'!$X$30+'TE BF'!$X$30+'TE CVA'!$X$30)*(1 - CUSTOS!$M$39)</f>
        <v>-22.65813815309652</v>
      </c>
      <c r="V30" s="30">
        <f>('TE BE'!$Z$30+'TE BF'!$Z$30+'TE CVA'!$Z$30)*(1 - CUSTOS!$M$39)</f>
        <v>4.4430332616343433</v>
      </c>
      <c r="W30" s="30"/>
      <c r="X30" s="30">
        <v>2.1796568751941998</v>
      </c>
      <c r="Y30" s="30">
        <v>64.394716038108996</v>
      </c>
      <c r="Z30" s="30">
        <v>0</v>
      </c>
      <c r="AA30" s="30">
        <v>0</v>
      </c>
      <c r="AB30" s="30">
        <v>-16.165298263188902</v>
      </c>
      <c r="AC30" s="30">
        <v>259.647740348345</v>
      </c>
      <c r="AD30" s="30">
        <v>0</v>
      </c>
      <c r="AE30" s="30">
        <v>0</v>
      </c>
      <c r="AF30" s="30">
        <v>0</v>
      </c>
      <c r="AG30" s="30">
        <v>-22.655680832257602</v>
      </c>
      <c r="AH30" s="30">
        <v>4.4454153743670597</v>
      </c>
    </row>
    <row r="31" spans="1:34" ht="11.25" customHeight="1" x14ac:dyDescent="0.25">
      <c r="A31" s="129"/>
      <c r="B31" s="129"/>
      <c r="C31" s="129"/>
      <c r="D31" s="129"/>
      <c r="E31" s="129"/>
      <c r="F31" s="129"/>
      <c r="G31" s="32" t="s">
        <v>90</v>
      </c>
      <c r="H31" s="32" t="s">
        <v>79</v>
      </c>
      <c r="I31" s="32">
        <f>'MERCADO TE'!$U$28</f>
        <v>0</v>
      </c>
      <c r="J31" s="17"/>
      <c r="L31" s="30">
        <f>('TE BE'!$L$31+'TE BF'!$L$31+'TE CVA'!$L$31)*(1 - CUSTOS!$M$39)</f>
        <v>2.1787686106519115</v>
      </c>
      <c r="M31" s="30">
        <f>('TE BE'!$M$31+'TE BF'!$M$31+'TE CVA'!$M$31)*(1 - CUSTOS!$M$39)</f>
        <v>64.394716038108953</v>
      </c>
      <c r="N31" s="30">
        <f>('TE BE'!$N$31+'TE BF'!$N$31+'TE CVA'!$N$31)*(1 - CUSTOS!$M$39)</f>
        <v>0</v>
      </c>
      <c r="O31" s="30">
        <f>('TE BE'!$O$31+'TE BF'!$O$31+'TE CVA'!$O$31)*(1 - CUSTOS!$M$39)</f>
        <v>11.095600013427212</v>
      </c>
      <c r="P31" s="30">
        <f>('TE BE'!$P$31+'TE BF'!$P$31+'TE CVA'!$P$31)*(1 - CUSTOS!$M$39)</f>
        <v>-16.165298263188852</v>
      </c>
      <c r="Q31" s="30">
        <f>('TE BE'!$R$31+'TE BF'!$R$31+'TE CVA'!$R$31)*(1 - CUSTOS!$M$39)</f>
        <v>150.87709648323849</v>
      </c>
      <c r="R31" s="30">
        <f>('TE BE'!$T$31+'TE BF'!$T$31+'TE CVA'!$T$31)*(1 - CUSTOS!$M$39)</f>
        <v>0</v>
      </c>
      <c r="S31" s="30">
        <f>('TE BE'!$U$31+'TE BF'!$U$31+'TE CVA'!$U$31)*(1 - CUSTOS!$M$39)</f>
        <v>0</v>
      </c>
      <c r="T31" s="30">
        <f>('TE BE'!$V$31+'TE BF'!$V$31+'TE CVA'!$V$31)*(1 - CUSTOS!$M$39)</f>
        <v>0</v>
      </c>
      <c r="U31" s="30">
        <f>('TE BE'!$X$31+'TE BF'!$X$31+'TE CVA'!$X$31)*(1 - CUSTOS!$M$39)</f>
        <v>-14.15730270042646</v>
      </c>
      <c r="V31" s="30">
        <f>('TE BE'!$Z$31+'TE BF'!$Z$31+'TE CVA'!$Z$31)*(1 - CUSTOS!$M$39)</f>
        <v>4.4430332616343433</v>
      </c>
      <c r="W31" s="30"/>
      <c r="X31" s="30">
        <v>2.1796568751941998</v>
      </c>
      <c r="Y31" s="30">
        <v>64.394716038108996</v>
      </c>
      <c r="Z31" s="30">
        <v>0</v>
      </c>
      <c r="AA31" s="30">
        <v>0</v>
      </c>
      <c r="AB31" s="30">
        <v>-16.165298263188902</v>
      </c>
      <c r="AC31" s="30">
        <v>150.95798857461901</v>
      </c>
      <c r="AD31" s="30">
        <v>0</v>
      </c>
      <c r="AE31" s="30">
        <v>0</v>
      </c>
      <c r="AF31" s="30">
        <v>0</v>
      </c>
      <c r="AG31" s="30">
        <v>-14.155447257044299</v>
      </c>
      <c r="AH31" s="30">
        <v>4.4454153743670597</v>
      </c>
    </row>
    <row r="32" spans="1:34" ht="11.25" customHeight="1" x14ac:dyDescent="0.25">
      <c r="A32" s="129"/>
      <c r="B32" s="129"/>
      <c r="C32" s="129"/>
      <c r="D32" s="129"/>
      <c r="E32" s="129"/>
      <c r="F32" s="129"/>
      <c r="G32" s="32" t="s">
        <v>81</v>
      </c>
      <c r="H32" s="32" t="s">
        <v>79</v>
      </c>
      <c r="I32" s="32">
        <f>'MERCADO TE'!$U$29</f>
        <v>0</v>
      </c>
      <c r="J32" s="17"/>
      <c r="L32" s="30">
        <f>('TE BE'!$L$32+'TE BF'!$L$32+'TE CVA'!$L$32)*(1 - CUSTOS!$M$39)</f>
        <v>2.1787686106519115</v>
      </c>
      <c r="M32" s="30">
        <f>('TE BE'!$M$32+'TE BF'!$M$32+'TE CVA'!$M$32)*(1 - CUSTOS!$M$39)</f>
        <v>64.394716038108953</v>
      </c>
      <c r="N32" s="30">
        <f>('TE BE'!$N$32+'TE BF'!$N$32+'TE CVA'!$N$32)*(1 - CUSTOS!$M$39)</f>
        <v>0</v>
      </c>
      <c r="O32" s="30">
        <f>('TE BE'!$O$32+'TE BF'!$O$32+'TE CVA'!$O$32)*(1 - CUSTOS!$M$39)</f>
        <v>11.095600013427212</v>
      </c>
      <c r="P32" s="30">
        <f>('TE BE'!$P$32+'TE BF'!$P$32+'TE CVA'!$P$32)*(1 - CUSTOS!$M$39)</f>
        <v>-16.165298263188852</v>
      </c>
      <c r="Q32" s="30">
        <f>('TE BE'!$R$32+'TE BF'!$R$32+'TE CVA'!$R$32)*(1 - CUSTOS!$M$39)</f>
        <v>150.87709648323849</v>
      </c>
      <c r="R32" s="30">
        <f>('TE BE'!$T$32+'TE BF'!$T$32+'TE CVA'!$T$32)*(1 - CUSTOS!$M$39)</f>
        <v>0</v>
      </c>
      <c r="S32" s="30">
        <f>('TE BE'!$U$32+'TE BF'!$U$32+'TE CVA'!$U$32)*(1 - CUSTOS!$M$39)</f>
        <v>0</v>
      </c>
      <c r="T32" s="30">
        <f>('TE BE'!$V$32+'TE BF'!$V$32+'TE CVA'!$V$32)*(1 - CUSTOS!$M$39)</f>
        <v>0</v>
      </c>
      <c r="U32" s="30">
        <f>('TE BE'!$X$32+'TE BF'!$X$32+'TE CVA'!$X$32)*(1 - CUSTOS!$M$39)</f>
        <v>-14.15730270042646</v>
      </c>
      <c r="V32" s="30">
        <f>('TE BE'!$Z$32+'TE BF'!$Z$32+'TE CVA'!$Z$32)*(1 - CUSTOS!$M$39)</f>
        <v>4.4430332616343433</v>
      </c>
      <c r="W32" s="30"/>
      <c r="X32" s="30">
        <v>2.1796568751941998</v>
      </c>
      <c r="Y32" s="30">
        <v>64.394716038108996</v>
      </c>
      <c r="Z32" s="30">
        <v>0</v>
      </c>
      <c r="AA32" s="30">
        <v>0</v>
      </c>
      <c r="AB32" s="30">
        <v>-16.165298263188902</v>
      </c>
      <c r="AC32" s="30">
        <v>150.95798857461901</v>
      </c>
      <c r="AD32" s="30">
        <v>0</v>
      </c>
      <c r="AE32" s="30">
        <v>0</v>
      </c>
      <c r="AF32" s="30">
        <v>0</v>
      </c>
      <c r="AG32" s="30">
        <v>-14.155447257044299</v>
      </c>
      <c r="AH32" s="30">
        <v>4.4454153743670597</v>
      </c>
    </row>
    <row r="33" spans="1:34" ht="11.25" customHeight="1" x14ac:dyDescent="0.25">
      <c r="A33" s="129"/>
      <c r="B33" s="100" t="s">
        <v>86</v>
      </c>
      <c r="C33" s="100" t="s">
        <v>46</v>
      </c>
      <c r="D33" s="100" t="s">
        <v>93</v>
      </c>
      <c r="E33" s="100" t="s">
        <v>25</v>
      </c>
      <c r="F33" s="100" t="s">
        <v>25</v>
      </c>
      <c r="G33" s="32" t="s">
        <v>84</v>
      </c>
      <c r="H33" s="32" t="s">
        <v>79</v>
      </c>
      <c r="I33" s="32">
        <f>'MERCADO TE'!$U$30</f>
        <v>0</v>
      </c>
      <c r="J33" s="17"/>
      <c r="L33" s="30">
        <f>('TE BE'!$L$33+'TE BF'!$L$33+'TE CVA'!$L$33)*(1 - CUSTOS!$M$39)</f>
        <v>2.1787686106519115</v>
      </c>
      <c r="M33" s="30">
        <f>('TE BE'!$M$33+'TE BF'!$M$33+'TE CVA'!$M$33)*(1 - CUSTOS!$M$39)</f>
        <v>64.394716038108953</v>
      </c>
      <c r="N33" s="30">
        <f>('TE BE'!$N$33+'TE BF'!$N$33+'TE CVA'!$N$33)*(1 - CUSTOS!$M$39)</f>
        <v>0</v>
      </c>
      <c r="O33" s="30">
        <f>('TE BE'!$O$33+'TE BF'!$O$33+'TE CVA'!$O$33)*(1 - CUSTOS!$M$39)</f>
        <v>11.095600013427212</v>
      </c>
      <c r="P33" s="30">
        <f>('TE BE'!$P$33+'TE BF'!$P$33+'TE CVA'!$P$33)*(1 - CUSTOS!$M$39)</f>
        <v>-16.165298263188852</v>
      </c>
      <c r="Q33" s="30">
        <f>('TE BE'!$R$33+'TE BF'!$R$33+'TE CVA'!$R$33)*(1 - CUSTOS!$M$39)</f>
        <v>159.92972227223279</v>
      </c>
      <c r="R33" s="30">
        <f>('TE BE'!$T$33+'TE BF'!$T$33+'TE CVA'!$T$33)*(1 - CUSTOS!$M$39)</f>
        <v>0</v>
      </c>
      <c r="S33" s="30">
        <f>('TE BE'!$U$33+'TE BF'!$U$33+'TE CVA'!$U$33)*(1 - CUSTOS!$M$39)</f>
        <v>0</v>
      </c>
      <c r="T33" s="30">
        <f>('TE BE'!$V$33+'TE BF'!$V$33+'TE CVA'!$V$33)*(1 - CUSTOS!$M$39)</f>
        <v>0</v>
      </c>
      <c r="U33" s="30">
        <f>('TE BE'!$X$33+'TE BF'!$X$33+'TE CVA'!$X$33)*(1 - CUSTOS!$M$39)</f>
        <v>-14.865705654815633</v>
      </c>
      <c r="V33" s="30">
        <f>('TE BE'!$Z$33+'TE BF'!$Z$33+'TE CVA'!$Z$33)*(1 - CUSTOS!$M$39)</f>
        <v>4.4430332616343433</v>
      </c>
      <c r="W33" s="30"/>
      <c r="X33" s="30">
        <v>2.1796568751941998</v>
      </c>
      <c r="Y33" s="30">
        <v>64.394716038108996</v>
      </c>
      <c r="Z33" s="30">
        <v>0</v>
      </c>
      <c r="AA33" s="30">
        <v>0</v>
      </c>
      <c r="AB33" s="30">
        <v>-16.165298263188902</v>
      </c>
      <c r="AC33" s="30">
        <v>160.01546788909599</v>
      </c>
      <c r="AD33" s="30">
        <v>0</v>
      </c>
      <c r="AE33" s="30">
        <v>0</v>
      </c>
      <c r="AF33" s="30">
        <v>0</v>
      </c>
      <c r="AG33" s="30">
        <v>-14.8638000549787</v>
      </c>
      <c r="AH33" s="30">
        <v>4.4454153743670597</v>
      </c>
    </row>
    <row r="34" spans="1:34" ht="11.25" customHeight="1" x14ac:dyDescent="0.25">
      <c r="A34" s="129"/>
      <c r="B34" s="129" t="s">
        <v>78</v>
      </c>
      <c r="C34" s="129" t="s">
        <v>46</v>
      </c>
      <c r="D34" s="129" t="s">
        <v>94</v>
      </c>
      <c r="E34" s="129" t="s">
        <v>25</v>
      </c>
      <c r="F34" s="129" t="s">
        <v>25</v>
      </c>
      <c r="G34" s="32" t="s">
        <v>80</v>
      </c>
      <c r="H34" s="32" t="s">
        <v>79</v>
      </c>
      <c r="I34" s="32">
        <f>'MERCADO TE'!$U$31</f>
        <v>0</v>
      </c>
      <c r="J34" s="17"/>
      <c r="L34" s="30">
        <f>('TE BE'!$L$34+'TE BF'!$L$34+'TE CVA'!$L$34)*(1 - CUSTOS!$M$40)</f>
        <v>2.1324118317018712</v>
      </c>
      <c r="M34" s="30">
        <f>('TE BE'!$M$34+'TE BF'!$M$34+'TE CVA'!$M$34)*(1 - CUSTOS!$M$40)</f>
        <v>63.024615696872594</v>
      </c>
      <c r="N34" s="30">
        <f>('TE BE'!$N$34+'TE BF'!$N$34+'TE CVA'!$N$34)*(1 - CUSTOS!$M$40)</f>
        <v>0</v>
      </c>
      <c r="O34" s="30">
        <f>('TE BE'!$O$34+'TE BF'!$O$34+'TE CVA'!$O$34)*(1 - CUSTOS!$M$40)</f>
        <v>10.859523417396847</v>
      </c>
      <c r="P34" s="30">
        <f>('TE BE'!$P$34+'TE BF'!$P$34+'TE CVA'!$P$34)*(1 - CUSTOS!$M$40)</f>
        <v>-15.821355746950793</v>
      </c>
      <c r="Q34" s="30">
        <f>('TE BE'!$R$34+'TE BF'!$R$34+'TE CVA'!$R$34)*(1 - CUSTOS!$M$40)</f>
        <v>253.98714625008151</v>
      </c>
      <c r="R34" s="30">
        <f>('TE BE'!$T$34+'TE BF'!$T$34+'TE CVA'!$T$34)*(1 - CUSTOS!$M$40)</f>
        <v>0</v>
      </c>
      <c r="S34" s="30">
        <f>('TE BE'!$U$34+'TE BF'!$U$34+'TE CVA'!$U$34)*(1 - CUSTOS!$M$40)</f>
        <v>0</v>
      </c>
      <c r="T34" s="30">
        <f>('TE BE'!$V$34+'TE BF'!$V$34+'TE CVA'!$V$34)*(1 - CUSTOS!$M$40)</f>
        <v>0</v>
      </c>
      <c r="U34" s="30">
        <f>('TE BE'!$X$34+'TE BF'!$X$34+'TE CVA'!$X$34)*(1 - CUSTOS!$M$40)</f>
        <v>-22.176050107285956</v>
      </c>
      <c r="V34" s="30">
        <f>('TE BE'!$Z$34+'TE BF'!$Z$34+'TE CVA'!$Z$34)*(1 - CUSTOS!$M$40)</f>
        <v>4.348500639046379</v>
      </c>
      <c r="W34" s="30"/>
      <c r="X34" s="30">
        <v>2.1332811969985799</v>
      </c>
      <c r="Y34" s="30">
        <v>63.024615696872601</v>
      </c>
      <c r="Z34" s="30">
        <v>0</v>
      </c>
      <c r="AA34" s="30">
        <v>0</v>
      </c>
      <c r="AB34" s="30">
        <v>-15.8213557469508</v>
      </c>
      <c r="AC34" s="30">
        <v>254.12332034093399</v>
      </c>
      <c r="AD34" s="30">
        <v>0</v>
      </c>
      <c r="AE34" s="30">
        <v>0</v>
      </c>
      <c r="AF34" s="30">
        <v>0</v>
      </c>
      <c r="AG34" s="30">
        <v>-22.173645069869199</v>
      </c>
      <c r="AH34" s="30">
        <v>4.3508320685294599</v>
      </c>
    </row>
    <row r="35" spans="1:34" ht="11.25" customHeight="1" x14ac:dyDescent="0.25">
      <c r="A35" s="129"/>
      <c r="B35" s="129"/>
      <c r="C35" s="129"/>
      <c r="D35" s="129"/>
      <c r="E35" s="129"/>
      <c r="F35" s="129"/>
      <c r="G35" s="32" t="s">
        <v>90</v>
      </c>
      <c r="H35" s="32" t="s">
        <v>79</v>
      </c>
      <c r="I35" s="32">
        <f>'MERCADO TE'!$U$32</f>
        <v>0</v>
      </c>
      <c r="J35" s="17"/>
      <c r="L35" s="30">
        <f>('TE BE'!$L$35+'TE BF'!$L$35+'TE CVA'!$L$35)*(1 - CUSTOS!$M$40)</f>
        <v>2.1324118317018712</v>
      </c>
      <c r="M35" s="30">
        <f>('TE BE'!$M$35+'TE BF'!$M$35+'TE CVA'!$M$35)*(1 - CUSTOS!$M$40)</f>
        <v>63.024615696872594</v>
      </c>
      <c r="N35" s="30">
        <f>('TE BE'!$N$35+'TE BF'!$N$35+'TE CVA'!$N$35)*(1 - CUSTOS!$M$40)</f>
        <v>0</v>
      </c>
      <c r="O35" s="30">
        <f>('TE BE'!$O$35+'TE BF'!$O$35+'TE CVA'!$O$35)*(1 - CUSTOS!$M$40)</f>
        <v>10.859523417396847</v>
      </c>
      <c r="P35" s="30">
        <f>('TE BE'!$P$35+'TE BF'!$P$35+'TE CVA'!$P$35)*(1 - CUSTOS!$M$40)</f>
        <v>-15.821355746950793</v>
      </c>
      <c r="Q35" s="30">
        <f>('TE BE'!$R$35+'TE BF'!$R$35+'TE CVA'!$R$35)*(1 - CUSTOS!$M$40)</f>
        <v>147.66694549423343</v>
      </c>
      <c r="R35" s="30">
        <f>('TE BE'!$T$35+'TE BF'!$T$35+'TE CVA'!$T$35)*(1 - CUSTOS!$M$40)</f>
        <v>0</v>
      </c>
      <c r="S35" s="30">
        <f>('TE BE'!$U$35+'TE BF'!$U$35+'TE CVA'!$U$35)*(1 - CUSTOS!$M$40)</f>
        <v>0</v>
      </c>
      <c r="T35" s="30">
        <f>('TE BE'!$V$35+'TE BF'!$V$35+'TE CVA'!$V$35)*(1 - CUSTOS!$M$40)</f>
        <v>0</v>
      </c>
      <c r="U35" s="30">
        <f>('TE BE'!$X$35+'TE BF'!$X$35+'TE CVA'!$X$35)*(1 - CUSTOS!$M$40)</f>
        <v>-13.85608349403441</v>
      </c>
      <c r="V35" s="30">
        <f>('TE BE'!$Z$35+'TE BF'!$Z$35+'TE CVA'!$Z$35)*(1 - CUSTOS!$M$40)</f>
        <v>4.348500639046379</v>
      </c>
      <c r="W35" s="30"/>
      <c r="X35" s="30">
        <v>2.1332811969985799</v>
      </c>
      <c r="Y35" s="30">
        <v>63.024615696872601</v>
      </c>
      <c r="Z35" s="30">
        <v>0</v>
      </c>
      <c r="AA35" s="30">
        <v>0</v>
      </c>
      <c r="AB35" s="30">
        <v>-15.8213557469508</v>
      </c>
      <c r="AC35" s="30">
        <v>147.74611647728699</v>
      </c>
      <c r="AD35" s="30">
        <v>0</v>
      </c>
      <c r="AE35" s="30">
        <v>0</v>
      </c>
      <c r="AF35" s="30">
        <v>0</v>
      </c>
      <c r="AG35" s="30">
        <v>-13.854267528171</v>
      </c>
      <c r="AH35" s="30">
        <v>4.3508320685294599</v>
      </c>
    </row>
    <row r="36" spans="1:34" ht="11.25" customHeight="1" x14ac:dyDescent="0.25">
      <c r="A36" s="129"/>
      <c r="B36" s="129"/>
      <c r="C36" s="129"/>
      <c r="D36" s="129"/>
      <c r="E36" s="129"/>
      <c r="F36" s="129"/>
      <c r="G36" s="32" t="s">
        <v>81</v>
      </c>
      <c r="H36" s="32" t="s">
        <v>79</v>
      </c>
      <c r="I36" s="32">
        <f>'MERCADO TE'!$U$33</f>
        <v>0</v>
      </c>
      <c r="J36" s="17"/>
      <c r="L36" s="30">
        <f>('TE BE'!$L$36+'TE BF'!$L$36+'TE CVA'!$L$36)*(1 - CUSTOS!$M$40)</f>
        <v>2.1324118317018712</v>
      </c>
      <c r="M36" s="30">
        <f>('TE BE'!$M$36+'TE BF'!$M$36+'TE CVA'!$M$36)*(1 - CUSTOS!$M$40)</f>
        <v>63.024615696872594</v>
      </c>
      <c r="N36" s="30">
        <f>('TE BE'!$N$36+'TE BF'!$N$36+'TE CVA'!$N$36)*(1 - CUSTOS!$M$40)</f>
        <v>0</v>
      </c>
      <c r="O36" s="30">
        <f>('TE BE'!$O$36+'TE BF'!$O$36+'TE CVA'!$O$36)*(1 - CUSTOS!$M$40)</f>
        <v>10.859523417396847</v>
      </c>
      <c r="P36" s="30">
        <f>('TE BE'!$P$36+'TE BF'!$P$36+'TE CVA'!$P$36)*(1 - CUSTOS!$M$40)</f>
        <v>-15.821355746950793</v>
      </c>
      <c r="Q36" s="30">
        <f>('TE BE'!$R$36+'TE BF'!$R$36+'TE CVA'!$R$36)*(1 - CUSTOS!$M$40)</f>
        <v>147.66694549423343</v>
      </c>
      <c r="R36" s="30">
        <f>('TE BE'!$T$36+'TE BF'!$T$36+'TE CVA'!$T$36)*(1 - CUSTOS!$M$40)</f>
        <v>0</v>
      </c>
      <c r="S36" s="30">
        <f>('TE BE'!$U$36+'TE BF'!$U$36+'TE CVA'!$U$36)*(1 - CUSTOS!$M$40)</f>
        <v>0</v>
      </c>
      <c r="T36" s="30">
        <f>('TE BE'!$V$36+'TE BF'!$V$36+'TE CVA'!$V$36)*(1 - CUSTOS!$M$40)</f>
        <v>0</v>
      </c>
      <c r="U36" s="30">
        <f>('TE BE'!$X$36+'TE BF'!$X$36+'TE CVA'!$X$36)*(1 - CUSTOS!$M$40)</f>
        <v>-13.85608349403441</v>
      </c>
      <c r="V36" s="30">
        <f>('TE BE'!$Z$36+'TE BF'!$Z$36+'TE CVA'!$Z$36)*(1 - CUSTOS!$M$40)</f>
        <v>4.348500639046379</v>
      </c>
      <c r="W36" s="30"/>
      <c r="X36" s="30">
        <v>2.1332811969985799</v>
      </c>
      <c r="Y36" s="30">
        <v>63.024615696872601</v>
      </c>
      <c r="Z36" s="30">
        <v>0</v>
      </c>
      <c r="AA36" s="30">
        <v>0</v>
      </c>
      <c r="AB36" s="30">
        <v>-15.8213557469508</v>
      </c>
      <c r="AC36" s="30">
        <v>147.74611647728699</v>
      </c>
      <c r="AD36" s="30">
        <v>0</v>
      </c>
      <c r="AE36" s="30">
        <v>0</v>
      </c>
      <c r="AF36" s="30">
        <v>0</v>
      </c>
      <c r="AG36" s="30">
        <v>-13.854267528171</v>
      </c>
      <c r="AH36" s="30">
        <v>4.3508320685294599</v>
      </c>
    </row>
    <row r="37" spans="1:34" ht="11.25" customHeight="1" x14ac:dyDescent="0.25">
      <c r="A37" s="129"/>
      <c r="B37" s="100" t="s">
        <v>86</v>
      </c>
      <c r="C37" s="100" t="s">
        <v>46</v>
      </c>
      <c r="D37" s="100" t="s">
        <v>94</v>
      </c>
      <c r="E37" s="100" t="s">
        <v>25</v>
      </c>
      <c r="F37" s="100" t="s">
        <v>25</v>
      </c>
      <c r="G37" s="32" t="s">
        <v>84</v>
      </c>
      <c r="H37" s="32" t="s">
        <v>79</v>
      </c>
      <c r="I37" s="32">
        <f>'MERCADO TE'!$U$34</f>
        <v>0</v>
      </c>
      <c r="J37" s="17"/>
      <c r="L37" s="30">
        <f>('TE BE'!$L$37+'TE BF'!$L$37+'TE CVA'!$L$37)*(1 - CUSTOS!$M$40)</f>
        <v>2.1324118317018712</v>
      </c>
      <c r="M37" s="30">
        <f>('TE BE'!$M$37+'TE BF'!$M$37+'TE CVA'!$M$37)*(1 - CUSTOS!$M$40)</f>
        <v>63.024615696872594</v>
      </c>
      <c r="N37" s="30">
        <f>('TE BE'!$N$37+'TE BF'!$N$37+'TE CVA'!$N$37)*(1 - CUSTOS!$M$40)</f>
        <v>0</v>
      </c>
      <c r="O37" s="30">
        <f>('TE BE'!$O$37+'TE BF'!$O$37+'TE CVA'!$O$37)*(1 - CUSTOS!$M$40)</f>
        <v>10.859523417396847</v>
      </c>
      <c r="P37" s="30">
        <f>('TE BE'!$P$37+'TE BF'!$P$37+'TE CVA'!$P$37)*(1 - CUSTOS!$M$40)</f>
        <v>-15.821355746950793</v>
      </c>
      <c r="Q37" s="30">
        <f>('TE BE'!$R$37+'TE BF'!$R$37+'TE CVA'!$R$37)*(1 - CUSTOS!$M$40)</f>
        <v>156.52696222388744</v>
      </c>
      <c r="R37" s="30">
        <f>('TE BE'!$T$37+'TE BF'!$T$37+'TE CVA'!$T$37)*(1 - CUSTOS!$M$40)</f>
        <v>0</v>
      </c>
      <c r="S37" s="30">
        <f>('TE BE'!$U$37+'TE BF'!$U$37+'TE CVA'!$U$37)*(1 - CUSTOS!$M$40)</f>
        <v>0</v>
      </c>
      <c r="T37" s="30">
        <f>('TE BE'!$V$37+'TE BF'!$V$37+'TE CVA'!$V$37)*(1 - CUSTOS!$M$40)</f>
        <v>0</v>
      </c>
      <c r="U37" s="30">
        <f>('TE BE'!$X$37+'TE BF'!$X$37+'TE CVA'!$X$37)*(1 - CUSTOS!$M$40)</f>
        <v>-14.549414045138706</v>
      </c>
      <c r="V37" s="30">
        <f>('TE BE'!$Z$37+'TE BF'!$Z$37+'TE CVA'!$Z$37)*(1 - CUSTOS!$M$40)</f>
        <v>4.348500639046379</v>
      </c>
      <c r="W37" s="30"/>
      <c r="X37" s="30">
        <v>2.1332811969985799</v>
      </c>
      <c r="Y37" s="30">
        <v>63.024615696872601</v>
      </c>
      <c r="Z37" s="30">
        <v>0</v>
      </c>
      <c r="AA37" s="30">
        <v>0</v>
      </c>
      <c r="AB37" s="30">
        <v>-15.8213557469508</v>
      </c>
      <c r="AC37" s="30">
        <v>156.61088346592399</v>
      </c>
      <c r="AD37" s="30">
        <v>0</v>
      </c>
      <c r="AE37" s="30">
        <v>0</v>
      </c>
      <c r="AF37" s="30">
        <v>0</v>
      </c>
      <c r="AG37" s="30">
        <v>-14.5475489899792</v>
      </c>
      <c r="AH37" s="30">
        <v>4.3508320685294599</v>
      </c>
    </row>
    <row r="38" spans="1:34" ht="11.25" customHeight="1" x14ac:dyDescent="0.25">
      <c r="A38" s="129"/>
      <c r="B38" s="129" t="s">
        <v>91</v>
      </c>
      <c r="C38" s="129" t="s">
        <v>46</v>
      </c>
      <c r="D38" s="100" t="s">
        <v>25</v>
      </c>
      <c r="E38" s="100" t="s">
        <v>25</v>
      </c>
      <c r="F38" s="100" t="s">
        <v>25</v>
      </c>
      <c r="G38" s="32" t="s">
        <v>84</v>
      </c>
      <c r="H38" s="32" t="s">
        <v>79</v>
      </c>
      <c r="I38" s="32">
        <f>'MERCADO TE'!$U$35</f>
        <v>0</v>
      </c>
      <c r="J38" s="17"/>
      <c r="L38" s="30">
        <f>('TE BE'!$L$38+'TE BF'!$L$38+'TE CVA'!$L$38)*(1 - CUSTOS!$M$38)</f>
        <v>2.1787686106519115</v>
      </c>
      <c r="M38" s="30">
        <f>('TE BE'!$M$38+'TE BF'!$M$38+'TE CVA'!$M$38)*(1 - CUSTOS!$M$38)</f>
        <v>64.394716038108953</v>
      </c>
      <c r="N38" s="30">
        <f>('TE BE'!$N$38+'TE BF'!$N$38+'TE CVA'!$N$38)*(1 - CUSTOS!$M$38)</f>
        <v>0</v>
      </c>
      <c r="O38" s="30">
        <f>('TE BE'!$O$38+'TE BF'!$O$38+'TE CVA'!$O$38)*(1 - CUSTOS!$M$38)</f>
        <v>11.095600013427212</v>
      </c>
      <c r="P38" s="30">
        <f>('TE BE'!$P$38+'TE BF'!$P$38+'TE CVA'!$P$38)*(1 - CUSTOS!$M$38)</f>
        <v>-16.165298263188852</v>
      </c>
      <c r="Q38" s="30">
        <f>('TE BE'!$R$38+'TE BF'!$R$38+'TE CVA'!$R$38)*(1 - CUSTOS!$M$38)</f>
        <v>159.92972227223279</v>
      </c>
      <c r="R38" s="30">
        <f>('TE BE'!$T$38+'TE BF'!$T$38+'TE CVA'!$T$38)*(1 - CUSTOS!$M$38)</f>
        <v>0</v>
      </c>
      <c r="S38" s="30">
        <f>('TE BE'!$U$38+'TE BF'!$U$38+'TE CVA'!$U$38)*(1 - CUSTOS!$M$38)</f>
        <v>0</v>
      </c>
      <c r="T38" s="30">
        <f>('TE BE'!$V$38+'TE BF'!$V$38+'TE CVA'!$V$38)*(1 - CUSTOS!$M$38)</f>
        <v>0</v>
      </c>
      <c r="U38" s="30">
        <f>('TE BE'!$X$38+'TE BF'!$X$38+'TE CVA'!$X$38)*(1 - CUSTOS!$M$38)</f>
        <v>-14.865705654815633</v>
      </c>
      <c r="V38" s="30">
        <f>('TE BE'!$Z$38+'TE BF'!$Z$38+'TE CVA'!$Z$38)*(1 - CUSTOS!$M$38)</f>
        <v>4.4430332616343433</v>
      </c>
      <c r="W38" s="30"/>
      <c r="X38" s="30">
        <v>2.1796568751941998</v>
      </c>
      <c r="Y38" s="30">
        <v>64.394716038108996</v>
      </c>
      <c r="Z38" s="30">
        <v>0</v>
      </c>
      <c r="AA38" s="30">
        <v>0</v>
      </c>
      <c r="AB38" s="30">
        <v>-16.165298263188902</v>
      </c>
      <c r="AC38" s="30">
        <v>160.01546788909599</v>
      </c>
      <c r="AD38" s="30">
        <v>0</v>
      </c>
      <c r="AE38" s="30">
        <v>0</v>
      </c>
      <c r="AF38" s="30">
        <v>0</v>
      </c>
      <c r="AG38" s="30">
        <v>-14.8638000549787</v>
      </c>
      <c r="AH38" s="30">
        <v>4.4454153743670597</v>
      </c>
    </row>
    <row r="39" spans="1:34" ht="11.25" customHeight="1" x14ac:dyDescent="0.25">
      <c r="A39" s="129"/>
      <c r="B39" s="129"/>
      <c r="C39" s="129"/>
      <c r="D39" s="100" t="s">
        <v>93</v>
      </c>
      <c r="E39" s="100" t="s">
        <v>25</v>
      </c>
      <c r="F39" s="100" t="s">
        <v>25</v>
      </c>
      <c r="G39" s="32" t="s">
        <v>84</v>
      </c>
      <c r="H39" s="32" t="s">
        <v>79</v>
      </c>
      <c r="I39" s="32">
        <f>'MERCADO TE'!$U$36</f>
        <v>0</v>
      </c>
      <c r="J39" s="17"/>
      <c r="L39" s="30">
        <f>('TE BE'!$L$39+'TE BF'!$L$39+'TE CVA'!$L$39)*(1 - CUSTOS!$M$39)</f>
        <v>2.1787686106519115</v>
      </c>
      <c r="M39" s="30">
        <f>('TE BE'!$M$39+'TE BF'!$M$39+'TE CVA'!$M$39)*(1 - CUSTOS!$M$39)</f>
        <v>64.394716038108953</v>
      </c>
      <c r="N39" s="30">
        <f>('TE BE'!$N$39+'TE BF'!$N$39+'TE CVA'!$N$39)*(1 - CUSTOS!$M$39)</f>
        <v>0</v>
      </c>
      <c r="O39" s="30">
        <f>('TE BE'!$O$39+'TE BF'!$O$39+'TE CVA'!$O$39)*(1 - CUSTOS!$M$39)</f>
        <v>11.095600013427212</v>
      </c>
      <c r="P39" s="30">
        <f>('TE BE'!$P$39+'TE BF'!$P$39+'TE CVA'!$P$39)*(1 - CUSTOS!$M$39)</f>
        <v>-16.165298263188852</v>
      </c>
      <c r="Q39" s="30">
        <f>('TE BE'!$R$39+'TE BF'!$R$39+'TE CVA'!$R$39)*(1 - CUSTOS!$M$39)</f>
        <v>159.92972227223279</v>
      </c>
      <c r="R39" s="30">
        <f>('TE BE'!$T$39+'TE BF'!$T$39+'TE CVA'!$T$39)*(1 - CUSTOS!$M$39)</f>
        <v>0</v>
      </c>
      <c r="S39" s="30">
        <f>('TE BE'!$U$39+'TE BF'!$U$39+'TE CVA'!$U$39)*(1 - CUSTOS!$M$39)</f>
        <v>0</v>
      </c>
      <c r="T39" s="30">
        <f>('TE BE'!$V$39+'TE BF'!$V$39+'TE CVA'!$V$39)*(1 - CUSTOS!$M$39)</f>
        <v>0</v>
      </c>
      <c r="U39" s="30">
        <f>('TE BE'!$X$39+'TE BF'!$X$39+'TE CVA'!$X$39)*(1 - CUSTOS!$M$39)</f>
        <v>-14.865705654815633</v>
      </c>
      <c r="V39" s="30">
        <f>('TE BE'!$Z$39+'TE BF'!$Z$39+'TE CVA'!$Z$39)*(1 - CUSTOS!$M$39)</f>
        <v>4.4430332616343433</v>
      </c>
      <c r="W39" s="30"/>
      <c r="X39" s="30">
        <v>2.1796568751941998</v>
      </c>
      <c r="Y39" s="30">
        <v>64.394716038108996</v>
      </c>
      <c r="Z39" s="30">
        <v>0</v>
      </c>
      <c r="AA39" s="30">
        <v>0</v>
      </c>
      <c r="AB39" s="30">
        <v>-16.165298263188902</v>
      </c>
      <c r="AC39" s="30">
        <v>160.01546788909599</v>
      </c>
      <c r="AD39" s="30">
        <v>0</v>
      </c>
      <c r="AE39" s="30">
        <v>0</v>
      </c>
      <c r="AF39" s="30">
        <v>0</v>
      </c>
      <c r="AG39" s="30">
        <v>-14.8638000549787</v>
      </c>
      <c r="AH39" s="30">
        <v>4.4454153743670597</v>
      </c>
    </row>
    <row r="40" spans="1:34" ht="11.25" customHeight="1" x14ac:dyDescent="0.25">
      <c r="A40" s="129"/>
      <c r="B40" s="129"/>
      <c r="C40" s="129"/>
      <c r="D40" s="100" t="s">
        <v>94</v>
      </c>
      <c r="E40" s="100" t="s">
        <v>25</v>
      </c>
      <c r="F40" s="100" t="s">
        <v>25</v>
      </c>
      <c r="G40" s="32" t="s">
        <v>84</v>
      </c>
      <c r="H40" s="32" t="s">
        <v>79</v>
      </c>
      <c r="I40" s="32">
        <f>'MERCADO TE'!$U$37</f>
        <v>0</v>
      </c>
      <c r="J40" s="17"/>
      <c r="L40" s="30">
        <f>('TE BE'!$L$40+'TE BF'!$L$40+'TE CVA'!$L$40)*(1 - CUSTOS!$M$40)</f>
        <v>2.1324118317018712</v>
      </c>
      <c r="M40" s="30">
        <f>('TE BE'!$M$40+'TE BF'!$M$40+'TE CVA'!$M$40)*(1 - CUSTOS!$M$40)</f>
        <v>63.024615696872594</v>
      </c>
      <c r="N40" s="30">
        <f>('TE BE'!$N$40+'TE BF'!$N$40+'TE CVA'!$N$40)*(1 - CUSTOS!$M$40)</f>
        <v>0</v>
      </c>
      <c r="O40" s="30">
        <f>('TE BE'!$O$40+'TE BF'!$O$40+'TE CVA'!$O$40)*(1 - CUSTOS!$M$40)</f>
        <v>10.859523417396847</v>
      </c>
      <c r="P40" s="30">
        <f>('TE BE'!$P$40+'TE BF'!$P$40+'TE CVA'!$P$40)*(1 - CUSTOS!$M$40)</f>
        <v>-15.821355746950793</v>
      </c>
      <c r="Q40" s="30">
        <f>('TE BE'!$R$40+'TE BF'!$R$40+'TE CVA'!$R$40)*(1 - CUSTOS!$M$40)</f>
        <v>156.52696222388744</v>
      </c>
      <c r="R40" s="30">
        <f>('TE BE'!$T$40+'TE BF'!$T$40+'TE CVA'!$T$40)*(1 - CUSTOS!$M$40)</f>
        <v>0</v>
      </c>
      <c r="S40" s="30">
        <f>('TE BE'!$U$40+'TE BF'!$U$40+'TE CVA'!$U$40)*(1 - CUSTOS!$M$40)</f>
        <v>0</v>
      </c>
      <c r="T40" s="30">
        <f>('TE BE'!$V$40+'TE BF'!$V$40+'TE CVA'!$V$40)*(1 - CUSTOS!$M$40)</f>
        <v>0</v>
      </c>
      <c r="U40" s="30">
        <f>('TE BE'!$X$40+'TE BF'!$X$40+'TE CVA'!$X$40)*(1 - CUSTOS!$M$40)</f>
        <v>-14.549414045138706</v>
      </c>
      <c r="V40" s="30">
        <f>('TE BE'!$Z$40+'TE BF'!$Z$40+'TE CVA'!$Z$40)*(1 - CUSTOS!$M$40)</f>
        <v>4.348500639046379</v>
      </c>
      <c r="W40" s="30"/>
      <c r="X40" s="30">
        <v>2.1332811969985799</v>
      </c>
      <c r="Y40" s="30">
        <v>63.024615696872601</v>
      </c>
      <c r="Z40" s="30">
        <v>0</v>
      </c>
      <c r="AA40" s="30">
        <v>0</v>
      </c>
      <c r="AB40" s="30">
        <v>-15.8213557469508</v>
      </c>
      <c r="AC40" s="30">
        <v>156.61088346592399</v>
      </c>
      <c r="AD40" s="30">
        <v>0</v>
      </c>
      <c r="AE40" s="30">
        <v>0</v>
      </c>
      <c r="AF40" s="30">
        <v>0</v>
      </c>
      <c r="AG40" s="30">
        <v>-14.5475489899792</v>
      </c>
      <c r="AH40" s="30">
        <v>4.3508320685294599</v>
      </c>
    </row>
    <row r="41" spans="1:34" ht="11.25" customHeight="1" x14ac:dyDescent="0.25">
      <c r="A41" s="129" t="s">
        <v>37</v>
      </c>
      <c r="B41" s="129" t="s">
        <v>78</v>
      </c>
      <c r="C41" s="129" t="s">
        <v>25</v>
      </c>
      <c r="D41" s="129" t="s">
        <v>25</v>
      </c>
      <c r="E41" s="129" t="s">
        <v>25</v>
      </c>
      <c r="F41" s="129" t="s">
        <v>25</v>
      </c>
      <c r="G41" s="32" t="s">
        <v>80</v>
      </c>
      <c r="H41" s="32" t="s">
        <v>79</v>
      </c>
      <c r="I41" s="32">
        <f>'MERCADO TE'!$U$38</f>
        <v>25.125999999999998</v>
      </c>
      <c r="J41" s="17"/>
      <c r="L41" s="30">
        <f>('TE BE'!$L$41+'TE BF'!$L$41+'TE CVA'!$L$41)*1</f>
        <v>2.3178389475020338</v>
      </c>
      <c r="M41" s="30">
        <f>('TE BE'!$M$41+'TE BF'!$M$41+'TE CVA'!$M$41)*1</f>
        <v>68.505017061818037</v>
      </c>
      <c r="N41" s="30">
        <f>('TE BE'!$N$41+'TE BF'!$N$41+'TE CVA'!$N$41)*1</f>
        <v>0</v>
      </c>
      <c r="O41" s="30">
        <f>('TE BE'!$O$41+'TE BF'!$O$41+'TE CVA'!$O$41)*1</f>
        <v>11.803829801518312</v>
      </c>
      <c r="P41" s="30">
        <f>('TE BE'!$P$41+'TE BF'!$P$41+'TE CVA'!$P$41)*1</f>
        <v>-17.197125811903035</v>
      </c>
      <c r="Q41" s="30">
        <f>('TE BE'!$R$41+'TE BF'!$R$41+'TE CVA'!$R$41)*1</f>
        <v>276.0729850544364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BE'!$V$41+'TE BF'!$V$41+'TE CVA'!$V$41)*1</f>
        <v>0</v>
      </c>
      <c r="U41" s="30">
        <f>('TE BE'!$X$41+'TE BF'!$X$41+'TE CVA'!$X$41)*1</f>
        <v>-24.104402290528213</v>
      </c>
      <c r="V41" s="30">
        <f>('TE BE'!$Z$41+'TE BF'!$Z$41+'TE CVA'!$Z$41)*1</f>
        <v>4.7266311293982382</v>
      </c>
      <c r="W41" s="30"/>
      <c r="X41" s="30">
        <v>2.3187839097810601</v>
      </c>
      <c r="Y41" s="30">
        <v>68.505017061817995</v>
      </c>
      <c r="Z41" s="30">
        <v>0</v>
      </c>
      <c r="AA41" s="30">
        <v>0</v>
      </c>
      <c r="AB41" s="30">
        <v>-17.197125811903</v>
      </c>
      <c r="AC41" s="30">
        <v>276.22100037057999</v>
      </c>
      <c r="AD41" s="30">
        <v>0</v>
      </c>
      <c r="AE41" s="30">
        <v>0</v>
      </c>
      <c r="AF41" s="30">
        <v>0</v>
      </c>
      <c r="AG41" s="30">
        <v>-24.101788119422999</v>
      </c>
      <c r="AH41" s="30">
        <v>4.7291652918798501</v>
      </c>
    </row>
    <row r="42" spans="1:34" ht="11.25" customHeight="1" x14ac:dyDescent="0.25">
      <c r="A42" s="129"/>
      <c r="B42" s="129"/>
      <c r="C42" s="129"/>
      <c r="D42" s="129"/>
      <c r="E42" s="129"/>
      <c r="F42" s="129"/>
      <c r="G42" s="32" t="s">
        <v>90</v>
      </c>
      <c r="H42" s="32" t="s">
        <v>79</v>
      </c>
      <c r="I42" s="32">
        <f>'MERCADO TE'!$U$39</f>
        <v>27.405000000000001</v>
      </c>
      <c r="J42" s="17"/>
      <c r="L42" s="30">
        <f>('TE BE'!$L$42+'TE BF'!$L$42+'TE CVA'!$L$42)*1</f>
        <v>2.3178389475020338</v>
      </c>
      <c r="M42" s="30">
        <f>('TE BE'!$M$42+'TE BF'!$M$42+'TE CVA'!$M$42)*1</f>
        <v>68.505017061818037</v>
      </c>
      <c r="N42" s="30">
        <f>('TE BE'!$N$42+'TE BF'!$N$42+'TE CVA'!$N$42)*1</f>
        <v>0</v>
      </c>
      <c r="O42" s="30">
        <f>('TE BE'!$O$42+'TE BF'!$O$42+'TE CVA'!$O$42)*1</f>
        <v>11.803829801518312</v>
      </c>
      <c r="P42" s="30">
        <f>('TE BE'!$P$42+'TE BF'!$P$42+'TE CVA'!$P$42)*1</f>
        <v>-17.197125811903035</v>
      </c>
      <c r="Q42" s="30">
        <f>('TE BE'!$R$42+'TE BF'!$R$42+'TE CVA'!$R$42)*1</f>
        <v>160.50754945025372</v>
      </c>
      <c r="R42" s="30">
        <f>('TE BE'!$T$42+'TE BF'!$T$42+'TE CVA'!$T$42)*1</f>
        <v>0</v>
      </c>
      <c r="S42" s="30">
        <f>('TE BE'!$U$42+'TE BF'!$U$42+'TE CVA'!$U$42)*1</f>
        <v>0</v>
      </c>
      <c r="T42" s="30">
        <f>('TE BE'!$V$42+'TE BF'!$V$42+'TE CVA'!$V$42)*1</f>
        <v>0</v>
      </c>
      <c r="U42" s="30">
        <f>('TE BE'!$X$42+'TE BF'!$X$42+'TE CVA'!$X$42)*1</f>
        <v>-15.060960319602618</v>
      </c>
      <c r="V42" s="30">
        <f>('TE BE'!$Z$42+'TE BF'!$Z$42+'TE CVA'!$Z$42)*1</f>
        <v>4.7266311293982382</v>
      </c>
      <c r="W42" s="30"/>
      <c r="X42" s="30">
        <v>2.3187839097810601</v>
      </c>
      <c r="Y42" s="30">
        <v>68.505017061817995</v>
      </c>
      <c r="Z42" s="30">
        <v>0</v>
      </c>
      <c r="AA42" s="30">
        <v>0</v>
      </c>
      <c r="AB42" s="30">
        <v>-17.197125811903</v>
      </c>
      <c r="AC42" s="30">
        <v>160.593604866616</v>
      </c>
      <c r="AD42" s="30">
        <v>0</v>
      </c>
      <c r="AE42" s="30">
        <v>0</v>
      </c>
      <c r="AF42" s="30">
        <v>0</v>
      </c>
      <c r="AG42" s="30">
        <v>-15.0589864436641</v>
      </c>
      <c r="AH42" s="30">
        <v>4.7291652918798501</v>
      </c>
    </row>
    <row r="43" spans="1:34" ht="11.25" customHeight="1" x14ac:dyDescent="0.25">
      <c r="A43" s="129"/>
      <c r="B43" s="129"/>
      <c r="C43" s="129"/>
      <c r="D43" s="129"/>
      <c r="E43" s="129"/>
      <c r="F43" s="129"/>
      <c r="G43" s="32" t="s">
        <v>81</v>
      </c>
      <c r="H43" s="32" t="s">
        <v>79</v>
      </c>
      <c r="I43" s="32">
        <f>'MERCADO TE'!$U$40</f>
        <v>590.17399999999998</v>
      </c>
      <c r="J43" s="17"/>
      <c r="L43" s="30">
        <f>('TE BE'!$L$43+'TE BF'!$L$43+'TE CVA'!$L$43)*1</f>
        <v>2.3178389475020338</v>
      </c>
      <c r="M43" s="30">
        <f>('TE BE'!$M$43+'TE BF'!$M$43+'TE CVA'!$M$43)*1</f>
        <v>68.505017061818037</v>
      </c>
      <c r="N43" s="30">
        <f>('TE BE'!$N$43+'TE BF'!$N$43+'TE CVA'!$N$43)*1</f>
        <v>0</v>
      </c>
      <c r="O43" s="30">
        <f>('TE BE'!$O$43+'TE BF'!$O$43+'TE CVA'!$O$43)*1</f>
        <v>11.803829801518312</v>
      </c>
      <c r="P43" s="30">
        <f>('TE BE'!$P$43+'TE BF'!$P$43+'TE CVA'!$P$43)*1</f>
        <v>-17.197125811903035</v>
      </c>
      <c r="Q43" s="30">
        <f>('TE BE'!$R$43+'TE BF'!$R$43+'TE CVA'!$R$43)*1</f>
        <v>160.50754945025372</v>
      </c>
      <c r="R43" s="30">
        <f>('TE BE'!$T$43+'TE BF'!$T$43+'TE CVA'!$T$43)*1</f>
        <v>0</v>
      </c>
      <c r="S43" s="30">
        <f>('TE BE'!$U$43+'TE BF'!$U$43+'TE CVA'!$U$43)*1</f>
        <v>0</v>
      </c>
      <c r="T43" s="30">
        <f>('TE BE'!$V$43+'TE BF'!$V$43+'TE CVA'!$V$43)*1</f>
        <v>0</v>
      </c>
      <c r="U43" s="30">
        <f>('TE BE'!$X$43+'TE BF'!$X$43+'TE CVA'!$X$43)*1</f>
        <v>-15.060960319602618</v>
      </c>
      <c r="V43" s="30">
        <f>('TE BE'!$Z$43+'TE BF'!$Z$43+'TE CVA'!$Z$43)*1</f>
        <v>4.7266311293982382</v>
      </c>
      <c r="W43" s="30"/>
      <c r="X43" s="30">
        <v>2.3187839097810601</v>
      </c>
      <c r="Y43" s="30">
        <v>68.505017061817995</v>
      </c>
      <c r="Z43" s="30">
        <v>0</v>
      </c>
      <c r="AA43" s="30">
        <v>0</v>
      </c>
      <c r="AB43" s="30">
        <v>-17.197125811903</v>
      </c>
      <c r="AC43" s="30">
        <v>160.593604866616</v>
      </c>
      <c r="AD43" s="30">
        <v>0</v>
      </c>
      <c r="AE43" s="30">
        <v>0</v>
      </c>
      <c r="AF43" s="30">
        <v>0</v>
      </c>
      <c r="AG43" s="30">
        <v>-15.0589864436641</v>
      </c>
      <c r="AH43" s="30">
        <v>4.7291652918798501</v>
      </c>
    </row>
    <row r="44" spans="1:34" ht="11.25" customHeight="1" x14ac:dyDescent="0.25">
      <c r="A44" s="129"/>
      <c r="B44" s="100" t="s">
        <v>86</v>
      </c>
      <c r="C44" s="100" t="s">
        <v>25</v>
      </c>
      <c r="D44" s="100" t="s">
        <v>25</v>
      </c>
      <c r="E44" s="100" t="s">
        <v>25</v>
      </c>
      <c r="F44" s="100" t="s">
        <v>25</v>
      </c>
      <c r="G44" s="32" t="s">
        <v>84</v>
      </c>
      <c r="H44" s="32" t="s">
        <v>79</v>
      </c>
      <c r="I44" s="32">
        <f>'MERCADO TE'!$U$41</f>
        <v>181428.25600000002</v>
      </c>
      <c r="J44" s="17"/>
      <c r="L44" s="30">
        <f>('TE BE'!$L$44+'TE BF'!$L$44+'TE CVA'!$L$44)*1</f>
        <v>2.3178389475020338</v>
      </c>
      <c r="M44" s="30">
        <f>('TE BE'!$M$44+'TE BF'!$M$44+'TE CVA'!$M$44)*1</f>
        <v>68.505017061818037</v>
      </c>
      <c r="N44" s="30">
        <f>('TE BE'!$N$44+'TE BF'!$N$44+'TE CVA'!$N$44)*1</f>
        <v>0</v>
      </c>
      <c r="O44" s="30">
        <f>('TE BE'!$O$44+'TE BF'!$O$44+'TE CVA'!$O$44)*1</f>
        <v>11.803829801518312</v>
      </c>
      <c r="P44" s="30">
        <f>('TE BE'!$P$44+'TE BF'!$P$44+'TE CVA'!$P$44)*1</f>
        <v>-17.197125811903035</v>
      </c>
      <c r="Q44" s="30">
        <f>('TE BE'!$R$44+'TE BF'!$R$44+'TE CVA'!$R$44)*1</f>
        <v>170.13800241726895</v>
      </c>
      <c r="R44" s="30">
        <f>('TE BE'!$T$44+'TE BF'!$T$44+'TE CVA'!$T$44)*1</f>
        <v>0</v>
      </c>
      <c r="S44" s="30">
        <f>('TE BE'!$U$44+'TE BF'!$U$44+'TE CVA'!$U$44)*1</f>
        <v>0</v>
      </c>
      <c r="T44" s="30">
        <f>('TE BE'!$V$44+'TE BF'!$V$44+'TE CVA'!$V$44)*1</f>
        <v>0</v>
      </c>
      <c r="U44" s="30">
        <f>('TE BE'!$X$44+'TE BF'!$X$44+'TE CVA'!$X$44)*1</f>
        <v>-15.814580483846418</v>
      </c>
      <c r="V44" s="30">
        <f>('TE BE'!$Z$44+'TE BF'!$Z$44+'TE CVA'!$Z$44)*1</f>
        <v>4.7266311293982382</v>
      </c>
      <c r="W44" s="30"/>
      <c r="X44" s="30">
        <v>2.3187839097810601</v>
      </c>
      <c r="Y44" s="30">
        <v>68.505017061817995</v>
      </c>
      <c r="Z44" s="30">
        <v>0</v>
      </c>
      <c r="AA44" s="30">
        <v>0</v>
      </c>
      <c r="AB44" s="30">
        <v>-17.197125811903</v>
      </c>
      <c r="AC44" s="30">
        <v>170.229221158613</v>
      </c>
      <c r="AD44" s="30">
        <v>0</v>
      </c>
      <c r="AE44" s="30">
        <v>0</v>
      </c>
      <c r="AF44" s="30">
        <v>0</v>
      </c>
      <c r="AG44" s="30">
        <v>-15.8125532499774</v>
      </c>
      <c r="AH44" s="30">
        <v>4.7291652918798501</v>
      </c>
    </row>
    <row r="45" spans="1:34" ht="11.25" customHeight="1" x14ac:dyDescent="0.25">
      <c r="A45" s="129"/>
      <c r="B45" s="100" t="s">
        <v>91</v>
      </c>
      <c r="C45" s="100" t="s">
        <v>25</v>
      </c>
      <c r="D45" s="100" t="s">
        <v>25</v>
      </c>
      <c r="E45" s="100" t="s">
        <v>25</v>
      </c>
      <c r="F45" s="100" t="s">
        <v>25</v>
      </c>
      <c r="G45" s="32" t="s">
        <v>84</v>
      </c>
      <c r="H45" s="32" t="s">
        <v>79</v>
      </c>
      <c r="I45" s="32">
        <f>'MERCADO TE'!$U$42</f>
        <v>0</v>
      </c>
      <c r="J45" s="17"/>
      <c r="L45" s="30">
        <f>('TE BE'!$L$45+'TE BF'!$L$45+'TE CVA'!$L$45)*1</f>
        <v>2.3178389475020338</v>
      </c>
      <c r="M45" s="30">
        <f>('TE BE'!$M$45+'TE BF'!$M$45+'TE CVA'!$M$45)*1</f>
        <v>68.505017061818037</v>
      </c>
      <c r="N45" s="30">
        <f>('TE BE'!$N$45+'TE BF'!$N$45+'TE CVA'!$N$45)*1</f>
        <v>0</v>
      </c>
      <c r="O45" s="30">
        <f>('TE BE'!$O$45+'TE BF'!$O$45+'TE CVA'!$O$45)*1</f>
        <v>11.803829801518312</v>
      </c>
      <c r="P45" s="30">
        <f>('TE BE'!$P$45+'TE BF'!$P$45+'TE CVA'!$P$45)*1</f>
        <v>-17.197125811903035</v>
      </c>
      <c r="Q45" s="30">
        <f>('TE BE'!$R$45+'TE BF'!$R$45+'TE CVA'!$R$45)*1</f>
        <v>170.13800241726895</v>
      </c>
      <c r="R45" s="30">
        <f>('TE BE'!$T$45+'TE BF'!$T$45+'TE CVA'!$T$45)*1</f>
        <v>0</v>
      </c>
      <c r="S45" s="30">
        <f>('TE BE'!$U$45+'TE BF'!$U$45+'TE CVA'!$U$45)*1</f>
        <v>0</v>
      </c>
      <c r="T45" s="30">
        <f>('TE BE'!$V$45+'TE BF'!$V$45+'TE CVA'!$V$45)*1</f>
        <v>0</v>
      </c>
      <c r="U45" s="30">
        <f>('TE BE'!$X$45+'TE BF'!$X$45+'TE CVA'!$X$45)*1</f>
        <v>-15.814580483846418</v>
      </c>
      <c r="V45" s="30">
        <f>('TE BE'!$Z$45+'TE BF'!$Z$45+'TE CVA'!$Z$45)*1</f>
        <v>4.7266311293982382</v>
      </c>
      <c r="W45" s="30"/>
      <c r="X45" s="30">
        <v>2.3187839097810601</v>
      </c>
      <c r="Y45" s="30">
        <v>68.505017061817995</v>
      </c>
      <c r="Z45" s="30">
        <v>0</v>
      </c>
      <c r="AA45" s="30">
        <v>0</v>
      </c>
      <c r="AB45" s="30">
        <v>-17.197125811903</v>
      </c>
      <c r="AC45" s="30">
        <v>170.229221158613</v>
      </c>
      <c r="AD45" s="30">
        <v>0</v>
      </c>
      <c r="AE45" s="30">
        <v>0</v>
      </c>
      <c r="AF45" s="30">
        <v>0</v>
      </c>
      <c r="AG45" s="30">
        <v>-15.8125532499774</v>
      </c>
      <c r="AH45" s="30">
        <v>4.7291652918798501</v>
      </c>
    </row>
    <row r="46" spans="1:34" ht="11.25" customHeight="1" x14ac:dyDescent="0.25">
      <c r="A46" s="129" t="s">
        <v>48</v>
      </c>
      <c r="B46" s="129" t="s">
        <v>86</v>
      </c>
      <c r="C46" s="129" t="s">
        <v>49</v>
      </c>
      <c r="D46" s="100" t="s">
        <v>50</v>
      </c>
      <c r="E46" s="100" t="s">
        <v>25</v>
      </c>
      <c r="F46" s="100" t="s">
        <v>25</v>
      </c>
      <c r="G46" s="32" t="s">
        <v>84</v>
      </c>
      <c r="H46" s="32" t="s">
        <v>79</v>
      </c>
      <c r="I46" s="32">
        <f>'MERCADO TE'!$U$43</f>
        <v>39483.672999999995</v>
      </c>
      <c r="J46" s="17"/>
      <c r="L46" s="30">
        <f>('TE BE'!$L$46+'TE BF'!$L$46+'TE CVA'!$L$46)*1</f>
        <v>1.2748114211261188</v>
      </c>
      <c r="M46" s="30">
        <f>('TE BE'!$M$46+'TE BF'!$M$46+'TE CVA'!$M$46)*1</f>
        <v>37.67775938399992</v>
      </c>
      <c r="N46" s="30">
        <f>('TE BE'!$N$46+'TE BF'!$N$46+'TE CVA'!$N$46)*1</f>
        <v>0</v>
      </c>
      <c r="O46" s="30">
        <f>('TE BE'!$O$46+'TE BF'!$O$46+'TE CVA'!$O$46)*1</f>
        <v>6.4921063908350716</v>
      </c>
      <c r="P46" s="30">
        <f>('TE BE'!$P$46+'TE BF'!$P$46+'TE CVA'!$P$46)*1</f>
        <v>-9.4584191965466697</v>
      </c>
      <c r="Q46" s="30">
        <f>('TE BE'!$R$46+'TE BF'!$R$46+'TE CVA'!$R$46)*1</f>
        <v>93.575901329497924</v>
      </c>
      <c r="R46" s="30">
        <f>('TE BE'!$T$46+'TE BF'!$T$46+'TE CVA'!$T$46)*1</f>
        <v>0</v>
      </c>
      <c r="S46" s="30">
        <f>('TE BE'!$U$46+'TE BF'!$U$46+'TE CVA'!$U$46)*1</f>
        <v>0</v>
      </c>
      <c r="T46" s="30">
        <f>('TE BE'!$V$46+'TE BF'!$V$46+'TE CVA'!$V$46)*1</f>
        <v>0</v>
      </c>
      <c r="U46" s="30">
        <f>('TE BE'!$X$46+'TE BF'!$X$46+'TE CVA'!$X$46)*1</f>
        <v>-8.69801926611553</v>
      </c>
      <c r="V46" s="30">
        <f>('TE BE'!$Z$46+'TE BF'!$Z$46+'TE CVA'!$Z$46)*1</f>
        <v>2.5996471211690309</v>
      </c>
      <c r="W46" s="30"/>
      <c r="X46" s="30">
        <v>1.2753311503795799</v>
      </c>
      <c r="Y46" s="30">
        <v>37.677759383999899</v>
      </c>
      <c r="Z46" s="30">
        <v>0</v>
      </c>
      <c r="AA46" s="30">
        <v>0</v>
      </c>
      <c r="AB46" s="30">
        <v>-9.4584191965466697</v>
      </c>
      <c r="AC46" s="30">
        <v>93.626071637237303</v>
      </c>
      <c r="AD46" s="30">
        <v>0</v>
      </c>
      <c r="AE46" s="30">
        <v>0</v>
      </c>
      <c r="AF46" s="30">
        <v>0</v>
      </c>
      <c r="AG46" s="30">
        <v>-8.6969042874875608</v>
      </c>
      <c r="AH46" s="30">
        <v>2.6010409105339201</v>
      </c>
    </row>
    <row r="47" spans="1:34" ht="11.25" customHeight="1" x14ac:dyDescent="0.25">
      <c r="A47" s="129"/>
      <c r="B47" s="129"/>
      <c r="C47" s="129"/>
      <c r="D47" s="32" t="s">
        <v>95</v>
      </c>
      <c r="E47" s="32" t="s">
        <v>25</v>
      </c>
      <c r="F47" s="32" t="s">
        <v>25</v>
      </c>
      <c r="G47" s="32" t="s">
        <v>84</v>
      </c>
      <c r="H47" s="32" t="s">
        <v>79</v>
      </c>
      <c r="I47" s="32">
        <f>'MERCADO TE'!$U$44</f>
        <v>0</v>
      </c>
      <c r="J47" s="17"/>
      <c r="L47" s="30">
        <f>('TE BE'!$L$47+'TE BF'!$L$47+'TE CVA'!$L$47)*1</f>
        <v>1.3907033685012202</v>
      </c>
      <c r="M47" s="30">
        <f>('TE BE'!$M$47+'TE BF'!$M$47+'TE CVA'!$M$47)*1</f>
        <v>41.103010237090821</v>
      </c>
      <c r="N47" s="30">
        <f>('TE BE'!$N$47+'TE BF'!$N$47+'TE CVA'!$N$47)*1</f>
        <v>0</v>
      </c>
      <c r="O47" s="30">
        <f>('TE BE'!$O$47+'TE BF'!$O$47+'TE CVA'!$O$47)*1</f>
        <v>7.0822978809109864</v>
      </c>
      <c r="P47" s="30">
        <f>('TE BE'!$P$47+'TE BF'!$P$47+'TE CVA'!$P$47)*1</f>
        <v>-10.31827548714182</v>
      </c>
      <c r="Q47" s="30">
        <f>('TE BE'!$R$47+'TE BF'!$R$47+'TE CVA'!$R$47)*1</f>
        <v>102.08280145036139</v>
      </c>
      <c r="R47" s="30">
        <f>('TE BE'!$T$47+'TE BF'!$T$47+'TE CVA'!$T$47)*1</f>
        <v>0</v>
      </c>
      <c r="S47" s="30">
        <f>('TE BE'!$U$47+'TE BF'!$U$47+'TE CVA'!$U$47)*1</f>
        <v>0</v>
      </c>
      <c r="T47" s="30">
        <f>('TE BE'!$V$47+'TE BF'!$V$47+'TE CVA'!$V$47)*1</f>
        <v>0</v>
      </c>
      <c r="U47" s="30">
        <f>('TE BE'!$X$47+'TE BF'!$X$47+'TE CVA'!$X$47)*1</f>
        <v>-9.4887482903078517</v>
      </c>
      <c r="V47" s="30">
        <f>('TE BE'!$Z$47+'TE BF'!$Z$47+'TE CVA'!$Z$47)*1</f>
        <v>2.8359786776389422</v>
      </c>
      <c r="W47" s="30"/>
      <c r="X47" s="30">
        <v>1.39127034586864</v>
      </c>
      <c r="Y47" s="30">
        <v>41.1030102370908</v>
      </c>
      <c r="Z47" s="30">
        <v>0</v>
      </c>
      <c r="AA47" s="30">
        <v>0</v>
      </c>
      <c r="AB47" s="30">
        <v>-10.318275487141801</v>
      </c>
      <c r="AC47" s="30">
        <v>102.13753269516801</v>
      </c>
      <c r="AD47" s="30">
        <v>0</v>
      </c>
      <c r="AE47" s="30">
        <v>0</v>
      </c>
      <c r="AF47" s="30">
        <v>0</v>
      </c>
      <c r="AG47" s="30">
        <v>-9.4875319499864297</v>
      </c>
      <c r="AH47" s="30">
        <v>2.8374991751279102</v>
      </c>
    </row>
    <row r="49" spans="1:34" ht="11.25" customHeight="1" x14ac:dyDescent="0.25">
      <c r="L49" s="126" t="s">
        <v>1162</v>
      </c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X49" s="126" t="s">
        <v>1163</v>
      </c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</row>
    <row r="50" spans="1:34" ht="11.25" customHeight="1" x14ac:dyDescent="0.25">
      <c r="L50" s="126" t="s">
        <v>672</v>
      </c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X50" s="126" t="s">
        <v>672</v>
      </c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</row>
    <row r="51" spans="1:34" ht="11.25" customHeight="1" x14ac:dyDescent="0.25">
      <c r="L51" s="126" t="s">
        <v>645</v>
      </c>
      <c r="M51" s="126"/>
      <c r="N51" s="126"/>
      <c r="O51" s="126"/>
      <c r="P51" s="126"/>
      <c r="Q51" s="99" t="s">
        <v>676</v>
      </c>
      <c r="R51" s="126" t="s">
        <v>654</v>
      </c>
      <c r="S51" s="126"/>
      <c r="T51" s="126"/>
      <c r="U51" s="99" t="s">
        <v>664</v>
      </c>
      <c r="V51" s="99" t="s">
        <v>667</v>
      </c>
      <c r="X51" s="126" t="s">
        <v>645</v>
      </c>
      <c r="Y51" s="126"/>
      <c r="Z51" s="126"/>
      <c r="AA51" s="126"/>
      <c r="AB51" s="126"/>
      <c r="AC51" s="99" t="s">
        <v>676</v>
      </c>
      <c r="AD51" s="126" t="s">
        <v>654</v>
      </c>
      <c r="AE51" s="126"/>
      <c r="AF51" s="126"/>
      <c r="AG51" s="99" t="s">
        <v>664</v>
      </c>
      <c r="AH51" s="99" t="s">
        <v>667</v>
      </c>
    </row>
    <row r="52" spans="1:34" ht="11.25" customHeight="1" x14ac:dyDescent="0.25">
      <c r="L52" s="99" t="s">
        <v>647</v>
      </c>
      <c r="M52" s="99" t="s">
        <v>673</v>
      </c>
      <c r="N52" s="99" t="s">
        <v>674</v>
      </c>
      <c r="O52" s="99" t="s">
        <v>733</v>
      </c>
      <c r="P52" s="99" t="s">
        <v>675</v>
      </c>
      <c r="Q52" s="99" t="s">
        <v>677</v>
      </c>
      <c r="R52" s="99" t="s">
        <v>678</v>
      </c>
      <c r="S52" s="99" t="s">
        <v>679</v>
      </c>
      <c r="T52" s="99" t="s">
        <v>680</v>
      </c>
      <c r="U52" s="99" t="s">
        <v>665</v>
      </c>
      <c r="V52" s="99" t="s">
        <v>681</v>
      </c>
      <c r="W52" s="99"/>
      <c r="X52" s="99" t="s">
        <v>647</v>
      </c>
      <c r="Y52" s="99" t="s">
        <v>673</v>
      </c>
      <c r="Z52" s="99" t="s">
        <v>674</v>
      </c>
      <c r="AA52" s="99" t="s">
        <v>733</v>
      </c>
      <c r="AB52" s="99" t="s">
        <v>675</v>
      </c>
      <c r="AC52" s="99" t="s">
        <v>677</v>
      </c>
      <c r="AD52" s="99" t="s">
        <v>678</v>
      </c>
      <c r="AE52" s="99" t="s">
        <v>679</v>
      </c>
      <c r="AF52" s="99" t="s">
        <v>680</v>
      </c>
      <c r="AG52" s="99" t="s">
        <v>665</v>
      </c>
      <c r="AH52" s="99" t="s">
        <v>681</v>
      </c>
    </row>
    <row r="53" spans="1:34" ht="11.25" customHeight="1" x14ac:dyDescent="0.25">
      <c r="A53" s="9" t="s">
        <v>39</v>
      </c>
      <c r="B53" s="9" t="s">
        <v>1164</v>
      </c>
      <c r="C53" s="9" t="s">
        <v>1165</v>
      </c>
      <c r="D53" s="9" t="s">
        <v>1166</v>
      </c>
      <c r="E53" s="9" t="s">
        <v>1167</v>
      </c>
      <c r="F53" s="9" t="s">
        <v>1168</v>
      </c>
      <c r="G53" s="9" t="s">
        <v>1169</v>
      </c>
      <c r="L53" s="30">
        <f>$I$5*$L$5</f>
        <v>14872.687111642606</v>
      </c>
      <c r="M53" s="30">
        <f>$I$5*$M$5</f>
        <v>439570.52556916873</v>
      </c>
      <c r="N53" s="30">
        <f>$I$5*$N$5</f>
        <v>0</v>
      </c>
      <c r="O53" s="30">
        <f>$I$5*$O$5</f>
        <v>75740.666773358826</v>
      </c>
      <c r="P53" s="30">
        <f>$I$5*$P$5</f>
        <v>-110347.38703292163</v>
      </c>
      <c r="Q53" s="30">
        <f>$I$5*$Q$5</f>
        <v>1771454.8852140277</v>
      </c>
      <c r="R53" s="30">
        <f>$I$5*$R$5</f>
        <v>0</v>
      </c>
      <c r="S53" s="30">
        <f>$I$5*$S$5</f>
        <v>0</v>
      </c>
      <c r="T53" s="30">
        <f>$I$5*$T$5</f>
        <v>0</v>
      </c>
      <c r="U53" s="30">
        <f>$I$5*$U$5</f>
        <v>-154668.74161664458</v>
      </c>
      <c r="V53" s="30">
        <f>$I$5*$V$5</f>
        <v>30328.986384257067</v>
      </c>
      <c r="W53" s="30"/>
      <c r="X53" s="30">
        <f>$I$5*$X$5</f>
        <v>14878.750573611527</v>
      </c>
      <c r="Y53" s="30">
        <f>$I$5*$Y$5</f>
        <v>439570.5255691685</v>
      </c>
      <c r="Z53" s="30">
        <f>$I$5*$Z$5</f>
        <v>0</v>
      </c>
      <c r="AA53" s="30">
        <f>$I$5*$AA$5</f>
        <v>0</v>
      </c>
      <c r="AB53" s="30">
        <f>$I$5*$AB$5</f>
        <v>-110347.38703292141</v>
      </c>
      <c r="AC53" s="30">
        <f>$I$5*$AC$5</f>
        <v>1772404.6429558704</v>
      </c>
      <c r="AD53" s="30">
        <f>$I$5*$AD$5</f>
        <v>0</v>
      </c>
      <c r="AE53" s="30">
        <f>$I$5*$AE$5</f>
        <v>0</v>
      </c>
      <c r="AF53" s="30">
        <f>$I$5*$AF$5</f>
        <v>0</v>
      </c>
      <c r="AG53" s="30">
        <f>$I$5*$AG$5</f>
        <v>-154651.96747927577</v>
      </c>
      <c r="AH53" s="30">
        <f>$I$5*$AH$5</f>
        <v>30345.247136851503</v>
      </c>
    </row>
    <row r="54" spans="1:34" ht="11.25" customHeight="1" x14ac:dyDescent="0.25">
      <c r="A54" s="9" t="s">
        <v>39</v>
      </c>
      <c r="B54" s="9" t="s">
        <v>1164</v>
      </c>
      <c r="C54" s="9" t="s">
        <v>1165</v>
      </c>
      <c r="D54" s="9" t="s">
        <v>1166</v>
      </c>
      <c r="E54" s="9" t="s">
        <v>1167</v>
      </c>
      <c r="F54" s="9" t="s">
        <v>1168</v>
      </c>
      <c r="G54" s="9" t="s">
        <v>1170</v>
      </c>
      <c r="L54" s="30">
        <f>$I$6*$L$6</f>
        <v>154641.81300117436</v>
      </c>
      <c r="M54" s="30">
        <f>$I$6*$M$6</f>
        <v>4570524.6473370986</v>
      </c>
      <c r="N54" s="30">
        <f>$I$6*$N$6</f>
        <v>0</v>
      </c>
      <c r="O54" s="30">
        <f>$I$6*$O$6</f>
        <v>787529.10888450861</v>
      </c>
      <c r="P54" s="30">
        <f>$I$6*$P$6</f>
        <v>-1147359.5768282537</v>
      </c>
      <c r="Q54" s="30">
        <f>$I$6*$Q$6</f>
        <v>10708758.895484522</v>
      </c>
      <c r="R54" s="30">
        <f>$I$6*$R$6</f>
        <v>0</v>
      </c>
      <c r="S54" s="30">
        <f>$I$6*$S$6</f>
        <v>0</v>
      </c>
      <c r="T54" s="30">
        <f>$I$6*$T$6</f>
        <v>0</v>
      </c>
      <c r="U54" s="30">
        <f>$I$6*$U$6</f>
        <v>-1004838.6717602396</v>
      </c>
      <c r="V54" s="30">
        <f>$I$6*$V$6</f>
        <v>315351.85308093572</v>
      </c>
      <c r="W54" s="30"/>
      <c r="X54" s="30">
        <f>$I$6*$X$6</f>
        <v>154704.85908994765</v>
      </c>
      <c r="Y54" s="30">
        <f>$I$6*$Y$6</f>
        <v>4570524.6473370958</v>
      </c>
      <c r="Z54" s="30">
        <f>$I$6*$Z$6</f>
        <v>0</v>
      </c>
      <c r="AA54" s="30">
        <f>$I$6*$AA$6</f>
        <v>0</v>
      </c>
      <c r="AB54" s="30">
        <f>$I$6*$AB$6</f>
        <v>-1147359.5768282514</v>
      </c>
      <c r="AC54" s="30">
        <f>$I$6*$AC$6</f>
        <v>10714500.349444978</v>
      </c>
      <c r="AD54" s="30">
        <f>$I$6*$AD$6</f>
        <v>0</v>
      </c>
      <c r="AE54" s="30">
        <f>$I$6*$AE$6</f>
        <v>0</v>
      </c>
      <c r="AF54" s="30">
        <f>$I$6*$AF$6</f>
        <v>0</v>
      </c>
      <c r="AG54" s="30">
        <f>$I$6*$AG$6</f>
        <v>-1004706.9785060121</v>
      </c>
      <c r="AH54" s="30">
        <f>$I$6*$AH$6</f>
        <v>315520.92758933431</v>
      </c>
    </row>
    <row r="55" spans="1:34" ht="11.25" customHeight="1" x14ac:dyDescent="0.25">
      <c r="A55" s="9" t="s">
        <v>42</v>
      </c>
      <c r="B55" s="9" t="s">
        <v>1171</v>
      </c>
      <c r="C55" s="9" t="s">
        <v>1172</v>
      </c>
      <c r="D55" s="9" t="s">
        <v>1173</v>
      </c>
      <c r="E55" s="9" t="s">
        <v>1174</v>
      </c>
      <c r="F55" s="9" t="s">
        <v>1175</v>
      </c>
      <c r="G55" s="9" t="s">
        <v>1176</v>
      </c>
      <c r="L55" s="30">
        <f>$I$7*$L$7</f>
        <v>71.540099114650275</v>
      </c>
      <c r="M55" s="30">
        <f>$I$7*$M$7</f>
        <v>2114.4073516130138</v>
      </c>
      <c r="N55" s="30">
        <f>$I$7*$N$7</f>
        <v>0</v>
      </c>
      <c r="O55" s="30">
        <f>$I$7*$O$7</f>
        <v>364.32520682386269</v>
      </c>
      <c r="P55" s="30">
        <f>$I$7*$P$7</f>
        <v>-530.78928818438726</v>
      </c>
      <c r="Q55" s="30">
        <f>$I$7*$Q$7</f>
        <v>8520.9926837051808</v>
      </c>
      <c r="R55" s="30">
        <f>$I$7*$R$7</f>
        <v>0</v>
      </c>
      <c r="S55" s="30">
        <f>$I$7*$S$7</f>
        <v>0</v>
      </c>
      <c r="T55" s="30">
        <f>$I$7*$T$7</f>
        <v>0</v>
      </c>
      <c r="U55" s="30">
        <f>$I$7*$U$7</f>
        <v>-743.98237669715331</v>
      </c>
      <c r="V55" s="30">
        <f>$I$7*$V$7</f>
        <v>145.88746980887663</v>
      </c>
      <c r="W55" s="30"/>
      <c r="X55" s="30">
        <f>$I$7*$X$7</f>
        <v>71.569265375392419</v>
      </c>
      <c r="Y55" s="30">
        <f>$I$7*$Y$7</f>
        <v>2114.4073516130125</v>
      </c>
      <c r="Z55" s="30">
        <f>$I$7*$Z$7</f>
        <v>0</v>
      </c>
      <c r="AA55" s="30">
        <f>$I$7*$AA$7</f>
        <v>0</v>
      </c>
      <c r="AB55" s="30">
        <f>$I$7*$AB$7</f>
        <v>-530.78928818438612</v>
      </c>
      <c r="AC55" s="30">
        <f>$I$7*$AC$7</f>
        <v>8525.5611764379519</v>
      </c>
      <c r="AD55" s="30">
        <f>$I$7*$AD$7</f>
        <v>0</v>
      </c>
      <c r="AE55" s="30">
        <f>$I$7*$AE$7</f>
        <v>0</v>
      </c>
      <c r="AF55" s="30">
        <f>$I$7*$AF$7</f>
        <v>0</v>
      </c>
      <c r="AG55" s="30">
        <f>$I$7*$AG$7</f>
        <v>-743.90169030599088</v>
      </c>
      <c r="AH55" s="30">
        <f>$I$7*$AH$7</f>
        <v>145.96568673387159</v>
      </c>
    </row>
    <row r="56" spans="1:34" ht="11.25" customHeight="1" x14ac:dyDescent="0.25">
      <c r="A56" s="9" t="s">
        <v>42</v>
      </c>
      <c r="B56" s="9" t="s">
        <v>1171</v>
      </c>
      <c r="C56" s="9" t="s">
        <v>1172</v>
      </c>
      <c r="D56" s="9" t="s">
        <v>1173</v>
      </c>
      <c r="E56" s="9" t="s">
        <v>1174</v>
      </c>
      <c r="F56" s="9" t="s">
        <v>1175</v>
      </c>
      <c r="G56" s="9" t="s">
        <v>1177</v>
      </c>
      <c r="L56" s="30">
        <f>$I$8*$L$8</f>
        <v>440.11125935168616</v>
      </c>
      <c r="M56" s="30">
        <f>$I$8*$M$8</f>
        <v>13007.732639698008</v>
      </c>
      <c r="N56" s="30">
        <f>$I$8*$N$8</f>
        <v>0</v>
      </c>
      <c r="O56" s="30">
        <f>$I$8*$O$8</f>
        <v>2241.311202712297</v>
      </c>
      <c r="P56" s="30">
        <f>$I$8*$P$8</f>
        <v>-3265.3902491641484</v>
      </c>
      <c r="Q56" s="30">
        <f>$I$8*$Q$8</f>
        <v>30477.173489614175</v>
      </c>
      <c r="R56" s="30">
        <f>$I$8*$R$8</f>
        <v>0</v>
      </c>
      <c r="S56" s="30">
        <f>$I$8*$S$8</f>
        <v>0</v>
      </c>
      <c r="T56" s="30">
        <f>$I$8*$T$8</f>
        <v>0</v>
      </c>
      <c r="U56" s="30">
        <f>$I$8*$U$8</f>
        <v>-2859.775145486145</v>
      </c>
      <c r="V56" s="30">
        <f>$I$8*$V$8</f>
        <v>897.49271885013741</v>
      </c>
      <c r="W56" s="30"/>
      <c r="X56" s="30">
        <f>$I$8*$X$8</f>
        <v>440.29068878922766</v>
      </c>
      <c r="Y56" s="30">
        <f>$I$8*$Y$8</f>
        <v>13007.732639698001</v>
      </c>
      <c r="Z56" s="30">
        <f>$I$8*$Z$8</f>
        <v>0</v>
      </c>
      <c r="AA56" s="30">
        <f>$I$8*$AA$8</f>
        <v>0</v>
      </c>
      <c r="AB56" s="30">
        <f>$I$8*$AB$8</f>
        <v>-3265.3902491641416</v>
      </c>
      <c r="AC56" s="30">
        <f>$I$8*$AC$8</f>
        <v>30493.513692073047</v>
      </c>
      <c r="AD56" s="30">
        <f>$I$8*$AD$8</f>
        <v>0</v>
      </c>
      <c r="AE56" s="30">
        <f>$I$8*$AE$8</f>
        <v>0</v>
      </c>
      <c r="AF56" s="30">
        <f>$I$8*$AF$8</f>
        <v>0</v>
      </c>
      <c r="AG56" s="30">
        <f>$I$8*$AG$8</f>
        <v>-2859.4003459229393</v>
      </c>
      <c r="AH56" s="30">
        <f>$I$8*$AH$8</f>
        <v>897.97390562214594</v>
      </c>
    </row>
    <row r="57" spans="1:34" ht="11.25" customHeight="1" x14ac:dyDescent="0.25">
      <c r="A57" s="9" t="s">
        <v>42</v>
      </c>
      <c r="B57" s="9" t="s">
        <v>1178</v>
      </c>
      <c r="C57" s="9" t="s">
        <v>1179</v>
      </c>
      <c r="D57" s="9" t="s">
        <v>1180</v>
      </c>
      <c r="E57" s="9" t="s">
        <v>1181</v>
      </c>
      <c r="F57" s="9" t="s">
        <v>1182</v>
      </c>
      <c r="G57" s="9" t="s">
        <v>1183</v>
      </c>
      <c r="L57" s="30">
        <f>$I$9*$L$9</f>
        <v>0</v>
      </c>
      <c r="M57" s="30">
        <f>$I$9*$M$9</f>
        <v>0</v>
      </c>
      <c r="N57" s="30">
        <f>$I$9*$N$9</f>
        <v>0</v>
      </c>
      <c r="O57" s="30">
        <f>$I$9*$O$9</f>
        <v>0</v>
      </c>
      <c r="P57" s="30">
        <f>$I$9*$P$9</f>
        <v>0</v>
      </c>
      <c r="Q57" s="30">
        <f>$I$9*$Q$9</f>
        <v>0</v>
      </c>
      <c r="R57" s="30">
        <f>$I$9*$R$9</f>
        <v>0</v>
      </c>
      <c r="S57" s="30">
        <f>$I$9*$S$9</f>
        <v>0</v>
      </c>
      <c r="T57" s="30">
        <f>$I$9*$T$9</f>
        <v>0</v>
      </c>
      <c r="U57" s="30">
        <f>$I$9*$U$9</f>
        <v>0</v>
      </c>
      <c r="V57" s="30">
        <f>$I$9*$V$9</f>
        <v>0</v>
      </c>
      <c r="W57" s="30"/>
      <c r="X57" s="30">
        <f>$I$9*$X$9</f>
        <v>0</v>
      </c>
      <c r="Y57" s="30">
        <f>$I$9*$Y$9</f>
        <v>0</v>
      </c>
      <c r="Z57" s="30">
        <f>$I$9*$Z$9</f>
        <v>0</v>
      </c>
      <c r="AA57" s="30">
        <f>$I$9*$AA$9</f>
        <v>0</v>
      </c>
      <c r="AB57" s="30">
        <f>$I$9*$AB$9</f>
        <v>0</v>
      </c>
      <c r="AC57" s="30">
        <f>$I$9*$AC$9</f>
        <v>0</v>
      </c>
      <c r="AD57" s="30">
        <f>$I$9*$AD$9</f>
        <v>0</v>
      </c>
      <c r="AE57" s="30">
        <f>$I$9*$AE$9</f>
        <v>0</v>
      </c>
      <c r="AF57" s="30">
        <f>$I$9*$AF$9</f>
        <v>0</v>
      </c>
      <c r="AG57" s="30">
        <f>$I$9*$AG$9</f>
        <v>0</v>
      </c>
      <c r="AH57" s="30">
        <f>$I$9*$AH$9</f>
        <v>0</v>
      </c>
    </row>
    <row r="58" spans="1:34" ht="11.25" customHeight="1" x14ac:dyDescent="0.25">
      <c r="A58" s="9" t="s">
        <v>41</v>
      </c>
      <c r="B58" s="9" t="s">
        <v>1184</v>
      </c>
      <c r="C58" s="9" t="s">
        <v>1185</v>
      </c>
      <c r="D58" s="9" t="s">
        <v>1186</v>
      </c>
      <c r="E58" s="9" t="s">
        <v>1187</v>
      </c>
      <c r="F58" s="9" t="s">
        <v>1188</v>
      </c>
      <c r="G58" s="9" t="s">
        <v>1189</v>
      </c>
      <c r="L58" s="30">
        <f>$I$10*$L$10</f>
        <v>40918.669847089295</v>
      </c>
      <c r="M58" s="30">
        <f>$I$10*$M$10</f>
        <v>1209374.0072159574</v>
      </c>
      <c r="N58" s="30">
        <f>$I$10*$N$10</f>
        <v>0</v>
      </c>
      <c r="O58" s="30">
        <f>$I$10*$O$10</f>
        <v>208382.47415770357</v>
      </c>
      <c r="P58" s="30">
        <f>$I$10*$P$10</f>
        <v>-303594.65405242541</v>
      </c>
      <c r="Q58" s="30">
        <f>$I$10*$Q$10</f>
        <v>4873737.8156999797</v>
      </c>
      <c r="R58" s="30">
        <f>$I$10*$R$10</f>
        <v>0</v>
      </c>
      <c r="S58" s="30">
        <f>$I$10*$S$10</f>
        <v>0</v>
      </c>
      <c r="T58" s="30">
        <f>$I$10*$T$10</f>
        <v>0</v>
      </c>
      <c r="U58" s="30">
        <f>$I$10*$U$10</f>
        <v>-425534.34536533157</v>
      </c>
      <c r="V58" s="30">
        <f>$I$10*$V$10</f>
        <v>83443.010085432878</v>
      </c>
      <c r="W58" s="30"/>
      <c r="X58" s="30">
        <f>$I$10*$X$10</f>
        <v>40935.352024060696</v>
      </c>
      <c r="Y58" s="30">
        <f>$I$10*$Y$10</f>
        <v>1209374.0072159567</v>
      </c>
      <c r="Z58" s="30">
        <f>$I$10*$Z$10</f>
        <v>0</v>
      </c>
      <c r="AA58" s="30">
        <f>$I$10*$AA$10</f>
        <v>0</v>
      </c>
      <c r="AB58" s="30">
        <f>$I$10*$AB$10</f>
        <v>-303594.65405242477</v>
      </c>
      <c r="AC58" s="30">
        <f>$I$10*$AC$10</f>
        <v>4876350.8487841459</v>
      </c>
      <c r="AD58" s="30">
        <f>$I$10*$AD$10</f>
        <v>0</v>
      </c>
      <c r="AE58" s="30">
        <f>$I$10*$AE$10</f>
        <v>0</v>
      </c>
      <c r="AF58" s="30">
        <f>$I$10*$AF$10</f>
        <v>0</v>
      </c>
      <c r="AG58" s="30">
        <f>$I$10*$AG$10</f>
        <v>-425488.19530624594</v>
      </c>
      <c r="AH58" s="30">
        <f>$I$10*$AH$10</f>
        <v>83487.747688119081</v>
      </c>
    </row>
    <row r="59" spans="1:34" ht="11.25" customHeight="1" x14ac:dyDescent="0.25">
      <c r="A59" s="9" t="s">
        <v>41</v>
      </c>
      <c r="B59" s="9" t="s">
        <v>1184</v>
      </c>
      <c r="C59" s="9" t="s">
        <v>1185</v>
      </c>
      <c r="D59" s="9" t="s">
        <v>1186</v>
      </c>
      <c r="E59" s="9" t="s">
        <v>1187</v>
      </c>
      <c r="F59" s="9" t="s">
        <v>1188</v>
      </c>
      <c r="G59" s="9" t="s">
        <v>1190</v>
      </c>
      <c r="L59" s="30">
        <f>$I$11*$L$11</f>
        <v>481059.29621824034</v>
      </c>
      <c r="M59" s="30">
        <f>$I$11*$M$11</f>
        <v>14217974.60548014</v>
      </c>
      <c r="N59" s="30">
        <f>$I$11*$N$11</f>
        <v>0</v>
      </c>
      <c r="O59" s="30">
        <f>$I$11*$O$11</f>
        <v>2449843.2313935859</v>
      </c>
      <c r="P59" s="30">
        <f>$I$11*$P$11</f>
        <v>-3569202.7908006106</v>
      </c>
      <c r="Q59" s="30">
        <f>$I$11*$Q$11</f>
        <v>33312775.617765699</v>
      </c>
      <c r="R59" s="30">
        <f>$I$11*$R$11</f>
        <v>0</v>
      </c>
      <c r="S59" s="30">
        <f>$I$11*$S$11</f>
        <v>0</v>
      </c>
      <c r="T59" s="30">
        <f>$I$11*$T$11</f>
        <v>0</v>
      </c>
      <c r="U59" s="30">
        <f>$I$11*$U$11</f>
        <v>-3125849.1792655159</v>
      </c>
      <c r="V59" s="30">
        <f>$I$11*$V$11</f>
        <v>980995.61535197985</v>
      </c>
      <c r="W59" s="30"/>
      <c r="X59" s="30">
        <f>$I$11*$X$11</f>
        <v>481255.41980542534</v>
      </c>
      <c r="Y59" s="30">
        <f>$I$11*$Y$11</f>
        <v>14217974.605480131</v>
      </c>
      <c r="Z59" s="30">
        <f>$I$11*$Z$11</f>
        <v>0</v>
      </c>
      <c r="AA59" s="30">
        <f>$I$11*$AA$11</f>
        <v>0</v>
      </c>
      <c r="AB59" s="30">
        <f>$I$11*$AB$11</f>
        <v>-3569202.7908006036</v>
      </c>
      <c r="AC59" s="30">
        <f>$I$11*$AC$11</f>
        <v>33330636.115828183</v>
      </c>
      <c r="AD59" s="30">
        <f>$I$11*$AD$11</f>
        <v>0</v>
      </c>
      <c r="AE59" s="30">
        <f>$I$11*$AE$11</f>
        <v>0</v>
      </c>
      <c r="AF59" s="30">
        <f>$I$11*$AF$11</f>
        <v>0</v>
      </c>
      <c r="AG59" s="30">
        <f>$I$11*$AG$11</f>
        <v>-3125439.5082783108</v>
      </c>
      <c r="AH59" s="30">
        <f>$I$11*$AH$11</f>
        <v>981521.57183451322</v>
      </c>
    </row>
    <row r="60" spans="1:34" ht="11.25" customHeight="1" x14ac:dyDescent="0.25">
      <c r="A60" s="9" t="s">
        <v>41</v>
      </c>
      <c r="B60" s="9" t="s">
        <v>1191</v>
      </c>
      <c r="C60" s="9" t="s">
        <v>1192</v>
      </c>
      <c r="D60" s="9" t="s">
        <v>1193</v>
      </c>
      <c r="E60" s="9" t="s">
        <v>1194</v>
      </c>
      <c r="F60" s="9" t="s">
        <v>1195</v>
      </c>
      <c r="G60" s="9" t="s">
        <v>1196</v>
      </c>
      <c r="L60" s="30">
        <f>$I$12*$L$12</f>
        <v>0</v>
      </c>
      <c r="M60" s="30">
        <f>$I$12*$M$12</f>
        <v>0</v>
      </c>
      <c r="N60" s="30">
        <f>$I$12*$N$12</f>
        <v>0</v>
      </c>
      <c r="O60" s="30">
        <f>$I$12*$O$12</f>
        <v>0</v>
      </c>
      <c r="P60" s="30">
        <f>$I$12*$P$12</f>
        <v>0</v>
      </c>
      <c r="Q60" s="30">
        <f>$I$12*$Q$12</f>
        <v>0</v>
      </c>
      <c r="R60" s="30">
        <f>$I$12*$R$12</f>
        <v>0</v>
      </c>
      <c r="S60" s="30">
        <f>$I$12*$S$12</f>
        <v>0</v>
      </c>
      <c r="T60" s="30">
        <f>$I$12*$T$12</f>
        <v>0</v>
      </c>
      <c r="U60" s="30">
        <f>$I$12*$U$12</f>
        <v>0</v>
      </c>
      <c r="V60" s="30">
        <f>$I$12*$V$12</f>
        <v>0</v>
      </c>
      <c r="W60" s="30"/>
      <c r="X60" s="30">
        <f>$I$12*$X$12</f>
        <v>0</v>
      </c>
      <c r="Y60" s="30">
        <f>$I$12*$Y$12</f>
        <v>0</v>
      </c>
      <c r="Z60" s="30">
        <f>$I$12*$Z$12</f>
        <v>0</v>
      </c>
      <c r="AA60" s="30">
        <f>$I$12*$AA$12</f>
        <v>0</v>
      </c>
      <c r="AB60" s="30">
        <f>$I$12*$AB$12</f>
        <v>0</v>
      </c>
      <c r="AC60" s="30">
        <f>$I$12*$AC$12</f>
        <v>0</v>
      </c>
      <c r="AD60" s="30">
        <f>$I$12*$AD$12</f>
        <v>0</v>
      </c>
      <c r="AE60" s="30">
        <f>$I$12*$AE$12</f>
        <v>0</v>
      </c>
      <c r="AF60" s="30">
        <f>$I$12*$AF$12</f>
        <v>0</v>
      </c>
      <c r="AG60" s="30">
        <f>$I$12*$AG$12</f>
        <v>0</v>
      </c>
      <c r="AH60" s="30">
        <f>$I$12*$AH$12</f>
        <v>0</v>
      </c>
    </row>
    <row r="61" spans="1:34" ht="11.25" customHeight="1" x14ac:dyDescent="0.25">
      <c r="A61" s="9" t="s">
        <v>22</v>
      </c>
      <c r="B61" s="9" t="s">
        <v>1197</v>
      </c>
      <c r="C61" s="9" t="s">
        <v>1198</v>
      </c>
      <c r="D61" s="9" t="s">
        <v>1199</v>
      </c>
      <c r="E61" s="9" t="s">
        <v>1200</v>
      </c>
      <c r="F61" s="9" t="s">
        <v>1201</v>
      </c>
      <c r="G61" s="9" t="s">
        <v>1202</v>
      </c>
      <c r="L61" s="30">
        <f>$I$13*$L$13</f>
        <v>34.760630695687993</v>
      </c>
      <c r="M61" s="30">
        <f>$I$13*$M$13</f>
        <v>1027.369740876085</v>
      </c>
      <c r="N61" s="30">
        <f>$I$13*$N$13</f>
        <v>0</v>
      </c>
      <c r="O61" s="30">
        <f>$I$13*$O$13</f>
        <v>177.02203553337009</v>
      </c>
      <c r="P61" s="30">
        <f>$I$13*$P$13</f>
        <v>-257.90529580110979</v>
      </c>
      <c r="Q61" s="30">
        <f>$I$13*$Q$13</f>
        <v>4140.266556861382</v>
      </c>
      <c r="R61" s="30">
        <f>$I$13*$R$13</f>
        <v>0</v>
      </c>
      <c r="S61" s="30">
        <f>$I$13*$S$13</f>
        <v>0</v>
      </c>
      <c r="T61" s="30">
        <f>$I$13*$T$13</f>
        <v>0</v>
      </c>
      <c r="U61" s="30">
        <f>$I$13*$U$13</f>
        <v>-361.49372115105155</v>
      </c>
      <c r="V61" s="30">
        <f>$I$13*$V$13</f>
        <v>70.885287047585365</v>
      </c>
      <c r="W61" s="30"/>
      <c r="X61" s="30">
        <f>$I$13*$X$13</f>
        <v>34.774802294986557</v>
      </c>
      <c r="Y61" s="30">
        <f>$I$13*$Y$13</f>
        <v>1027.3697408760843</v>
      </c>
      <c r="Z61" s="30">
        <f>$I$13*$Z$13</f>
        <v>0</v>
      </c>
      <c r="AA61" s="30">
        <f>$I$13*$AA$13</f>
        <v>0</v>
      </c>
      <c r="AB61" s="30">
        <f>$I$13*$AB$13</f>
        <v>-257.90529580110928</v>
      </c>
      <c r="AC61" s="30">
        <f>$I$13*$AC$13</f>
        <v>4142.4863425575877</v>
      </c>
      <c r="AD61" s="30">
        <f>$I$13*$AD$13</f>
        <v>0</v>
      </c>
      <c r="AE61" s="30">
        <f>$I$13*$AE$13</f>
        <v>0</v>
      </c>
      <c r="AF61" s="30">
        <f>$I$13*$AF$13</f>
        <v>0</v>
      </c>
      <c r="AG61" s="30">
        <f>$I$13*$AG$13</f>
        <v>-361.45451642698669</v>
      </c>
      <c r="AH61" s="30">
        <f>$I$13*$AH$13</f>
        <v>70.923291882322104</v>
      </c>
    </row>
    <row r="62" spans="1:34" ht="11.25" customHeight="1" x14ac:dyDescent="0.25">
      <c r="A62" s="9" t="s">
        <v>22</v>
      </c>
      <c r="B62" s="9" t="s">
        <v>1197</v>
      </c>
      <c r="C62" s="9" t="s">
        <v>1198</v>
      </c>
      <c r="D62" s="9" t="s">
        <v>1199</v>
      </c>
      <c r="E62" s="9" t="s">
        <v>1200</v>
      </c>
      <c r="F62" s="9" t="s">
        <v>1201</v>
      </c>
      <c r="G62" s="9" t="s">
        <v>1203</v>
      </c>
      <c r="L62" s="30">
        <f>$I$14*$L$14</f>
        <v>30.773947705984504</v>
      </c>
      <c r="M62" s="30">
        <f>$I$14*$M$14</f>
        <v>909.54111152975815</v>
      </c>
      <c r="N62" s="30">
        <f>$I$14*$N$14</f>
        <v>0</v>
      </c>
      <c r="O62" s="30">
        <f>$I$14*$O$14</f>
        <v>156.71944827475863</v>
      </c>
      <c r="P62" s="30">
        <f>$I$14*$P$14</f>
        <v>-228.32623940463662</v>
      </c>
      <c r="Q62" s="30">
        <f>$I$14*$Q$14</f>
        <v>2131.0587340510187</v>
      </c>
      <c r="R62" s="30">
        <f>$I$14*$R$14</f>
        <v>0</v>
      </c>
      <c r="S62" s="30">
        <f>$I$14*$S$14</f>
        <v>0</v>
      </c>
      <c r="T62" s="30">
        <f>$I$14*$T$14</f>
        <v>0</v>
      </c>
      <c r="U62" s="30">
        <f>$I$14*$U$14</f>
        <v>-199.96437016336398</v>
      </c>
      <c r="V62" s="30">
        <f>$I$14*$V$14</f>
        <v>62.755481505020413</v>
      </c>
      <c r="W62" s="30"/>
      <c r="X62" s="30">
        <f>$I$14*$X$14</f>
        <v>30.786493970163136</v>
      </c>
      <c r="Y62" s="30">
        <f>$I$14*$Y$14</f>
        <v>909.54111152975759</v>
      </c>
      <c r="Z62" s="30">
        <f>$I$14*$Z$14</f>
        <v>0</v>
      </c>
      <c r="AA62" s="30">
        <f>$I$14*$AA$14</f>
        <v>0</v>
      </c>
      <c r="AB62" s="30">
        <f>$I$14*$AB$14</f>
        <v>-228.32623940463614</v>
      </c>
      <c r="AC62" s="30">
        <f>$I$14*$AC$14</f>
        <v>2132.2012918140608</v>
      </c>
      <c r="AD62" s="30">
        <f>$I$14*$AD$14</f>
        <v>0</v>
      </c>
      <c r="AE62" s="30">
        <f>$I$14*$AE$14</f>
        <v>0</v>
      </c>
      <c r="AF62" s="30">
        <f>$I$14*$AF$14</f>
        <v>0</v>
      </c>
      <c r="AG62" s="30">
        <f>$I$14*$AG$14</f>
        <v>-199.93816301252826</v>
      </c>
      <c r="AH62" s="30">
        <f>$I$14*$AH$14</f>
        <v>62.789127580288778</v>
      </c>
    </row>
    <row r="63" spans="1:34" ht="11.25" customHeight="1" x14ac:dyDescent="0.25">
      <c r="A63" s="9" t="s">
        <v>22</v>
      </c>
      <c r="B63" s="9" t="s">
        <v>1197</v>
      </c>
      <c r="C63" s="9" t="s">
        <v>1198</v>
      </c>
      <c r="D63" s="9" t="s">
        <v>1199</v>
      </c>
      <c r="E63" s="9" t="s">
        <v>1200</v>
      </c>
      <c r="F63" s="9" t="s">
        <v>1201</v>
      </c>
      <c r="G63" s="9" t="s">
        <v>1204</v>
      </c>
      <c r="L63" s="30">
        <f>$I$15*$L$15</f>
        <v>455.39508937151459</v>
      </c>
      <c r="M63" s="30">
        <f>$I$15*$M$15</f>
        <v>13459.454722203636</v>
      </c>
      <c r="N63" s="30">
        <f>$I$15*$N$15</f>
        <v>0</v>
      </c>
      <c r="O63" s="30">
        <f>$I$15*$O$15</f>
        <v>2319.1456564235086</v>
      </c>
      <c r="P63" s="30">
        <f>$I$15*$P$15</f>
        <v>-3378.7880967678366</v>
      </c>
      <c r="Q63" s="30">
        <f>$I$15*$Q$15</f>
        <v>31535.560270689148</v>
      </c>
      <c r="R63" s="30">
        <f>$I$15*$R$15</f>
        <v>0</v>
      </c>
      <c r="S63" s="30">
        <f>$I$15*$S$15</f>
        <v>0</v>
      </c>
      <c r="T63" s="30">
        <f>$I$15*$T$15</f>
        <v>0</v>
      </c>
      <c r="U63" s="30">
        <f>$I$15*$U$15</f>
        <v>-2959.0871178336047</v>
      </c>
      <c r="V63" s="30">
        <f>$I$15*$V$15</f>
        <v>928.66012451738936</v>
      </c>
      <c r="W63" s="30"/>
      <c r="X63" s="30">
        <f>$I$15*$X$15</f>
        <v>455.580749890324</v>
      </c>
      <c r="Y63" s="30">
        <f>$I$15*$Y$15</f>
        <v>13459.454722203627</v>
      </c>
      <c r="Z63" s="30">
        <f>$I$15*$Z$15</f>
        <v>0</v>
      </c>
      <c r="AA63" s="30">
        <f>$I$15*$AA$15</f>
        <v>0</v>
      </c>
      <c r="AB63" s="30">
        <f>$I$15*$AB$15</f>
        <v>-3378.7880967678298</v>
      </c>
      <c r="AC63" s="30">
        <f>$I$15*$AC$15</f>
        <v>31552.467922563512</v>
      </c>
      <c r="AD63" s="30">
        <f>$I$15*$AD$15</f>
        <v>0</v>
      </c>
      <c r="AE63" s="30">
        <f>$I$15*$AE$15</f>
        <v>0</v>
      </c>
      <c r="AF63" s="30">
        <f>$I$15*$AF$15</f>
        <v>0</v>
      </c>
      <c r="AG63" s="30">
        <f>$I$15*$AG$15</f>
        <v>-2958.69930253246</v>
      </c>
      <c r="AH63" s="30">
        <f>$I$15*$AH$15</f>
        <v>929.1580215568016</v>
      </c>
    </row>
    <row r="64" spans="1:34" ht="11.25" customHeight="1" x14ac:dyDescent="0.25">
      <c r="A64" s="9" t="s">
        <v>22</v>
      </c>
      <c r="B64" s="9" t="s">
        <v>1205</v>
      </c>
      <c r="C64" s="9" t="s">
        <v>1206</v>
      </c>
      <c r="D64" s="9" t="s">
        <v>1207</v>
      </c>
      <c r="E64" s="9" t="s">
        <v>1208</v>
      </c>
      <c r="F64" s="9" t="s">
        <v>1209</v>
      </c>
      <c r="G64" s="9" t="s">
        <v>1210</v>
      </c>
      <c r="L64" s="30">
        <f>$I$16*$L$16</f>
        <v>1047022.6833848109</v>
      </c>
      <c r="M64" s="30">
        <f>$I$16*$M$16</f>
        <v>30945336.761506826</v>
      </c>
      <c r="N64" s="30">
        <f>$I$16*$N$16</f>
        <v>0</v>
      </c>
      <c r="O64" s="30">
        <f>$I$16*$O$16</f>
        <v>5332069.1527436068</v>
      </c>
      <c r="P64" s="30">
        <f>$I$16*$P$16</f>
        <v>-7768348.5444448087</v>
      </c>
      <c r="Q64" s="30">
        <f>$I$16*$Q$16</f>
        <v>76855360.476465583</v>
      </c>
      <c r="R64" s="30">
        <f>$I$16*$R$16</f>
        <v>0</v>
      </c>
      <c r="S64" s="30">
        <f>$I$16*$S$16</f>
        <v>0</v>
      </c>
      <c r="T64" s="30">
        <f>$I$16*$T$16</f>
        <v>0</v>
      </c>
      <c r="U64" s="30">
        <f>$I$16*$U$16</f>
        <v>-7143820.1142693544</v>
      </c>
      <c r="V64" s="30">
        <f>$I$16*$V$16</f>
        <v>2135131.0943351816</v>
      </c>
      <c r="W64" s="30"/>
      <c r="X64" s="30">
        <f>$I$16*$X$16</f>
        <v>1047449.5452002748</v>
      </c>
      <c r="Y64" s="30">
        <f>$I$16*$Y$16</f>
        <v>30945336.761506807</v>
      </c>
      <c r="Z64" s="30">
        <f>$I$16*$Z$16</f>
        <v>0</v>
      </c>
      <c r="AA64" s="30">
        <f>$I$16*$AA$16</f>
        <v>0</v>
      </c>
      <c r="AB64" s="30">
        <f>$I$16*$AB$16</f>
        <v>-7768348.5444447929</v>
      </c>
      <c r="AC64" s="30">
        <f>$I$16*$AC$16</f>
        <v>76896566.139801234</v>
      </c>
      <c r="AD64" s="30">
        <f>$I$16*$AD$16</f>
        <v>0</v>
      </c>
      <c r="AE64" s="30">
        <f>$I$16*$AE$16</f>
        <v>0</v>
      </c>
      <c r="AF64" s="30">
        <f>$I$16*$AF$16</f>
        <v>0</v>
      </c>
      <c r="AG64" s="30">
        <f>$I$16*$AG$16</f>
        <v>-7142904.3647744739</v>
      </c>
      <c r="AH64" s="30">
        <f>$I$16*$AH$16</f>
        <v>2136275.8354762732</v>
      </c>
    </row>
    <row r="65" spans="1:34" ht="11.25" customHeight="1" x14ac:dyDescent="0.25">
      <c r="A65" s="9" t="s">
        <v>22</v>
      </c>
      <c r="B65" s="9" t="s">
        <v>1205</v>
      </c>
      <c r="C65" s="9" t="s">
        <v>1206</v>
      </c>
      <c r="D65" s="9" t="s">
        <v>1211</v>
      </c>
      <c r="E65" s="9" t="s">
        <v>1212</v>
      </c>
      <c r="F65" s="9" t="s">
        <v>1213</v>
      </c>
      <c r="G65" s="9" t="s">
        <v>1214</v>
      </c>
      <c r="L65" s="30">
        <f>$I$17*$L$17</f>
        <v>12394.786202970448</v>
      </c>
      <c r="M65" s="30">
        <f>$I$17*$M$17</f>
        <v>366334.78837137035</v>
      </c>
      <c r="N65" s="30">
        <f>$I$17*$N$17</f>
        <v>0</v>
      </c>
      <c r="O65" s="30">
        <f>$I$17*$O$17</f>
        <v>63121.705208960462</v>
      </c>
      <c r="P65" s="30">
        <f>$I$17*$P$17</f>
        <v>-91962.68704253262</v>
      </c>
      <c r="Q65" s="30">
        <f>$I$17*$Q$17</f>
        <v>909823.42290659412</v>
      </c>
      <c r="R65" s="30">
        <f>$I$17*$R$17</f>
        <v>0</v>
      </c>
      <c r="S65" s="30">
        <f>$I$17*$S$17</f>
        <v>0</v>
      </c>
      <c r="T65" s="30">
        <f>$I$17*$T$17</f>
        <v>0</v>
      </c>
      <c r="U65" s="30">
        <f>$I$17*$U$17</f>
        <v>-84569.440943339447</v>
      </c>
      <c r="V65" s="30">
        <f>$I$17*$V$17</f>
        <v>25275.950415939977</v>
      </c>
      <c r="W65" s="30"/>
      <c r="X65" s="30">
        <f>$I$17*$X$17</f>
        <v>12399.83944682549</v>
      </c>
      <c r="Y65" s="30">
        <f>$I$17*$Y$17</f>
        <v>366334.78837137023</v>
      </c>
      <c r="Z65" s="30">
        <f>$I$17*$Z$17</f>
        <v>0</v>
      </c>
      <c r="AA65" s="30">
        <f>$I$17*$AA$17</f>
        <v>0</v>
      </c>
      <c r="AB65" s="30">
        <f>$I$17*$AB$17</f>
        <v>-91962.687042532591</v>
      </c>
      <c r="AC65" s="30">
        <f>$I$17*$AC$17</f>
        <v>910311.22073132545</v>
      </c>
      <c r="AD65" s="30">
        <f>$I$17*$AD$17</f>
        <v>0</v>
      </c>
      <c r="AE65" s="30">
        <f>$I$17*$AE$17</f>
        <v>0</v>
      </c>
      <c r="AF65" s="30">
        <f>$I$17*$AF$17</f>
        <v>0</v>
      </c>
      <c r="AG65" s="30">
        <f>$I$17*$AG$17</f>
        <v>-84558.600185651201</v>
      </c>
      <c r="AH65" s="30">
        <f>$I$17*$AH$17</f>
        <v>25289.502005534723</v>
      </c>
    </row>
    <row r="66" spans="1:34" ht="11.25" customHeight="1" x14ac:dyDescent="0.25">
      <c r="A66" s="9" t="s">
        <v>22</v>
      </c>
      <c r="B66" s="9" t="s">
        <v>1205</v>
      </c>
      <c r="C66" s="9" t="s">
        <v>1206</v>
      </c>
      <c r="D66" s="9" t="s">
        <v>1215</v>
      </c>
      <c r="E66" s="9" t="s">
        <v>1216</v>
      </c>
      <c r="F66" s="9" t="s">
        <v>1217</v>
      </c>
      <c r="G66" s="9" t="s">
        <v>1218</v>
      </c>
      <c r="L66" s="30">
        <f>$I$18*$L$18</f>
        <v>30549.240173541028</v>
      </c>
      <c r="M66" s="30">
        <f>$I$18*$M$18</f>
        <v>902899.75564066612</v>
      </c>
      <c r="N66" s="30">
        <f>$I$18*$N$18</f>
        <v>0</v>
      </c>
      <c r="O66" s="30">
        <f>$I$18*$O$18</f>
        <v>155575.10238699085</v>
      </c>
      <c r="P66" s="30">
        <f>$I$18*$P$18</f>
        <v>-226659.02964855006</v>
      </c>
      <c r="Q66" s="30">
        <f>$I$18*$Q$18</f>
        <v>2242427.8891737335</v>
      </c>
      <c r="R66" s="30">
        <f>$I$18*$R$18</f>
        <v>0</v>
      </c>
      <c r="S66" s="30">
        <f>$I$18*$S$18</f>
        <v>0</v>
      </c>
      <c r="T66" s="30">
        <f>$I$18*$T$18</f>
        <v>0</v>
      </c>
      <c r="U66" s="30">
        <f>$I$18*$U$18</f>
        <v>-208437.00894986145</v>
      </c>
      <c r="V66" s="30">
        <f>$I$18*$V$18</f>
        <v>62297.248796918648</v>
      </c>
      <c r="W66" s="30"/>
      <c r="X66" s="30">
        <f>$I$18*$X$18</f>
        <v>30561.694826461684</v>
      </c>
      <c r="Y66" s="30">
        <f>$I$18*$Y$18</f>
        <v>902899.75564066565</v>
      </c>
      <c r="Z66" s="30">
        <f>$I$18*$Z$18</f>
        <v>0</v>
      </c>
      <c r="AA66" s="30">
        <f>$I$18*$AA$18</f>
        <v>0</v>
      </c>
      <c r="AB66" s="30">
        <f>$I$18*$AB$18</f>
        <v>-226659.02964854962</v>
      </c>
      <c r="AC66" s="30">
        <f>$I$18*$AC$18</f>
        <v>2243630.1570192459</v>
      </c>
      <c r="AD66" s="30">
        <f>$I$18*$AD$18</f>
        <v>0</v>
      </c>
      <c r="AE66" s="30">
        <f>$I$18*$AE$18</f>
        <v>0</v>
      </c>
      <c r="AF66" s="30">
        <f>$I$18*$AF$18</f>
        <v>0</v>
      </c>
      <c r="AG66" s="30">
        <f>$I$18*$AG$18</f>
        <v>-208410.28990002419</v>
      </c>
      <c r="AH66" s="30">
        <f>$I$18*$AH$18</f>
        <v>62330.649192736906</v>
      </c>
    </row>
    <row r="67" spans="1:34" ht="11.25" customHeight="1" x14ac:dyDescent="0.25">
      <c r="A67" s="9" t="s">
        <v>22</v>
      </c>
      <c r="B67" s="9" t="s">
        <v>1205</v>
      </c>
      <c r="C67" s="9" t="s">
        <v>1206</v>
      </c>
      <c r="D67" s="9" t="s">
        <v>1219</v>
      </c>
      <c r="E67" s="9" t="s">
        <v>1220</v>
      </c>
      <c r="F67" s="9" t="s">
        <v>1221</v>
      </c>
      <c r="G67" s="9" t="s">
        <v>1222</v>
      </c>
      <c r="L67" s="30">
        <f>$I$19*$L$19</f>
        <v>50239.404646251118</v>
      </c>
      <c r="M67" s="30">
        <f>$I$19*$M$19</f>
        <v>1484853.4994962127</v>
      </c>
      <c r="N67" s="30">
        <f>$I$19*$N$19</f>
        <v>0</v>
      </c>
      <c r="O67" s="30">
        <f>$I$19*$O$19</f>
        <v>255849.26097348536</v>
      </c>
      <c r="P67" s="30">
        <f>$I$19*$P$19</f>
        <v>-372749.52314862178</v>
      </c>
      <c r="Q67" s="30">
        <f>$I$19*$Q$19</f>
        <v>3687759.2200087602</v>
      </c>
      <c r="R67" s="30">
        <f>$I$19*$R$19</f>
        <v>0</v>
      </c>
      <c r="S67" s="30">
        <f>$I$19*$S$19</f>
        <v>0</v>
      </c>
      <c r="T67" s="30">
        <f>$I$19*$T$19</f>
        <v>0</v>
      </c>
      <c r="U67" s="30">
        <f>$I$19*$U$19</f>
        <v>-342782.70675144432</v>
      </c>
      <c r="V67" s="30">
        <f>$I$19*$V$19</f>
        <v>102450.23027994341</v>
      </c>
      <c r="W67" s="30"/>
      <c r="X67" s="30">
        <f>$I$19*$X$19</f>
        <v>50259.886803720656</v>
      </c>
      <c r="Y67" s="30">
        <f>$I$19*$Y$19</f>
        <v>1484853.4994962118</v>
      </c>
      <c r="Z67" s="30">
        <f>$I$19*$Z$19</f>
        <v>0</v>
      </c>
      <c r="AA67" s="30">
        <f>$I$19*$AA$19</f>
        <v>0</v>
      </c>
      <c r="AB67" s="30">
        <f>$I$19*$AB$19</f>
        <v>-372749.52314862097</v>
      </c>
      <c r="AC67" s="30">
        <f>$I$19*$AC$19</f>
        <v>3689736.3958874643</v>
      </c>
      <c r="AD67" s="30">
        <f>$I$19*$AD$19</f>
        <v>0</v>
      </c>
      <c r="AE67" s="30">
        <f>$I$19*$AE$19</f>
        <v>0</v>
      </c>
      <c r="AF67" s="30">
        <f>$I$19*$AF$19</f>
        <v>0</v>
      </c>
      <c r="AG67" s="30">
        <f>$I$19*$AG$19</f>
        <v>-342738.76624264783</v>
      </c>
      <c r="AH67" s="30">
        <f>$I$19*$AH$19</f>
        <v>102505.15852010026</v>
      </c>
    </row>
    <row r="68" spans="1:34" ht="11.25" customHeight="1" x14ac:dyDescent="0.25">
      <c r="A68" s="9" t="s">
        <v>22</v>
      </c>
      <c r="B68" s="9" t="s">
        <v>1205</v>
      </c>
      <c r="C68" s="9" t="s">
        <v>1206</v>
      </c>
      <c r="D68" s="9" t="s">
        <v>1223</v>
      </c>
      <c r="E68" s="9" t="s">
        <v>1224</v>
      </c>
      <c r="F68" s="9" t="s">
        <v>1225</v>
      </c>
      <c r="G68" s="9" t="s">
        <v>1226</v>
      </c>
      <c r="L68" s="30">
        <f>$I$20*$L$20</f>
        <v>70395.404218520067</v>
      </c>
      <c r="M68" s="30">
        <f>$I$20*$M$20</f>
        <v>2080575.258371813</v>
      </c>
      <c r="N68" s="30">
        <f>$I$20*$N$20</f>
        <v>0</v>
      </c>
      <c r="O68" s="30">
        <f>$I$20*$O$20</f>
        <v>358495.73202659545</v>
      </c>
      <c r="P68" s="30">
        <f>$I$20*$P$20</f>
        <v>-522296.26403954328</v>
      </c>
      <c r="Q68" s="30">
        <f>$I$20*$Q$20</f>
        <v>5167284.5803212067</v>
      </c>
      <c r="R68" s="30">
        <f>$I$20*$R$20</f>
        <v>0</v>
      </c>
      <c r="S68" s="30">
        <f>$I$20*$S$20</f>
        <v>0</v>
      </c>
      <c r="T68" s="30">
        <f>$I$20*$T$20</f>
        <v>0</v>
      </c>
      <c r="U68" s="30">
        <f>$I$20*$U$20</f>
        <v>-480306.79047242581</v>
      </c>
      <c r="V68" s="30">
        <f>$I$20*$V$20</f>
        <v>143553.16157941861</v>
      </c>
      <c r="W68" s="30"/>
      <c r="X68" s="30">
        <f>$I$20*$X$20</f>
        <v>70424.10379735622</v>
      </c>
      <c r="Y68" s="30">
        <f>$I$20*$Y$20</f>
        <v>2080575.2583718116</v>
      </c>
      <c r="Z68" s="30">
        <f>$I$20*$Z$20</f>
        <v>0</v>
      </c>
      <c r="AA68" s="30">
        <f>$I$20*$AA$20</f>
        <v>0</v>
      </c>
      <c r="AB68" s="30">
        <f>$I$20*$AB$20</f>
        <v>-522296.26403954223</v>
      </c>
      <c r="AC68" s="30">
        <f>$I$20*$AC$20</f>
        <v>5170054.9972115336</v>
      </c>
      <c r="AD68" s="30">
        <f>$I$20*$AD$20</f>
        <v>0</v>
      </c>
      <c r="AE68" s="30">
        <f>$I$20*$AE$20</f>
        <v>0</v>
      </c>
      <c r="AF68" s="30">
        <f>$I$20*$AF$20</f>
        <v>0</v>
      </c>
      <c r="AG68" s="30">
        <f>$I$20*$AG$20</f>
        <v>-480245.22107485885</v>
      </c>
      <c r="AH68" s="30">
        <f>$I$20*$AH$20</f>
        <v>143630.1269753279</v>
      </c>
    </row>
    <row r="69" spans="1:34" ht="11.25" customHeight="1" x14ac:dyDescent="0.25">
      <c r="A69" s="9" t="s">
        <v>22</v>
      </c>
      <c r="B69" s="9" t="s">
        <v>1227</v>
      </c>
      <c r="C69" s="9" t="s">
        <v>1228</v>
      </c>
      <c r="D69" s="9" t="s">
        <v>1229</v>
      </c>
      <c r="E69" s="9" t="s">
        <v>1230</v>
      </c>
      <c r="F69" s="9" t="s">
        <v>1231</v>
      </c>
      <c r="G69" s="9" t="s">
        <v>1232</v>
      </c>
      <c r="L69" s="30">
        <f>$I$21*$L$21</f>
        <v>0</v>
      </c>
      <c r="M69" s="30">
        <f>$I$21*$M$21</f>
        <v>0</v>
      </c>
      <c r="N69" s="30">
        <f>$I$21*$N$21</f>
        <v>0</v>
      </c>
      <c r="O69" s="30">
        <f>$I$21*$O$21</f>
        <v>0</v>
      </c>
      <c r="P69" s="30">
        <f>$I$21*$P$21</f>
        <v>0</v>
      </c>
      <c r="Q69" s="30">
        <f>$I$21*$Q$21</f>
        <v>0</v>
      </c>
      <c r="R69" s="30">
        <f>$I$21*$R$21</f>
        <v>0</v>
      </c>
      <c r="S69" s="30">
        <f>$I$21*$S$21</f>
        <v>0</v>
      </c>
      <c r="T69" s="30">
        <f>$I$21*$T$21</f>
        <v>0</v>
      </c>
      <c r="U69" s="30">
        <f>$I$21*$U$21</f>
        <v>0</v>
      </c>
      <c r="V69" s="30">
        <f>$I$21*$V$21</f>
        <v>0</v>
      </c>
      <c r="W69" s="30"/>
      <c r="X69" s="30">
        <f>$I$21*$X$21</f>
        <v>0</v>
      </c>
      <c r="Y69" s="30">
        <f>$I$21*$Y$21</f>
        <v>0</v>
      </c>
      <c r="Z69" s="30">
        <f>$I$21*$Z$21</f>
        <v>0</v>
      </c>
      <c r="AA69" s="30">
        <f>$I$21*$AA$21</f>
        <v>0</v>
      </c>
      <c r="AB69" s="30">
        <f>$I$21*$AB$21</f>
        <v>0</v>
      </c>
      <c r="AC69" s="30">
        <f>$I$21*$AC$21</f>
        <v>0</v>
      </c>
      <c r="AD69" s="30">
        <f>$I$21*$AD$21</f>
        <v>0</v>
      </c>
      <c r="AE69" s="30">
        <f>$I$21*$AE$21</f>
        <v>0</v>
      </c>
      <c r="AF69" s="30">
        <f>$I$21*$AF$21</f>
        <v>0</v>
      </c>
      <c r="AG69" s="30">
        <f>$I$21*$AG$21</f>
        <v>0</v>
      </c>
      <c r="AH69" s="30">
        <f>$I$21*$AH$21</f>
        <v>0</v>
      </c>
    </row>
    <row r="70" spans="1:34" ht="11.25" customHeight="1" x14ac:dyDescent="0.25">
      <c r="A70" s="9" t="s">
        <v>22</v>
      </c>
      <c r="B70" s="9" t="s">
        <v>1227</v>
      </c>
      <c r="C70" s="9" t="s">
        <v>1228</v>
      </c>
      <c r="D70" s="9" t="s">
        <v>1233</v>
      </c>
      <c r="E70" s="9" t="s">
        <v>1234</v>
      </c>
      <c r="F70" s="9" t="s">
        <v>1235</v>
      </c>
      <c r="G70" s="9" t="s">
        <v>1236</v>
      </c>
      <c r="L70" s="30">
        <f>$I$22*$L$22</f>
        <v>0</v>
      </c>
      <c r="M70" s="30">
        <f>$I$22*$M$22</f>
        <v>0</v>
      </c>
      <c r="N70" s="30">
        <f>$I$22*$N$22</f>
        <v>0</v>
      </c>
      <c r="O70" s="30">
        <f>$I$22*$O$22</f>
        <v>0</v>
      </c>
      <c r="P70" s="30">
        <f>$I$22*$P$22</f>
        <v>0</v>
      </c>
      <c r="Q70" s="30">
        <f>$I$22*$Q$22</f>
        <v>0</v>
      </c>
      <c r="R70" s="30">
        <f>$I$22*$R$22</f>
        <v>0</v>
      </c>
      <c r="S70" s="30">
        <f>$I$22*$S$22</f>
        <v>0</v>
      </c>
      <c r="T70" s="30">
        <f>$I$22*$T$22</f>
        <v>0</v>
      </c>
      <c r="U70" s="30">
        <f>$I$22*$U$22</f>
        <v>0</v>
      </c>
      <c r="V70" s="30">
        <f>$I$22*$V$22</f>
        <v>0</v>
      </c>
      <c r="W70" s="30"/>
      <c r="X70" s="30">
        <f>$I$22*$X$22</f>
        <v>0</v>
      </c>
      <c r="Y70" s="30">
        <f>$I$22*$Y$22</f>
        <v>0</v>
      </c>
      <c r="Z70" s="30">
        <f>$I$22*$Z$22</f>
        <v>0</v>
      </c>
      <c r="AA70" s="30">
        <f>$I$22*$AA$22</f>
        <v>0</v>
      </c>
      <c r="AB70" s="30">
        <f>$I$22*$AB$22</f>
        <v>0</v>
      </c>
      <c r="AC70" s="30">
        <f>$I$22*$AC$22</f>
        <v>0</v>
      </c>
      <c r="AD70" s="30">
        <f>$I$22*$AD$22</f>
        <v>0</v>
      </c>
      <c r="AE70" s="30">
        <f>$I$22*$AE$22</f>
        <v>0</v>
      </c>
      <c r="AF70" s="30">
        <f>$I$22*$AF$22</f>
        <v>0</v>
      </c>
      <c r="AG70" s="30">
        <f>$I$22*$AG$22</f>
        <v>0</v>
      </c>
      <c r="AH70" s="30">
        <f>$I$22*$AH$22</f>
        <v>0</v>
      </c>
    </row>
    <row r="71" spans="1:34" ht="11.25" customHeight="1" x14ac:dyDescent="0.25">
      <c r="A71" s="9" t="s">
        <v>22</v>
      </c>
      <c r="B71" s="9" t="s">
        <v>1227</v>
      </c>
      <c r="C71" s="9" t="s">
        <v>1228</v>
      </c>
      <c r="D71" s="9" t="s">
        <v>1237</v>
      </c>
      <c r="E71" s="9" t="s">
        <v>1238</v>
      </c>
      <c r="F71" s="9" t="s">
        <v>1239</v>
      </c>
      <c r="G71" s="9" t="s">
        <v>1240</v>
      </c>
      <c r="L71" s="30">
        <f>$I$23*$L$23</f>
        <v>0</v>
      </c>
      <c r="M71" s="30">
        <f>$I$23*$M$23</f>
        <v>0</v>
      </c>
      <c r="N71" s="30">
        <f>$I$23*$N$23</f>
        <v>0</v>
      </c>
      <c r="O71" s="30">
        <f>$I$23*$O$23</f>
        <v>0</v>
      </c>
      <c r="P71" s="30">
        <f>$I$23*$P$23</f>
        <v>0</v>
      </c>
      <c r="Q71" s="30">
        <f>$I$23*$Q$23</f>
        <v>0</v>
      </c>
      <c r="R71" s="30">
        <f>$I$23*$R$23</f>
        <v>0</v>
      </c>
      <c r="S71" s="30">
        <f>$I$23*$S$23</f>
        <v>0</v>
      </c>
      <c r="T71" s="30">
        <f>$I$23*$T$23</f>
        <v>0</v>
      </c>
      <c r="U71" s="30">
        <f>$I$23*$U$23</f>
        <v>0</v>
      </c>
      <c r="V71" s="30">
        <f>$I$23*$V$23</f>
        <v>0</v>
      </c>
      <c r="W71" s="30"/>
      <c r="X71" s="30">
        <f>$I$23*$X$23</f>
        <v>0</v>
      </c>
      <c r="Y71" s="30">
        <f>$I$23*$Y$23</f>
        <v>0</v>
      </c>
      <c r="Z71" s="30">
        <f>$I$23*$Z$23</f>
        <v>0</v>
      </c>
      <c r="AA71" s="30">
        <f>$I$23*$AA$23</f>
        <v>0</v>
      </c>
      <c r="AB71" s="30">
        <f>$I$23*$AB$23</f>
        <v>0</v>
      </c>
      <c r="AC71" s="30">
        <f>$I$23*$AC$23</f>
        <v>0</v>
      </c>
      <c r="AD71" s="30">
        <f>$I$23*$AD$23</f>
        <v>0</v>
      </c>
      <c r="AE71" s="30">
        <f>$I$23*$AE$23</f>
        <v>0</v>
      </c>
      <c r="AF71" s="30">
        <f>$I$23*$AF$23</f>
        <v>0</v>
      </c>
      <c r="AG71" s="30">
        <f>$I$23*$AG$23</f>
        <v>0</v>
      </c>
      <c r="AH71" s="30">
        <f>$I$23*$AH$23</f>
        <v>0</v>
      </c>
    </row>
    <row r="72" spans="1:34" ht="11.25" customHeight="1" x14ac:dyDescent="0.25">
      <c r="A72" s="9" t="s">
        <v>22</v>
      </c>
      <c r="B72" s="9" t="s">
        <v>1227</v>
      </c>
      <c r="C72" s="9" t="s">
        <v>1228</v>
      </c>
      <c r="D72" s="9" t="s">
        <v>1241</v>
      </c>
      <c r="E72" s="9" t="s">
        <v>1242</v>
      </c>
      <c r="F72" s="9" t="s">
        <v>1243</v>
      </c>
      <c r="G72" s="9" t="s">
        <v>1244</v>
      </c>
      <c r="L72" s="30">
        <f>$I$24*$L$24</f>
        <v>0</v>
      </c>
      <c r="M72" s="30">
        <f>$I$24*$M$24</f>
        <v>0</v>
      </c>
      <c r="N72" s="30">
        <f>$I$24*$N$24</f>
        <v>0</v>
      </c>
      <c r="O72" s="30">
        <f>$I$24*$O$24</f>
        <v>0</v>
      </c>
      <c r="P72" s="30">
        <f>$I$24*$P$24</f>
        <v>0</v>
      </c>
      <c r="Q72" s="30">
        <f>$I$24*$Q$24</f>
        <v>0</v>
      </c>
      <c r="R72" s="30">
        <f>$I$24*$R$24</f>
        <v>0</v>
      </c>
      <c r="S72" s="30">
        <f>$I$24*$S$24</f>
        <v>0</v>
      </c>
      <c r="T72" s="30">
        <f>$I$24*$T$24</f>
        <v>0</v>
      </c>
      <c r="U72" s="30">
        <f>$I$24*$U$24</f>
        <v>0</v>
      </c>
      <c r="V72" s="30">
        <f>$I$24*$V$24</f>
        <v>0</v>
      </c>
      <c r="W72" s="30"/>
      <c r="X72" s="30">
        <f>$I$24*$X$24</f>
        <v>0</v>
      </c>
      <c r="Y72" s="30">
        <f>$I$24*$Y$24</f>
        <v>0</v>
      </c>
      <c r="Z72" s="30">
        <f>$I$24*$Z$24</f>
        <v>0</v>
      </c>
      <c r="AA72" s="30">
        <f>$I$24*$AA$24</f>
        <v>0</v>
      </c>
      <c r="AB72" s="30">
        <f>$I$24*$AB$24</f>
        <v>0</v>
      </c>
      <c r="AC72" s="30">
        <f>$I$24*$AC$24</f>
        <v>0</v>
      </c>
      <c r="AD72" s="30">
        <f>$I$24*$AD$24</f>
        <v>0</v>
      </c>
      <c r="AE72" s="30">
        <f>$I$24*$AE$24</f>
        <v>0</v>
      </c>
      <c r="AF72" s="30">
        <f>$I$24*$AF$24</f>
        <v>0</v>
      </c>
      <c r="AG72" s="30">
        <f>$I$24*$AG$24</f>
        <v>0</v>
      </c>
      <c r="AH72" s="30">
        <f>$I$24*$AH$24</f>
        <v>0</v>
      </c>
    </row>
    <row r="73" spans="1:34" ht="11.25" customHeight="1" x14ac:dyDescent="0.25">
      <c r="A73" s="9" t="s">
        <v>22</v>
      </c>
      <c r="B73" s="9" t="s">
        <v>1227</v>
      </c>
      <c r="C73" s="9" t="s">
        <v>1228</v>
      </c>
      <c r="D73" s="9" t="s">
        <v>1245</v>
      </c>
      <c r="E73" s="9" t="s">
        <v>1246</v>
      </c>
      <c r="F73" s="9" t="s">
        <v>1247</v>
      </c>
      <c r="G73" s="9" t="s">
        <v>1248</v>
      </c>
      <c r="L73" s="30">
        <f>$I$25*$L$25</f>
        <v>0</v>
      </c>
      <c r="M73" s="30">
        <f>$I$25*$M$25</f>
        <v>0</v>
      </c>
      <c r="N73" s="30">
        <f>$I$25*$N$25</f>
        <v>0</v>
      </c>
      <c r="O73" s="30">
        <f>$I$25*$O$25</f>
        <v>0</v>
      </c>
      <c r="P73" s="30">
        <f>$I$25*$P$25</f>
        <v>0</v>
      </c>
      <c r="Q73" s="30">
        <f>$I$25*$Q$25</f>
        <v>0</v>
      </c>
      <c r="R73" s="30">
        <f>$I$25*$R$25</f>
        <v>0</v>
      </c>
      <c r="S73" s="30">
        <f>$I$25*$S$25</f>
        <v>0</v>
      </c>
      <c r="T73" s="30">
        <f>$I$25*$T$25</f>
        <v>0</v>
      </c>
      <c r="U73" s="30">
        <f>$I$25*$U$25</f>
        <v>0</v>
      </c>
      <c r="V73" s="30">
        <f>$I$25*$V$25</f>
        <v>0</v>
      </c>
      <c r="W73" s="30"/>
      <c r="X73" s="30">
        <f>$I$25*$X$25</f>
        <v>0</v>
      </c>
      <c r="Y73" s="30">
        <f>$I$25*$Y$25</f>
        <v>0</v>
      </c>
      <c r="Z73" s="30">
        <f>$I$25*$Z$25</f>
        <v>0</v>
      </c>
      <c r="AA73" s="30">
        <f>$I$25*$AA$25</f>
        <v>0</v>
      </c>
      <c r="AB73" s="30">
        <f>$I$25*$AB$25</f>
        <v>0</v>
      </c>
      <c r="AC73" s="30">
        <f>$I$25*$AC$25</f>
        <v>0</v>
      </c>
      <c r="AD73" s="30">
        <f>$I$25*$AD$25</f>
        <v>0</v>
      </c>
      <c r="AE73" s="30">
        <f>$I$25*$AE$25</f>
        <v>0</v>
      </c>
      <c r="AF73" s="30">
        <f>$I$25*$AF$25</f>
        <v>0</v>
      </c>
      <c r="AG73" s="30">
        <f>$I$25*$AG$25</f>
        <v>0</v>
      </c>
      <c r="AH73" s="30">
        <f>$I$25*$AH$25</f>
        <v>0</v>
      </c>
    </row>
    <row r="74" spans="1:34" ht="11.25" customHeight="1" x14ac:dyDescent="0.25">
      <c r="A74" s="9" t="s">
        <v>45</v>
      </c>
      <c r="B74" s="9" t="s">
        <v>1249</v>
      </c>
      <c r="C74" s="9" t="s">
        <v>1250</v>
      </c>
      <c r="D74" s="9" t="s">
        <v>1251</v>
      </c>
      <c r="E74" s="9" t="s">
        <v>1252</v>
      </c>
      <c r="F74" s="9" t="s">
        <v>1253</v>
      </c>
      <c r="G74" s="9" t="s">
        <v>1254</v>
      </c>
      <c r="L74" s="30">
        <f>$I$26*$L$26</f>
        <v>0</v>
      </c>
      <c r="M74" s="30">
        <f>$I$26*$M$26</f>
        <v>0</v>
      </c>
      <c r="N74" s="30">
        <f>$I$26*$N$26</f>
        <v>0</v>
      </c>
      <c r="O74" s="30">
        <f>$I$26*$O$26</f>
        <v>0</v>
      </c>
      <c r="P74" s="30">
        <f>$I$26*$P$26</f>
        <v>0</v>
      </c>
      <c r="Q74" s="30">
        <f>$I$26*$Q$26</f>
        <v>0</v>
      </c>
      <c r="R74" s="30">
        <f>$I$26*$R$26</f>
        <v>0</v>
      </c>
      <c r="S74" s="30">
        <f>$I$26*$S$26</f>
        <v>0</v>
      </c>
      <c r="T74" s="30">
        <f>$I$26*$T$26</f>
        <v>0</v>
      </c>
      <c r="U74" s="30">
        <f>$I$26*$U$26</f>
        <v>0</v>
      </c>
      <c r="V74" s="30">
        <f>$I$26*$V$26</f>
        <v>0</v>
      </c>
      <c r="W74" s="30"/>
      <c r="X74" s="30">
        <f>$I$26*$X$26</f>
        <v>0</v>
      </c>
      <c r="Y74" s="30">
        <f>$I$26*$Y$26</f>
        <v>0</v>
      </c>
      <c r="Z74" s="30">
        <f>$I$26*$Z$26</f>
        <v>0</v>
      </c>
      <c r="AA74" s="30">
        <f>$I$26*$AA$26</f>
        <v>0</v>
      </c>
      <c r="AB74" s="30">
        <f>$I$26*$AB$26</f>
        <v>0</v>
      </c>
      <c r="AC74" s="30">
        <f>$I$26*$AC$26</f>
        <v>0</v>
      </c>
      <c r="AD74" s="30">
        <f>$I$26*$AD$26</f>
        <v>0</v>
      </c>
      <c r="AE74" s="30">
        <f>$I$26*$AE$26</f>
        <v>0</v>
      </c>
      <c r="AF74" s="30">
        <f>$I$26*$AF$26</f>
        <v>0</v>
      </c>
      <c r="AG74" s="30">
        <f>$I$26*$AG$26</f>
        <v>0</v>
      </c>
      <c r="AH74" s="30">
        <f>$I$26*$AH$26</f>
        <v>0</v>
      </c>
    </row>
    <row r="75" spans="1:34" ht="11.25" customHeight="1" x14ac:dyDescent="0.25">
      <c r="A75" s="9" t="s">
        <v>45</v>
      </c>
      <c r="B75" s="9" t="s">
        <v>1249</v>
      </c>
      <c r="C75" s="9" t="s">
        <v>1250</v>
      </c>
      <c r="D75" s="9" t="s">
        <v>1251</v>
      </c>
      <c r="E75" s="9" t="s">
        <v>1252</v>
      </c>
      <c r="F75" s="9" t="s">
        <v>1253</v>
      </c>
      <c r="G75" s="9" t="s">
        <v>1255</v>
      </c>
      <c r="L75" s="30">
        <f>$I$27*$L$27</f>
        <v>0</v>
      </c>
      <c r="M75" s="30">
        <f>$I$27*$M$27</f>
        <v>0</v>
      </c>
      <c r="N75" s="30">
        <f>$I$27*$N$27</f>
        <v>0</v>
      </c>
      <c r="O75" s="30">
        <f>$I$27*$O$27</f>
        <v>0</v>
      </c>
      <c r="P75" s="30">
        <f>$I$27*$P$27</f>
        <v>0</v>
      </c>
      <c r="Q75" s="30">
        <f>$I$27*$Q$27</f>
        <v>0</v>
      </c>
      <c r="R75" s="30">
        <f>$I$27*$R$27</f>
        <v>0</v>
      </c>
      <c r="S75" s="30">
        <f>$I$27*$S$27</f>
        <v>0</v>
      </c>
      <c r="T75" s="30">
        <f>$I$27*$T$27</f>
        <v>0</v>
      </c>
      <c r="U75" s="30">
        <f>$I$27*$U$27</f>
        <v>0</v>
      </c>
      <c r="V75" s="30">
        <f>$I$27*$V$27</f>
        <v>0</v>
      </c>
      <c r="W75" s="30"/>
      <c r="X75" s="30">
        <f>$I$27*$X$27</f>
        <v>0</v>
      </c>
      <c r="Y75" s="30">
        <f>$I$27*$Y$27</f>
        <v>0</v>
      </c>
      <c r="Z75" s="30">
        <f>$I$27*$Z$27</f>
        <v>0</v>
      </c>
      <c r="AA75" s="30">
        <f>$I$27*$AA$27</f>
        <v>0</v>
      </c>
      <c r="AB75" s="30">
        <f>$I$27*$AB$27</f>
        <v>0</v>
      </c>
      <c r="AC75" s="30">
        <f>$I$27*$AC$27</f>
        <v>0</v>
      </c>
      <c r="AD75" s="30">
        <f>$I$27*$AD$27</f>
        <v>0</v>
      </c>
      <c r="AE75" s="30">
        <f>$I$27*$AE$27</f>
        <v>0</v>
      </c>
      <c r="AF75" s="30">
        <f>$I$27*$AF$27</f>
        <v>0</v>
      </c>
      <c r="AG75" s="30">
        <f>$I$27*$AG$27</f>
        <v>0</v>
      </c>
      <c r="AH75" s="30">
        <f>$I$27*$AH$27</f>
        <v>0</v>
      </c>
    </row>
    <row r="76" spans="1:34" ht="11.25" customHeight="1" x14ac:dyDescent="0.25">
      <c r="A76" s="9" t="s">
        <v>45</v>
      </c>
      <c r="B76" s="9" t="s">
        <v>1249</v>
      </c>
      <c r="C76" s="9" t="s">
        <v>1250</v>
      </c>
      <c r="D76" s="9" t="s">
        <v>1251</v>
      </c>
      <c r="E76" s="9" t="s">
        <v>1252</v>
      </c>
      <c r="F76" s="9" t="s">
        <v>1253</v>
      </c>
      <c r="G76" s="9" t="s">
        <v>1256</v>
      </c>
      <c r="L76" s="30">
        <f>$I$28*$L$28</f>
        <v>0</v>
      </c>
      <c r="M76" s="30">
        <f>$I$28*$M$28</f>
        <v>0</v>
      </c>
      <c r="N76" s="30">
        <f>$I$28*$N$28</f>
        <v>0</v>
      </c>
      <c r="O76" s="30">
        <f>$I$28*$O$28</f>
        <v>0</v>
      </c>
      <c r="P76" s="30">
        <f>$I$28*$P$28</f>
        <v>0</v>
      </c>
      <c r="Q76" s="30">
        <f>$I$28*$Q$28</f>
        <v>0</v>
      </c>
      <c r="R76" s="30">
        <f>$I$28*$R$28</f>
        <v>0</v>
      </c>
      <c r="S76" s="30">
        <f>$I$28*$S$28</f>
        <v>0</v>
      </c>
      <c r="T76" s="30">
        <f>$I$28*$T$28</f>
        <v>0</v>
      </c>
      <c r="U76" s="30">
        <f>$I$28*$U$28</f>
        <v>0</v>
      </c>
      <c r="V76" s="30">
        <f>$I$28*$V$28</f>
        <v>0</v>
      </c>
      <c r="W76" s="30"/>
      <c r="X76" s="30">
        <f>$I$28*$X$28</f>
        <v>0</v>
      </c>
      <c r="Y76" s="30">
        <f>$I$28*$Y$28</f>
        <v>0</v>
      </c>
      <c r="Z76" s="30">
        <f>$I$28*$Z$28</f>
        <v>0</v>
      </c>
      <c r="AA76" s="30">
        <f>$I$28*$AA$28</f>
        <v>0</v>
      </c>
      <c r="AB76" s="30">
        <f>$I$28*$AB$28</f>
        <v>0</v>
      </c>
      <c r="AC76" s="30">
        <f>$I$28*$AC$28</f>
        <v>0</v>
      </c>
      <c r="AD76" s="30">
        <f>$I$28*$AD$28</f>
        <v>0</v>
      </c>
      <c r="AE76" s="30">
        <f>$I$28*$AE$28</f>
        <v>0</v>
      </c>
      <c r="AF76" s="30">
        <f>$I$28*$AF$28</f>
        <v>0</v>
      </c>
      <c r="AG76" s="30">
        <f>$I$28*$AG$28</f>
        <v>0</v>
      </c>
      <c r="AH76" s="30">
        <f>$I$28*$AH$28</f>
        <v>0</v>
      </c>
    </row>
    <row r="77" spans="1:34" ht="11.25" customHeight="1" x14ac:dyDescent="0.25">
      <c r="A77" s="9" t="s">
        <v>45</v>
      </c>
      <c r="B77" s="9" t="s">
        <v>1257</v>
      </c>
      <c r="C77" s="9" t="s">
        <v>1258</v>
      </c>
      <c r="D77" s="9" t="s">
        <v>1259</v>
      </c>
      <c r="E77" s="9" t="s">
        <v>1260</v>
      </c>
      <c r="F77" s="9" t="s">
        <v>1261</v>
      </c>
      <c r="G77" s="9" t="s">
        <v>1262</v>
      </c>
      <c r="L77" s="30">
        <f>$I$29*$L$29</f>
        <v>9033.4034304669422</v>
      </c>
      <c r="M77" s="30">
        <f>$I$29*$M$29</f>
        <v>266987.25413918367</v>
      </c>
      <c r="N77" s="30">
        <f>$I$29*$N$29</f>
        <v>0</v>
      </c>
      <c r="O77" s="30">
        <f>$I$29*$O$29</f>
        <v>46003.522693670624</v>
      </c>
      <c r="P77" s="30">
        <f>$I$29*$P$29</f>
        <v>-67023.023955498604</v>
      </c>
      <c r="Q77" s="30">
        <f>$I$29*$Q$29</f>
        <v>663085.42116151564</v>
      </c>
      <c r="R77" s="30">
        <f>$I$29*$R$29</f>
        <v>0</v>
      </c>
      <c r="S77" s="30">
        <f>$I$29*$S$29</f>
        <v>0</v>
      </c>
      <c r="T77" s="30">
        <f>$I$29*$T$29</f>
        <v>0</v>
      </c>
      <c r="U77" s="30">
        <f>$I$29*$U$29</f>
        <v>-61634.776543959364</v>
      </c>
      <c r="V77" s="30">
        <f>$I$29*$V$29</f>
        <v>18421.282421228458</v>
      </c>
      <c r="W77" s="30"/>
      <c r="X77" s="30">
        <f>$I$29*$X$29</f>
        <v>9037.0862685270477</v>
      </c>
      <c r="Y77" s="30">
        <f>$I$29*$Y$29</f>
        <v>266987.25413918385</v>
      </c>
      <c r="Z77" s="30">
        <f>$I$29*$Z$29</f>
        <v>0</v>
      </c>
      <c r="AA77" s="30">
        <f>$I$29*$AA$29</f>
        <v>0</v>
      </c>
      <c r="AB77" s="30">
        <f>$I$29*$AB$29</f>
        <v>-67023.023955498807</v>
      </c>
      <c r="AC77" s="30">
        <f>$I$29*$AC$29</f>
        <v>663440.93149232026</v>
      </c>
      <c r="AD77" s="30">
        <f>$I$29*$AD$29</f>
        <v>0</v>
      </c>
      <c r="AE77" s="30">
        <f>$I$29*$AE$29</f>
        <v>0</v>
      </c>
      <c r="AF77" s="30">
        <f>$I$29*$AF$29</f>
        <v>0</v>
      </c>
      <c r="AG77" s="30">
        <f>$I$29*$AG$29</f>
        <v>-61626.875726947459</v>
      </c>
      <c r="AH77" s="30">
        <f>$I$29*$AH$29</f>
        <v>18431.158910740138</v>
      </c>
    </row>
    <row r="78" spans="1:34" ht="11.25" customHeight="1" x14ac:dyDescent="0.25">
      <c r="A78" s="9" t="s">
        <v>45</v>
      </c>
      <c r="B78" s="9" t="s">
        <v>1249</v>
      </c>
      <c r="C78" s="9" t="s">
        <v>1250</v>
      </c>
      <c r="D78" s="9" t="s">
        <v>1263</v>
      </c>
      <c r="E78" s="9" t="s">
        <v>1264</v>
      </c>
      <c r="F78" s="9" t="s">
        <v>1265</v>
      </c>
      <c r="G78" s="9" t="s">
        <v>1266</v>
      </c>
      <c r="L78" s="30">
        <f>$I$30*$L$30</f>
        <v>0</v>
      </c>
      <c r="M78" s="30">
        <f>$I$30*$M$30</f>
        <v>0</v>
      </c>
      <c r="N78" s="30">
        <f>$I$30*$N$30</f>
        <v>0</v>
      </c>
      <c r="O78" s="30">
        <f>$I$30*$O$30</f>
        <v>0</v>
      </c>
      <c r="P78" s="30">
        <f>$I$30*$P$30</f>
        <v>0</v>
      </c>
      <c r="Q78" s="30">
        <f>$I$30*$Q$30</f>
        <v>0</v>
      </c>
      <c r="R78" s="30">
        <f>$I$30*$R$30</f>
        <v>0</v>
      </c>
      <c r="S78" s="30">
        <f>$I$30*$S$30</f>
        <v>0</v>
      </c>
      <c r="T78" s="30">
        <f>$I$30*$T$30</f>
        <v>0</v>
      </c>
      <c r="U78" s="30">
        <f>$I$30*$U$30</f>
        <v>0</v>
      </c>
      <c r="V78" s="30">
        <f>$I$30*$V$30</f>
        <v>0</v>
      </c>
      <c r="W78" s="30"/>
      <c r="X78" s="30">
        <f>$I$30*$X$30</f>
        <v>0</v>
      </c>
      <c r="Y78" s="30">
        <f>$I$30*$Y$30</f>
        <v>0</v>
      </c>
      <c r="Z78" s="30">
        <f>$I$30*$Z$30</f>
        <v>0</v>
      </c>
      <c r="AA78" s="30">
        <f>$I$30*$AA$30</f>
        <v>0</v>
      </c>
      <c r="AB78" s="30">
        <f>$I$30*$AB$30</f>
        <v>0</v>
      </c>
      <c r="AC78" s="30">
        <f>$I$30*$AC$30</f>
        <v>0</v>
      </c>
      <c r="AD78" s="30">
        <f>$I$30*$AD$30</f>
        <v>0</v>
      </c>
      <c r="AE78" s="30">
        <f>$I$30*$AE$30</f>
        <v>0</v>
      </c>
      <c r="AF78" s="30">
        <f>$I$30*$AF$30</f>
        <v>0</v>
      </c>
      <c r="AG78" s="30">
        <f>$I$30*$AG$30</f>
        <v>0</v>
      </c>
      <c r="AH78" s="30">
        <f>$I$30*$AH$30</f>
        <v>0</v>
      </c>
    </row>
    <row r="79" spans="1:34" ht="11.25" customHeight="1" x14ac:dyDescent="0.25">
      <c r="A79" s="9" t="s">
        <v>45</v>
      </c>
      <c r="B79" s="9" t="s">
        <v>1249</v>
      </c>
      <c r="C79" s="9" t="s">
        <v>1250</v>
      </c>
      <c r="D79" s="9" t="s">
        <v>1263</v>
      </c>
      <c r="E79" s="9" t="s">
        <v>1264</v>
      </c>
      <c r="F79" s="9" t="s">
        <v>1265</v>
      </c>
      <c r="G79" s="9" t="s">
        <v>1267</v>
      </c>
      <c r="L79" s="30">
        <f>$I$31*$L$31</f>
        <v>0</v>
      </c>
      <c r="M79" s="30">
        <f>$I$31*$M$31</f>
        <v>0</v>
      </c>
      <c r="N79" s="30">
        <f>$I$31*$N$31</f>
        <v>0</v>
      </c>
      <c r="O79" s="30">
        <f>$I$31*$O$31</f>
        <v>0</v>
      </c>
      <c r="P79" s="30">
        <f>$I$31*$P$31</f>
        <v>0</v>
      </c>
      <c r="Q79" s="30">
        <f>$I$31*$Q$31</f>
        <v>0</v>
      </c>
      <c r="R79" s="30">
        <f>$I$31*$R$31</f>
        <v>0</v>
      </c>
      <c r="S79" s="30">
        <f>$I$31*$S$31</f>
        <v>0</v>
      </c>
      <c r="T79" s="30">
        <f>$I$31*$T$31</f>
        <v>0</v>
      </c>
      <c r="U79" s="30">
        <f>$I$31*$U$31</f>
        <v>0</v>
      </c>
      <c r="V79" s="30">
        <f>$I$31*$V$31</f>
        <v>0</v>
      </c>
      <c r="W79" s="30"/>
      <c r="X79" s="30">
        <f>$I$31*$X$31</f>
        <v>0</v>
      </c>
      <c r="Y79" s="30">
        <f>$I$31*$Y$31</f>
        <v>0</v>
      </c>
      <c r="Z79" s="30">
        <f>$I$31*$Z$31</f>
        <v>0</v>
      </c>
      <c r="AA79" s="30">
        <f>$I$31*$AA$31</f>
        <v>0</v>
      </c>
      <c r="AB79" s="30">
        <f>$I$31*$AB$31</f>
        <v>0</v>
      </c>
      <c r="AC79" s="30">
        <f>$I$31*$AC$31</f>
        <v>0</v>
      </c>
      <c r="AD79" s="30">
        <f>$I$31*$AD$31</f>
        <v>0</v>
      </c>
      <c r="AE79" s="30">
        <f>$I$31*$AE$31</f>
        <v>0</v>
      </c>
      <c r="AF79" s="30">
        <f>$I$31*$AF$31</f>
        <v>0</v>
      </c>
      <c r="AG79" s="30">
        <f>$I$31*$AG$31</f>
        <v>0</v>
      </c>
      <c r="AH79" s="30">
        <f>$I$31*$AH$31</f>
        <v>0</v>
      </c>
    </row>
    <row r="80" spans="1:34" ht="11.25" customHeight="1" x14ac:dyDescent="0.25">
      <c r="A80" s="9" t="s">
        <v>45</v>
      </c>
      <c r="B80" s="9" t="s">
        <v>1249</v>
      </c>
      <c r="C80" s="9" t="s">
        <v>1250</v>
      </c>
      <c r="D80" s="9" t="s">
        <v>1263</v>
      </c>
      <c r="E80" s="9" t="s">
        <v>1264</v>
      </c>
      <c r="F80" s="9" t="s">
        <v>1265</v>
      </c>
      <c r="G80" s="9" t="s">
        <v>1268</v>
      </c>
      <c r="L80" s="30">
        <f>$I$32*$L$32</f>
        <v>0</v>
      </c>
      <c r="M80" s="30">
        <f>$I$32*$M$32</f>
        <v>0</v>
      </c>
      <c r="N80" s="30">
        <f>$I$32*$N$32</f>
        <v>0</v>
      </c>
      <c r="O80" s="30">
        <f>$I$32*$O$32</f>
        <v>0</v>
      </c>
      <c r="P80" s="30">
        <f>$I$32*$P$32</f>
        <v>0</v>
      </c>
      <c r="Q80" s="30">
        <f>$I$32*$Q$32</f>
        <v>0</v>
      </c>
      <c r="R80" s="30">
        <f>$I$32*$R$32</f>
        <v>0</v>
      </c>
      <c r="S80" s="30">
        <f>$I$32*$S$32</f>
        <v>0</v>
      </c>
      <c r="T80" s="30">
        <f>$I$32*$T$32</f>
        <v>0</v>
      </c>
      <c r="U80" s="30">
        <f>$I$32*$U$32</f>
        <v>0</v>
      </c>
      <c r="V80" s="30">
        <f>$I$32*$V$32</f>
        <v>0</v>
      </c>
      <c r="W80" s="30"/>
      <c r="X80" s="30">
        <f>$I$32*$X$32</f>
        <v>0</v>
      </c>
      <c r="Y80" s="30">
        <f>$I$32*$Y$32</f>
        <v>0</v>
      </c>
      <c r="Z80" s="30">
        <f>$I$32*$Z$32</f>
        <v>0</v>
      </c>
      <c r="AA80" s="30">
        <f>$I$32*$AA$32</f>
        <v>0</v>
      </c>
      <c r="AB80" s="30">
        <f>$I$32*$AB$32</f>
        <v>0</v>
      </c>
      <c r="AC80" s="30">
        <f>$I$32*$AC$32</f>
        <v>0</v>
      </c>
      <c r="AD80" s="30">
        <f>$I$32*$AD$32</f>
        <v>0</v>
      </c>
      <c r="AE80" s="30">
        <f>$I$32*$AE$32</f>
        <v>0</v>
      </c>
      <c r="AF80" s="30">
        <f>$I$32*$AF$32</f>
        <v>0</v>
      </c>
      <c r="AG80" s="30">
        <f>$I$32*$AG$32</f>
        <v>0</v>
      </c>
      <c r="AH80" s="30">
        <f>$I$32*$AH$32</f>
        <v>0</v>
      </c>
    </row>
    <row r="81" spans="1:34" ht="11.25" customHeight="1" x14ac:dyDescent="0.25">
      <c r="A81" s="9" t="s">
        <v>45</v>
      </c>
      <c r="B81" s="9" t="s">
        <v>1257</v>
      </c>
      <c r="C81" s="9" t="s">
        <v>1258</v>
      </c>
      <c r="D81" s="9" t="s">
        <v>1269</v>
      </c>
      <c r="E81" s="9" t="s">
        <v>1270</v>
      </c>
      <c r="F81" s="9" t="s">
        <v>1271</v>
      </c>
      <c r="G81" s="9" t="s">
        <v>1272</v>
      </c>
      <c r="L81" s="30">
        <f>$I$33*$L$33</f>
        <v>0</v>
      </c>
      <c r="M81" s="30">
        <f>$I$33*$M$33</f>
        <v>0</v>
      </c>
      <c r="N81" s="30">
        <f>$I$33*$N$33</f>
        <v>0</v>
      </c>
      <c r="O81" s="30">
        <f>$I$33*$O$33</f>
        <v>0</v>
      </c>
      <c r="P81" s="30">
        <f>$I$33*$P$33</f>
        <v>0</v>
      </c>
      <c r="Q81" s="30">
        <f>$I$33*$Q$33</f>
        <v>0</v>
      </c>
      <c r="R81" s="30">
        <f>$I$33*$R$33</f>
        <v>0</v>
      </c>
      <c r="S81" s="30">
        <f>$I$33*$S$33</f>
        <v>0</v>
      </c>
      <c r="T81" s="30">
        <f>$I$33*$T$33</f>
        <v>0</v>
      </c>
      <c r="U81" s="30">
        <f>$I$33*$U$33</f>
        <v>0</v>
      </c>
      <c r="V81" s="30">
        <f>$I$33*$V$33</f>
        <v>0</v>
      </c>
      <c r="W81" s="30"/>
      <c r="X81" s="30">
        <f>$I$33*$X$33</f>
        <v>0</v>
      </c>
      <c r="Y81" s="30">
        <f>$I$33*$Y$33</f>
        <v>0</v>
      </c>
      <c r="Z81" s="30">
        <f>$I$33*$Z$33</f>
        <v>0</v>
      </c>
      <c r="AA81" s="30">
        <f>$I$33*$AA$33</f>
        <v>0</v>
      </c>
      <c r="AB81" s="30">
        <f>$I$33*$AB$33</f>
        <v>0</v>
      </c>
      <c r="AC81" s="30">
        <f>$I$33*$AC$33</f>
        <v>0</v>
      </c>
      <c r="AD81" s="30">
        <f>$I$33*$AD$33</f>
        <v>0</v>
      </c>
      <c r="AE81" s="30">
        <f>$I$33*$AE$33</f>
        <v>0</v>
      </c>
      <c r="AF81" s="30">
        <f>$I$33*$AF$33</f>
        <v>0</v>
      </c>
      <c r="AG81" s="30">
        <f>$I$33*$AG$33</f>
        <v>0</v>
      </c>
      <c r="AH81" s="30">
        <f>$I$33*$AH$33</f>
        <v>0</v>
      </c>
    </row>
    <row r="82" spans="1:34" ht="11.25" customHeight="1" x14ac:dyDescent="0.25">
      <c r="A82" s="9" t="s">
        <v>45</v>
      </c>
      <c r="B82" s="9" t="s">
        <v>1249</v>
      </c>
      <c r="C82" s="9" t="s">
        <v>1250</v>
      </c>
      <c r="D82" s="9" t="s">
        <v>1273</v>
      </c>
      <c r="E82" s="9" t="s">
        <v>1274</v>
      </c>
      <c r="F82" s="9" t="s">
        <v>1275</v>
      </c>
      <c r="G82" s="9" t="s">
        <v>1276</v>
      </c>
      <c r="L82" s="30">
        <f>$I$34*$L$34</f>
        <v>0</v>
      </c>
      <c r="M82" s="30">
        <f>$I$34*$M$34</f>
        <v>0</v>
      </c>
      <c r="N82" s="30">
        <f>$I$34*$N$34</f>
        <v>0</v>
      </c>
      <c r="O82" s="30">
        <f>$I$34*$O$34</f>
        <v>0</v>
      </c>
      <c r="P82" s="30">
        <f>$I$34*$P$34</f>
        <v>0</v>
      </c>
      <c r="Q82" s="30">
        <f>$I$34*$Q$34</f>
        <v>0</v>
      </c>
      <c r="R82" s="30">
        <f>$I$34*$R$34</f>
        <v>0</v>
      </c>
      <c r="S82" s="30">
        <f>$I$34*$S$34</f>
        <v>0</v>
      </c>
      <c r="T82" s="30">
        <f>$I$34*$T$34</f>
        <v>0</v>
      </c>
      <c r="U82" s="30">
        <f>$I$34*$U$34</f>
        <v>0</v>
      </c>
      <c r="V82" s="30">
        <f>$I$34*$V$34</f>
        <v>0</v>
      </c>
      <c r="W82" s="30"/>
      <c r="X82" s="30">
        <f>$I$34*$X$34</f>
        <v>0</v>
      </c>
      <c r="Y82" s="30">
        <f>$I$34*$Y$34</f>
        <v>0</v>
      </c>
      <c r="Z82" s="30">
        <f>$I$34*$Z$34</f>
        <v>0</v>
      </c>
      <c r="AA82" s="30">
        <f>$I$34*$AA$34</f>
        <v>0</v>
      </c>
      <c r="AB82" s="30">
        <f>$I$34*$AB$34</f>
        <v>0</v>
      </c>
      <c r="AC82" s="30">
        <f>$I$34*$AC$34</f>
        <v>0</v>
      </c>
      <c r="AD82" s="30">
        <f>$I$34*$AD$34</f>
        <v>0</v>
      </c>
      <c r="AE82" s="30">
        <f>$I$34*$AE$34</f>
        <v>0</v>
      </c>
      <c r="AF82" s="30">
        <f>$I$34*$AF$34</f>
        <v>0</v>
      </c>
      <c r="AG82" s="30">
        <f>$I$34*$AG$34</f>
        <v>0</v>
      </c>
      <c r="AH82" s="30">
        <f>$I$34*$AH$34</f>
        <v>0</v>
      </c>
    </row>
    <row r="83" spans="1:34" ht="11.25" customHeight="1" x14ac:dyDescent="0.25">
      <c r="A83" s="9" t="s">
        <v>45</v>
      </c>
      <c r="B83" s="9" t="s">
        <v>1249</v>
      </c>
      <c r="C83" s="9" t="s">
        <v>1250</v>
      </c>
      <c r="D83" s="9" t="s">
        <v>1273</v>
      </c>
      <c r="E83" s="9" t="s">
        <v>1274</v>
      </c>
      <c r="F83" s="9" t="s">
        <v>1275</v>
      </c>
      <c r="G83" s="9" t="s">
        <v>1277</v>
      </c>
      <c r="L83" s="30">
        <f>$I$35*$L$35</f>
        <v>0</v>
      </c>
      <c r="M83" s="30">
        <f>$I$35*$M$35</f>
        <v>0</v>
      </c>
      <c r="N83" s="30">
        <f>$I$35*$N$35</f>
        <v>0</v>
      </c>
      <c r="O83" s="30">
        <f>$I$35*$O$35</f>
        <v>0</v>
      </c>
      <c r="P83" s="30">
        <f>$I$35*$P$35</f>
        <v>0</v>
      </c>
      <c r="Q83" s="30">
        <f>$I$35*$Q$35</f>
        <v>0</v>
      </c>
      <c r="R83" s="30">
        <f>$I$35*$R$35</f>
        <v>0</v>
      </c>
      <c r="S83" s="30">
        <f>$I$35*$S$35</f>
        <v>0</v>
      </c>
      <c r="T83" s="30">
        <f>$I$35*$T$35</f>
        <v>0</v>
      </c>
      <c r="U83" s="30">
        <f>$I$35*$U$35</f>
        <v>0</v>
      </c>
      <c r="V83" s="30">
        <f>$I$35*$V$35</f>
        <v>0</v>
      </c>
      <c r="W83" s="30"/>
      <c r="X83" s="30">
        <f>$I$35*$X$35</f>
        <v>0</v>
      </c>
      <c r="Y83" s="30">
        <f>$I$35*$Y$35</f>
        <v>0</v>
      </c>
      <c r="Z83" s="30">
        <f>$I$35*$Z$35</f>
        <v>0</v>
      </c>
      <c r="AA83" s="30">
        <f>$I$35*$AA$35</f>
        <v>0</v>
      </c>
      <c r="AB83" s="30">
        <f>$I$35*$AB$35</f>
        <v>0</v>
      </c>
      <c r="AC83" s="30">
        <f>$I$35*$AC$35</f>
        <v>0</v>
      </c>
      <c r="AD83" s="30">
        <f>$I$35*$AD$35</f>
        <v>0</v>
      </c>
      <c r="AE83" s="30">
        <f>$I$35*$AE$35</f>
        <v>0</v>
      </c>
      <c r="AF83" s="30">
        <f>$I$35*$AF$35</f>
        <v>0</v>
      </c>
      <c r="AG83" s="30">
        <f>$I$35*$AG$35</f>
        <v>0</v>
      </c>
      <c r="AH83" s="30">
        <f>$I$35*$AH$35</f>
        <v>0</v>
      </c>
    </row>
    <row r="84" spans="1:34" ht="11.25" customHeight="1" x14ac:dyDescent="0.25">
      <c r="A84" s="9" t="s">
        <v>45</v>
      </c>
      <c r="B84" s="9" t="s">
        <v>1249</v>
      </c>
      <c r="C84" s="9" t="s">
        <v>1250</v>
      </c>
      <c r="D84" s="9" t="s">
        <v>1273</v>
      </c>
      <c r="E84" s="9" t="s">
        <v>1274</v>
      </c>
      <c r="F84" s="9" t="s">
        <v>1275</v>
      </c>
      <c r="G84" s="9" t="s">
        <v>1278</v>
      </c>
      <c r="L84" s="30">
        <f>$I$36*$L$36</f>
        <v>0</v>
      </c>
      <c r="M84" s="30">
        <f>$I$36*$M$36</f>
        <v>0</v>
      </c>
      <c r="N84" s="30">
        <f>$I$36*$N$36</f>
        <v>0</v>
      </c>
      <c r="O84" s="30">
        <f>$I$36*$O$36</f>
        <v>0</v>
      </c>
      <c r="P84" s="30">
        <f>$I$36*$P$36</f>
        <v>0</v>
      </c>
      <c r="Q84" s="30">
        <f>$I$36*$Q$36</f>
        <v>0</v>
      </c>
      <c r="R84" s="30">
        <f>$I$36*$R$36</f>
        <v>0</v>
      </c>
      <c r="S84" s="30">
        <f>$I$36*$S$36</f>
        <v>0</v>
      </c>
      <c r="T84" s="30">
        <f>$I$36*$T$36</f>
        <v>0</v>
      </c>
      <c r="U84" s="30">
        <f>$I$36*$U$36</f>
        <v>0</v>
      </c>
      <c r="V84" s="30">
        <f>$I$36*$V$36</f>
        <v>0</v>
      </c>
      <c r="W84" s="30"/>
      <c r="X84" s="30">
        <f>$I$36*$X$36</f>
        <v>0</v>
      </c>
      <c r="Y84" s="30">
        <f>$I$36*$Y$36</f>
        <v>0</v>
      </c>
      <c r="Z84" s="30">
        <f>$I$36*$Z$36</f>
        <v>0</v>
      </c>
      <c r="AA84" s="30">
        <f>$I$36*$AA$36</f>
        <v>0</v>
      </c>
      <c r="AB84" s="30">
        <f>$I$36*$AB$36</f>
        <v>0</v>
      </c>
      <c r="AC84" s="30">
        <f>$I$36*$AC$36</f>
        <v>0</v>
      </c>
      <c r="AD84" s="30">
        <f>$I$36*$AD$36</f>
        <v>0</v>
      </c>
      <c r="AE84" s="30">
        <f>$I$36*$AE$36</f>
        <v>0</v>
      </c>
      <c r="AF84" s="30">
        <f>$I$36*$AF$36</f>
        <v>0</v>
      </c>
      <c r="AG84" s="30">
        <f>$I$36*$AG$36</f>
        <v>0</v>
      </c>
      <c r="AH84" s="30">
        <f>$I$36*$AH$36</f>
        <v>0</v>
      </c>
    </row>
    <row r="85" spans="1:34" ht="11.25" customHeight="1" x14ac:dyDescent="0.25">
      <c r="A85" s="9" t="s">
        <v>45</v>
      </c>
      <c r="B85" s="9" t="s">
        <v>1257</v>
      </c>
      <c r="C85" s="9" t="s">
        <v>1258</v>
      </c>
      <c r="D85" s="9" t="s">
        <v>1279</v>
      </c>
      <c r="E85" s="9" t="s">
        <v>1280</v>
      </c>
      <c r="F85" s="9" t="s">
        <v>1281</v>
      </c>
      <c r="G85" s="9" t="s">
        <v>1282</v>
      </c>
      <c r="L85" s="30">
        <f>$I$37*$L$37</f>
        <v>0</v>
      </c>
      <c r="M85" s="30">
        <f>$I$37*$M$37</f>
        <v>0</v>
      </c>
      <c r="N85" s="30">
        <f>$I$37*$N$37</f>
        <v>0</v>
      </c>
      <c r="O85" s="30">
        <f>$I$37*$O$37</f>
        <v>0</v>
      </c>
      <c r="P85" s="30">
        <f>$I$37*$P$37</f>
        <v>0</v>
      </c>
      <c r="Q85" s="30">
        <f>$I$37*$Q$37</f>
        <v>0</v>
      </c>
      <c r="R85" s="30">
        <f>$I$37*$R$37</f>
        <v>0</v>
      </c>
      <c r="S85" s="30">
        <f>$I$37*$S$37</f>
        <v>0</v>
      </c>
      <c r="T85" s="30">
        <f>$I$37*$T$37</f>
        <v>0</v>
      </c>
      <c r="U85" s="30">
        <f>$I$37*$U$37</f>
        <v>0</v>
      </c>
      <c r="V85" s="30">
        <f>$I$37*$V$37</f>
        <v>0</v>
      </c>
      <c r="W85" s="30"/>
      <c r="X85" s="30">
        <f>$I$37*$X$37</f>
        <v>0</v>
      </c>
      <c r="Y85" s="30">
        <f>$I$37*$Y$37</f>
        <v>0</v>
      </c>
      <c r="Z85" s="30">
        <f>$I$37*$Z$37</f>
        <v>0</v>
      </c>
      <c r="AA85" s="30">
        <f>$I$37*$AA$37</f>
        <v>0</v>
      </c>
      <c r="AB85" s="30">
        <f>$I$37*$AB$37</f>
        <v>0</v>
      </c>
      <c r="AC85" s="30">
        <f>$I$37*$AC$37</f>
        <v>0</v>
      </c>
      <c r="AD85" s="30">
        <f>$I$37*$AD$37</f>
        <v>0</v>
      </c>
      <c r="AE85" s="30">
        <f>$I$37*$AE$37</f>
        <v>0</v>
      </c>
      <c r="AF85" s="30">
        <f>$I$37*$AF$37</f>
        <v>0</v>
      </c>
      <c r="AG85" s="30">
        <f>$I$37*$AG$37</f>
        <v>0</v>
      </c>
      <c r="AH85" s="30">
        <f>$I$37*$AH$37</f>
        <v>0</v>
      </c>
    </row>
    <row r="86" spans="1:34" ht="11.25" customHeight="1" x14ac:dyDescent="0.25">
      <c r="A86" s="9" t="s">
        <v>45</v>
      </c>
      <c r="B86" s="9" t="s">
        <v>1283</v>
      </c>
      <c r="C86" s="9" t="s">
        <v>1284</v>
      </c>
      <c r="D86" s="9" t="s">
        <v>1285</v>
      </c>
      <c r="E86" s="9" t="s">
        <v>1286</v>
      </c>
      <c r="F86" s="9" t="s">
        <v>1287</v>
      </c>
      <c r="G86" s="9" t="s">
        <v>1288</v>
      </c>
      <c r="L86" s="30">
        <f>$I$38*$L$38</f>
        <v>0</v>
      </c>
      <c r="M86" s="30">
        <f>$I$38*$M$38</f>
        <v>0</v>
      </c>
      <c r="N86" s="30">
        <f>$I$38*$N$38</f>
        <v>0</v>
      </c>
      <c r="O86" s="30">
        <f>$I$38*$O$38</f>
        <v>0</v>
      </c>
      <c r="P86" s="30">
        <f>$I$38*$P$38</f>
        <v>0</v>
      </c>
      <c r="Q86" s="30">
        <f>$I$38*$Q$38</f>
        <v>0</v>
      </c>
      <c r="R86" s="30">
        <f>$I$38*$R$38</f>
        <v>0</v>
      </c>
      <c r="S86" s="30">
        <f>$I$38*$S$38</f>
        <v>0</v>
      </c>
      <c r="T86" s="30">
        <f>$I$38*$T$38</f>
        <v>0</v>
      </c>
      <c r="U86" s="30">
        <f>$I$38*$U$38</f>
        <v>0</v>
      </c>
      <c r="V86" s="30">
        <f>$I$38*$V$38</f>
        <v>0</v>
      </c>
      <c r="W86" s="30"/>
      <c r="X86" s="30">
        <f>$I$38*$X$38</f>
        <v>0</v>
      </c>
      <c r="Y86" s="30">
        <f>$I$38*$Y$38</f>
        <v>0</v>
      </c>
      <c r="Z86" s="30">
        <f>$I$38*$Z$38</f>
        <v>0</v>
      </c>
      <c r="AA86" s="30">
        <f>$I$38*$AA$38</f>
        <v>0</v>
      </c>
      <c r="AB86" s="30">
        <f>$I$38*$AB$38</f>
        <v>0</v>
      </c>
      <c r="AC86" s="30">
        <f>$I$38*$AC$38</f>
        <v>0</v>
      </c>
      <c r="AD86" s="30">
        <f>$I$38*$AD$38</f>
        <v>0</v>
      </c>
      <c r="AE86" s="30">
        <f>$I$38*$AE$38</f>
        <v>0</v>
      </c>
      <c r="AF86" s="30">
        <f>$I$38*$AF$38</f>
        <v>0</v>
      </c>
      <c r="AG86" s="30">
        <f>$I$38*$AG$38</f>
        <v>0</v>
      </c>
      <c r="AH86" s="30">
        <f>$I$38*$AH$38</f>
        <v>0</v>
      </c>
    </row>
    <row r="87" spans="1:34" ht="11.25" customHeight="1" x14ac:dyDescent="0.25">
      <c r="A87" s="9" t="s">
        <v>45</v>
      </c>
      <c r="B87" s="9" t="s">
        <v>1283</v>
      </c>
      <c r="C87" s="9" t="s">
        <v>1284</v>
      </c>
      <c r="D87" s="9" t="s">
        <v>1289</v>
      </c>
      <c r="E87" s="9" t="s">
        <v>1290</v>
      </c>
      <c r="F87" s="9" t="s">
        <v>1291</v>
      </c>
      <c r="G87" s="9" t="s">
        <v>1292</v>
      </c>
      <c r="L87" s="30">
        <f>$I$39*$L$39</f>
        <v>0</v>
      </c>
      <c r="M87" s="30">
        <f>$I$39*$M$39</f>
        <v>0</v>
      </c>
      <c r="N87" s="30">
        <f>$I$39*$N$39</f>
        <v>0</v>
      </c>
      <c r="O87" s="30">
        <f>$I$39*$O$39</f>
        <v>0</v>
      </c>
      <c r="P87" s="30">
        <f>$I$39*$P$39</f>
        <v>0</v>
      </c>
      <c r="Q87" s="30">
        <f>$I$39*$Q$39</f>
        <v>0</v>
      </c>
      <c r="R87" s="30">
        <f>$I$39*$R$39</f>
        <v>0</v>
      </c>
      <c r="S87" s="30">
        <f>$I$39*$S$39</f>
        <v>0</v>
      </c>
      <c r="T87" s="30">
        <f>$I$39*$T$39</f>
        <v>0</v>
      </c>
      <c r="U87" s="30">
        <f>$I$39*$U$39</f>
        <v>0</v>
      </c>
      <c r="V87" s="30">
        <f>$I$39*$V$39</f>
        <v>0</v>
      </c>
      <c r="W87" s="30"/>
      <c r="X87" s="30">
        <f>$I$39*$X$39</f>
        <v>0</v>
      </c>
      <c r="Y87" s="30">
        <f>$I$39*$Y$39</f>
        <v>0</v>
      </c>
      <c r="Z87" s="30">
        <f>$I$39*$Z$39</f>
        <v>0</v>
      </c>
      <c r="AA87" s="30">
        <f>$I$39*$AA$39</f>
        <v>0</v>
      </c>
      <c r="AB87" s="30">
        <f>$I$39*$AB$39</f>
        <v>0</v>
      </c>
      <c r="AC87" s="30">
        <f>$I$39*$AC$39</f>
        <v>0</v>
      </c>
      <c r="AD87" s="30">
        <f>$I$39*$AD$39</f>
        <v>0</v>
      </c>
      <c r="AE87" s="30">
        <f>$I$39*$AE$39</f>
        <v>0</v>
      </c>
      <c r="AF87" s="30">
        <f>$I$39*$AF$39</f>
        <v>0</v>
      </c>
      <c r="AG87" s="30">
        <f>$I$39*$AG$39</f>
        <v>0</v>
      </c>
      <c r="AH87" s="30">
        <f>$I$39*$AH$39</f>
        <v>0</v>
      </c>
    </row>
    <row r="88" spans="1:34" ht="11.25" customHeight="1" x14ac:dyDescent="0.25">
      <c r="A88" s="9" t="s">
        <v>45</v>
      </c>
      <c r="B88" s="9" t="s">
        <v>1283</v>
      </c>
      <c r="C88" s="9" t="s">
        <v>1284</v>
      </c>
      <c r="D88" s="9" t="s">
        <v>1293</v>
      </c>
      <c r="E88" s="9" t="s">
        <v>1294</v>
      </c>
      <c r="F88" s="9" t="s">
        <v>1295</v>
      </c>
      <c r="G88" s="9" t="s">
        <v>1296</v>
      </c>
      <c r="L88" s="30">
        <f>$I$40*$L$40</f>
        <v>0</v>
      </c>
      <c r="M88" s="30">
        <f>$I$40*$M$40</f>
        <v>0</v>
      </c>
      <c r="N88" s="30">
        <f>$I$40*$N$40</f>
        <v>0</v>
      </c>
      <c r="O88" s="30">
        <f>$I$40*$O$40</f>
        <v>0</v>
      </c>
      <c r="P88" s="30">
        <f>$I$40*$P$40</f>
        <v>0</v>
      </c>
      <c r="Q88" s="30">
        <f>$I$40*$Q$40</f>
        <v>0</v>
      </c>
      <c r="R88" s="30">
        <f>$I$40*$R$40</f>
        <v>0</v>
      </c>
      <c r="S88" s="30">
        <f>$I$40*$S$40</f>
        <v>0</v>
      </c>
      <c r="T88" s="30">
        <f>$I$40*$T$40</f>
        <v>0</v>
      </c>
      <c r="U88" s="30">
        <f>$I$40*$U$40</f>
        <v>0</v>
      </c>
      <c r="V88" s="30">
        <f>$I$40*$V$40</f>
        <v>0</v>
      </c>
      <c r="W88" s="30"/>
      <c r="X88" s="30">
        <f>$I$40*$X$40</f>
        <v>0</v>
      </c>
      <c r="Y88" s="30">
        <f>$I$40*$Y$40</f>
        <v>0</v>
      </c>
      <c r="Z88" s="30">
        <f>$I$40*$Z$40</f>
        <v>0</v>
      </c>
      <c r="AA88" s="30">
        <f>$I$40*$AA$40</f>
        <v>0</v>
      </c>
      <c r="AB88" s="30">
        <f>$I$40*$AB$40</f>
        <v>0</v>
      </c>
      <c r="AC88" s="30">
        <f>$I$40*$AC$40</f>
        <v>0</v>
      </c>
      <c r="AD88" s="30">
        <f>$I$40*$AD$40</f>
        <v>0</v>
      </c>
      <c r="AE88" s="30">
        <f>$I$40*$AE$40</f>
        <v>0</v>
      </c>
      <c r="AF88" s="30">
        <f>$I$40*$AF$40</f>
        <v>0</v>
      </c>
      <c r="AG88" s="30">
        <f>$I$40*$AG$40</f>
        <v>0</v>
      </c>
      <c r="AH88" s="30">
        <f>$I$40*$AH$40</f>
        <v>0</v>
      </c>
    </row>
    <row r="89" spans="1:34" ht="11.25" customHeight="1" x14ac:dyDescent="0.25">
      <c r="A89" s="9" t="s">
        <v>37</v>
      </c>
      <c r="B89" s="9" t="s">
        <v>1297</v>
      </c>
      <c r="C89" s="9" t="s">
        <v>1298</v>
      </c>
      <c r="D89" s="9" t="s">
        <v>1299</v>
      </c>
      <c r="E89" s="9" t="s">
        <v>1300</v>
      </c>
      <c r="F89" s="9" t="s">
        <v>1301</v>
      </c>
      <c r="G89" s="9" t="s">
        <v>1302</v>
      </c>
      <c r="L89" s="30">
        <f>$I$41*$L$41</f>
        <v>58.238021394936098</v>
      </c>
      <c r="M89" s="30">
        <f>$I$41*$M$41</f>
        <v>1721.2570586952399</v>
      </c>
      <c r="N89" s="30">
        <f>$I$41*$N$41</f>
        <v>0</v>
      </c>
      <c r="O89" s="30">
        <f>$I$41*$O$41</f>
        <v>296.58302759294907</v>
      </c>
      <c r="P89" s="30">
        <f>$I$41*$P$41</f>
        <v>-432.09498314987565</v>
      </c>
      <c r="Q89" s="30">
        <f>$I$41*$Q$41</f>
        <v>6936.6098224777679</v>
      </c>
      <c r="R89" s="30">
        <f>$I$41*$R$41</f>
        <v>0</v>
      </c>
      <c r="S89" s="30">
        <f>$I$41*$S$41</f>
        <v>0</v>
      </c>
      <c r="T89" s="30">
        <f>$I$41*$T$41</f>
        <v>0</v>
      </c>
      <c r="U89" s="30">
        <f>$I$41*$U$41</f>
        <v>-605.64721195181187</v>
      </c>
      <c r="V89" s="30">
        <f>$I$41*$V$41</f>
        <v>118.76133375726012</v>
      </c>
      <c r="W89" s="30"/>
      <c r="X89" s="30">
        <f>$I$41*$X$41</f>
        <v>58.261764517158909</v>
      </c>
      <c r="Y89" s="30">
        <f>$I$41*$Y$41</f>
        <v>1721.2570586952388</v>
      </c>
      <c r="Z89" s="30">
        <f>$I$41*$Z$41</f>
        <v>0</v>
      </c>
      <c r="AA89" s="30">
        <f>$I$41*$AA$41</f>
        <v>0</v>
      </c>
      <c r="AB89" s="30">
        <f>$I$41*$AB$41</f>
        <v>-432.09498314987474</v>
      </c>
      <c r="AC89" s="30">
        <f>$I$41*$AC$41</f>
        <v>6940.3288553111925</v>
      </c>
      <c r="AD89" s="30">
        <f>$I$41*$AD$41</f>
        <v>0</v>
      </c>
      <c r="AE89" s="30">
        <f>$I$41*$AE$41</f>
        <v>0</v>
      </c>
      <c r="AF89" s="30">
        <f>$I$41*$AF$41</f>
        <v>0</v>
      </c>
      <c r="AG89" s="30">
        <f>$I$41*$AG$41</f>
        <v>-605.58152828862217</v>
      </c>
      <c r="AH89" s="30">
        <f>$I$41*$AH$41</f>
        <v>118.8250071237731</v>
      </c>
    </row>
    <row r="90" spans="1:34" ht="11.25" customHeight="1" x14ac:dyDescent="0.25">
      <c r="A90" s="9" t="s">
        <v>37</v>
      </c>
      <c r="B90" s="9" t="s">
        <v>1297</v>
      </c>
      <c r="C90" s="9" t="s">
        <v>1298</v>
      </c>
      <c r="D90" s="9" t="s">
        <v>1299</v>
      </c>
      <c r="E90" s="9" t="s">
        <v>1300</v>
      </c>
      <c r="F90" s="9" t="s">
        <v>1301</v>
      </c>
      <c r="G90" s="9" t="s">
        <v>1303</v>
      </c>
      <c r="L90" s="30">
        <f>$I$42*$L$42</f>
        <v>63.520376356293241</v>
      </c>
      <c r="M90" s="30">
        <f>$I$42*$M$42</f>
        <v>1877.3799925791234</v>
      </c>
      <c r="N90" s="30">
        <f>$I$42*$N$42</f>
        <v>0</v>
      </c>
      <c r="O90" s="30">
        <f>$I$42*$O$42</f>
        <v>323.48395571060934</v>
      </c>
      <c r="P90" s="30">
        <f>$I$42*$P$42</f>
        <v>-471.28723287520268</v>
      </c>
      <c r="Q90" s="30">
        <f>$I$42*$Q$42</f>
        <v>4398.7093926842035</v>
      </c>
      <c r="R90" s="30">
        <f>$I$42*$R$42</f>
        <v>0</v>
      </c>
      <c r="S90" s="30">
        <f>$I$42*$S$42</f>
        <v>0</v>
      </c>
      <c r="T90" s="30">
        <f>$I$42*$T$42</f>
        <v>0</v>
      </c>
      <c r="U90" s="30">
        <f>$I$42*$U$42</f>
        <v>-412.74561755870974</v>
      </c>
      <c r="V90" s="30">
        <f>$I$42*$V$42</f>
        <v>129.53332610115874</v>
      </c>
      <c r="W90" s="30"/>
      <c r="X90" s="30">
        <f>$I$42*$X$42</f>
        <v>63.546273047549953</v>
      </c>
      <c r="Y90" s="30">
        <f>$I$42*$Y$42</f>
        <v>1877.3799925791222</v>
      </c>
      <c r="Z90" s="30">
        <f>$I$42*$Z$42</f>
        <v>0</v>
      </c>
      <c r="AA90" s="30">
        <f>$I$42*$AA$42</f>
        <v>0</v>
      </c>
      <c r="AB90" s="30">
        <f>$I$42*$AB$42</f>
        <v>-471.28723287520171</v>
      </c>
      <c r="AC90" s="30">
        <f>$I$42*$AC$42</f>
        <v>4401.0677413696121</v>
      </c>
      <c r="AD90" s="30">
        <f>$I$42*$AD$42</f>
        <v>0</v>
      </c>
      <c r="AE90" s="30">
        <f>$I$42*$AE$42</f>
        <v>0</v>
      </c>
      <c r="AF90" s="30">
        <f>$I$42*$AF$42</f>
        <v>0</v>
      </c>
      <c r="AG90" s="30">
        <f>$I$42*$AG$42</f>
        <v>-412.69152348861468</v>
      </c>
      <c r="AH90" s="30">
        <f>$I$42*$AH$42</f>
        <v>129.60277482396731</v>
      </c>
    </row>
    <row r="91" spans="1:34" ht="11.25" customHeight="1" x14ac:dyDescent="0.25">
      <c r="A91" s="9" t="s">
        <v>37</v>
      </c>
      <c r="B91" s="9" t="s">
        <v>1297</v>
      </c>
      <c r="C91" s="9" t="s">
        <v>1298</v>
      </c>
      <c r="D91" s="9" t="s">
        <v>1299</v>
      </c>
      <c r="E91" s="9" t="s">
        <v>1300</v>
      </c>
      <c r="F91" s="9" t="s">
        <v>1301</v>
      </c>
      <c r="G91" s="9" t="s">
        <v>1304</v>
      </c>
      <c r="L91" s="30">
        <f>$I$43*$L$43</f>
        <v>1367.9282830030652</v>
      </c>
      <c r="M91" s="30">
        <f>$I$43*$M$43</f>
        <v>40429.879939441395</v>
      </c>
      <c r="N91" s="30">
        <f>$I$43*$N$43</f>
        <v>0</v>
      </c>
      <c r="O91" s="30">
        <f>$I$43*$O$43</f>
        <v>6966.3134492812678</v>
      </c>
      <c r="P91" s="30">
        <f>$I$43*$P$43</f>
        <v>-10149.296528914061</v>
      </c>
      <c r="Q91" s="30">
        <f>$I$43*$Q$43</f>
        <v>94727.382489254029</v>
      </c>
      <c r="R91" s="30">
        <f>$I$43*$R$43</f>
        <v>0</v>
      </c>
      <c r="S91" s="30">
        <f>$I$43*$S$43</f>
        <v>0</v>
      </c>
      <c r="T91" s="30">
        <f>$I$43*$T$43</f>
        <v>0</v>
      </c>
      <c r="U91" s="30">
        <f>$I$43*$U$43</f>
        <v>-8888.5871956611554</v>
      </c>
      <c r="V91" s="30">
        <f>$I$43*$V$43</f>
        <v>2789.5348001614757</v>
      </c>
      <c r="W91" s="30"/>
      <c r="X91" s="30">
        <f>$I$43*$X$43</f>
        <v>1368.4859751711274</v>
      </c>
      <c r="Y91" s="30">
        <f>$I$43*$Y$43</f>
        <v>40429.879939441373</v>
      </c>
      <c r="Z91" s="30">
        <f>$I$43*$Z$43</f>
        <v>0</v>
      </c>
      <c r="AA91" s="30">
        <f>$I$43*$AA$43</f>
        <v>0</v>
      </c>
      <c r="AB91" s="30">
        <f>$I$43*$AB$43</f>
        <v>-10149.296528914041</v>
      </c>
      <c r="AC91" s="30">
        <f>$I$43*$AC$43</f>
        <v>94778.170158550231</v>
      </c>
      <c r="AD91" s="30">
        <f>$I$43*$AD$43</f>
        <v>0</v>
      </c>
      <c r="AE91" s="30">
        <f>$I$43*$AE$43</f>
        <v>0</v>
      </c>
      <c r="AF91" s="30">
        <f>$I$43*$AF$43</f>
        <v>0</v>
      </c>
      <c r="AG91" s="30">
        <f>$I$43*$AG$43</f>
        <v>-8887.4222654030164</v>
      </c>
      <c r="AH91" s="30">
        <f>$I$43*$AH$43</f>
        <v>2791.0303969698984</v>
      </c>
    </row>
    <row r="92" spans="1:34" ht="11.25" customHeight="1" x14ac:dyDescent="0.25">
      <c r="A92" s="9" t="s">
        <v>37</v>
      </c>
      <c r="B92" s="9" t="s">
        <v>1305</v>
      </c>
      <c r="C92" s="9" t="s">
        <v>1306</v>
      </c>
      <c r="D92" s="9" t="s">
        <v>1307</v>
      </c>
      <c r="E92" s="9" t="s">
        <v>1308</v>
      </c>
      <c r="F92" s="9" t="s">
        <v>1309</v>
      </c>
      <c r="G92" s="9" t="s">
        <v>1310</v>
      </c>
      <c r="L92" s="30">
        <f>$I$44*$L$44</f>
        <v>420521.47793416958</v>
      </c>
      <c r="M92" s="30">
        <f>$I$44*$M$44</f>
        <v>12428745.772775892</v>
      </c>
      <c r="N92" s="30">
        <f>$I$44*$N$44</f>
        <v>0</v>
      </c>
      <c r="O92" s="30">
        <f>$I$44*$O$44</f>
        <v>2141548.2550102938</v>
      </c>
      <c r="P92" s="30">
        <f>$I$44*$P$44</f>
        <v>-3120044.5442661522</v>
      </c>
      <c r="Q92" s="30">
        <f>$I$44*$Q$44</f>
        <v>30867841.057888895</v>
      </c>
      <c r="R92" s="30">
        <f>$I$44*$R$44</f>
        <v>0</v>
      </c>
      <c r="S92" s="30">
        <f>$I$44*$S$44</f>
        <v>0</v>
      </c>
      <c r="T92" s="30">
        <f>$I$44*$T$44</f>
        <v>0</v>
      </c>
      <c r="U92" s="30">
        <f>$I$44*$U$44</f>
        <v>-2869211.7565558921</v>
      </c>
      <c r="V92" s="30">
        <f>$I$44*$V$44</f>
        <v>857544.44256203284</v>
      </c>
      <c r="W92" s="30"/>
      <c r="X92" s="30">
        <f>$I$44*$X$44</f>
        <v>420692.92079243914</v>
      </c>
      <c r="Y92" s="30">
        <f>$I$44*$Y$44</f>
        <v>12428745.772775885</v>
      </c>
      <c r="Z92" s="30">
        <f>$I$44*$Z$44</f>
        <v>0</v>
      </c>
      <c r="AA92" s="30">
        <f>$I$44*$AA$44</f>
        <v>0</v>
      </c>
      <c r="AB92" s="30">
        <f>$I$44*$AB$44</f>
        <v>-3120044.5442661457</v>
      </c>
      <c r="AC92" s="30">
        <f>$I$44*$AC$44</f>
        <v>30884390.71504546</v>
      </c>
      <c r="AD92" s="30">
        <f>$I$44*$AD$44</f>
        <v>0</v>
      </c>
      <c r="AE92" s="30">
        <f>$I$44*$AE$44</f>
        <v>0</v>
      </c>
      <c r="AF92" s="30">
        <f>$I$44*$AF$44</f>
        <v>0</v>
      </c>
      <c r="AG92" s="30">
        <f>$I$44*$AG$44</f>
        <v>-2868843.959050532</v>
      </c>
      <c r="AH92" s="30">
        <f>$I$44*$AH$44</f>
        <v>858004.2112414923</v>
      </c>
    </row>
    <row r="93" spans="1:34" ht="11.25" customHeight="1" x14ac:dyDescent="0.25">
      <c r="A93" s="9" t="s">
        <v>37</v>
      </c>
      <c r="B93" s="9" t="s">
        <v>1311</v>
      </c>
      <c r="C93" s="9" t="s">
        <v>1312</v>
      </c>
      <c r="D93" s="9" t="s">
        <v>1313</v>
      </c>
      <c r="E93" s="9" t="s">
        <v>1314</v>
      </c>
      <c r="F93" s="9" t="s">
        <v>1315</v>
      </c>
      <c r="G93" s="9" t="s">
        <v>1316</v>
      </c>
      <c r="L93" s="30">
        <f>$I$45*$L$45</f>
        <v>0</v>
      </c>
      <c r="M93" s="30">
        <f>$I$45*$M$45</f>
        <v>0</v>
      </c>
      <c r="N93" s="30">
        <f>$I$45*$N$45</f>
        <v>0</v>
      </c>
      <c r="O93" s="30">
        <f>$I$45*$O$45</f>
        <v>0</v>
      </c>
      <c r="P93" s="30">
        <f>$I$45*$P$45</f>
        <v>0</v>
      </c>
      <c r="Q93" s="30">
        <f>$I$45*$Q$45</f>
        <v>0</v>
      </c>
      <c r="R93" s="30">
        <f>$I$45*$R$45</f>
        <v>0</v>
      </c>
      <c r="S93" s="30">
        <f>$I$45*$S$45</f>
        <v>0</v>
      </c>
      <c r="T93" s="30">
        <f>$I$45*$T$45</f>
        <v>0</v>
      </c>
      <c r="U93" s="30">
        <f>$I$45*$U$45</f>
        <v>0</v>
      </c>
      <c r="V93" s="30">
        <f>$I$45*$V$45</f>
        <v>0</v>
      </c>
      <c r="W93" s="30"/>
      <c r="X93" s="30">
        <f>$I$45*$X$45</f>
        <v>0</v>
      </c>
      <c r="Y93" s="30">
        <f>$I$45*$Y$45</f>
        <v>0</v>
      </c>
      <c r="Z93" s="30">
        <f>$I$45*$Z$45</f>
        <v>0</v>
      </c>
      <c r="AA93" s="30">
        <f>$I$45*$AA$45</f>
        <v>0</v>
      </c>
      <c r="AB93" s="30">
        <f>$I$45*$AB$45</f>
        <v>0</v>
      </c>
      <c r="AC93" s="30">
        <f>$I$45*$AC$45</f>
        <v>0</v>
      </c>
      <c r="AD93" s="30">
        <f>$I$45*$AD$45</f>
        <v>0</v>
      </c>
      <c r="AE93" s="30">
        <f>$I$45*$AE$45</f>
        <v>0</v>
      </c>
      <c r="AF93" s="30">
        <f>$I$45*$AF$45</f>
        <v>0</v>
      </c>
      <c r="AG93" s="30">
        <f>$I$45*$AG$45</f>
        <v>0</v>
      </c>
      <c r="AH93" s="30">
        <f>$I$45*$AH$45</f>
        <v>0</v>
      </c>
    </row>
    <row r="94" spans="1:34" ht="11.25" customHeight="1" x14ac:dyDescent="0.25">
      <c r="A94" s="9" t="s">
        <v>48</v>
      </c>
      <c r="B94" s="9" t="s">
        <v>1317</v>
      </c>
      <c r="C94" s="9" t="s">
        <v>1318</v>
      </c>
      <c r="D94" s="9" t="s">
        <v>1319</v>
      </c>
      <c r="E94" s="9" t="s">
        <v>1320</v>
      </c>
      <c r="F94" s="9" t="s">
        <v>1321</v>
      </c>
      <c r="G94" s="9" t="s">
        <v>1322</v>
      </c>
      <c r="L94" s="30">
        <f>$I$46*$L$46</f>
        <v>50334.237288408956</v>
      </c>
      <c r="M94" s="30">
        <f>$I$46*$M$46</f>
        <v>1487656.330890534</v>
      </c>
      <c r="N94" s="30">
        <f>$I$46*$N$46</f>
        <v>0</v>
      </c>
      <c r="O94" s="30">
        <f>$I$46*$O$46</f>
        <v>256332.20581694212</v>
      </c>
      <c r="P94" s="30">
        <f>$I$46*$P$46</f>
        <v>-373453.13065337139</v>
      </c>
      <c r="Q94" s="30">
        <f>$I$46*$Q$46</f>
        <v>3694720.2887741607</v>
      </c>
      <c r="R94" s="30">
        <f>$I$46*$R$46</f>
        <v>0</v>
      </c>
      <c r="S94" s="30">
        <f>$I$46*$S$46</f>
        <v>0</v>
      </c>
      <c r="T94" s="30">
        <f>$I$46*$T$46</f>
        <v>0</v>
      </c>
      <c r="U94" s="30">
        <f>$I$46*$U$46</f>
        <v>-343429.74845100555</v>
      </c>
      <c r="V94" s="30">
        <f>$I$46*$V$46</f>
        <v>102643.61684762938</v>
      </c>
      <c r="W94" s="30"/>
      <c r="X94" s="30">
        <f>$I$46*$X$46</f>
        <v>50354.758108301154</v>
      </c>
      <c r="Y94" s="30">
        <f>$I$46*$Y$46</f>
        <v>1487656.3308905333</v>
      </c>
      <c r="Z94" s="30">
        <f>$I$46*$Z$46</f>
        <v>0</v>
      </c>
      <c r="AA94" s="30">
        <f>$I$46*$AA$46</f>
        <v>0</v>
      </c>
      <c r="AB94" s="30">
        <f>$I$46*$AB$46</f>
        <v>-373453.13065337139</v>
      </c>
      <c r="AC94" s="30">
        <f>$I$46*$AC$46</f>
        <v>3696701.1967992517</v>
      </c>
      <c r="AD94" s="30">
        <f>$I$46*$AD$46</f>
        <v>0</v>
      </c>
      <c r="AE94" s="30">
        <f>$I$46*$AE$46</f>
        <v>0</v>
      </c>
      <c r="AF94" s="30">
        <f>$I$46*$AF$46</f>
        <v>0</v>
      </c>
      <c r="AG94" s="30">
        <f>$I$46*$AG$46</f>
        <v>-343385.72499945678</v>
      </c>
      <c r="AH94" s="30">
        <f>$I$46*$AH$46</f>
        <v>102698.64877114355</v>
      </c>
    </row>
    <row r="95" spans="1:34" ht="11.25" customHeight="1" x14ac:dyDescent="0.25">
      <c r="A95" s="9" t="s">
        <v>48</v>
      </c>
      <c r="B95" s="9" t="s">
        <v>1317</v>
      </c>
      <c r="C95" s="9" t="s">
        <v>1318</v>
      </c>
      <c r="D95" s="9" t="s">
        <v>1323</v>
      </c>
      <c r="E95" s="9" t="s">
        <v>1324</v>
      </c>
      <c r="F95" s="9" t="s">
        <v>1325</v>
      </c>
      <c r="G95" s="9" t="s">
        <v>1326</v>
      </c>
      <c r="L95" s="30">
        <f>$I$47*$L$47</f>
        <v>0</v>
      </c>
      <c r="M95" s="30">
        <f>$I$47*$M$47</f>
        <v>0</v>
      </c>
      <c r="N95" s="30">
        <f>$I$47*$N$47</f>
        <v>0</v>
      </c>
      <c r="O95" s="30">
        <f>$I$47*$O$47</f>
        <v>0</v>
      </c>
      <c r="P95" s="30">
        <f>$I$47*$P$47</f>
        <v>0</v>
      </c>
      <c r="Q95" s="30">
        <f>$I$47*$Q$47</f>
        <v>0</v>
      </c>
      <c r="R95" s="30">
        <f>$I$47*$R$47</f>
        <v>0</v>
      </c>
      <c r="S95" s="30">
        <f>$I$47*$S$47</f>
        <v>0</v>
      </c>
      <c r="T95" s="30">
        <f>$I$47*$T$47</f>
        <v>0</v>
      </c>
      <c r="U95" s="30">
        <f>$I$47*$U$47</f>
        <v>0</v>
      </c>
      <c r="V95" s="30">
        <f>$I$47*$V$47</f>
        <v>0</v>
      </c>
      <c r="W95" s="30"/>
      <c r="X95" s="30">
        <f>$I$47*$X$47</f>
        <v>0</v>
      </c>
      <c r="Y95" s="30">
        <f>$I$47*$Y$47</f>
        <v>0</v>
      </c>
      <c r="Z95" s="30">
        <f>$I$47*$Z$47</f>
        <v>0</v>
      </c>
      <c r="AA95" s="30">
        <f>$I$47*$AA$47</f>
        <v>0</v>
      </c>
      <c r="AB95" s="30">
        <f>$I$47*$AB$47</f>
        <v>0</v>
      </c>
      <c r="AC95" s="30">
        <f>$I$47*$AC$47</f>
        <v>0</v>
      </c>
      <c r="AD95" s="30">
        <f>$I$47*$AD$47</f>
        <v>0</v>
      </c>
      <c r="AE95" s="30">
        <f>$I$47*$AE$47</f>
        <v>0</v>
      </c>
      <c r="AF95" s="30">
        <f>$I$47*$AF$47</f>
        <v>0</v>
      </c>
      <c r="AG95" s="30">
        <f>$I$47*$AG$47</f>
        <v>0</v>
      </c>
      <c r="AH95" s="30">
        <f>$I$47*$AH$47</f>
        <v>0</v>
      </c>
    </row>
  </sheetData>
  <mergeCells count="81">
    <mergeCell ref="L1:V1"/>
    <mergeCell ref="L2:V2"/>
    <mergeCell ref="L3:P3"/>
    <mergeCell ref="R3:T3"/>
    <mergeCell ref="A1:A4"/>
    <mergeCell ref="B1:B4"/>
    <mergeCell ref="C1:C4"/>
    <mergeCell ref="D1:D4"/>
    <mergeCell ref="E1:E4"/>
    <mergeCell ref="F1:F4"/>
    <mergeCell ref="F5:F6"/>
    <mergeCell ref="G1:G4"/>
    <mergeCell ref="H1:H4"/>
    <mergeCell ref="I1:I4"/>
    <mergeCell ref="J1:J4"/>
    <mergeCell ref="A5:A6"/>
    <mergeCell ref="B5:B6"/>
    <mergeCell ref="C5:C6"/>
    <mergeCell ref="D5:D6"/>
    <mergeCell ref="E5:E6"/>
    <mergeCell ref="A7:A9"/>
    <mergeCell ref="B7:B8"/>
    <mergeCell ref="C7:C8"/>
    <mergeCell ref="D7:D8"/>
    <mergeCell ref="E7:E8"/>
    <mergeCell ref="A10:A12"/>
    <mergeCell ref="B10:B11"/>
    <mergeCell ref="C10:C11"/>
    <mergeCell ref="D10:D11"/>
    <mergeCell ref="E10:E11"/>
    <mergeCell ref="A13:A25"/>
    <mergeCell ref="B13:B15"/>
    <mergeCell ref="C13:C15"/>
    <mergeCell ref="D13:D15"/>
    <mergeCell ref="E13:E15"/>
    <mergeCell ref="B16:B20"/>
    <mergeCell ref="C16:C20"/>
    <mergeCell ref="B21:B25"/>
    <mergeCell ref="C21:C25"/>
    <mergeCell ref="A26:A40"/>
    <mergeCell ref="B26:B28"/>
    <mergeCell ref="C26:C28"/>
    <mergeCell ref="D26:D28"/>
    <mergeCell ref="E26:E28"/>
    <mergeCell ref="B30:B32"/>
    <mergeCell ref="C30:C32"/>
    <mergeCell ref="D30:D32"/>
    <mergeCell ref="E30:E32"/>
    <mergeCell ref="X1:AH1"/>
    <mergeCell ref="X2:AH2"/>
    <mergeCell ref="X3:AB3"/>
    <mergeCell ref="AD3:AF3"/>
    <mergeCell ref="B38:B40"/>
    <mergeCell ref="C38:C40"/>
    <mergeCell ref="F30:F32"/>
    <mergeCell ref="B34:B36"/>
    <mergeCell ref="C34:C36"/>
    <mergeCell ref="D34:D36"/>
    <mergeCell ref="E34:E36"/>
    <mergeCell ref="F34:F36"/>
    <mergeCell ref="F26:F28"/>
    <mergeCell ref="F13:F15"/>
    <mergeCell ref="F10:F11"/>
    <mergeCell ref="F7:F8"/>
    <mergeCell ref="E41:E43"/>
    <mergeCell ref="F41:F43"/>
    <mergeCell ref="A46:A47"/>
    <mergeCell ref="B46:B47"/>
    <mergeCell ref="C46:C47"/>
    <mergeCell ref="A41:A45"/>
    <mergeCell ref="B41:B43"/>
    <mergeCell ref="C41:C43"/>
    <mergeCell ref="D41:D43"/>
    <mergeCell ref="L49:V49"/>
    <mergeCell ref="X49:AH49"/>
    <mergeCell ref="L50:V50"/>
    <mergeCell ref="X50:AH50"/>
    <mergeCell ref="L51:P51"/>
    <mergeCell ref="R51:T51"/>
    <mergeCell ref="X51:AB51"/>
    <mergeCell ref="AD51:AF51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12B8-0A3A-4D64-897B-2A8CA44FA1C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6" width="10.28515625" style="16" bestFit="1" customWidth="1"/>
    <col min="7" max="8" width="10.85546875" style="16" bestFit="1" customWidth="1"/>
    <col min="9" max="9" width="8" style="16" bestFit="1" customWidth="1"/>
    <col min="10" max="10" width="10.85546875" style="16" bestFit="1" customWidth="1"/>
    <col min="11" max="11" width="10" style="16" bestFit="1" customWidth="1"/>
    <col min="12" max="12" width="9.5703125" style="16" bestFit="1" customWidth="1"/>
    <col min="13" max="13" width="9.7109375" style="16" bestFit="1" customWidth="1"/>
    <col min="14" max="14" width="6" style="16" bestFit="1" customWidth="1"/>
    <col min="15" max="15" width="7.42578125" style="16" bestFit="1" customWidth="1"/>
    <col min="16" max="16" width="9.7109375" style="16" bestFit="1" customWidth="1"/>
    <col min="17" max="17" width="11.7109375" style="16" bestFit="1" customWidth="1"/>
    <col min="18" max="18" width="11.4257812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10.85546875" style="16" bestFit="1" customWidth="1"/>
    <col min="24" max="24" width="11.7109375" style="16" bestFit="1" customWidth="1"/>
    <col min="25" max="26" width="9.140625" style="16"/>
    <col min="27" max="27" width="3.85546875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1" width="10.28515625" style="16" bestFit="1" customWidth="1"/>
    <col min="32" max="32" width="17.42578125" style="16" bestFit="1" customWidth="1"/>
    <col min="33" max="33" width="10.28515625" style="16" bestFit="1" customWidth="1"/>
    <col min="34" max="16384" width="9.140625" style="16"/>
  </cols>
  <sheetData>
    <row r="1" spans="1:33" x14ac:dyDescent="0.2">
      <c r="A1" s="16" t="s">
        <v>67</v>
      </c>
      <c r="B1" s="16" t="s">
        <v>68</v>
      </c>
      <c r="C1" s="16" t="s">
        <v>69</v>
      </c>
      <c r="D1" s="16" t="s">
        <v>70</v>
      </c>
      <c r="E1" s="16" t="s">
        <v>71</v>
      </c>
      <c r="F1" s="16" t="s">
        <v>15</v>
      </c>
      <c r="G1" s="16" t="s">
        <v>73</v>
      </c>
      <c r="I1" s="16" t="s">
        <v>1334</v>
      </c>
      <c r="AA1" s="16" t="s">
        <v>57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57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6" t="s">
        <v>39</v>
      </c>
      <c r="AB2" s="16" t="s">
        <v>58</v>
      </c>
      <c r="AC2" s="16" t="s">
        <v>24</v>
      </c>
      <c r="AD2" s="16" t="s">
        <v>24</v>
      </c>
      <c r="AE2" s="16" t="s">
        <v>85</v>
      </c>
      <c r="AF2" s="16" t="s">
        <v>59</v>
      </c>
      <c r="AG2" s="16" t="s">
        <v>9</v>
      </c>
    </row>
    <row r="3" spans="1:33" x14ac:dyDescent="0.2">
      <c r="AA3" s="16" t="s">
        <v>42</v>
      </c>
      <c r="AB3" s="16" t="s">
        <v>40</v>
      </c>
      <c r="AC3" s="16" t="s">
        <v>46</v>
      </c>
      <c r="AD3" s="16" t="s">
        <v>29</v>
      </c>
      <c r="AE3" s="16" t="s">
        <v>88</v>
      </c>
      <c r="AF3" s="16" t="s">
        <v>77</v>
      </c>
      <c r="AG3" s="16" t="s">
        <v>82</v>
      </c>
    </row>
    <row r="4" spans="1:33" x14ac:dyDescent="0.2">
      <c r="AA4" s="16" t="s">
        <v>41</v>
      </c>
      <c r="AB4" s="16" t="s">
        <v>43</v>
      </c>
      <c r="AC4" s="16" t="s">
        <v>49</v>
      </c>
      <c r="AD4" s="16" t="s">
        <v>30</v>
      </c>
      <c r="AE4" s="16" t="s">
        <v>89</v>
      </c>
      <c r="AG4" s="16" t="s">
        <v>83</v>
      </c>
    </row>
    <row r="5" spans="1:33" x14ac:dyDescent="0.2">
      <c r="A5" s="16" t="s">
        <v>1327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682</v>
      </c>
      <c r="AA5" s="16" t="s">
        <v>87</v>
      </c>
      <c r="AB5" s="16" t="s">
        <v>33</v>
      </c>
      <c r="AD5" s="16" t="s">
        <v>31</v>
      </c>
      <c r="AG5" s="16" t="s">
        <v>84</v>
      </c>
    </row>
    <row r="6" spans="1:33" x14ac:dyDescent="0.2">
      <c r="A6" s="16" t="s">
        <v>1328</v>
      </c>
      <c r="B6" s="57">
        <f>SUM(TUSD!$AI$73:'TUSD'!$AI$135)</f>
        <v>22844531.700184241</v>
      </c>
      <c r="C6" s="57">
        <f>SUM(TUSD!$AJ$73:'TUSD'!$AJ$135)</f>
        <v>945225.25942401227</v>
      </c>
      <c r="D6" s="57">
        <f>SUM(TUSD!$AK$73:'TUSD'!$AK$135)</f>
        <v>4015624.9276199848</v>
      </c>
      <c r="E6" s="57">
        <f>SUM(TUSD!$AL$73:'TUSD'!$AL$135)</f>
        <v>0</v>
      </c>
      <c r="F6" s="57">
        <f>SUM(TUSD!$AM$73:'TUSD'!$AM$135)</f>
        <v>0</v>
      </c>
      <c r="G6" s="57">
        <f>SUM(TUSD!$AN$73:'TUSD'!$AN$135)</f>
        <v>52731590.39174661</v>
      </c>
      <c r="H6" s="57">
        <f>SUM(TUSD!$AO$73:'TUSD'!$AO$135)</f>
        <v>21063297.654458467</v>
      </c>
      <c r="I6" s="57">
        <f>SUM(TUSD!$AP$73:'TUSD'!$AP$135)</f>
        <v>0</v>
      </c>
      <c r="J6" s="57">
        <f>SUM(TUSD!$AQ$73:'TUSD'!$AQ$135)</f>
        <v>37080387.145625681</v>
      </c>
      <c r="K6" s="57">
        <f>SUM(TUSD!$AR$73:'TUSD'!$AR$135)</f>
        <v>5704877.2205023291</v>
      </c>
      <c r="L6" s="57">
        <f>SUM(TUSD!$AS$73:'TUSD'!$AS$135)</f>
        <v>199539.69740345384</v>
      </c>
      <c r="M6" s="57">
        <f>SUM(TUSD!$AT$73:'TUSD'!$AT$135)</f>
        <v>0</v>
      </c>
      <c r="N6" s="57">
        <f>SUM(TUSD!$AU$73:'TUSD'!$AU$135)</f>
        <v>0</v>
      </c>
      <c r="O6" s="57">
        <f>SUM(TUSD!$AV$73:'TUSD'!$AV$135)</f>
        <v>0</v>
      </c>
      <c r="P6" s="57">
        <f>SUM(TUSD!$AW$73:'TUSD'!$AW$135)</f>
        <v>138701.27708333501</v>
      </c>
      <c r="Q6" s="57">
        <f>SUM(TUSD!$AX$73:'TUSD'!$AX$135)</f>
        <v>271482714.93279773</v>
      </c>
      <c r="R6" s="57">
        <f>SUM(TUSD!$AY$73:'TUSD'!$AY$135)</f>
        <v>-34373445.220529407</v>
      </c>
      <c r="S6" s="57">
        <f>SUM(TUSD!$AZ$73:'TUSD'!$AZ$135)</f>
        <v>0</v>
      </c>
      <c r="T6" s="57">
        <f>SUM(TUSD!$BA$73:'TUSD'!$BA$135)</f>
        <v>30653242.018417228</v>
      </c>
      <c r="U6" s="57">
        <f>SUM(TUSD!$BB$73:'TUSD'!$BB$135)</f>
        <v>2478453.6243809848</v>
      </c>
      <c r="V6" s="57">
        <f>SUM(TUSD!$BC$73:'TUSD'!$BC$135)</f>
        <v>58453564.555246815</v>
      </c>
      <c r="W6" s="57">
        <f>SUM(TUSD!$BD$73:'TUSD'!$BD$135)</f>
        <v>13399120.136346741</v>
      </c>
      <c r="X6" s="57">
        <f t="shared" ref="X6:X11" si="0">SUM(B6:W6)</f>
        <v>486817425.32070827</v>
      </c>
      <c r="AA6" s="16" t="s">
        <v>22</v>
      </c>
      <c r="AB6" s="16" t="s">
        <v>23</v>
      </c>
      <c r="AD6" s="16" t="s">
        <v>32</v>
      </c>
      <c r="AG6" s="16" t="s">
        <v>80</v>
      </c>
    </row>
    <row r="7" spans="1:33" x14ac:dyDescent="0.2">
      <c r="A7" s="16" t="s">
        <v>1329</v>
      </c>
      <c r="B7" s="57">
        <f>SUM(TUSD!$L$73:'TUSD'!$L$135)</f>
        <v>22844531.700184256</v>
      </c>
      <c r="C7" s="57">
        <f>SUM(TUSD!$M$73:'TUSD'!$M$135)</f>
        <v>944421.27235624578</v>
      </c>
      <c r="D7" s="57">
        <f ca="1">SUM(TUSD!$N$73:'TUSD'!$N$135)</f>
        <v>4012642.4308687625</v>
      </c>
      <c r="E7" s="57">
        <f>SUM(TUSD!$O$73:'TUSD'!$O$135)</f>
        <v>0</v>
      </c>
      <c r="F7" s="57">
        <f>SUM(TUSD!$P$73:'TUSD'!$P$135)</f>
        <v>0</v>
      </c>
      <c r="G7" s="57">
        <f>SUM(TUSD!$Q$73:'TUSD'!$Q$135)</f>
        <v>52731590.391746603</v>
      </c>
      <c r="H7" s="57">
        <f>SUM(TUSD!$R$73:'TUSD'!$R$135)</f>
        <v>21063297.654458456</v>
      </c>
      <c r="I7" s="57">
        <f>SUM(TUSD!$S$73:'TUSD'!$S$135)</f>
        <v>0</v>
      </c>
      <c r="J7" s="57">
        <f>SUM(TUSD!$T$73:'TUSD'!$T$135)</f>
        <v>37080387.145625666</v>
      </c>
      <c r="K7" s="57">
        <f>SUM(TUSD!$U$73:'TUSD'!$U$135)</f>
        <v>5704877.2205023309</v>
      </c>
      <c r="L7" s="57">
        <f>SUM(TUSD!$V$73:'TUSD'!$V$135)</f>
        <v>199355.77781951873</v>
      </c>
      <c r="M7" s="57">
        <f>SUM(TUSD!$W$73:'TUSD'!$W$135)</f>
        <v>0</v>
      </c>
      <c r="N7" s="57">
        <f>SUM(TUSD!$X$73:'TUSD'!$X$135)</f>
        <v>0</v>
      </c>
      <c r="O7" s="57">
        <f>SUM(TUSD!$Y$73:'TUSD'!$Y$135)</f>
        <v>0</v>
      </c>
      <c r="P7" s="57">
        <f>SUM(TUSD!$Z$73:'TUSD'!$Z$135)</f>
        <v>138701.27708333469</v>
      </c>
      <c r="Q7" s="57">
        <f>SUM(TUSD!$AA$73:'TUSD'!$AA$135)</f>
        <v>271240398.16019064</v>
      </c>
      <c r="R7" s="57">
        <f ca="1">SUM(TUSD!$AB$73:'TUSD'!$AB$135)</f>
        <v>-34371436.051155873</v>
      </c>
      <c r="S7" s="57">
        <f ca="1">SUM(TUSD!$AC$73:'TUSD'!$AC$135)</f>
        <v>0</v>
      </c>
      <c r="T7" s="57">
        <f>SUM(TUSD!$AD$73:'TUSD'!$AD$135)</f>
        <v>30636816.224208593</v>
      </c>
      <c r="U7" s="57">
        <f>SUM(TUSD!$AE$73:'TUSD'!$AE$135)</f>
        <v>2477125.5244310605</v>
      </c>
      <c r="V7" s="57">
        <f ca="1">SUM(TUSD!$AF$73:'TUSD'!$AF$135)</f>
        <v>58422272.046277136</v>
      </c>
      <c r="W7" s="57">
        <f ca="1">SUM(TUSD!$AG$73:'TUSD'!$AG$135)</f>
        <v>13392117.524384763</v>
      </c>
      <c r="X7" s="57">
        <f t="shared" ca="1" si="0"/>
        <v>486517098.29898143</v>
      </c>
      <c r="AA7" s="16" t="s">
        <v>45</v>
      </c>
      <c r="AB7" s="16" t="s">
        <v>92</v>
      </c>
      <c r="AD7" s="16" t="s">
        <v>93</v>
      </c>
      <c r="AG7" s="16" t="s">
        <v>81</v>
      </c>
    </row>
    <row r="8" spans="1:33" x14ac:dyDescent="0.2">
      <c r="A8" s="16" t="s">
        <v>1332</v>
      </c>
      <c r="B8" s="57">
        <f>IF($G$2&lt;&gt;"Não se aplica",SUMIF(TUSD!$G$73:'TUSD'!$G$135,$I$2,TUSD!$AI$73:'TUSD'!$AI$135),IF($F$2&lt;&gt;"Não se aplica",SUMIF(TUSD!$F$73:'TUSD'!$F$135,$I$2,TUSD!$AI$73:'TUSD'!$AI$135),IF($E$2&lt;&gt;"Não se aplica",SUMIF(TUSD!$E$73:'TUSD'!$E$135,$I$2,TUSD!$AI$73:'TUSD'!$AI$135),IF($D$2&lt;&gt;"Não se aplica",SUMIF(TUSD!$D$73:'TUSD'!$D$135,$I$2,TUSD!$AI$73:'TUSD'!$AI$135),IF($C$2&lt;&gt;"Não se aplica",SUMIF(TUSD!$C$73:'TUSD'!$C$135,$I$2,TUSD!$AI$73:'TUSD'!$AI$135),IF($B$2&lt;&gt;"Não se aplica",SUMIF(TUSD!$B$73:'TUSD'!$B$135,$I$2,TUSD!$AI$73:'TUSD'!$AI$135),SUMIF(TUSD!$A$73:'TUSD'!$A$135,$I$2,TUSD!$AI$73:'TUSD'!$AI$135)))))))</f>
        <v>0</v>
      </c>
      <c r="C8" s="57">
        <f>IF($G$2&lt;&gt;"Não se aplica",SUMIF(TUSD!$G$73:'TUSD'!$G$135,$I$2,TUSD!$AJ$73:'TUSD'!$AJ$135),IF($F$2&lt;&gt;"Não se aplica",SUMIF(TUSD!$F$73:'TUSD'!$F$135,$I$2,TUSD!$AJ$73:'TUSD'!$AJ$135),IF($E$2&lt;&gt;"Não se aplica",SUMIF(TUSD!$E$73:'TUSD'!$E$135,$I$2,TUSD!$AJ$73:'TUSD'!$AJ$135),IF($D$2&lt;&gt;"Não se aplica",SUMIF(TUSD!$D$73:'TUSD'!$D$135,$I$2,TUSD!$AJ$73:'TUSD'!$AJ$135),IF($C$2&lt;&gt;"Não se aplica",SUMIF(TUSD!$C$73:'TUSD'!$C$135,$I$2,TUSD!$AJ$73:'TUSD'!$AJ$135),IF($B$2&lt;&gt;"Não se aplica",SUMIF(TUSD!$B$73:'TUSD'!$B$135,$I$2,TUSD!$AJ$73:'TUSD'!$AJ$135),SUMIF(TUSD!$A$73:'TUSD'!$A$135,$I$2,TUSD!$AJ$73:'TUSD'!$AJ$135)))))))</f>
        <v>0</v>
      </c>
      <c r="D8" s="57">
        <f>IF($G$2&lt;&gt;"Não se aplica",SUMIF(TUSD!$G$73:'TUSD'!$G$135,$I$2,TUSD!$AK$73:'TUSD'!$AK$135),IF($F$2&lt;&gt;"Não se aplica",SUMIF(TUSD!$F$73:'TUSD'!$F$135,$I$2,TUSD!$AK$73:'TUSD'!$AK$135),IF($E$2&lt;&gt;"Não se aplica",SUMIF(TUSD!$E$73:'TUSD'!$E$135,$I$2,TUSD!$AK$73:'TUSD'!$AK$135),IF($D$2&lt;&gt;"Não se aplica",SUMIF(TUSD!$D$73:'TUSD'!$D$135,$I$2,TUSD!$AK$73:'TUSD'!$AK$135),IF($C$2&lt;&gt;"Não se aplica",SUMIF(TUSD!$C$73:'TUSD'!$C$135,$I$2,TUSD!$AK$73:'TUSD'!$AK$135),IF($B$2&lt;&gt;"Não se aplica",SUMIF(TUSD!$B$73:'TUSD'!$B$135,$I$2,TUSD!$AK$73:'TUSD'!$AK$135),SUMIF(TUSD!$A$73:'TUSD'!$A$135,$I$2,TUSD!$AK$73:'TUSD'!$AK$135)))))))</f>
        <v>0</v>
      </c>
      <c r="E8" s="57">
        <f>IF($G$2&lt;&gt;"Não se aplica",SUMIF(TUSD!$G$73:'TUSD'!$G$135,$I$2,TUSD!$AL$73:'TUSD'!$AL$135),IF($F$2&lt;&gt;"Não se aplica",SUMIF(TUSD!$F$73:'TUSD'!$F$135,$I$2,TUSD!$AL$73:'TUSD'!$AL$135),IF($E$2&lt;&gt;"Não se aplica",SUMIF(TUSD!$E$73:'TUSD'!$E$135,$I$2,TUSD!$AL$73:'TUSD'!$AL$135),IF($D$2&lt;&gt;"Não se aplica",SUMIF(TUSD!$D$73:'TUSD'!$D$135,$I$2,TUSD!$AL$73:'TUSD'!$AL$135),IF($C$2&lt;&gt;"Não se aplica",SUMIF(TUSD!$C$73:'TUSD'!$C$135,$I$2,TUSD!$AL$73:'TUSD'!$AL$135),IF($B$2&lt;&gt;"Não se aplica",SUMIF(TUSD!$B$73:'TUSD'!$B$135,$I$2,TUSD!$AL$73:'TUSD'!$AL$135),SUMIF(TUSD!$A$73:'TUSD'!$A$135,$I$2,TUSD!$AL$73:'TUSD'!$AL$135)))))))</f>
        <v>0</v>
      </c>
      <c r="F8" s="57">
        <f>IF($G$2&lt;&gt;"Não se aplica",SUMIF(TUSD!$G$73:'TUSD'!$G$135,$I$2,TUSD!$AM$73:'TUSD'!$AM$135),IF($F$2&lt;&gt;"Não se aplica",SUMIF(TUSD!$F$73:'TUSD'!$F$135,$I$2,TUSD!$AM$73:'TUSD'!$AM$135),IF($E$2&lt;&gt;"Não se aplica",SUMIF(TUSD!$E$73:'TUSD'!$E$135,$I$2,TUSD!$AM$73:'TUSD'!$AM$135),IF($D$2&lt;&gt;"Não se aplica",SUMIF(TUSD!$D$73:'TUSD'!$D$135,$I$2,TUSD!$AM$73:'TUSD'!$AM$135),IF($C$2&lt;&gt;"Não se aplica",SUMIF(TUSD!$C$73:'TUSD'!$C$135,$I$2,TUSD!$AM$73:'TUSD'!$AM$135),IF($B$2&lt;&gt;"Não se aplica",SUMIF(TUSD!$B$73:'TUSD'!$B$135,$I$2,TUSD!$AM$73:'TUSD'!$AM$135),SUMIF(TUSD!$A$73:'TUSD'!$A$135,$I$2,TUSD!$AM$73:'TUSD'!$AM$135)))))))</f>
        <v>0</v>
      </c>
      <c r="G8" s="57">
        <f>IF($G$2&lt;&gt;"Não se aplica",SUMIF(TUSD!$G$73:'TUSD'!$G$135,$I$2,TUSD!$AN$73:'TUSD'!$AN$135),IF($F$2&lt;&gt;"Não se aplica",SUMIF(TUSD!$F$73:'TUSD'!$F$135,$I$2,TUSD!$AN$73:'TUSD'!$AN$135),IF($E$2&lt;&gt;"Não se aplica",SUMIF(TUSD!$E$73:'TUSD'!$E$135,$I$2,TUSD!$AN$73:'TUSD'!$AN$135),IF($D$2&lt;&gt;"Não se aplica",SUMIF(TUSD!$D$73:'TUSD'!$D$135,$I$2,TUSD!$AN$73:'TUSD'!$AN$135),IF($C$2&lt;&gt;"Não se aplica",SUMIF(TUSD!$C$73:'TUSD'!$C$135,$I$2,TUSD!$AN$73:'TUSD'!$AN$135),IF($B$2&lt;&gt;"Não se aplica",SUMIF(TUSD!$B$73:'TUSD'!$B$135,$I$2,TUSD!$AN$73:'TUSD'!$AN$135),SUMIF(TUSD!$A$73:'TUSD'!$A$135,$I$2,TUSD!$AN$73:'TUSD'!$AN$135)))))))</f>
        <v>0</v>
      </c>
      <c r="H8" s="57">
        <f>IF($G$2&lt;&gt;"Não se aplica",SUMIF(TUSD!$G$73:'TUSD'!$G$135,$I$2,TUSD!$AO$73:'TUSD'!$AO$135),IF($F$2&lt;&gt;"Não se aplica",SUMIF(TUSD!$F$73:'TUSD'!$F$135,$I$2,TUSD!$AO$73:'TUSD'!$AO$135),IF($E$2&lt;&gt;"Não se aplica",SUMIF(TUSD!$E$73:'TUSD'!$E$135,$I$2,TUSD!$AO$73:'TUSD'!$AO$135),IF($D$2&lt;&gt;"Não se aplica",SUMIF(TUSD!$D$73:'TUSD'!$D$135,$I$2,TUSD!$AO$73:'TUSD'!$AO$135),IF($C$2&lt;&gt;"Não se aplica",SUMIF(TUSD!$C$73:'TUSD'!$C$135,$I$2,TUSD!$AO$73:'TUSD'!$AO$135),IF($B$2&lt;&gt;"Não se aplica",SUMIF(TUSD!$B$73:'TUSD'!$B$135,$I$2,TUSD!$AO$73:'TUSD'!$AO$135),SUMIF(TUSD!$A$73:'TUSD'!$A$135,$I$2,TUSD!$AO$73:'TUSD'!$AO$135)))))))</f>
        <v>0</v>
      </c>
      <c r="I8" s="57">
        <f>IF($G$2&lt;&gt;"Não se aplica",SUMIF(TUSD!$G$73:'TUSD'!$G$135,$I$2,TUSD!$AP$73:'TUSD'!$AP$135),IF($F$2&lt;&gt;"Não se aplica",SUMIF(TUSD!$F$73:'TUSD'!$F$135,$I$2,TUSD!$AP$73:'TUSD'!$AP$135),IF($E$2&lt;&gt;"Não se aplica",SUMIF(TUSD!$E$73:'TUSD'!$E$135,$I$2,TUSD!$AP$73:'TUSD'!$AP$135),IF($D$2&lt;&gt;"Não se aplica",SUMIF(TUSD!$D$73:'TUSD'!$D$135,$I$2,TUSD!$AP$73:'TUSD'!$AP$135),IF($C$2&lt;&gt;"Não se aplica",SUMIF(TUSD!$C$73:'TUSD'!$C$135,$I$2,TUSD!$AP$73:'TUSD'!$AP$135),IF($B$2&lt;&gt;"Não se aplica",SUMIF(TUSD!$B$73:'TUSD'!$B$135,$I$2,TUSD!$AP$73:'TUSD'!$AP$135),SUMIF(TUSD!$A$73:'TUSD'!$A$135,$I$2,TUSD!$AP$73:'TUSD'!$AP$135)))))))</f>
        <v>0</v>
      </c>
      <c r="J8" s="57">
        <f>IF($G$2&lt;&gt;"Não se aplica",SUMIF(TUSD!$G$73:'TUSD'!$G$135,$I$2,TUSD!$AQ$73:'TUSD'!$AQ$135),IF($F$2&lt;&gt;"Não se aplica",SUMIF(TUSD!$F$73:'TUSD'!$F$135,$I$2,TUSD!$AQ$73:'TUSD'!$AQ$135),IF($E$2&lt;&gt;"Não se aplica",SUMIF(TUSD!$E$73:'TUSD'!$E$135,$I$2,TUSD!$AQ$73:'TUSD'!$AQ$135),IF($D$2&lt;&gt;"Não se aplica",SUMIF(TUSD!$D$73:'TUSD'!$D$135,$I$2,TUSD!$AQ$73:'TUSD'!$AQ$135),IF($C$2&lt;&gt;"Não se aplica",SUMIF(TUSD!$C$73:'TUSD'!$C$135,$I$2,TUSD!$AQ$73:'TUSD'!$AQ$135),IF($B$2&lt;&gt;"Não se aplica",SUMIF(TUSD!$B$73:'TUSD'!$B$135,$I$2,TUSD!$AQ$73:'TUSD'!$AQ$135),SUMIF(TUSD!$A$73:'TUSD'!$A$135,$I$2,TUSD!$AQ$73:'TUSD'!$AQ$135)))))))</f>
        <v>0</v>
      </c>
      <c r="K8" s="57">
        <f>IF($G$2&lt;&gt;"Não se aplica",SUMIF(TUSD!$G$73:'TUSD'!$G$135,$I$2,TUSD!$AR$73:'TUSD'!$AR$135),IF($F$2&lt;&gt;"Não se aplica",SUMIF(TUSD!$F$73:'TUSD'!$F$135,$I$2,TUSD!$AR$73:'TUSD'!$AR$135),IF($E$2&lt;&gt;"Não se aplica",SUMIF(TUSD!$E$73:'TUSD'!$E$135,$I$2,TUSD!$AR$73:'TUSD'!$AR$135),IF($D$2&lt;&gt;"Não se aplica",SUMIF(TUSD!$D$73:'TUSD'!$D$135,$I$2,TUSD!$AR$73:'TUSD'!$AR$135),IF($C$2&lt;&gt;"Não se aplica",SUMIF(TUSD!$C$73:'TUSD'!$C$135,$I$2,TUSD!$AR$73:'TUSD'!$AR$135),IF($B$2&lt;&gt;"Não se aplica",SUMIF(TUSD!$B$73:'TUSD'!$B$135,$I$2,TUSD!$AR$73:'TUSD'!$AR$135),SUMIF(TUSD!$A$73:'TUSD'!$A$135,$I$2,TUSD!$AR$73:'TUSD'!$AR$135)))))))</f>
        <v>0</v>
      </c>
      <c r="L8" s="57">
        <f>IF($G$2&lt;&gt;"Não se aplica",SUMIF(TUSD!$G$73:'TUSD'!$G$135,$I$2,TUSD!$AS$73:'TUSD'!$AS$135),IF($F$2&lt;&gt;"Não se aplica",SUMIF(TUSD!$F$73:'TUSD'!$F$135,$I$2,TUSD!$AS$73:'TUSD'!$AS$135),IF($E$2&lt;&gt;"Não se aplica",SUMIF(TUSD!$E$73:'TUSD'!$E$135,$I$2,TUSD!$AS$73:'TUSD'!$AS$135),IF($D$2&lt;&gt;"Não se aplica",SUMIF(TUSD!$D$73:'TUSD'!$D$135,$I$2,TUSD!$AS$73:'TUSD'!$AS$135),IF($C$2&lt;&gt;"Não se aplica",SUMIF(TUSD!$C$73:'TUSD'!$C$135,$I$2,TUSD!$AS$73:'TUSD'!$AS$135),IF($B$2&lt;&gt;"Não se aplica",SUMIF(TUSD!$B$73:'TUSD'!$B$135,$I$2,TUSD!$AS$73:'TUSD'!$AS$135),SUMIF(TUSD!$A$73:'TUSD'!$A$135,$I$2,TUSD!$AS$73:'TUSD'!$AS$135)))))))</f>
        <v>0</v>
      </c>
      <c r="M8" s="57">
        <f>IF($G$2&lt;&gt;"Não se aplica",SUMIF(TUSD!$G$73:'TUSD'!$G$135,$I$2,TUSD!$AT$73:'TUSD'!$AT$135),IF($F$2&lt;&gt;"Não se aplica",SUMIF(TUSD!$F$73:'TUSD'!$F$135,$I$2,TUSD!$AT$73:'TUSD'!$AT$135),IF($E$2&lt;&gt;"Não se aplica",SUMIF(TUSD!$E$73:'TUSD'!$E$135,$I$2,TUSD!$AT$73:'TUSD'!$AT$135),IF($D$2&lt;&gt;"Não se aplica",SUMIF(TUSD!$D$73:'TUSD'!$D$135,$I$2,TUSD!$AT$73:'TUSD'!$AT$135),IF($C$2&lt;&gt;"Não se aplica",SUMIF(TUSD!$C$73:'TUSD'!$C$135,$I$2,TUSD!$AT$73:'TUSD'!$AT$135),IF($B$2&lt;&gt;"Não se aplica",SUMIF(TUSD!$B$73:'TUSD'!$B$135,$I$2,TUSD!$AT$73:'TUSD'!$AT$135),SUMIF(TUSD!$A$73:'TUSD'!$A$135,$I$2,TUSD!$AT$73:'TUSD'!$AT$135)))))))</f>
        <v>0</v>
      </c>
      <c r="N8" s="57">
        <f>IF($G$2&lt;&gt;"Não se aplica",SUMIF(TUSD!$G$73:'TUSD'!$G$135,$I$2,TUSD!$AU$73:'TUSD'!$AU$135),IF($F$2&lt;&gt;"Não se aplica",SUMIF(TUSD!$F$73:'TUSD'!$F$135,$I$2,TUSD!$AU$73:'TUSD'!$AU$135),IF($E$2&lt;&gt;"Não se aplica",SUMIF(TUSD!$E$73:'TUSD'!$E$135,$I$2,TUSD!$AU$73:'TUSD'!$AU$135),IF($D$2&lt;&gt;"Não se aplica",SUMIF(TUSD!$D$73:'TUSD'!$D$135,$I$2,TUSD!$AU$73:'TUSD'!$AU$135),IF($C$2&lt;&gt;"Não se aplica",SUMIF(TUSD!$C$73:'TUSD'!$C$135,$I$2,TUSD!$AU$73:'TUSD'!$AU$135),IF($B$2&lt;&gt;"Não se aplica",SUMIF(TUSD!$B$73:'TUSD'!$B$135,$I$2,TUSD!$AU$73:'TUSD'!$AU$135),SUMIF(TUSD!$A$73:'TUSD'!$A$135,$I$2,TUSD!$AU$73:'TUSD'!$AU$135)))))))</f>
        <v>0</v>
      </c>
      <c r="O8" s="57">
        <f>IF($G$2&lt;&gt;"Não se aplica",SUMIF(TUSD!$G$73:'TUSD'!$G$135,$I$2,TUSD!$AV$73:'TUSD'!$AV$135),IF($F$2&lt;&gt;"Não se aplica",SUMIF(TUSD!$F$73:'TUSD'!$F$135,$I$2,TUSD!$AV$73:'TUSD'!$AV$135),IF($E$2&lt;&gt;"Não se aplica",SUMIF(TUSD!$E$73:'TUSD'!$E$135,$I$2,TUSD!$AV$73:'TUSD'!$AV$135),IF($D$2&lt;&gt;"Não se aplica",SUMIF(TUSD!$D$73:'TUSD'!$D$135,$I$2,TUSD!$AV$73:'TUSD'!$AV$135),IF($C$2&lt;&gt;"Não se aplica",SUMIF(TUSD!$C$73:'TUSD'!$C$135,$I$2,TUSD!$AV$73:'TUSD'!$AV$135),IF($B$2&lt;&gt;"Não se aplica",SUMIF(TUSD!$B$73:'TUSD'!$B$135,$I$2,TUSD!$AV$73:'TUSD'!$AV$135),SUMIF(TUSD!$A$73:'TUSD'!$A$135,$I$2,TUSD!$AV$73:'TUSD'!$AV$135)))))))</f>
        <v>0</v>
      </c>
      <c r="P8" s="57">
        <f>IF($G$2&lt;&gt;"Não se aplica",SUMIF(TUSD!$G$73:'TUSD'!$G$135,$I$2,TUSD!$AW$73:'TUSD'!$AW$135),IF($F$2&lt;&gt;"Não se aplica",SUMIF(TUSD!$F$73:'TUSD'!$F$135,$I$2,TUSD!$AW$73:'TUSD'!$AW$135),IF($E$2&lt;&gt;"Não se aplica",SUMIF(TUSD!$E$73:'TUSD'!$E$135,$I$2,TUSD!$AW$73:'TUSD'!$AW$135),IF($D$2&lt;&gt;"Não se aplica",SUMIF(TUSD!$D$73:'TUSD'!$D$135,$I$2,TUSD!$AW$73:'TUSD'!$AW$135),IF($C$2&lt;&gt;"Não se aplica",SUMIF(TUSD!$C$73:'TUSD'!$C$135,$I$2,TUSD!$AW$73:'TUSD'!$AW$135),IF($B$2&lt;&gt;"Não se aplica",SUMIF(TUSD!$B$73:'TUSD'!$B$135,$I$2,TUSD!$AW$73:'TUSD'!$AW$135),SUMIF(TUSD!$A$73:'TUSD'!$A$135,$I$2,TUSD!$AW$73:'TUSD'!$AW$135)))))))</f>
        <v>138701.27708333501</v>
      </c>
      <c r="Q8" s="57">
        <f>IF($G$2&lt;&gt;"Não se aplica",SUMIF(TUSD!$G$73:'TUSD'!$G$135,$I$2,TUSD!$AX$73:'TUSD'!$AX$135),IF($F$2&lt;&gt;"Não se aplica",SUMIF(TUSD!$F$73:'TUSD'!$F$135,$I$2,TUSD!$AX$73:'TUSD'!$AX$135),IF($E$2&lt;&gt;"Não se aplica",SUMIF(TUSD!$E$73:'TUSD'!$E$135,$I$2,TUSD!$AX$73:'TUSD'!$AX$135),IF($D$2&lt;&gt;"Não se aplica",SUMIF(TUSD!$D$73:'TUSD'!$D$135,$I$2,TUSD!$AX$73:'TUSD'!$AX$135),IF($C$2&lt;&gt;"Não se aplica",SUMIF(TUSD!$C$73:'TUSD'!$C$135,$I$2,TUSD!$AX$73:'TUSD'!$AX$135),IF($B$2&lt;&gt;"Não se aplica",SUMIF(TUSD!$B$73:'TUSD'!$B$135,$I$2,TUSD!$AX$73:'TUSD'!$AX$135),SUMIF(TUSD!$A$73:'TUSD'!$A$135,$I$2,TUSD!$AX$73:'TUSD'!$AX$135)))))))</f>
        <v>6324642.0283179218</v>
      </c>
      <c r="R8" s="57">
        <f>IF($G$2&lt;&gt;"Não se aplica",SUMIF(TUSD!$G$73:'TUSD'!$G$135,$I$2,TUSD!$AY$73:'TUSD'!$AY$135),IF($F$2&lt;&gt;"Não se aplica",SUMIF(TUSD!$F$73:'TUSD'!$F$135,$I$2,TUSD!$AY$73:'TUSD'!$AY$135),IF($E$2&lt;&gt;"Não se aplica",SUMIF(TUSD!$E$73:'TUSD'!$E$135,$I$2,TUSD!$AY$73:'TUSD'!$AY$135),IF($D$2&lt;&gt;"Não se aplica",SUMIF(TUSD!$D$73:'TUSD'!$D$135,$I$2,TUSD!$AY$73:'TUSD'!$AY$135),IF($C$2&lt;&gt;"Não se aplica",SUMIF(TUSD!$C$73:'TUSD'!$C$135,$I$2,TUSD!$AY$73:'TUSD'!$AY$135),IF($B$2&lt;&gt;"Não se aplica",SUMIF(TUSD!$B$73:'TUSD'!$B$135,$I$2,TUSD!$AY$73:'TUSD'!$AY$135),SUMIF(TUSD!$A$73:'TUSD'!$A$135,$I$2,TUSD!$AY$73:'TUSD'!$AY$135)))))))</f>
        <v>-427545.0756770873</v>
      </c>
      <c r="S8" s="57">
        <f>IF($G$2&lt;&gt;"Não se aplica",SUMIF(TUSD!$G$73:'TUSD'!$G$135,$I$2,TUSD!$AZ$73:'TUSD'!$AZ$135),IF($F$2&lt;&gt;"Não se aplica",SUMIF(TUSD!$F$73:'TUSD'!$F$135,$I$2,TUSD!$AZ$73:'TUSD'!$AZ$135),IF($E$2&lt;&gt;"Não se aplica",SUMIF(TUSD!$E$73:'TUSD'!$E$135,$I$2,TUSD!$AZ$73:'TUSD'!$AZ$135),IF($D$2&lt;&gt;"Não se aplica",SUMIF(TUSD!$D$73:'TUSD'!$D$135,$I$2,TUSD!$AZ$73:'TUSD'!$AZ$135),IF($C$2&lt;&gt;"Não se aplica",SUMIF(TUSD!$C$73:'TUSD'!$C$135,$I$2,TUSD!$AZ$73:'TUSD'!$AZ$135),IF($B$2&lt;&gt;"Não se aplica",SUMIF(TUSD!$B$73:'TUSD'!$B$135,$I$2,TUSD!$AZ$73:'TUSD'!$AZ$135),SUMIF(TUSD!$A$73:'TUSD'!$A$135,$I$2,TUSD!$AZ$73:'TUSD'!$AZ$135)))))))</f>
        <v>0</v>
      </c>
      <c r="T8" s="57">
        <f>IF($G$2&lt;&gt;"Não se aplica",SUMIF(TUSD!$G$73:'TUSD'!$G$135,$I$2,TUSD!$BA$73:'TUSD'!$BA$135),IF($F$2&lt;&gt;"Não se aplica",SUMIF(TUSD!$F$73:'TUSD'!$F$135,$I$2,TUSD!$BA$73:'TUSD'!$BA$135),IF($E$2&lt;&gt;"Não se aplica",SUMIF(TUSD!$E$73:'TUSD'!$E$135,$I$2,TUSD!$BA$73:'TUSD'!$BA$135),IF($D$2&lt;&gt;"Não se aplica",SUMIF(TUSD!$D$73:'TUSD'!$D$135,$I$2,TUSD!$BA$73:'TUSD'!$BA$135),IF($C$2&lt;&gt;"Não se aplica",SUMIF(TUSD!$C$73:'TUSD'!$C$135,$I$2,TUSD!$BA$73:'TUSD'!$BA$135),IF($B$2&lt;&gt;"Não se aplica",SUMIF(TUSD!$B$73:'TUSD'!$B$135,$I$2,TUSD!$BA$73:'TUSD'!$BA$135),SUMIF(TUSD!$A$73:'TUSD'!$A$135,$I$2,TUSD!$BA$73:'TUSD'!$BA$135)))))))</f>
        <v>0</v>
      </c>
      <c r="U8" s="57">
        <f>IF($G$2&lt;&gt;"Não se aplica",SUMIF(TUSD!$G$73:'TUSD'!$G$135,$I$2,TUSD!$BB$73:'TUSD'!$BB$135),IF($F$2&lt;&gt;"Não se aplica",SUMIF(TUSD!$F$73:'TUSD'!$F$135,$I$2,TUSD!$BB$73:'TUSD'!$BB$135),IF($E$2&lt;&gt;"Não se aplica",SUMIF(TUSD!$E$73:'TUSD'!$E$135,$I$2,TUSD!$BB$73:'TUSD'!$BB$135),IF($D$2&lt;&gt;"Não se aplica",SUMIF(TUSD!$D$73:'TUSD'!$D$135,$I$2,TUSD!$BB$73:'TUSD'!$BB$135),IF($C$2&lt;&gt;"Não se aplica",SUMIF(TUSD!$C$73:'TUSD'!$C$135,$I$2,TUSD!$BB$73:'TUSD'!$BB$135),IF($B$2&lt;&gt;"Não se aplica",SUMIF(TUSD!$B$73:'TUSD'!$B$135,$I$2,TUSD!$BB$73:'TUSD'!$BB$135),SUMIF(TUSD!$A$73:'TUSD'!$A$135,$I$2,TUSD!$BB$73:'TUSD'!$BB$135)))))))</f>
        <v>0</v>
      </c>
      <c r="V8" s="57">
        <f>IF($G$2&lt;&gt;"Não se aplica",SUMIF(TUSD!$G$73:'TUSD'!$G$135,$I$2,TUSD!$BC$73:'TUSD'!$BC$135),IF($F$2&lt;&gt;"Não se aplica",SUMIF(TUSD!$F$73:'TUSD'!$F$135,$I$2,TUSD!$BC$73:'TUSD'!$BC$135),IF($E$2&lt;&gt;"Não se aplica",SUMIF(TUSD!$E$73:'TUSD'!$E$135,$I$2,TUSD!$BC$73:'TUSD'!$BC$135),IF($D$2&lt;&gt;"Não se aplica",SUMIF(TUSD!$D$73:'TUSD'!$D$135,$I$2,TUSD!$BC$73:'TUSD'!$BC$135),IF($C$2&lt;&gt;"Não se aplica",SUMIF(TUSD!$C$73:'TUSD'!$C$135,$I$2,TUSD!$BC$73:'TUSD'!$BC$135),IF($B$2&lt;&gt;"Não se aplica",SUMIF(TUSD!$B$73:'TUSD'!$B$135,$I$2,TUSD!$BC$73:'TUSD'!$BC$135),SUMIF(TUSD!$A$73:'TUSD'!$A$135,$I$2,TUSD!$BC$73:'TUSD'!$BC$135)))))))</f>
        <v>0</v>
      </c>
      <c r="W8" s="57">
        <f>IF($G$2&lt;&gt;"Não se aplica",SUMIF(TUSD!$G$73:'TUSD'!$G$135,$I$2,TUSD!$BD$73:'TUSD'!$BD$135),IF($F$2&lt;&gt;"Não se aplica",SUMIF(TUSD!$F$73:'TUSD'!$F$135,$I$2,TUSD!$BD$73:'TUSD'!$BD$135),IF($E$2&lt;&gt;"Não se aplica",SUMIF(TUSD!$E$73:'TUSD'!$E$135,$I$2,TUSD!$BD$73:'TUSD'!$BD$135),IF($D$2&lt;&gt;"Não se aplica",SUMIF(TUSD!$D$73:'TUSD'!$D$135,$I$2,TUSD!$BD$73:'TUSD'!$BD$135),IF($C$2&lt;&gt;"Não se aplica",SUMIF(TUSD!$C$73:'TUSD'!$C$135,$I$2,TUSD!$BD$73:'TUSD'!$BD$135),IF($B$2&lt;&gt;"Não se aplica",SUMIF(TUSD!$B$73:'TUSD'!$B$135,$I$2,TUSD!$BD$73:'TUSD'!$BD$135),SUMIF(TUSD!$A$73:'TUSD'!$A$135,$I$2,TUSD!$BD$73:'TUSD'!$BD$135)))))))</f>
        <v>0</v>
      </c>
      <c r="X8" s="57">
        <f t="shared" si="0"/>
        <v>6035798.2297241697</v>
      </c>
      <c r="AA8" s="16" t="s">
        <v>37</v>
      </c>
      <c r="AD8" s="16" t="s">
        <v>94</v>
      </c>
      <c r="AG8" s="16" t="s">
        <v>90</v>
      </c>
    </row>
    <row r="9" spans="1:33" x14ac:dyDescent="0.2">
      <c r="A9" s="16" t="s">
        <v>1333</v>
      </c>
      <c r="B9" s="57">
        <f>IF($G$2&lt;&gt;"Não se aplica",SUMIF(TUSD!$G$73:'TUSD'!$G$135,$I$2,TUSD!$L$73:'TUSD'!$L$135),IF($F$2&lt;&gt;"Não se aplica",SUMIF(TUSD!$F$73:'TUSD'!$F$135,$I$2,TUSD!$L$73:'TUSD'!$L$135),IF($E$2&lt;&gt;"Não se aplica",SUMIF(TUSD!$E$73:'TUSD'!$E$135,$I$2,TUSD!$L$73:'TUSD'!$L$135),IF($D$2&lt;&gt;"Não se aplica",SUMIF(TUSD!$D$73:'TUSD'!$D$135,$I$2,TUSD!$L$73:'TUSD'!$L$135),IF($C$2&lt;&gt;"Não se aplica",SUMIF(TUSD!$C$73:'TUSD'!$C$135,$I$2,TUSD!$L$73:'TUSD'!$L$135),IF($B$2&lt;&gt;"Não se aplica",SUMIF(TUSD!$B$73:'TUSD'!$B$135,$I$2,TUSD!$L$73:'TUSD'!$L$135),SUMIF(TUSD!$A$73:'TUSD'!$A$135,$I$2,TUSD!$L$73:'TUSD'!$L$135)))))))</f>
        <v>0</v>
      </c>
      <c r="C9" s="57">
        <f>IF($G$2&lt;&gt;"Não se aplica",SUMIF(TUSD!$G$73:'TUSD'!$G$135,$I$2,TUSD!$M$73:'TUSD'!$M$135),IF($F$2&lt;&gt;"Não se aplica",SUMIF(TUSD!$F$73:'TUSD'!$F$135,$I$2,TUSD!$M$73:'TUSD'!$M$135),IF($E$2&lt;&gt;"Não se aplica",SUMIF(TUSD!$E$73:'TUSD'!$E$135,$I$2,TUSD!$M$73:'TUSD'!$M$135),IF($D$2&lt;&gt;"Não se aplica",SUMIF(TUSD!$D$73:'TUSD'!$D$135,$I$2,TUSD!$M$73:'TUSD'!$M$135),IF($C$2&lt;&gt;"Não se aplica",SUMIF(TUSD!$C$73:'TUSD'!$C$135,$I$2,TUSD!$M$73:'TUSD'!$M$135),IF($B$2&lt;&gt;"Não se aplica",SUMIF(TUSD!$B$73:'TUSD'!$B$135,$I$2,TUSD!$M$73:'TUSD'!$M$135),SUMIF(TUSD!$A$73:'TUSD'!$A$135,$I$2,TUSD!$M$73:'TUSD'!$M$135)))))))</f>
        <v>0</v>
      </c>
      <c r="D9" s="57">
        <f ca="1">IF($G$2&lt;&gt;"Não se aplica",SUMIF(TUSD!$G$73:'TUSD'!$G$135,$I$2,TUSD!$N$73:'TUSD'!$N$135),IF($F$2&lt;&gt;"Não se aplica",SUMIF(TUSD!$F$73:'TUSD'!$F$135,$I$2,TUSD!$N$73:'TUSD'!$N$135),IF($E$2&lt;&gt;"Não se aplica",SUMIF(TUSD!$E$73:'TUSD'!$E$135,$I$2,TUSD!$N$73:'TUSD'!$N$135),IF($D$2&lt;&gt;"Não se aplica",SUMIF(TUSD!$D$73:'TUSD'!$D$135,$I$2,TUSD!$N$73:'TUSD'!$N$135),IF($C$2&lt;&gt;"Não se aplica",SUMIF(TUSD!$C$73:'TUSD'!$C$135,$I$2,TUSD!$N$73:'TUSD'!$N$135),IF($B$2&lt;&gt;"Não se aplica",SUMIF(TUSD!$B$73:'TUSD'!$B$135,$I$2,TUSD!$N$73:'TUSD'!$N$135),SUMIF(TUSD!$A$73:'TUSD'!$A$135,$I$2,TUSD!$N$73:'TUSD'!$N$135)))))))</f>
        <v>0</v>
      </c>
      <c r="E9" s="57">
        <f>IF($G$2&lt;&gt;"Não se aplica",SUMIF(TUSD!$G$73:'TUSD'!$G$135,$I$2,TUSD!$O$73:'TUSD'!$O$135),IF($F$2&lt;&gt;"Não se aplica",SUMIF(TUSD!$F$73:'TUSD'!$F$135,$I$2,TUSD!$O$73:'TUSD'!$O$135),IF($E$2&lt;&gt;"Não se aplica",SUMIF(TUSD!$E$73:'TUSD'!$E$135,$I$2,TUSD!$O$73:'TUSD'!$O$135),IF($D$2&lt;&gt;"Não se aplica",SUMIF(TUSD!$D$73:'TUSD'!$D$135,$I$2,TUSD!$O$73:'TUSD'!$O$135),IF($C$2&lt;&gt;"Não se aplica",SUMIF(TUSD!$C$73:'TUSD'!$C$135,$I$2,TUSD!$O$73:'TUSD'!$O$135),IF($B$2&lt;&gt;"Não se aplica",SUMIF(TUSD!$B$73:'TUSD'!$B$135,$I$2,TUSD!$O$73:'TUSD'!$O$135),SUMIF(TUSD!$A$73:'TUSD'!$A$135,$I$2,TUSD!$O$73:'TUSD'!$O$135)))))))</f>
        <v>0</v>
      </c>
      <c r="F9" s="57">
        <f>IF($G$2&lt;&gt;"Não se aplica",SUMIF(TUSD!$G$73:'TUSD'!$G$135,$I$2,TUSD!$P$73:'TUSD'!$P$135),IF($F$2&lt;&gt;"Não se aplica",SUMIF(TUSD!$F$73:'TUSD'!$F$135,$I$2,TUSD!$P$73:'TUSD'!$P$135),IF($E$2&lt;&gt;"Não se aplica",SUMIF(TUSD!$E$73:'TUSD'!$E$135,$I$2,TUSD!$P$73:'TUSD'!$P$135),IF($D$2&lt;&gt;"Não se aplica",SUMIF(TUSD!$D$73:'TUSD'!$D$135,$I$2,TUSD!$P$73:'TUSD'!$P$135),IF($C$2&lt;&gt;"Não se aplica",SUMIF(TUSD!$C$73:'TUSD'!$C$135,$I$2,TUSD!$P$73:'TUSD'!$P$135),IF($B$2&lt;&gt;"Não se aplica",SUMIF(TUSD!$B$73:'TUSD'!$B$135,$I$2,TUSD!$P$73:'TUSD'!$P$135),SUMIF(TUSD!$A$73:'TUSD'!$A$135,$I$2,TUSD!$P$73:'TUSD'!$P$135)))))))</f>
        <v>0</v>
      </c>
      <c r="G9" s="57">
        <f>IF($G$2&lt;&gt;"Não se aplica",SUMIF(TUSD!$G$73:'TUSD'!$G$135,$I$2,TUSD!$Q$73:'TUSD'!$Q$135),IF($F$2&lt;&gt;"Não se aplica",SUMIF(TUSD!$F$73:'TUSD'!$F$135,$I$2,TUSD!$Q$73:'TUSD'!$Q$135),IF($E$2&lt;&gt;"Não se aplica",SUMIF(TUSD!$E$73:'TUSD'!$E$135,$I$2,TUSD!$Q$73:'TUSD'!$Q$135),IF($D$2&lt;&gt;"Não se aplica",SUMIF(TUSD!$D$73:'TUSD'!$D$135,$I$2,TUSD!$Q$73:'TUSD'!$Q$135),IF($C$2&lt;&gt;"Não se aplica",SUMIF(TUSD!$C$73:'TUSD'!$C$135,$I$2,TUSD!$Q$73:'TUSD'!$Q$135),IF($B$2&lt;&gt;"Não se aplica",SUMIF(TUSD!$B$73:'TUSD'!$B$135,$I$2,TUSD!$Q$73:'TUSD'!$Q$135),SUMIF(TUSD!$A$73:'TUSD'!$A$135,$I$2,TUSD!$Q$73:'TUSD'!$Q$135)))))))</f>
        <v>0</v>
      </c>
      <c r="H9" s="57">
        <f>IF($G$2&lt;&gt;"Não se aplica",SUMIF(TUSD!$G$73:'TUSD'!$G$135,$I$2,TUSD!$R$73:'TUSD'!$R$135),IF($F$2&lt;&gt;"Não se aplica",SUMIF(TUSD!$F$73:'TUSD'!$F$135,$I$2,TUSD!$R$73:'TUSD'!$R$135),IF($E$2&lt;&gt;"Não se aplica",SUMIF(TUSD!$E$73:'TUSD'!$E$135,$I$2,TUSD!$R$73:'TUSD'!$R$135),IF($D$2&lt;&gt;"Não se aplica",SUMIF(TUSD!$D$73:'TUSD'!$D$135,$I$2,TUSD!$R$73:'TUSD'!$R$135),IF($C$2&lt;&gt;"Não se aplica",SUMIF(TUSD!$C$73:'TUSD'!$C$135,$I$2,TUSD!$R$73:'TUSD'!$R$135),IF($B$2&lt;&gt;"Não se aplica",SUMIF(TUSD!$B$73:'TUSD'!$B$135,$I$2,TUSD!$R$73:'TUSD'!$R$135),SUMIF(TUSD!$A$73:'TUSD'!$A$135,$I$2,TUSD!$R$73:'TUSD'!$R$135)))))))</f>
        <v>0</v>
      </c>
      <c r="I9" s="57">
        <f>IF($G$2&lt;&gt;"Não se aplica",SUMIF(TUSD!$G$73:'TUSD'!$G$135,$I$2,TUSD!$S$73:'TUSD'!$S$135),IF($F$2&lt;&gt;"Não se aplica",SUMIF(TUSD!$F$73:'TUSD'!$F$135,$I$2,TUSD!$S$73:'TUSD'!$S$135),IF($E$2&lt;&gt;"Não se aplica",SUMIF(TUSD!$E$73:'TUSD'!$E$135,$I$2,TUSD!$S$73:'TUSD'!$S$135),IF($D$2&lt;&gt;"Não se aplica",SUMIF(TUSD!$D$73:'TUSD'!$D$135,$I$2,TUSD!$S$73:'TUSD'!$S$135),IF($C$2&lt;&gt;"Não se aplica",SUMIF(TUSD!$C$73:'TUSD'!$C$135,$I$2,TUSD!$S$73:'TUSD'!$S$135),IF($B$2&lt;&gt;"Não se aplica",SUMIF(TUSD!$B$73:'TUSD'!$B$135,$I$2,TUSD!$S$73:'TUSD'!$S$135),SUMIF(TUSD!$A$73:'TUSD'!$A$135,$I$2,TUSD!$S$73:'TUSD'!$S$135)))))))</f>
        <v>0</v>
      </c>
      <c r="J9" s="57">
        <f>IF($G$2&lt;&gt;"Não se aplica",SUMIF(TUSD!$G$73:'TUSD'!$G$135,$I$2,TUSD!$T$73:'TUSD'!$T$135),IF($F$2&lt;&gt;"Não se aplica",SUMIF(TUSD!$F$73:'TUSD'!$F$135,$I$2,TUSD!$T$73:'TUSD'!$T$135),IF($E$2&lt;&gt;"Não se aplica",SUMIF(TUSD!$E$73:'TUSD'!$E$135,$I$2,TUSD!$T$73:'TUSD'!$T$135),IF($D$2&lt;&gt;"Não se aplica",SUMIF(TUSD!$D$73:'TUSD'!$D$135,$I$2,TUSD!$T$73:'TUSD'!$T$135),IF($C$2&lt;&gt;"Não se aplica",SUMIF(TUSD!$C$73:'TUSD'!$C$135,$I$2,TUSD!$T$73:'TUSD'!$T$135),IF($B$2&lt;&gt;"Não se aplica",SUMIF(TUSD!$B$73:'TUSD'!$B$135,$I$2,TUSD!$T$73:'TUSD'!$T$135),SUMIF(TUSD!$A$73:'TUSD'!$A$135,$I$2,TUSD!$T$73:'TUSD'!$T$135)))))))</f>
        <v>0</v>
      </c>
      <c r="K9" s="57">
        <f>IF($G$2&lt;&gt;"Não se aplica",SUMIF(TUSD!$G$73:'TUSD'!$G$135,$I$2,TUSD!$U$73:'TUSD'!$U$135),IF($F$2&lt;&gt;"Não se aplica",SUMIF(TUSD!$F$73:'TUSD'!$F$135,$I$2,TUSD!$U$73:'TUSD'!$U$135),IF($E$2&lt;&gt;"Não se aplica",SUMIF(TUSD!$E$73:'TUSD'!$E$135,$I$2,TUSD!$U$73:'TUSD'!$U$135),IF($D$2&lt;&gt;"Não se aplica",SUMIF(TUSD!$D$73:'TUSD'!$D$135,$I$2,TUSD!$U$73:'TUSD'!$U$135),IF($C$2&lt;&gt;"Não se aplica",SUMIF(TUSD!$C$73:'TUSD'!$C$135,$I$2,TUSD!$U$73:'TUSD'!$U$135),IF($B$2&lt;&gt;"Não se aplica",SUMIF(TUSD!$B$73:'TUSD'!$B$135,$I$2,TUSD!$U$73:'TUSD'!$U$135),SUMIF(TUSD!$A$73:'TUSD'!$A$135,$I$2,TUSD!$U$73:'TUSD'!$U$135)))))))</f>
        <v>0</v>
      </c>
      <c r="L9" s="57">
        <f>IF($G$2&lt;&gt;"Não se aplica",SUMIF(TUSD!$G$73:'TUSD'!$G$135,$I$2,TUSD!$V$73:'TUSD'!$V$135),IF($F$2&lt;&gt;"Não se aplica",SUMIF(TUSD!$F$73:'TUSD'!$F$135,$I$2,TUSD!$V$73:'TUSD'!$V$135),IF($E$2&lt;&gt;"Não se aplica",SUMIF(TUSD!$E$73:'TUSD'!$E$135,$I$2,TUSD!$V$73:'TUSD'!$V$135),IF($D$2&lt;&gt;"Não se aplica",SUMIF(TUSD!$D$73:'TUSD'!$D$135,$I$2,TUSD!$V$73:'TUSD'!$V$135),IF($C$2&lt;&gt;"Não se aplica",SUMIF(TUSD!$C$73:'TUSD'!$C$135,$I$2,TUSD!$V$73:'TUSD'!$V$135),IF($B$2&lt;&gt;"Não se aplica",SUMIF(TUSD!$B$73:'TUSD'!$B$135,$I$2,TUSD!$V$73:'TUSD'!$V$135),SUMIF(TUSD!$A$73:'TUSD'!$A$135,$I$2,TUSD!$V$73:'TUSD'!$V$135)))))))</f>
        <v>0</v>
      </c>
      <c r="M9" s="57">
        <f>IF($G$2&lt;&gt;"Não se aplica",SUMIF(TUSD!$G$73:'TUSD'!$G$135,$I$2,TUSD!$W$73:'TUSD'!$W$135),IF($F$2&lt;&gt;"Não se aplica",SUMIF(TUSD!$F$73:'TUSD'!$F$135,$I$2,TUSD!$W$73:'TUSD'!$W$135),IF($E$2&lt;&gt;"Não se aplica",SUMIF(TUSD!$E$73:'TUSD'!$E$135,$I$2,TUSD!$W$73:'TUSD'!$W$135),IF($D$2&lt;&gt;"Não se aplica",SUMIF(TUSD!$D$73:'TUSD'!$D$135,$I$2,TUSD!$W$73:'TUSD'!$W$135),IF($C$2&lt;&gt;"Não se aplica",SUMIF(TUSD!$C$73:'TUSD'!$C$135,$I$2,TUSD!$W$73:'TUSD'!$W$135),IF($B$2&lt;&gt;"Não se aplica",SUMIF(TUSD!$B$73:'TUSD'!$B$135,$I$2,TUSD!$W$73:'TUSD'!$W$135),SUMIF(TUSD!$A$73:'TUSD'!$A$135,$I$2,TUSD!$W$73:'TUSD'!$W$135)))))))</f>
        <v>0</v>
      </c>
      <c r="N9" s="57">
        <f>IF($G$2&lt;&gt;"Não se aplica",SUMIF(TUSD!$G$73:'TUSD'!$G$135,$I$2,TUSD!$X$73:'TUSD'!$X$135),IF($F$2&lt;&gt;"Não se aplica",SUMIF(TUSD!$F$73:'TUSD'!$F$135,$I$2,TUSD!$X$73:'TUSD'!$X$135),IF($E$2&lt;&gt;"Não se aplica",SUMIF(TUSD!$E$73:'TUSD'!$E$135,$I$2,TUSD!$X$73:'TUSD'!$X$135),IF($D$2&lt;&gt;"Não se aplica",SUMIF(TUSD!$D$73:'TUSD'!$D$135,$I$2,TUSD!$X$73:'TUSD'!$X$135),IF($C$2&lt;&gt;"Não se aplica",SUMIF(TUSD!$C$73:'TUSD'!$C$135,$I$2,TUSD!$X$73:'TUSD'!$X$135),IF($B$2&lt;&gt;"Não se aplica",SUMIF(TUSD!$B$73:'TUSD'!$B$135,$I$2,TUSD!$X$73:'TUSD'!$X$135),SUMIF(TUSD!$A$73:'TUSD'!$A$135,$I$2,TUSD!$X$73:'TUSD'!$X$135)))))))</f>
        <v>0</v>
      </c>
      <c r="O9" s="57">
        <f>IF($G$2&lt;&gt;"Não se aplica",SUMIF(TUSD!$G$73:'TUSD'!$G$135,$I$2,TUSD!$Y$73:'TUSD'!$Y$135),IF($F$2&lt;&gt;"Não se aplica",SUMIF(TUSD!$F$73:'TUSD'!$F$135,$I$2,TUSD!$Y$73:'TUSD'!$Y$135),IF($E$2&lt;&gt;"Não se aplica",SUMIF(TUSD!$E$73:'TUSD'!$E$135,$I$2,TUSD!$Y$73:'TUSD'!$Y$135),IF($D$2&lt;&gt;"Não se aplica",SUMIF(TUSD!$D$73:'TUSD'!$D$135,$I$2,TUSD!$Y$73:'TUSD'!$Y$135),IF($C$2&lt;&gt;"Não se aplica",SUMIF(TUSD!$C$73:'TUSD'!$C$135,$I$2,TUSD!$Y$73:'TUSD'!$Y$135),IF($B$2&lt;&gt;"Não se aplica",SUMIF(TUSD!$B$73:'TUSD'!$B$135,$I$2,TUSD!$Y$73:'TUSD'!$Y$135),SUMIF(TUSD!$A$73:'TUSD'!$A$135,$I$2,TUSD!$Y$73:'TUSD'!$Y$135)))))))</f>
        <v>0</v>
      </c>
      <c r="P9" s="57">
        <f>IF($G$2&lt;&gt;"Não se aplica",SUMIF(TUSD!$G$73:'TUSD'!$G$135,$I$2,TUSD!$Z$73:'TUSD'!$Z$135),IF($F$2&lt;&gt;"Não se aplica",SUMIF(TUSD!$F$73:'TUSD'!$F$135,$I$2,TUSD!$Z$73:'TUSD'!$Z$135),IF($E$2&lt;&gt;"Não se aplica",SUMIF(TUSD!$E$73:'TUSD'!$E$135,$I$2,TUSD!$Z$73:'TUSD'!$Z$135),IF($D$2&lt;&gt;"Não se aplica",SUMIF(TUSD!$D$73:'TUSD'!$D$135,$I$2,TUSD!$Z$73:'TUSD'!$Z$135),IF($C$2&lt;&gt;"Não se aplica",SUMIF(TUSD!$C$73:'TUSD'!$C$135,$I$2,TUSD!$Z$73:'TUSD'!$Z$135),IF($B$2&lt;&gt;"Não se aplica",SUMIF(TUSD!$B$73:'TUSD'!$B$135,$I$2,TUSD!$Z$73:'TUSD'!$Z$135),SUMIF(TUSD!$A$73:'TUSD'!$A$135,$I$2,TUSD!$Z$73:'TUSD'!$Z$135)))))))</f>
        <v>138701.27708333469</v>
      </c>
      <c r="Q9" s="57">
        <f>IF($G$2&lt;&gt;"Não se aplica",SUMIF(TUSD!$G$73:'TUSD'!$G$135,$I$2,TUSD!$AA$73:'TUSD'!$AA$135),IF($F$2&lt;&gt;"Não se aplica",SUMIF(TUSD!$F$73:'TUSD'!$F$135,$I$2,TUSD!$AA$73:'TUSD'!$AA$135),IF($E$2&lt;&gt;"Não se aplica",SUMIF(TUSD!$E$73:'TUSD'!$E$135,$I$2,TUSD!$AA$73:'TUSD'!$AA$135),IF($D$2&lt;&gt;"Não se aplica",SUMIF(TUSD!$D$73:'TUSD'!$D$135,$I$2,TUSD!$AA$73:'TUSD'!$AA$135),IF($C$2&lt;&gt;"Não se aplica",SUMIF(TUSD!$C$73:'TUSD'!$C$135,$I$2,TUSD!$AA$73:'TUSD'!$AA$135),IF($B$2&lt;&gt;"Não se aplica",SUMIF(TUSD!$B$73:'TUSD'!$B$135,$I$2,TUSD!$AA$73:'TUSD'!$AA$135),SUMIF(TUSD!$A$73:'TUSD'!$A$135,$I$2,TUSD!$AA$73:'TUSD'!$AA$135)))))))</f>
        <v>6324661.3003150625</v>
      </c>
      <c r="R9" s="57">
        <f ca="1">IF($G$2&lt;&gt;"Não se aplica",SUMIF(TUSD!$G$73:'TUSD'!$G$135,$I$2,TUSD!$AB$73:'TUSD'!$AB$135),IF($F$2&lt;&gt;"Não se aplica",SUMIF(TUSD!$F$73:'TUSD'!$F$135,$I$2,TUSD!$AB$73:'TUSD'!$AB$135),IF($E$2&lt;&gt;"Não se aplica",SUMIF(TUSD!$E$73:'TUSD'!$E$135,$I$2,TUSD!$AB$73:'TUSD'!$AB$135),IF($D$2&lt;&gt;"Não se aplica",SUMIF(TUSD!$D$73:'TUSD'!$D$135,$I$2,TUSD!$AB$73:'TUSD'!$AB$135),IF($C$2&lt;&gt;"Não se aplica",SUMIF(TUSD!$C$73:'TUSD'!$C$135,$I$2,TUSD!$AB$73:'TUSD'!$AB$135),IF($B$2&lt;&gt;"Não se aplica",SUMIF(TUSD!$B$73:'TUSD'!$B$135,$I$2,TUSD!$AB$73:'TUSD'!$AB$135),SUMIF(TUSD!$A$73:'TUSD'!$A$135,$I$2,TUSD!$AB$73:'TUSD'!$AB$135)))))))</f>
        <v>-427770.16830356274</v>
      </c>
      <c r="S9" s="57">
        <f ca="1">IF($G$2&lt;&gt;"Não se aplica",SUMIF(TUSD!$G$73:'TUSD'!$G$135,$I$2,TUSD!$AC$73:'TUSD'!$AC$135),IF($F$2&lt;&gt;"Não se aplica",SUMIF(TUSD!$F$73:'TUSD'!$F$135,$I$2,TUSD!$AC$73:'TUSD'!$AC$135),IF($E$2&lt;&gt;"Não se aplica",SUMIF(TUSD!$E$73:'TUSD'!$E$135,$I$2,TUSD!$AC$73:'TUSD'!$AC$135),IF($D$2&lt;&gt;"Não se aplica",SUMIF(TUSD!$D$73:'TUSD'!$D$135,$I$2,TUSD!$AC$73:'TUSD'!$AC$135),IF($C$2&lt;&gt;"Não se aplica",SUMIF(TUSD!$C$73:'TUSD'!$C$135,$I$2,TUSD!$AC$73:'TUSD'!$AC$135),IF($B$2&lt;&gt;"Não se aplica",SUMIF(TUSD!$B$73:'TUSD'!$B$135,$I$2,TUSD!$AC$73:'TUSD'!$AC$135),SUMIF(TUSD!$A$73:'TUSD'!$A$135,$I$2,TUSD!$AC$73:'TUSD'!$AC$135)))))))</f>
        <v>0</v>
      </c>
      <c r="T9" s="57">
        <f>IF($G$2&lt;&gt;"Não se aplica",SUMIF(TUSD!$G$73:'TUSD'!$G$135,$I$2,TUSD!$AD$73:'TUSD'!$AD$135),IF($F$2&lt;&gt;"Não se aplica",SUMIF(TUSD!$F$73:'TUSD'!$F$135,$I$2,TUSD!$AD$73:'TUSD'!$AD$135),IF($E$2&lt;&gt;"Não se aplica",SUMIF(TUSD!$E$73:'TUSD'!$E$135,$I$2,TUSD!$AD$73:'TUSD'!$AD$135),IF($D$2&lt;&gt;"Não se aplica",SUMIF(TUSD!$D$73:'TUSD'!$D$135,$I$2,TUSD!$AD$73:'TUSD'!$AD$135),IF($C$2&lt;&gt;"Não se aplica",SUMIF(TUSD!$C$73:'TUSD'!$C$135,$I$2,TUSD!$AD$73:'TUSD'!$AD$135),IF($B$2&lt;&gt;"Não se aplica",SUMIF(TUSD!$B$73:'TUSD'!$B$135,$I$2,TUSD!$AD$73:'TUSD'!$AD$135),SUMIF(TUSD!$A$73:'TUSD'!$A$135,$I$2,TUSD!$AD$73:'TUSD'!$AD$135)))))))</f>
        <v>0</v>
      </c>
      <c r="U9" s="57">
        <f>IF($G$2&lt;&gt;"Não se aplica",SUMIF(TUSD!$G$73:'TUSD'!$G$135,$I$2,TUSD!$AE$73:'TUSD'!$AE$135),IF($F$2&lt;&gt;"Não se aplica",SUMIF(TUSD!$F$73:'TUSD'!$F$135,$I$2,TUSD!$AE$73:'TUSD'!$AE$135),IF($E$2&lt;&gt;"Não se aplica",SUMIF(TUSD!$E$73:'TUSD'!$E$135,$I$2,TUSD!$AE$73:'TUSD'!$AE$135),IF($D$2&lt;&gt;"Não se aplica",SUMIF(TUSD!$D$73:'TUSD'!$D$135,$I$2,TUSD!$AE$73:'TUSD'!$AE$135),IF($C$2&lt;&gt;"Não se aplica",SUMIF(TUSD!$C$73:'TUSD'!$C$135,$I$2,TUSD!$AE$73:'TUSD'!$AE$135),IF($B$2&lt;&gt;"Não se aplica",SUMIF(TUSD!$B$73:'TUSD'!$B$135,$I$2,TUSD!$AE$73:'TUSD'!$AE$135),SUMIF(TUSD!$A$73:'TUSD'!$A$135,$I$2,TUSD!$AE$73:'TUSD'!$AE$135)))))))</f>
        <v>0</v>
      </c>
      <c r="V9" s="57">
        <f ca="1">IF($G$2&lt;&gt;"Não se aplica",SUMIF(TUSD!$G$73:'TUSD'!$G$135,$I$2,TUSD!$AF$73:'TUSD'!$AF$135),IF($F$2&lt;&gt;"Não se aplica",SUMIF(TUSD!$F$73:'TUSD'!$F$135,$I$2,TUSD!$AF$73:'TUSD'!$AF$135),IF($E$2&lt;&gt;"Não se aplica",SUMIF(TUSD!$E$73:'TUSD'!$E$135,$I$2,TUSD!$AF$73:'TUSD'!$AF$135),IF($D$2&lt;&gt;"Não se aplica",SUMIF(TUSD!$D$73:'TUSD'!$D$135,$I$2,TUSD!$AF$73:'TUSD'!$AF$135),IF($C$2&lt;&gt;"Não se aplica",SUMIF(TUSD!$C$73:'TUSD'!$C$135,$I$2,TUSD!$AF$73:'TUSD'!$AF$135),IF($B$2&lt;&gt;"Não se aplica",SUMIF(TUSD!$B$73:'TUSD'!$B$135,$I$2,TUSD!$AF$73:'TUSD'!$AF$135),SUMIF(TUSD!$A$73:'TUSD'!$A$135,$I$2,TUSD!$AF$73:'TUSD'!$AF$135)))))))</f>
        <v>0</v>
      </c>
      <c r="W9" s="57">
        <f ca="1">IF($G$2&lt;&gt;"Não se aplica",SUMIF(TUSD!$G$73:'TUSD'!$G$135,$I$2,TUSD!$AG$73:'TUSD'!$AG$135),IF($F$2&lt;&gt;"Não se aplica",SUMIF(TUSD!$F$73:'TUSD'!$F$135,$I$2,TUSD!$AG$73:'TUSD'!$AG$135),IF($E$2&lt;&gt;"Não se aplica",SUMIF(TUSD!$E$73:'TUSD'!$E$135,$I$2,TUSD!$AG$73:'TUSD'!$AG$135),IF($D$2&lt;&gt;"Não se aplica",SUMIF(TUSD!$D$73:'TUSD'!$D$135,$I$2,TUSD!$AG$73:'TUSD'!$AG$135),IF($C$2&lt;&gt;"Não se aplica",SUMIF(TUSD!$C$73:'TUSD'!$C$135,$I$2,TUSD!$AG$73:'TUSD'!$AG$135),IF($B$2&lt;&gt;"Não se aplica",SUMIF(TUSD!$B$73:'TUSD'!$B$135,$I$2,TUSD!$AG$73:'TUSD'!$AG$135),SUMIF(TUSD!$A$73:'TUSD'!$A$135,$I$2,TUSD!$AG$73:'TUSD'!$AG$135)))))))</f>
        <v>0</v>
      </c>
      <c r="X9" s="57">
        <f t="shared" ca="1" si="0"/>
        <v>6035592.4090948347</v>
      </c>
      <c r="AA9" s="16" t="s">
        <v>48</v>
      </c>
      <c r="AD9" s="16" t="s">
        <v>50</v>
      </c>
    </row>
    <row r="10" spans="1:33" x14ac:dyDescent="0.2">
      <c r="A10" s="16" t="s">
        <v>1330</v>
      </c>
      <c r="B10" s="57">
        <f>SUMIF(TUSD!$A$73:'TUSD'!$A$135,$A$2,TUSD!$AI$73:'TUSD'!$AI$135)</f>
        <v>0</v>
      </c>
      <c r="C10" s="57">
        <f>SUMIF(TUSD!$A$73:'TUSD'!$A$135,$A$2,TUSD!$AJ$73:'TUSD'!$AJ$135)</f>
        <v>0</v>
      </c>
      <c r="D10" s="57">
        <f>SUMIF(TUSD!$A$73:'TUSD'!$A$135,$A$2,TUSD!$AK$73:'TUSD'!$AK$135)</f>
        <v>0</v>
      </c>
      <c r="E10" s="57">
        <f>SUMIF(TUSD!$A$73:'TUSD'!$A$135,$A$2,TUSD!$AL$73:'TUSD'!$AL$135)</f>
        <v>0</v>
      </c>
      <c r="F10" s="57">
        <f>SUMIF(TUSD!$A$73:'TUSD'!$A$135,$A$2,TUSD!$AM$73:'TUSD'!$AM$135)</f>
        <v>0</v>
      </c>
      <c r="G10" s="57">
        <f>SUMIF(TUSD!$A$73:'TUSD'!$A$135,$A$2,TUSD!$AN$73:'TUSD'!$AN$135)</f>
        <v>0</v>
      </c>
      <c r="H10" s="57">
        <f>SUMIF(TUSD!$A$73:'TUSD'!$A$135,$A$2,TUSD!$AO$73:'TUSD'!$AO$135)</f>
        <v>0</v>
      </c>
      <c r="I10" s="57">
        <f>SUMIF(TUSD!$A$73:'TUSD'!$A$135,$A$2,TUSD!$AP$73:'TUSD'!$AP$135)</f>
        <v>0</v>
      </c>
      <c r="J10" s="57">
        <f>SUMIF(TUSD!$A$73:'TUSD'!$A$135,$A$2,TUSD!$AQ$73:'TUSD'!$AQ$135)</f>
        <v>0</v>
      </c>
      <c r="K10" s="57">
        <f>SUMIF(TUSD!$A$73:'TUSD'!$A$135,$A$2,TUSD!$AR$73:'TUSD'!$AR$135)</f>
        <v>0</v>
      </c>
      <c r="L10" s="57">
        <f>SUMIF(TUSD!$A$73:'TUSD'!$A$135,$A$2,TUSD!$AS$73:'TUSD'!$AS$135)</f>
        <v>0</v>
      </c>
      <c r="M10" s="57">
        <f>SUMIF(TUSD!$A$73:'TUSD'!$A$135,$A$2,TUSD!$AT$73:'TUSD'!$AT$135)</f>
        <v>0</v>
      </c>
      <c r="N10" s="57">
        <f>SUMIF(TUSD!$A$73:'TUSD'!$A$135,$A$2,TUSD!$AU$73:'TUSD'!$AU$135)</f>
        <v>0</v>
      </c>
      <c r="O10" s="57">
        <f>SUMIF(TUSD!$A$73:'TUSD'!$A$135,$A$2,TUSD!$AV$73:'TUSD'!$AV$135)</f>
        <v>0</v>
      </c>
      <c r="P10" s="57">
        <f>SUMIF(TUSD!$A$73:'TUSD'!$A$135,$A$2,TUSD!$AW$73:'TUSD'!$AW$135)</f>
        <v>138701.27708333501</v>
      </c>
      <c r="Q10" s="57">
        <f>SUMIF(TUSD!$A$73:'TUSD'!$A$135,$A$2,TUSD!$AX$73:'TUSD'!$AX$135)</f>
        <v>6324642.0283179218</v>
      </c>
      <c r="R10" s="57">
        <f>SUMIF(TUSD!$A$73:'TUSD'!$A$135,$A$2,TUSD!$AY$73:'TUSD'!$AY$135)</f>
        <v>-427545.0756770873</v>
      </c>
      <c r="S10" s="57">
        <f>SUMIF(TUSD!$A$73:'TUSD'!$A$135,$A$2,TUSD!$AZ$73:'TUSD'!$AZ$135)</f>
        <v>0</v>
      </c>
      <c r="T10" s="57">
        <f>SUMIF(TUSD!$A$73:'TUSD'!$A$135,$A$2,TUSD!$BA$73:'TUSD'!$BA$135)</f>
        <v>0</v>
      </c>
      <c r="U10" s="57">
        <f>SUMIF(TUSD!$A$73:'TUSD'!$A$135,$A$2,TUSD!$BB$73:'TUSD'!$BB$135)</f>
        <v>0</v>
      </c>
      <c r="V10" s="57">
        <f>SUMIF(TUSD!$A$73:'TUSD'!$A$135,$A$2,TUSD!$BC$73:'TUSD'!$BC$135)</f>
        <v>0</v>
      </c>
      <c r="W10" s="57">
        <f>SUMIF(TUSD!$A$73:'TUSD'!$A$135,$A$2,TUSD!$BD$73:'TUSD'!$BD$135)</f>
        <v>0</v>
      </c>
      <c r="X10" s="57">
        <f t="shared" si="0"/>
        <v>6035798.2297241697</v>
      </c>
      <c r="AD10" s="16" t="s">
        <v>95</v>
      </c>
    </row>
    <row r="11" spans="1:33" x14ac:dyDescent="0.2">
      <c r="A11" s="16" t="s">
        <v>1331</v>
      </c>
      <c r="B11" s="57">
        <f>SUMIF(TUSD!$A$73:'TUSD'!$A$135,$A$2,TUSD!$L$73:'TUSD'!$L$135)</f>
        <v>0</v>
      </c>
      <c r="C11" s="57">
        <f>SUMIF(TUSD!$A$73:'TUSD'!$A$135,$A$2,TUSD!$M$73:'TUSD'!$M$135)</f>
        <v>0</v>
      </c>
      <c r="D11" s="57">
        <f ca="1">SUMIF(TUSD!$A$73:'TUSD'!$A$135,$A$2,TUSD!$N$73:'TUSD'!$N$135)</f>
        <v>0</v>
      </c>
      <c r="E11" s="57">
        <f>SUMIF(TUSD!$A$73:'TUSD'!$A$135,$A$2,TUSD!$O$73:'TUSD'!$O$135)</f>
        <v>0</v>
      </c>
      <c r="F11" s="57">
        <f>SUMIF(TUSD!$A$73:'TUSD'!$A$135,$A$2,TUSD!$P$73:'TUSD'!$P$135)</f>
        <v>0</v>
      </c>
      <c r="G11" s="57">
        <f>SUMIF(TUSD!$A$73:'TUSD'!$A$135,$A$2,TUSD!$Q$73:'TUSD'!$Q$135)</f>
        <v>0</v>
      </c>
      <c r="H11" s="57">
        <f>SUMIF(TUSD!$A$73:'TUSD'!$A$135,$A$2,TUSD!$R$73:'TUSD'!$R$135)</f>
        <v>0</v>
      </c>
      <c r="I11" s="57">
        <f>SUMIF(TUSD!$A$73:'TUSD'!$A$135,$A$2,TUSD!$S$73:'TUSD'!$S$135)</f>
        <v>0</v>
      </c>
      <c r="J11" s="57">
        <f>SUMIF(TUSD!$A$73:'TUSD'!$A$135,$A$2,TUSD!$T$73:'TUSD'!$T$135)</f>
        <v>0</v>
      </c>
      <c r="K11" s="57">
        <f>SUMIF(TUSD!$A$73:'TUSD'!$A$135,$A$2,TUSD!$U$73:'TUSD'!$U$135)</f>
        <v>0</v>
      </c>
      <c r="L11" s="57">
        <f>SUMIF(TUSD!$A$73:'TUSD'!$A$135,$A$2,TUSD!$V$73:'TUSD'!$V$135)</f>
        <v>0</v>
      </c>
      <c r="M11" s="57">
        <f>SUMIF(TUSD!$A$73:'TUSD'!$A$135,$A$2,TUSD!$W$73:'TUSD'!$W$135)</f>
        <v>0</v>
      </c>
      <c r="N11" s="57">
        <f>SUMIF(TUSD!$A$73:'TUSD'!$A$135,$A$2,TUSD!$X$73:'TUSD'!$X$135)</f>
        <v>0</v>
      </c>
      <c r="O11" s="57">
        <f>SUMIF(TUSD!$A$73:'TUSD'!$A$135,$A$2,TUSD!$Y$73:'TUSD'!$Y$135)</f>
        <v>0</v>
      </c>
      <c r="P11" s="57">
        <f>SUMIF(TUSD!$A$73:'TUSD'!$A$135,$A$2,TUSD!$Z$73:'TUSD'!$Z$135)</f>
        <v>138701.27708333469</v>
      </c>
      <c r="Q11" s="57">
        <f>SUMIF(TUSD!$A$73:'TUSD'!$A$135,$A$2,TUSD!$AA$73:'TUSD'!$AA$135)</f>
        <v>6324661.3003150625</v>
      </c>
      <c r="R11" s="57">
        <f ca="1">SUMIF(TUSD!$A$73:'TUSD'!$A$135,$A$2,TUSD!$AB$73:'TUSD'!$AB$135)</f>
        <v>-427770.16830356274</v>
      </c>
      <c r="S11" s="57">
        <f ca="1">SUMIF(TUSD!$A$73:'TUSD'!$A$135,$A$2,TUSD!$AC$73:'TUSD'!$AC$135)</f>
        <v>0</v>
      </c>
      <c r="T11" s="57">
        <f>SUMIF(TUSD!$A$73:'TUSD'!$A$135,$A$2,TUSD!$AD$73:'TUSD'!$AD$135)</f>
        <v>0</v>
      </c>
      <c r="U11" s="57">
        <f>SUMIF(TUSD!$A$73:'TUSD'!$A$135,$A$2,TUSD!$AE$73:'TUSD'!$AE$135)</f>
        <v>0</v>
      </c>
      <c r="V11" s="57">
        <f ca="1">SUMIF(TUSD!$A$73:'TUSD'!$A$135,$A$2,TUSD!$AF$73:'TUSD'!$AF$135)</f>
        <v>0</v>
      </c>
      <c r="W11" s="57">
        <f ca="1">SUMIF(TUSD!$A$73:'TUSD'!$A$135,$A$2,TUSD!$AG$73:'TUSD'!$AG$135)</f>
        <v>0</v>
      </c>
      <c r="X11" s="57">
        <f t="shared" ca="1" si="0"/>
        <v>6035592.4090948347</v>
      </c>
    </row>
    <row r="13" spans="1:33" x14ac:dyDescent="0.2">
      <c r="A13" s="16" t="s">
        <v>1335</v>
      </c>
      <c r="B13" s="79">
        <f t="shared" ref="B13:X13" si="1">IF($X$6&lt;&gt;0,(B$7-B$6)/$X$6,0)</f>
        <v>3.0609342268368856E-17</v>
      </c>
      <c r="C13" s="79">
        <f t="shared" si="1"/>
        <v>-1.6515166178302524E-6</v>
      </c>
      <c r="D13" s="79">
        <f t="shared" ca="1" si="1"/>
        <v>-6.1265201204691231E-6</v>
      </c>
      <c r="E13" s="79">
        <f t="shared" si="1"/>
        <v>0</v>
      </c>
      <c r="F13" s="79">
        <f t="shared" si="1"/>
        <v>0</v>
      </c>
      <c r="G13" s="79">
        <f t="shared" si="1"/>
        <v>-1.5304671134184428E-17</v>
      </c>
      <c r="H13" s="79">
        <f t="shared" si="1"/>
        <v>-2.2957006701276645E-17</v>
      </c>
      <c r="I13" s="79">
        <f t="shared" si="1"/>
        <v>0</v>
      </c>
      <c r="J13" s="79">
        <f t="shared" si="1"/>
        <v>-3.0609342268368856E-17</v>
      </c>
      <c r="K13" s="79">
        <f t="shared" si="1"/>
        <v>3.8261677835461071E-18</v>
      </c>
      <c r="L13" s="79">
        <f t="shared" si="1"/>
        <v>-3.7779991916672333E-7</v>
      </c>
      <c r="M13" s="79">
        <f t="shared" si="1"/>
        <v>0</v>
      </c>
      <c r="N13" s="79">
        <f t="shared" si="1"/>
        <v>0</v>
      </c>
      <c r="O13" s="79">
        <f t="shared" si="1"/>
        <v>0</v>
      </c>
      <c r="P13" s="79">
        <f t="shared" si="1"/>
        <v>-6.576225877969872E-19</v>
      </c>
      <c r="Q13" s="79">
        <f t="shared" si="1"/>
        <v>-4.9775698239941455E-4</v>
      </c>
      <c r="R13" s="79">
        <f t="shared" ca="1" si="1"/>
        <v>4.1271517185544623E-6</v>
      </c>
      <c r="S13" s="79">
        <f t="shared" ca="1" si="1"/>
        <v>0</v>
      </c>
      <c r="T13" s="79">
        <f t="shared" si="1"/>
        <v>-3.3741179658500453E-5</v>
      </c>
      <c r="U13" s="79">
        <f t="shared" si="1"/>
        <v>-2.7281273858456119E-6</v>
      </c>
      <c r="V13" s="79">
        <f t="shared" ca="1" si="1"/>
        <v>-6.4279763504900063E-5</v>
      </c>
      <c r="W13" s="79">
        <f t="shared" ca="1" si="1"/>
        <v>-1.4384472695003341E-5</v>
      </c>
      <c r="X13" s="79">
        <f t="shared" ca="1" si="1"/>
        <v>-6.169192105828907E-4</v>
      </c>
    </row>
    <row r="14" spans="1:33" x14ac:dyDescent="0.2">
      <c r="A14" s="16" t="s">
        <v>1336</v>
      </c>
      <c r="B14" s="79">
        <f t="shared" ref="B14:X14" si="2">IF($X$10&lt;&gt;0,(B$9-B$8)/$X$10,0)</f>
        <v>0</v>
      </c>
      <c r="C14" s="79">
        <f t="shared" si="2"/>
        <v>0</v>
      </c>
      <c r="D14" s="79">
        <f t="shared" ca="1" si="2"/>
        <v>0</v>
      </c>
      <c r="E14" s="79">
        <f t="shared" si="2"/>
        <v>0</v>
      </c>
      <c r="F14" s="79">
        <f t="shared" si="2"/>
        <v>0</v>
      </c>
      <c r="G14" s="79">
        <f t="shared" si="2"/>
        <v>0</v>
      </c>
      <c r="H14" s="79">
        <f t="shared" si="2"/>
        <v>0</v>
      </c>
      <c r="I14" s="79">
        <f t="shared" si="2"/>
        <v>0</v>
      </c>
      <c r="J14" s="79">
        <f t="shared" si="2"/>
        <v>0</v>
      </c>
      <c r="K14" s="79">
        <f t="shared" si="2"/>
        <v>0</v>
      </c>
      <c r="L14" s="79">
        <f t="shared" si="2"/>
        <v>0</v>
      </c>
      <c r="M14" s="79">
        <f t="shared" si="2"/>
        <v>0</v>
      </c>
      <c r="N14" s="79">
        <f t="shared" si="2"/>
        <v>0</v>
      </c>
      <c r="O14" s="79">
        <f t="shared" si="2"/>
        <v>0</v>
      </c>
      <c r="P14" s="79">
        <f t="shared" si="2"/>
        <v>-5.3040562795403608E-17</v>
      </c>
      <c r="Q14" s="79">
        <f t="shared" si="2"/>
        <v>3.192949201948588E-6</v>
      </c>
      <c r="R14" s="79">
        <f t="shared" ca="1" si="2"/>
        <v>-3.7292934241396024E-5</v>
      </c>
      <c r="S14" s="79">
        <f t="shared" ca="1" si="2"/>
        <v>0</v>
      </c>
      <c r="T14" s="79">
        <f t="shared" si="2"/>
        <v>0</v>
      </c>
      <c r="U14" s="79">
        <f t="shared" si="2"/>
        <v>0</v>
      </c>
      <c r="V14" s="79">
        <f t="shared" ca="1" si="2"/>
        <v>0</v>
      </c>
      <c r="W14" s="79">
        <f t="shared" ca="1" si="2"/>
        <v>0</v>
      </c>
      <c r="X14" s="79">
        <f t="shared" ca="1" si="2"/>
        <v>-3.4099985039495657E-5</v>
      </c>
    </row>
    <row r="15" spans="1:33" x14ac:dyDescent="0.2">
      <c r="A15" s="16" t="s">
        <v>1337</v>
      </c>
      <c r="B15" s="79">
        <f t="shared" ref="B15:X15" si="3">IF($X$8&lt;&gt;0,(B$9-B$8)/$X$8,0)</f>
        <v>0</v>
      </c>
      <c r="C15" s="79">
        <f t="shared" si="3"/>
        <v>0</v>
      </c>
      <c r="D15" s="79">
        <f t="shared" ca="1" si="3"/>
        <v>0</v>
      </c>
      <c r="E15" s="79">
        <f t="shared" si="3"/>
        <v>0</v>
      </c>
      <c r="F15" s="79">
        <f t="shared" si="3"/>
        <v>0</v>
      </c>
      <c r="G15" s="79">
        <f t="shared" si="3"/>
        <v>0</v>
      </c>
      <c r="H15" s="79">
        <f t="shared" si="3"/>
        <v>0</v>
      </c>
      <c r="I15" s="79">
        <f t="shared" si="3"/>
        <v>0</v>
      </c>
      <c r="J15" s="79">
        <f t="shared" si="3"/>
        <v>0</v>
      </c>
      <c r="K15" s="79">
        <f t="shared" si="3"/>
        <v>0</v>
      </c>
      <c r="L15" s="79">
        <f t="shared" si="3"/>
        <v>0</v>
      </c>
      <c r="M15" s="79">
        <f t="shared" si="3"/>
        <v>0</v>
      </c>
      <c r="N15" s="79">
        <f t="shared" si="3"/>
        <v>0</v>
      </c>
      <c r="O15" s="79">
        <f t="shared" si="3"/>
        <v>0</v>
      </c>
      <c r="P15" s="79">
        <f t="shared" si="3"/>
        <v>-5.3040562795403608E-17</v>
      </c>
      <c r="Q15" s="79">
        <f t="shared" si="3"/>
        <v>3.192949201948588E-6</v>
      </c>
      <c r="R15" s="79">
        <f t="shared" ca="1" si="3"/>
        <v>-3.7292934241396024E-5</v>
      </c>
      <c r="S15" s="79">
        <f t="shared" ca="1" si="3"/>
        <v>0</v>
      </c>
      <c r="T15" s="79">
        <f t="shared" si="3"/>
        <v>0</v>
      </c>
      <c r="U15" s="79">
        <f t="shared" si="3"/>
        <v>0</v>
      </c>
      <c r="V15" s="79">
        <f t="shared" ca="1" si="3"/>
        <v>0</v>
      </c>
      <c r="W15" s="79">
        <f t="shared" ca="1" si="3"/>
        <v>0</v>
      </c>
      <c r="X15" s="79">
        <f t="shared" ca="1" si="3"/>
        <v>-3.4099985039495657E-5</v>
      </c>
    </row>
  </sheetData>
  <dataValidations count="6">
    <dataValidation type="list" allowBlank="1" showInputMessage="1" showErrorMessage="1" error="Deve-se selecionar grupo válido" sqref="A2" xr:uid="{BC80A061-79B1-4DFA-84B8-3F79F955D571}">
      <formula1>AA1:AA9</formula1>
    </dataValidation>
    <dataValidation type="list" allowBlank="1" showInputMessage="1" showErrorMessage="1" error="Deve-se selecionar grupo válido" sqref="B2" xr:uid="{064CFC04-DA71-4203-A3D5-C5D83043B2A8}">
      <formula1>AB1:AB7</formula1>
    </dataValidation>
    <dataValidation type="list" allowBlank="1" showInputMessage="1" showErrorMessage="1" error="Deve-se selecionar grupo válido" sqref="C2 E2" xr:uid="{D754E9B9-77DD-4D9B-9318-5924477CF7CA}">
      <formula1>AC1:AC4</formula1>
    </dataValidation>
    <dataValidation type="list" allowBlank="1" showInputMessage="1" showErrorMessage="1" error="Deve-se selecionar grupo válido" sqref="D2" xr:uid="{A48D8E62-6263-46C0-A856-F11729C72FA9}">
      <formula1>AD1:AD10</formula1>
    </dataValidation>
    <dataValidation type="list" allowBlank="1" showInputMessage="1" showErrorMessage="1" error="Deve-se selecionar grupo válido" sqref="F2" xr:uid="{6ADE9AA4-4330-4840-BE15-B7CE3354FE0A}">
      <formula1>AF1:AF3</formula1>
    </dataValidation>
    <dataValidation type="list" allowBlank="1" showInputMessage="1" showErrorMessage="1" error="Deve-se selecionar grupo válido" sqref="G2" xr:uid="{25BF967F-B740-4CE0-81FE-1DD468E14A1E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4B649-1349-4BAE-A03C-6FF1D78407E4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3" width="10.85546875" style="16" bestFit="1" customWidth="1"/>
    <col min="4" max="4" width="10.28515625" style="16" bestFit="1" customWidth="1"/>
    <col min="5" max="5" width="10.85546875" style="16" bestFit="1" customWidth="1"/>
    <col min="6" max="6" width="11.42578125" style="16" bestFit="1" customWidth="1"/>
    <col min="7" max="7" width="14.85546875" style="16" bestFit="1" customWidth="1"/>
    <col min="8" max="8" width="6" style="16" bestFit="1" customWidth="1"/>
    <col min="9" max="9" width="9.5703125" style="16" bestFit="1" customWidth="1"/>
    <col min="10" max="10" width="6.42578125" style="16" bestFit="1" customWidth="1"/>
    <col min="11" max="11" width="11.42578125" style="16" bestFit="1" customWidth="1"/>
    <col min="12" max="12" width="10.7109375" style="16" bestFit="1" customWidth="1"/>
    <col min="13" max="13" width="11.7109375" style="16" bestFit="1" customWidth="1"/>
    <col min="14" max="26" width="9.140625" style="16"/>
    <col min="27" max="27" width="3.85546875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67</v>
      </c>
      <c r="B1" s="16" t="s">
        <v>68</v>
      </c>
      <c r="C1" s="16" t="s">
        <v>69</v>
      </c>
      <c r="D1" s="16" t="s">
        <v>70</v>
      </c>
      <c r="E1" s="16" t="s">
        <v>71</v>
      </c>
      <c r="F1" s="16" t="s">
        <v>15</v>
      </c>
      <c r="G1" s="16" t="s">
        <v>73</v>
      </c>
      <c r="I1" s="16" t="s">
        <v>1334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6" t="s">
        <v>42</v>
      </c>
      <c r="AB2" s="16" t="s">
        <v>78</v>
      </c>
      <c r="AC2" s="16" t="s">
        <v>24</v>
      </c>
      <c r="AD2" s="16" t="s">
        <v>24</v>
      </c>
      <c r="AG2" s="16" t="s">
        <v>80</v>
      </c>
    </row>
    <row r="3" spans="1:33" x14ac:dyDescent="0.2">
      <c r="AA3" s="16" t="s">
        <v>41</v>
      </c>
      <c r="AB3" s="16" t="s">
        <v>86</v>
      </c>
      <c r="AC3" s="16" t="s">
        <v>46</v>
      </c>
      <c r="AD3" s="16" t="s">
        <v>29</v>
      </c>
      <c r="AG3" s="16" t="s">
        <v>81</v>
      </c>
    </row>
    <row r="4" spans="1:33" x14ac:dyDescent="0.2">
      <c r="AA4" s="16" t="s">
        <v>22</v>
      </c>
      <c r="AB4" s="16" t="s">
        <v>91</v>
      </c>
      <c r="AC4" s="16" t="s">
        <v>49</v>
      </c>
      <c r="AD4" s="16" t="s">
        <v>30</v>
      </c>
      <c r="AG4" s="16" t="s">
        <v>84</v>
      </c>
    </row>
    <row r="5" spans="1:33" x14ac:dyDescent="0.2">
      <c r="A5" s="16" t="s">
        <v>1327</v>
      </c>
      <c r="B5" s="16" t="str">
        <f>TE!$X$4</f>
        <v>P&amp;D</v>
      </c>
      <c r="C5" s="16" t="str">
        <f>TE!$Y$4</f>
        <v>ESS/ERR</v>
      </c>
      <c r="D5" s="16" t="str">
        <f>TE!$Z$4</f>
        <v>CFURH</v>
      </c>
      <c r="E5" s="16" t="str">
        <f>TE!$AA$4</f>
        <v>CDE Covid TE</v>
      </c>
      <c r="F5" s="16" t="str">
        <f>TE!$AB$4</f>
        <v>CDE ELET</v>
      </c>
      <c r="G5" s="16" t="str">
        <f>TE!$AC$4</f>
        <v>ENERGIA REVENDA</v>
      </c>
      <c r="H5" s="16" t="str">
        <f>TE!$AD$4</f>
        <v>ITAIPU</v>
      </c>
      <c r="I5" s="16" t="str">
        <f>TE!$AE$4</f>
        <v>TUST ITAIPU</v>
      </c>
      <c r="J5" s="16" t="str">
        <f>TE!$AF$4</f>
        <v>TUST CI</v>
      </c>
      <c r="K5" s="16" t="str">
        <f>TE!$AG$4</f>
        <v>SUBSIDIO</v>
      </c>
      <c r="L5" s="16" t="str">
        <f>TE!$AH$4</f>
        <v>PERDAS RB/C</v>
      </c>
      <c r="M5" s="16" t="s">
        <v>682</v>
      </c>
      <c r="AA5" s="16" t="s">
        <v>45</v>
      </c>
      <c r="AD5" s="16" t="s">
        <v>31</v>
      </c>
      <c r="AG5" s="16" t="s">
        <v>90</v>
      </c>
    </row>
    <row r="6" spans="1:33" x14ac:dyDescent="0.2">
      <c r="A6" s="16" t="s">
        <v>1328</v>
      </c>
      <c r="B6" s="57">
        <f>SUM(TE!$X$53:'TE'!$X$95)</f>
        <v>2385477.5127500067</v>
      </c>
      <c r="C6" s="57">
        <f>SUM(TE!$Y$53:'TE'!$Y$95)</f>
        <v>70475380.229351476</v>
      </c>
      <c r="D6" s="57">
        <f>SUM(TE!$Z$53:'TE'!$Z$95)</f>
        <v>0</v>
      </c>
      <c r="E6" s="57">
        <f>SUM(TE!$AA$53:'TE'!$AA$95)</f>
        <v>0</v>
      </c>
      <c r="F6" s="57">
        <f>SUM(TE!$AB$53:'TE'!$AB$95)</f>
        <v>-17691755.033827517</v>
      </c>
      <c r="G6" s="57">
        <f>SUM(TE!$AC$53:'TE'!$AC$95)</f>
        <v>175031689.50818169</v>
      </c>
      <c r="H6" s="57">
        <f>SUM(TE!$AD$53:'TE'!$AD$95)</f>
        <v>0</v>
      </c>
      <c r="I6" s="57">
        <f>SUM(TE!$AE$53:'TE'!$AE$95)</f>
        <v>0</v>
      </c>
      <c r="J6" s="57">
        <f>SUM(TE!$AF$53:'TE'!$AF$95)</f>
        <v>0</v>
      </c>
      <c r="K6" s="57">
        <f>SUM(TE!$AG$53:'TE'!$AG$95)</f>
        <v>-16260029.540859818</v>
      </c>
      <c r="L6" s="57">
        <f>SUM(TE!$AH$53:'TE'!$AH$95)</f>
        <v>4865187.0535544604</v>
      </c>
      <c r="M6" s="57">
        <f t="shared" ref="M6:M11" si="0">SUM(B6:L6)</f>
        <v>218805949.7291503</v>
      </c>
      <c r="AA6" s="16" t="s">
        <v>37</v>
      </c>
      <c r="AD6" s="16" t="s">
        <v>32</v>
      </c>
    </row>
    <row r="7" spans="1:33" x14ac:dyDescent="0.2">
      <c r="A7" s="16" t="s">
        <v>1329</v>
      </c>
      <c r="B7" s="57">
        <f>SUM(TE!$L$53:'TE'!$L$95)</f>
        <v>2384505.3711642795</v>
      </c>
      <c r="C7" s="57">
        <f>SUM(TE!$M$53:'TE'!$M$95)</f>
        <v>70475380.229351506</v>
      </c>
      <c r="D7" s="57">
        <f>SUM(TE!$N$53:'TE'!$N$95)</f>
        <v>0</v>
      </c>
      <c r="E7" s="57">
        <f>SUM(TE!$O$53:'TE'!$O$95)</f>
        <v>12143335.322052058</v>
      </c>
      <c r="F7" s="57">
        <f>SUM(TE!$P$53:'TE'!$P$95)</f>
        <v>-17691755.033827551</v>
      </c>
      <c r="G7" s="57">
        <f>SUM(TE!$Q$53:'TE'!$Q$95)</f>
        <v>174937897.32430401</v>
      </c>
      <c r="H7" s="57">
        <f>SUM(TE!$R$53:'TE'!$R$95)</f>
        <v>0</v>
      </c>
      <c r="I7" s="57">
        <f>SUM(TE!$S$53:'TE'!$S$95)</f>
        <v>0</v>
      </c>
      <c r="J7" s="57">
        <f>SUM(TE!$T$53:'TE'!$T$95)</f>
        <v>0</v>
      </c>
      <c r="K7" s="57">
        <f>SUM(TE!$U$53:'TE'!$U$95)</f>
        <v>-16262114.563701518</v>
      </c>
      <c r="L7" s="57">
        <f>SUM(TE!$V$53:'TE'!$V$95)</f>
        <v>4862580.0026826477</v>
      </c>
      <c r="M7" s="57">
        <f t="shared" si="0"/>
        <v>230849828.65202546</v>
      </c>
      <c r="AA7" s="16" t="s">
        <v>48</v>
      </c>
      <c r="AD7" s="16" t="s">
        <v>93</v>
      </c>
    </row>
    <row r="8" spans="1:33" x14ac:dyDescent="0.2">
      <c r="A8" s="16" t="s">
        <v>1332</v>
      </c>
      <c r="B8" s="57">
        <f>IF($G$2&lt;&gt;"Não se aplica",SUMIF(TE!$G$53:'TE'!$G$95,$I$2,TE!$X$53:'TE'!$X$95),IF($F$2&lt;&gt;"Não se aplica",SUMIF(TE!$F$53:'TE'!$F$95,$I$2,TE!$X$53:'TE'!$X$95),IF($E$2&lt;&gt;"Não se aplica",SUMIF(TE!$E$53:'TE'!$E$95,$I$2,TE!$X$53:'TE'!$X$95),IF($D$2&lt;&gt;"Não se aplica",SUMIF(TE!$D$53:'TE'!$D$95,$I$2,TE!$X$53:'TE'!$X$95),IF($C$2&lt;&gt;"Não se aplica",SUMIF(TE!$C$53:'TE'!$C$95,$I$2,TE!$X$53:'TE'!$X$95),IF($B$2&lt;&gt;"Não se aplica",SUMIF(TE!$B$53:'TE'!$B$95,$I$2,TE!$X$53:'TE'!$X$95),SUMIF(TE!$A$53:'TE'!$A$95,$I$2,TE!$X$53:'TE'!$X$95)))))))</f>
        <v>169583.60966355918</v>
      </c>
      <c r="C8" s="57">
        <f>IF($G$2&lt;&gt;"Não se aplica",SUMIF(TE!$G$53:'TE'!$G$95,$I$2,TE!$Y$53:'TE'!$Y$95),IF($F$2&lt;&gt;"Não se aplica",SUMIF(TE!$F$53:'TE'!$F$95,$I$2,TE!$Y$53:'TE'!$Y$95),IF($E$2&lt;&gt;"Não se aplica",SUMIF(TE!$E$53:'TE'!$E$95,$I$2,TE!$Y$53:'TE'!$Y$95),IF($D$2&lt;&gt;"Não se aplica",SUMIF(TE!$D$53:'TE'!$D$95,$I$2,TE!$Y$53:'TE'!$Y$95),IF($C$2&lt;&gt;"Não se aplica",SUMIF(TE!$C$53:'TE'!$C$95,$I$2,TE!$Y$53:'TE'!$Y$95),IF($B$2&lt;&gt;"Não se aplica",SUMIF(TE!$B$53:'TE'!$B$95,$I$2,TE!$Y$53:'TE'!$Y$95),SUMIF(TE!$A$53:'TE'!$A$95,$I$2,TE!$Y$53:'TE'!$Y$95)))))))</f>
        <v>5010095.1729062647</v>
      </c>
      <c r="D8" s="57">
        <f>IF($G$2&lt;&gt;"Não se aplica",SUMIF(TE!$G$53:'TE'!$G$95,$I$2,TE!$Z$53:'TE'!$Z$95),IF($F$2&lt;&gt;"Não se aplica",SUMIF(TE!$F$53:'TE'!$F$95,$I$2,TE!$Z$53:'TE'!$Z$95),IF($E$2&lt;&gt;"Não se aplica",SUMIF(TE!$E$53:'TE'!$E$95,$I$2,TE!$Z$53:'TE'!$Z$95),IF($D$2&lt;&gt;"Não se aplica",SUMIF(TE!$D$53:'TE'!$D$95,$I$2,TE!$Z$53:'TE'!$Z$95),IF($C$2&lt;&gt;"Não se aplica",SUMIF(TE!$C$53:'TE'!$C$95,$I$2,TE!$Z$53:'TE'!$Z$95),IF($B$2&lt;&gt;"Não se aplica",SUMIF(TE!$B$53:'TE'!$B$95,$I$2,TE!$Z$53:'TE'!$Z$95),SUMIF(TE!$A$53:'TE'!$A$95,$I$2,TE!$Z$53:'TE'!$Z$95)))))))</f>
        <v>0</v>
      </c>
      <c r="E8" s="57">
        <f>IF($G$2&lt;&gt;"Não se aplica",SUMIF(TE!$G$53:'TE'!$G$95,$I$2,TE!$AA$53:'TE'!$AA$95),IF($F$2&lt;&gt;"Não se aplica",SUMIF(TE!$F$53:'TE'!$F$95,$I$2,TE!$AA$53:'TE'!$AA$95),IF($E$2&lt;&gt;"Não se aplica",SUMIF(TE!$E$53:'TE'!$E$95,$I$2,TE!$AA$53:'TE'!$AA$95),IF($D$2&lt;&gt;"Não se aplica",SUMIF(TE!$D$53:'TE'!$D$95,$I$2,TE!$AA$53:'TE'!$AA$95),IF($C$2&lt;&gt;"Não se aplica",SUMIF(TE!$C$53:'TE'!$C$95,$I$2,TE!$AA$53:'TE'!$AA$95),IF($B$2&lt;&gt;"Não se aplica",SUMIF(TE!$B$53:'TE'!$B$95,$I$2,TE!$AA$53:'TE'!$AA$95),SUMIF(TE!$A$53:'TE'!$A$95,$I$2,TE!$AA$53:'TE'!$AA$95)))))))</f>
        <v>0</v>
      </c>
      <c r="F8" s="57">
        <f>IF($G$2&lt;&gt;"Não se aplica",SUMIF(TE!$G$53:'TE'!$G$95,$I$2,TE!$AB$53:'TE'!$AB$95),IF($F$2&lt;&gt;"Não se aplica",SUMIF(TE!$F$53:'TE'!$F$95,$I$2,TE!$AB$53:'TE'!$AB$95),IF($E$2&lt;&gt;"Não se aplica",SUMIF(TE!$E$53:'TE'!$E$95,$I$2,TE!$AB$53:'TE'!$AB$95),IF($D$2&lt;&gt;"Não se aplica",SUMIF(TE!$D$53:'TE'!$D$95,$I$2,TE!$AB$53:'TE'!$AB$95),IF($C$2&lt;&gt;"Não se aplica",SUMIF(TE!$C$53:'TE'!$C$95,$I$2,TE!$AB$53:'TE'!$AB$95),IF($B$2&lt;&gt;"Não se aplica",SUMIF(TE!$B$53:'TE'!$B$95,$I$2,TE!$AB$53:'TE'!$AB$95),SUMIF(TE!$A$53:'TE'!$A$95,$I$2,TE!$AB$53:'TE'!$AB$95)))))))</f>
        <v>-1257706.9638611728</v>
      </c>
      <c r="G8" s="57">
        <f>IF($G$2&lt;&gt;"Não se aplica",SUMIF(TE!$G$53:'TE'!$G$95,$I$2,TE!$AC$53:'TE'!$AC$95),IF($F$2&lt;&gt;"Não se aplica",SUMIF(TE!$F$53:'TE'!$F$95,$I$2,TE!$AC$53:'TE'!$AC$95),IF($E$2&lt;&gt;"Não se aplica",SUMIF(TE!$E$53:'TE'!$E$95,$I$2,TE!$AC$53:'TE'!$AC$95),IF($D$2&lt;&gt;"Não se aplica",SUMIF(TE!$D$53:'TE'!$D$95,$I$2,TE!$AC$53:'TE'!$AC$95),IF($C$2&lt;&gt;"Não se aplica",SUMIF(TE!$C$53:'TE'!$C$95,$I$2,TE!$AC$53:'TE'!$AC$95),IF($B$2&lt;&gt;"Não se aplica",SUMIF(TE!$B$53:'TE'!$B$95,$I$2,TE!$AC$53:'TE'!$AC$95),SUMIF(TE!$A$53:'TE'!$A$95,$I$2,TE!$AC$53:'TE'!$AC$95)))))))</f>
        <v>12486904.992400847</v>
      </c>
      <c r="H8" s="57">
        <f>IF($G$2&lt;&gt;"Não se aplica",SUMIF(TE!$G$53:'TE'!$G$95,$I$2,TE!$AD$53:'TE'!$AD$95),IF($F$2&lt;&gt;"Não se aplica",SUMIF(TE!$F$53:'TE'!$F$95,$I$2,TE!$AD$53:'TE'!$AD$95),IF($E$2&lt;&gt;"Não se aplica",SUMIF(TE!$E$53:'TE'!$E$95,$I$2,TE!$AD$53:'TE'!$AD$95),IF($D$2&lt;&gt;"Não se aplica",SUMIF(TE!$D$53:'TE'!$D$95,$I$2,TE!$AD$53:'TE'!$AD$95),IF($C$2&lt;&gt;"Não se aplica",SUMIF(TE!$C$53:'TE'!$C$95,$I$2,TE!$AD$53:'TE'!$AD$95),IF($B$2&lt;&gt;"Não se aplica",SUMIF(TE!$B$53:'TE'!$B$95,$I$2,TE!$AD$53:'TE'!$AD$95),SUMIF(TE!$A$53:'TE'!$A$95,$I$2,TE!$AD$53:'TE'!$AD$95)))))))</f>
        <v>0</v>
      </c>
      <c r="I8" s="57">
        <f>IF($G$2&lt;&gt;"Não se aplica",SUMIF(TE!$G$53:'TE'!$G$95,$I$2,TE!$AE$53:'TE'!$AE$95),IF($F$2&lt;&gt;"Não se aplica",SUMIF(TE!$F$53:'TE'!$F$95,$I$2,TE!$AE$53:'TE'!$AE$95),IF($E$2&lt;&gt;"Não se aplica",SUMIF(TE!$E$53:'TE'!$E$95,$I$2,TE!$AE$53:'TE'!$AE$95),IF($D$2&lt;&gt;"Não se aplica",SUMIF(TE!$D$53:'TE'!$D$95,$I$2,TE!$AE$53:'TE'!$AE$95),IF($C$2&lt;&gt;"Não se aplica",SUMIF(TE!$C$53:'TE'!$C$95,$I$2,TE!$AE$53:'TE'!$AE$95),IF($B$2&lt;&gt;"Não se aplica",SUMIF(TE!$B$53:'TE'!$B$95,$I$2,TE!$AE$53:'TE'!$AE$95),SUMIF(TE!$A$53:'TE'!$A$95,$I$2,TE!$AE$53:'TE'!$AE$95)))))))</f>
        <v>0</v>
      </c>
      <c r="J8" s="57">
        <f>IF($G$2&lt;&gt;"Não se aplica",SUMIF(TE!$G$53:'TE'!$G$95,$I$2,TE!$AF$53:'TE'!$AF$95),IF($F$2&lt;&gt;"Não se aplica",SUMIF(TE!$F$53:'TE'!$F$95,$I$2,TE!$AF$53:'TE'!$AF$95),IF($E$2&lt;&gt;"Não se aplica",SUMIF(TE!$E$53:'TE'!$E$95,$I$2,TE!$AF$53:'TE'!$AF$95),IF($D$2&lt;&gt;"Não se aplica",SUMIF(TE!$D$53:'TE'!$D$95,$I$2,TE!$AF$53:'TE'!$AF$95),IF($C$2&lt;&gt;"Não se aplica",SUMIF(TE!$C$53:'TE'!$C$95,$I$2,TE!$AF$53:'TE'!$AF$95),IF($B$2&lt;&gt;"Não se aplica",SUMIF(TE!$B$53:'TE'!$B$95,$I$2,TE!$AF$53:'TE'!$AF$95),SUMIF(TE!$A$53:'TE'!$A$95,$I$2,TE!$AF$53:'TE'!$AF$95)))))))</f>
        <v>0</v>
      </c>
      <c r="K8" s="57">
        <f>IF($G$2&lt;&gt;"Não se aplica",SUMIF(TE!$G$53:'TE'!$G$95,$I$2,TE!$AG$53:'TE'!$AG$95),IF($F$2&lt;&gt;"Não se aplica",SUMIF(TE!$F$53:'TE'!$F$95,$I$2,TE!$AG$53:'TE'!$AG$95),IF($E$2&lt;&gt;"Não se aplica",SUMIF(TE!$E$53:'TE'!$E$95,$I$2,TE!$AG$53:'TE'!$AG$95),IF($D$2&lt;&gt;"Não se aplica",SUMIF(TE!$D$53:'TE'!$D$95,$I$2,TE!$AG$53:'TE'!$AG$95),IF($C$2&lt;&gt;"Não se aplica",SUMIF(TE!$C$53:'TE'!$C$95,$I$2,TE!$AG$53:'TE'!$AG$95),IF($B$2&lt;&gt;"Não se aplica",SUMIF(TE!$B$53:'TE'!$B$95,$I$2,TE!$AG$53:'TE'!$AG$95),SUMIF(TE!$A$53:'TE'!$A$95,$I$2,TE!$AG$53:'TE'!$AG$95)))))))</f>
        <v>-1159358.9459852879</v>
      </c>
      <c r="L8" s="57">
        <f>IF($G$2&lt;&gt;"Não se aplica",SUMIF(TE!$G$53:'TE'!$G$95,$I$2,TE!$AH$53:'TE'!$AH$95),IF($F$2&lt;&gt;"Não se aplica",SUMIF(TE!$F$53:'TE'!$F$95,$I$2,TE!$AH$53:'TE'!$AH$95),IF($E$2&lt;&gt;"Não se aplica",SUMIF(TE!$E$53:'TE'!$E$95,$I$2,TE!$AH$53:'TE'!$AH$95),IF($D$2&lt;&gt;"Não se aplica",SUMIF(TE!$D$53:'TE'!$D$95,$I$2,TE!$AH$53:'TE'!$AH$95),IF($C$2&lt;&gt;"Não se aplica",SUMIF(TE!$C$53:'TE'!$C$95,$I$2,TE!$AH$53:'TE'!$AH$95),IF($B$2&lt;&gt;"Não se aplica",SUMIF(TE!$B$53:'TE'!$B$95,$I$2,TE!$AH$53:'TE'!$AH$95),SUMIF(TE!$A$53:'TE'!$A$95,$I$2,TE!$AH$53:'TE'!$AH$95)))))))</f>
        <v>345866.1747261858</v>
      </c>
      <c r="M8" s="57">
        <f t="shared" si="0"/>
        <v>15595384.039850397</v>
      </c>
      <c r="AD8" s="16" t="s">
        <v>94</v>
      </c>
    </row>
    <row r="9" spans="1:33" x14ac:dyDescent="0.2">
      <c r="A9" s="16" t="s">
        <v>1333</v>
      </c>
      <c r="B9" s="57">
        <f>IF($G$2&lt;&gt;"Não se aplica",SUMIF(TE!$G$53:'TE'!$G$95,$I$2,TE!$L$53:'TE'!$L$95),IF($F$2&lt;&gt;"Não se aplica",SUMIF(TE!$F$53:'TE'!$F$95,$I$2,TE!$L$53:'TE'!$L$95),IF($E$2&lt;&gt;"Não se aplica",SUMIF(TE!$E$53:'TE'!$E$95,$I$2,TE!$L$53:'TE'!$L$95),IF($D$2&lt;&gt;"Não se aplica",SUMIF(TE!$D$53:'TE'!$D$95,$I$2,TE!$L$53:'TE'!$L$95),IF($C$2&lt;&gt;"Não se aplica",SUMIF(TE!$C$53:'TE'!$C$95,$I$2,TE!$L$53:'TE'!$L$95),IF($B$2&lt;&gt;"Não se aplica",SUMIF(TE!$B$53:'TE'!$B$95,$I$2,TE!$L$53:'TE'!$L$95),SUMIF(TE!$A$53:'TE'!$A$95,$I$2,TE!$L$53:'TE'!$L$95)))))))</f>
        <v>169514.50011281698</v>
      </c>
      <c r="C9" s="57">
        <f>IF($G$2&lt;&gt;"Não se aplica",SUMIF(TE!$G$53:'TE'!$G$95,$I$2,TE!$M$53:'TE'!$M$95),IF($F$2&lt;&gt;"Não se aplica",SUMIF(TE!$F$53:'TE'!$F$95,$I$2,TE!$M$53:'TE'!$M$95),IF($E$2&lt;&gt;"Não se aplica",SUMIF(TE!$E$53:'TE'!$E$95,$I$2,TE!$M$53:'TE'!$M$95),IF($D$2&lt;&gt;"Não se aplica",SUMIF(TE!$D$53:'TE'!$D$95,$I$2,TE!$M$53:'TE'!$M$95),IF($C$2&lt;&gt;"Não se aplica",SUMIF(TE!$C$53:'TE'!$C$95,$I$2,TE!$M$53:'TE'!$M$95),IF($B$2&lt;&gt;"Não se aplica",SUMIF(TE!$B$53:'TE'!$B$95,$I$2,TE!$M$53:'TE'!$M$95),SUMIF(TE!$A$53:'TE'!$A$95,$I$2,TE!$M$53:'TE'!$M$95)))))))</f>
        <v>5010095.1729062675</v>
      </c>
      <c r="D9" s="57">
        <f>IF($G$2&lt;&gt;"Não se aplica",SUMIF(TE!$G$53:'TE'!$G$95,$I$2,TE!$N$53:'TE'!$N$95),IF($F$2&lt;&gt;"Não se aplica",SUMIF(TE!$F$53:'TE'!$F$95,$I$2,TE!$N$53:'TE'!$N$95),IF($E$2&lt;&gt;"Não se aplica",SUMIF(TE!$E$53:'TE'!$E$95,$I$2,TE!$N$53:'TE'!$N$95),IF($D$2&lt;&gt;"Não se aplica",SUMIF(TE!$D$53:'TE'!$D$95,$I$2,TE!$N$53:'TE'!$N$95),IF($C$2&lt;&gt;"Não se aplica",SUMIF(TE!$C$53:'TE'!$C$95,$I$2,TE!$N$53:'TE'!$N$95),IF($B$2&lt;&gt;"Não se aplica",SUMIF(TE!$B$53:'TE'!$B$95,$I$2,TE!$N$53:'TE'!$N$95),SUMIF(TE!$A$53:'TE'!$A$95,$I$2,TE!$N$53:'TE'!$N$95)))))))</f>
        <v>0</v>
      </c>
      <c r="E9" s="57">
        <f>IF($G$2&lt;&gt;"Não se aplica",SUMIF(TE!$G$53:'TE'!$G$95,$I$2,TE!$O$53:'TE'!$O$95),IF($F$2&lt;&gt;"Não se aplica",SUMIF(TE!$F$53:'TE'!$F$95,$I$2,TE!$O$53:'TE'!$O$95),IF($E$2&lt;&gt;"Não se aplica",SUMIF(TE!$E$53:'TE'!$E$95,$I$2,TE!$O$53:'TE'!$O$95),IF($D$2&lt;&gt;"Não se aplica",SUMIF(TE!$D$53:'TE'!$D$95,$I$2,TE!$O$53:'TE'!$O$95),IF($C$2&lt;&gt;"Não se aplica",SUMIF(TE!$C$53:'TE'!$C$95,$I$2,TE!$O$53:'TE'!$O$95),IF($B$2&lt;&gt;"Não se aplica",SUMIF(TE!$B$53:'TE'!$B$95,$I$2,TE!$O$53:'TE'!$O$95),SUMIF(TE!$A$53:'TE'!$A$95,$I$2,TE!$O$53:'TE'!$O$95)))))))</f>
        <v>863269.77565786743</v>
      </c>
      <c r="F9" s="57">
        <f>IF($G$2&lt;&gt;"Não se aplica",SUMIF(TE!$G$53:'TE'!$G$95,$I$2,TE!$P$53:'TE'!$P$95),IF($F$2&lt;&gt;"Não se aplica",SUMIF(TE!$F$53:'TE'!$F$95,$I$2,TE!$P$53:'TE'!$P$95),IF($E$2&lt;&gt;"Não se aplica",SUMIF(TE!$E$53:'TE'!$E$95,$I$2,TE!$P$53:'TE'!$P$95),IF($D$2&lt;&gt;"Não se aplica",SUMIF(TE!$D$53:'TE'!$D$95,$I$2,TE!$P$53:'TE'!$P$95),IF($C$2&lt;&gt;"Não se aplica",SUMIF(TE!$C$53:'TE'!$C$95,$I$2,TE!$P$53:'TE'!$P$95),IF($B$2&lt;&gt;"Não se aplica",SUMIF(TE!$B$53:'TE'!$B$95,$I$2,TE!$P$53:'TE'!$P$95),SUMIF(TE!$A$53:'TE'!$A$95,$I$2,TE!$P$53:'TE'!$P$95)))))))</f>
        <v>-1257706.9638611753</v>
      </c>
      <c r="G9" s="57">
        <f>IF($G$2&lt;&gt;"Não se aplica",SUMIF(TE!$G$53:'TE'!$G$95,$I$2,TE!$Q$53:'TE'!$Q$95),IF($F$2&lt;&gt;"Não se aplica",SUMIF(TE!$F$53:'TE'!$F$95,$I$2,TE!$Q$53:'TE'!$Q$95),IF($E$2&lt;&gt;"Não se aplica",SUMIF(TE!$E$53:'TE'!$E$95,$I$2,TE!$Q$53:'TE'!$Q$95),IF($D$2&lt;&gt;"Não se aplica",SUMIF(TE!$D$53:'TE'!$D$95,$I$2,TE!$Q$53:'TE'!$Q$95),IF($C$2&lt;&gt;"Não se aplica",SUMIF(TE!$C$53:'TE'!$C$95,$I$2,TE!$Q$53:'TE'!$Q$95),IF($B$2&lt;&gt;"Não se aplica",SUMIF(TE!$B$53:'TE'!$B$95,$I$2,TE!$Q$53:'TE'!$Q$95),SUMIF(TE!$A$53:'TE'!$A$95,$I$2,TE!$Q$53:'TE'!$Q$95)))))))</f>
        <v>12480213.780698549</v>
      </c>
      <c r="H9" s="57">
        <f>IF($G$2&lt;&gt;"Não se aplica",SUMIF(TE!$G$53:'TE'!$G$95,$I$2,TE!$R$53:'TE'!$R$95),IF($F$2&lt;&gt;"Não se aplica",SUMIF(TE!$F$53:'TE'!$F$95,$I$2,TE!$R$53:'TE'!$R$95),IF($E$2&lt;&gt;"Não se aplica",SUMIF(TE!$E$53:'TE'!$E$95,$I$2,TE!$R$53:'TE'!$R$95),IF($D$2&lt;&gt;"Não se aplica",SUMIF(TE!$D$53:'TE'!$D$95,$I$2,TE!$R$53:'TE'!$R$95),IF($C$2&lt;&gt;"Não se aplica",SUMIF(TE!$C$53:'TE'!$C$95,$I$2,TE!$R$53:'TE'!$R$95),IF($B$2&lt;&gt;"Não se aplica",SUMIF(TE!$B$53:'TE'!$B$95,$I$2,TE!$R$53:'TE'!$R$95),SUMIF(TE!$A$53:'TE'!$A$95,$I$2,TE!$R$53:'TE'!$R$95)))))))</f>
        <v>0</v>
      </c>
      <c r="I9" s="57">
        <f>IF($G$2&lt;&gt;"Não se aplica",SUMIF(TE!$G$53:'TE'!$G$95,$I$2,TE!$S$53:'TE'!$S$95),IF($F$2&lt;&gt;"Não se aplica",SUMIF(TE!$F$53:'TE'!$F$95,$I$2,TE!$S$53:'TE'!$S$95),IF($E$2&lt;&gt;"Não se aplica",SUMIF(TE!$E$53:'TE'!$E$95,$I$2,TE!$S$53:'TE'!$S$95),IF($D$2&lt;&gt;"Não se aplica",SUMIF(TE!$D$53:'TE'!$D$95,$I$2,TE!$S$53:'TE'!$S$95),IF($C$2&lt;&gt;"Não se aplica",SUMIF(TE!$C$53:'TE'!$C$95,$I$2,TE!$S$53:'TE'!$S$95),IF($B$2&lt;&gt;"Não se aplica",SUMIF(TE!$B$53:'TE'!$B$95,$I$2,TE!$S$53:'TE'!$S$95),SUMIF(TE!$A$53:'TE'!$A$95,$I$2,TE!$S$53:'TE'!$S$95)))))))</f>
        <v>0</v>
      </c>
      <c r="J9" s="57">
        <f>IF($G$2&lt;&gt;"Não se aplica",SUMIF(TE!$G$53:'TE'!$G$95,$I$2,TE!$T$53:'TE'!$T$95),IF($F$2&lt;&gt;"Não se aplica",SUMIF(TE!$F$53:'TE'!$F$95,$I$2,TE!$T$53:'TE'!$T$95),IF($E$2&lt;&gt;"Não se aplica",SUMIF(TE!$E$53:'TE'!$E$95,$I$2,TE!$T$53:'TE'!$T$95),IF($D$2&lt;&gt;"Não se aplica",SUMIF(TE!$D$53:'TE'!$D$95,$I$2,TE!$T$53:'TE'!$T$95),IF($C$2&lt;&gt;"Não se aplica",SUMIF(TE!$C$53:'TE'!$C$95,$I$2,TE!$T$53:'TE'!$T$95),IF($B$2&lt;&gt;"Não se aplica",SUMIF(TE!$B$53:'TE'!$B$95,$I$2,TE!$T$53:'TE'!$T$95),SUMIF(TE!$A$53:'TE'!$A$95,$I$2,TE!$T$53:'TE'!$T$95)))))))</f>
        <v>0</v>
      </c>
      <c r="K9" s="57">
        <f>IF($G$2&lt;&gt;"Não se aplica",SUMIF(TE!$G$53:'TE'!$G$95,$I$2,TE!$U$53:'TE'!$U$95),IF($F$2&lt;&gt;"Não se aplica",SUMIF(TE!$F$53:'TE'!$F$95,$I$2,TE!$U$53:'TE'!$U$95),IF($E$2&lt;&gt;"Não se aplica",SUMIF(TE!$E$53:'TE'!$E$95,$I$2,TE!$U$53:'TE'!$U$95),IF($D$2&lt;&gt;"Não se aplica",SUMIF(TE!$D$53:'TE'!$D$95,$I$2,TE!$U$53:'TE'!$U$95),IF($C$2&lt;&gt;"Não se aplica",SUMIF(TE!$C$53:'TE'!$C$95,$I$2,TE!$U$53:'TE'!$U$95),IF($B$2&lt;&gt;"Não se aplica",SUMIF(TE!$B$53:'TE'!$B$95,$I$2,TE!$U$53:'TE'!$U$95),SUMIF(TE!$A$53:'TE'!$A$95,$I$2,TE!$U$53:'TE'!$U$95)))))))</f>
        <v>-1159507.4133768843</v>
      </c>
      <c r="L9" s="57">
        <f>IF($G$2&lt;&gt;"Não se aplica",SUMIF(TE!$G$53:'TE'!$G$95,$I$2,TE!$V$53:'TE'!$V$95),IF($F$2&lt;&gt;"Não se aplica",SUMIF(TE!$F$53:'TE'!$F$95,$I$2,TE!$V$53:'TE'!$V$95),IF($E$2&lt;&gt;"Não se aplica",SUMIF(TE!$E$53:'TE'!$E$95,$I$2,TE!$V$53:'TE'!$V$95),IF($D$2&lt;&gt;"Não se aplica",SUMIF(TE!$D$53:'TE'!$D$95,$I$2,TE!$V$53:'TE'!$V$95),IF($C$2&lt;&gt;"Não se aplica",SUMIF(TE!$C$53:'TE'!$C$95,$I$2,TE!$V$53:'TE'!$V$95),IF($B$2&lt;&gt;"Não se aplica",SUMIF(TE!$B$53:'TE'!$B$95,$I$2,TE!$V$53:'TE'!$V$95),SUMIF(TE!$A$53:'TE'!$A$95,$I$2,TE!$V$53:'TE'!$V$95)))))))</f>
        <v>345680.83946519281</v>
      </c>
      <c r="M9" s="57">
        <f t="shared" si="0"/>
        <v>16451559.691602634</v>
      </c>
      <c r="AD9" s="16" t="s">
        <v>50</v>
      </c>
    </row>
    <row r="10" spans="1:33" x14ac:dyDescent="0.2">
      <c r="A10" s="16" t="s">
        <v>1330</v>
      </c>
      <c r="B10" s="57">
        <f>SUMIF(TE!$A$53:'TE'!$A$95,$A$2,TE!$X$53:'TE'!$X$95)</f>
        <v>169583.60966355918</v>
      </c>
      <c r="C10" s="57">
        <f>SUMIF(TE!$A$53:'TE'!$A$95,$A$2,TE!$Y$53:'TE'!$Y$95)</f>
        <v>5010095.1729062647</v>
      </c>
      <c r="D10" s="57">
        <f>SUMIF(TE!$A$53:'TE'!$A$95,$A$2,TE!$Z$53:'TE'!$Z$95)</f>
        <v>0</v>
      </c>
      <c r="E10" s="57">
        <f>SUMIF(TE!$A$53:'TE'!$A$95,$A$2,TE!$AA$53:'TE'!$AA$95)</f>
        <v>0</v>
      </c>
      <c r="F10" s="57">
        <f>SUMIF(TE!$A$53:'TE'!$A$95,$A$2,TE!$AB$53:'TE'!$AB$95)</f>
        <v>-1257706.9638611728</v>
      </c>
      <c r="G10" s="57">
        <f>SUMIF(TE!$A$53:'TE'!$A$95,$A$2,TE!$AC$53:'TE'!$AC$95)</f>
        <v>12486904.992400847</v>
      </c>
      <c r="H10" s="57">
        <f>SUMIF(TE!$A$53:'TE'!$A$95,$A$2,TE!$AD$53:'TE'!$AD$95)</f>
        <v>0</v>
      </c>
      <c r="I10" s="57">
        <f>SUMIF(TE!$A$53:'TE'!$A$95,$A$2,TE!$AE$53:'TE'!$AE$95)</f>
        <v>0</v>
      </c>
      <c r="J10" s="57">
        <f>SUMIF(TE!$A$53:'TE'!$A$95,$A$2,TE!$AF$53:'TE'!$AF$95)</f>
        <v>0</v>
      </c>
      <c r="K10" s="57">
        <f>SUMIF(TE!$A$53:'TE'!$A$95,$A$2,TE!$AG$53:'TE'!$AG$95)</f>
        <v>-1159358.9459852879</v>
      </c>
      <c r="L10" s="57">
        <f>SUMIF(TE!$A$53:'TE'!$A$95,$A$2,TE!$AH$53:'TE'!$AH$95)</f>
        <v>345866.1747261858</v>
      </c>
      <c r="M10" s="57">
        <f t="shared" si="0"/>
        <v>15595384.039850397</v>
      </c>
      <c r="AD10" s="16" t="s">
        <v>95</v>
      </c>
    </row>
    <row r="11" spans="1:33" x14ac:dyDescent="0.2">
      <c r="A11" s="16" t="s">
        <v>1331</v>
      </c>
      <c r="B11" s="57">
        <f>SUMIF(TE!$A$53:'TE'!$A$95,$A$2,TE!$L$53:'TE'!$L$95)</f>
        <v>169514.50011281698</v>
      </c>
      <c r="C11" s="57">
        <f>SUMIF(TE!$A$53:'TE'!$A$95,$A$2,TE!$M$53:'TE'!$M$95)</f>
        <v>5010095.1729062675</v>
      </c>
      <c r="D11" s="57">
        <f>SUMIF(TE!$A$53:'TE'!$A$95,$A$2,TE!$N$53:'TE'!$N$95)</f>
        <v>0</v>
      </c>
      <c r="E11" s="57">
        <f>SUMIF(TE!$A$53:'TE'!$A$95,$A$2,TE!$O$53:'TE'!$O$95)</f>
        <v>863269.77565786743</v>
      </c>
      <c r="F11" s="57">
        <f>SUMIF(TE!$A$53:'TE'!$A$95,$A$2,TE!$P$53:'TE'!$P$95)</f>
        <v>-1257706.9638611753</v>
      </c>
      <c r="G11" s="57">
        <f>SUMIF(TE!$A$53:'TE'!$A$95,$A$2,TE!$Q$53:'TE'!$Q$95)</f>
        <v>12480213.780698549</v>
      </c>
      <c r="H11" s="57">
        <f>SUMIF(TE!$A$53:'TE'!$A$95,$A$2,TE!$R$53:'TE'!$R$95)</f>
        <v>0</v>
      </c>
      <c r="I11" s="57">
        <f>SUMIF(TE!$A$53:'TE'!$A$95,$A$2,TE!$S$53:'TE'!$S$95)</f>
        <v>0</v>
      </c>
      <c r="J11" s="57">
        <f>SUMIF(TE!$A$53:'TE'!$A$95,$A$2,TE!$T$53:'TE'!$T$95)</f>
        <v>0</v>
      </c>
      <c r="K11" s="57">
        <f>SUMIF(TE!$A$53:'TE'!$A$95,$A$2,TE!$U$53:'TE'!$U$95)</f>
        <v>-1159507.4133768843</v>
      </c>
      <c r="L11" s="57">
        <f>SUMIF(TE!$A$53:'TE'!$A$95,$A$2,TE!$V$53:'TE'!$V$95)</f>
        <v>345680.83946519281</v>
      </c>
      <c r="M11" s="57">
        <f t="shared" si="0"/>
        <v>16451559.691602634</v>
      </c>
    </row>
    <row r="13" spans="1:33" x14ac:dyDescent="0.2">
      <c r="A13" s="16" t="s">
        <v>1335</v>
      </c>
      <c r="B13" s="79">
        <f t="shared" ref="B13:M13" si="1">IF($M$6&lt;&gt;0,(B$7-B$6)/$M$6,0)</f>
        <v>-4.4429394489984894E-6</v>
      </c>
      <c r="C13" s="79">
        <f t="shared" si="1"/>
        <v>1.3620435104523538E-16</v>
      </c>
      <c r="D13" s="79">
        <f t="shared" si="1"/>
        <v>0</v>
      </c>
      <c r="E13" s="79">
        <f t="shared" si="1"/>
        <v>5.5498195259698048E-2</v>
      </c>
      <c r="F13" s="79">
        <f t="shared" si="1"/>
        <v>-1.5322989492588979E-16</v>
      </c>
      <c r="G13" s="79">
        <f t="shared" si="1"/>
        <v>-4.2865463207823051E-4</v>
      </c>
      <c r="H13" s="79">
        <f t="shared" si="1"/>
        <v>0</v>
      </c>
      <c r="I13" s="79">
        <f t="shared" si="1"/>
        <v>0</v>
      </c>
      <c r="J13" s="79">
        <f t="shared" si="1"/>
        <v>0</v>
      </c>
      <c r="K13" s="79">
        <f t="shared" si="1"/>
        <v>-9.5290957319962012E-6</v>
      </c>
      <c r="L13" s="79">
        <f t="shared" si="1"/>
        <v>-1.1914899366492937E-5</v>
      </c>
      <c r="M13" s="79">
        <f t="shared" si="1"/>
        <v>5.5043653693072438E-2</v>
      </c>
    </row>
    <row r="14" spans="1:33" x14ac:dyDescent="0.2">
      <c r="A14" s="16" t="s">
        <v>1336</v>
      </c>
      <c r="B14" s="79">
        <f t="shared" ref="B14:M14" si="2">IF($M$10&lt;&gt;0,(B$9-B$8)/$M$10,0)</f>
        <v>-4.4314106382764397E-6</v>
      </c>
      <c r="C14" s="79">
        <f t="shared" si="2"/>
        <v>1.7915350572368704E-16</v>
      </c>
      <c r="D14" s="79">
        <f t="shared" si="2"/>
        <v>0</v>
      </c>
      <c r="E14" s="79">
        <f t="shared" si="2"/>
        <v>5.5354185151964275E-2</v>
      </c>
      <c r="F14" s="79">
        <f t="shared" si="2"/>
        <v>-1.6422404691337978E-16</v>
      </c>
      <c r="G14" s="79">
        <f t="shared" si="2"/>
        <v>-4.2905078100036068E-4</v>
      </c>
      <c r="H14" s="79">
        <f t="shared" si="2"/>
        <v>0</v>
      </c>
      <c r="I14" s="79">
        <f t="shared" si="2"/>
        <v>0</v>
      </c>
      <c r="J14" s="79">
        <f t="shared" si="2"/>
        <v>0</v>
      </c>
      <c r="K14" s="79">
        <f t="shared" si="2"/>
        <v>-9.5199573936130387E-6</v>
      </c>
      <c r="L14" s="79">
        <f t="shared" si="2"/>
        <v>-1.1883981857670498E-5</v>
      </c>
      <c r="M14" s="79">
        <f t="shared" si="2"/>
        <v>5.4899299021074335E-2</v>
      </c>
    </row>
    <row r="15" spans="1:33" x14ac:dyDescent="0.2">
      <c r="A15" s="16" t="s">
        <v>1337</v>
      </c>
      <c r="B15" s="79">
        <f t="shared" ref="B15:M15" si="3">IF($M$8&lt;&gt;0,(B$9-B$8)/$M$8,0)</f>
        <v>-4.4314106382764397E-6</v>
      </c>
      <c r="C15" s="79">
        <f t="shared" si="3"/>
        <v>1.7915350572368704E-16</v>
      </c>
      <c r="D15" s="79">
        <f t="shared" si="3"/>
        <v>0</v>
      </c>
      <c r="E15" s="79">
        <f t="shared" si="3"/>
        <v>5.5354185151964275E-2</v>
      </c>
      <c r="F15" s="79">
        <f t="shared" si="3"/>
        <v>-1.6422404691337978E-16</v>
      </c>
      <c r="G15" s="79">
        <f t="shared" si="3"/>
        <v>-4.2905078100036068E-4</v>
      </c>
      <c r="H15" s="79">
        <f t="shared" si="3"/>
        <v>0</v>
      </c>
      <c r="I15" s="79">
        <f t="shared" si="3"/>
        <v>0</v>
      </c>
      <c r="J15" s="79">
        <f t="shared" si="3"/>
        <v>0</v>
      </c>
      <c r="K15" s="79">
        <f t="shared" si="3"/>
        <v>-9.5199573936130387E-6</v>
      </c>
      <c r="L15" s="79">
        <f t="shared" si="3"/>
        <v>-1.1883981857670498E-5</v>
      </c>
      <c r="M15" s="79">
        <f t="shared" si="3"/>
        <v>5.4899299021074335E-2</v>
      </c>
    </row>
  </sheetData>
  <dataValidations count="5">
    <dataValidation type="list" allowBlank="1" showInputMessage="1" showErrorMessage="1" sqref="A2" xr:uid="{1E9AEB52-8805-40D2-8FCE-82DC54E89717}">
      <formula1>AA1:AA7</formula1>
    </dataValidation>
    <dataValidation type="list" allowBlank="1" showInputMessage="1" showErrorMessage="1" sqref="B2 C2" xr:uid="{E89A10CD-239B-4FB3-B8F6-223CCAEC27D6}">
      <formula1>AB1:AB4</formula1>
    </dataValidation>
    <dataValidation type="list" allowBlank="1" showInputMessage="1" showErrorMessage="1" sqref="D2" xr:uid="{9DDC016C-D981-406D-8A90-3D366DF5A8F0}">
      <formula1>AD1:AD10</formula1>
    </dataValidation>
    <dataValidation type="list" allowBlank="1" showInputMessage="1" showErrorMessage="1" sqref="E2 F2" xr:uid="{EDEE2BDD-7856-4A76-B473-58A7DC8F5EB5}">
      <formula1>AE1:AE1</formula1>
    </dataValidation>
    <dataValidation type="list" allowBlank="1" showInputMessage="1" showErrorMessage="1" sqref="G2" xr:uid="{144011A0-7D3F-4276-8077-4A48A21ADD7B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04CF-C5CE-4786-B3B2-C0D16D1730D3}">
  <sheetPr codeName="Planilha21"/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9" t="s">
        <v>873</v>
      </c>
      <c r="C1" s="69" t="s">
        <v>874</v>
      </c>
      <c r="D1" s="69" t="s">
        <v>875</v>
      </c>
      <c r="E1" s="69" t="s">
        <v>2</v>
      </c>
      <c r="F1" s="69" t="s">
        <v>876</v>
      </c>
      <c r="G1" s="69" t="s">
        <v>783</v>
      </c>
      <c r="H1" s="69" t="s">
        <v>3</v>
      </c>
      <c r="I1" s="69" t="s">
        <v>877</v>
      </c>
      <c r="J1" s="69" t="s">
        <v>5</v>
      </c>
      <c r="K1" s="69" t="s">
        <v>1</v>
      </c>
      <c r="L1" s="69" t="s">
        <v>878</v>
      </c>
      <c r="M1" s="69" t="s">
        <v>879</v>
      </c>
      <c r="N1" s="69" t="s">
        <v>880</v>
      </c>
      <c r="O1" s="69" t="s">
        <v>881</v>
      </c>
      <c r="P1" s="69" t="s">
        <v>882</v>
      </c>
      <c r="Q1" s="69" t="s">
        <v>883</v>
      </c>
      <c r="R1" s="69" t="s">
        <v>884</v>
      </c>
      <c r="S1" s="69" t="s">
        <v>885</v>
      </c>
      <c r="T1" s="69" t="s">
        <v>886</v>
      </c>
      <c r="U1" s="69" t="s">
        <v>887</v>
      </c>
    </row>
    <row r="2" spans="2:21" x14ac:dyDescent="0.25">
      <c r="B2" s="68" t="s">
        <v>858</v>
      </c>
      <c r="C2" s="68">
        <v>8858</v>
      </c>
      <c r="D2" s="68">
        <v>31</v>
      </c>
      <c r="E2" s="68" t="s">
        <v>23</v>
      </c>
      <c r="F2" s="68">
        <v>1</v>
      </c>
      <c r="G2" s="68" t="s">
        <v>859</v>
      </c>
      <c r="H2" s="68" t="s">
        <v>46</v>
      </c>
      <c r="I2" s="68" t="s">
        <v>25</v>
      </c>
      <c r="J2" s="68" t="s">
        <v>46</v>
      </c>
      <c r="K2" s="68" t="s">
        <v>45</v>
      </c>
      <c r="L2" s="68">
        <v>0.3</v>
      </c>
      <c r="M2" s="68">
        <v>0.24</v>
      </c>
      <c r="N2" s="68">
        <v>0.18</v>
      </c>
      <c r="O2" s="68">
        <v>0.12</v>
      </c>
      <c r="P2" s="68">
        <v>0.06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860</v>
      </c>
      <c r="C3" s="68">
        <v>8859</v>
      </c>
      <c r="D3" s="68">
        <v>31</v>
      </c>
      <c r="E3" s="68" t="s">
        <v>40</v>
      </c>
      <c r="F3" s="68">
        <v>1</v>
      </c>
      <c r="G3" s="68" t="s">
        <v>859</v>
      </c>
      <c r="H3" s="68" t="s">
        <v>46</v>
      </c>
      <c r="I3" s="68" t="s">
        <v>25</v>
      </c>
      <c r="J3" s="68" t="s">
        <v>807</v>
      </c>
      <c r="K3" s="68" t="s">
        <v>41</v>
      </c>
      <c r="L3" s="68">
        <v>0.1</v>
      </c>
      <c r="M3" s="68">
        <v>0.08</v>
      </c>
      <c r="N3" s="68">
        <v>0.06</v>
      </c>
      <c r="O3" s="68">
        <v>0.04</v>
      </c>
      <c r="P3" s="68">
        <v>0.02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861</v>
      </c>
      <c r="C4" s="68">
        <v>8860</v>
      </c>
      <c r="D4" s="68">
        <v>31</v>
      </c>
      <c r="E4" s="68" t="s">
        <v>43</v>
      </c>
      <c r="F4" s="68">
        <v>1</v>
      </c>
      <c r="G4" s="68" t="s">
        <v>859</v>
      </c>
      <c r="H4" s="68" t="s">
        <v>46</v>
      </c>
      <c r="I4" s="68" t="s">
        <v>25</v>
      </c>
      <c r="J4" s="68" t="s">
        <v>807</v>
      </c>
      <c r="K4" s="68" t="s">
        <v>41</v>
      </c>
      <c r="L4" s="68">
        <v>0.1</v>
      </c>
      <c r="M4" s="68">
        <v>0.08</v>
      </c>
      <c r="N4" s="68">
        <v>0.06</v>
      </c>
      <c r="O4" s="68">
        <v>0.04</v>
      </c>
      <c r="P4" s="68">
        <v>0.02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862</v>
      </c>
      <c r="C5" s="68">
        <v>8861</v>
      </c>
      <c r="D5" s="68">
        <v>31</v>
      </c>
      <c r="E5" s="68" t="s">
        <v>23</v>
      </c>
      <c r="F5" s="68">
        <v>1</v>
      </c>
      <c r="G5" s="68" t="s">
        <v>859</v>
      </c>
      <c r="H5" s="68" t="s">
        <v>46</v>
      </c>
      <c r="I5" s="68" t="s">
        <v>25</v>
      </c>
      <c r="J5" s="68" t="s">
        <v>807</v>
      </c>
      <c r="K5" s="68" t="s">
        <v>41</v>
      </c>
      <c r="L5" s="68">
        <v>0.1</v>
      </c>
      <c r="M5" s="68">
        <v>0.08</v>
      </c>
      <c r="N5" s="68">
        <v>0.06</v>
      </c>
      <c r="O5" s="68">
        <v>0.04</v>
      </c>
      <c r="P5" s="68">
        <v>0.02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863</v>
      </c>
      <c r="C6" s="68">
        <v>8862</v>
      </c>
      <c r="D6" s="68">
        <v>31</v>
      </c>
      <c r="E6" s="68" t="s">
        <v>40</v>
      </c>
      <c r="F6" s="68">
        <v>1</v>
      </c>
      <c r="G6" s="68" t="s">
        <v>859</v>
      </c>
      <c r="H6" s="68" t="s">
        <v>51</v>
      </c>
      <c r="I6" s="68" t="s">
        <v>52</v>
      </c>
      <c r="J6" s="68" t="s">
        <v>808</v>
      </c>
      <c r="K6" s="68" t="s">
        <v>41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864</v>
      </c>
      <c r="C7" s="68">
        <v>8863</v>
      </c>
      <c r="D7" s="68">
        <v>31</v>
      </c>
      <c r="E7" s="68" t="s">
        <v>43</v>
      </c>
      <c r="F7" s="68">
        <v>1</v>
      </c>
      <c r="G7" s="68" t="s">
        <v>859</v>
      </c>
      <c r="H7" s="68" t="s">
        <v>51</v>
      </c>
      <c r="I7" s="68" t="s">
        <v>52</v>
      </c>
      <c r="J7" s="68" t="s">
        <v>808</v>
      </c>
      <c r="K7" s="68" t="s">
        <v>41</v>
      </c>
      <c r="L7" s="68">
        <v>0.15</v>
      </c>
      <c r="M7" s="68">
        <v>0.12</v>
      </c>
      <c r="N7" s="68">
        <v>0.09</v>
      </c>
      <c r="O7" s="68">
        <v>0.06</v>
      </c>
      <c r="P7" s="68">
        <v>0.03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865</v>
      </c>
      <c r="C8" s="68">
        <v>8864</v>
      </c>
      <c r="D8" s="68">
        <v>31</v>
      </c>
      <c r="E8" s="68" t="s">
        <v>810</v>
      </c>
      <c r="F8" s="68">
        <v>1</v>
      </c>
      <c r="G8" s="68" t="s">
        <v>859</v>
      </c>
      <c r="H8" s="68" t="s">
        <v>51</v>
      </c>
      <c r="I8" s="68" t="s">
        <v>52</v>
      </c>
      <c r="J8" s="68" t="s">
        <v>808</v>
      </c>
      <c r="K8" s="68" t="s">
        <v>41</v>
      </c>
      <c r="L8" s="68">
        <v>0.15</v>
      </c>
      <c r="M8" s="68">
        <v>0.12</v>
      </c>
      <c r="N8" s="68">
        <v>0.09</v>
      </c>
      <c r="O8" s="68">
        <v>0.06</v>
      </c>
      <c r="P8" s="68">
        <v>0.03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858</v>
      </c>
      <c r="C9" s="68">
        <v>8865</v>
      </c>
      <c r="D9" s="68">
        <v>31</v>
      </c>
      <c r="E9" s="68" t="s">
        <v>23</v>
      </c>
      <c r="F9" s="68">
        <v>1</v>
      </c>
      <c r="G9" s="68" t="s">
        <v>859</v>
      </c>
      <c r="H9" s="68" t="s">
        <v>46</v>
      </c>
      <c r="I9" s="68" t="s">
        <v>25</v>
      </c>
      <c r="J9" s="68" t="s">
        <v>46</v>
      </c>
      <c r="K9" s="68" t="s">
        <v>45</v>
      </c>
      <c r="L9" s="68">
        <v>0.3</v>
      </c>
      <c r="M9" s="68">
        <v>0.24</v>
      </c>
      <c r="N9" s="68">
        <v>0.18</v>
      </c>
      <c r="O9" s="68">
        <v>0.12</v>
      </c>
      <c r="P9" s="68">
        <v>0.06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866</v>
      </c>
      <c r="C10" s="68">
        <v>8866</v>
      </c>
      <c r="D10" s="68">
        <v>31</v>
      </c>
      <c r="E10" s="68" t="s">
        <v>33</v>
      </c>
      <c r="F10" s="68">
        <v>1</v>
      </c>
      <c r="G10" s="68" t="s">
        <v>859</v>
      </c>
      <c r="H10" s="68" t="s">
        <v>46</v>
      </c>
      <c r="I10" s="68" t="s">
        <v>25</v>
      </c>
      <c r="J10" s="68" t="s">
        <v>46</v>
      </c>
      <c r="K10" s="68" t="s">
        <v>45</v>
      </c>
      <c r="L10" s="68">
        <v>0.3</v>
      </c>
      <c r="M10" s="68">
        <v>0.24</v>
      </c>
      <c r="N10" s="68">
        <v>0.18</v>
      </c>
      <c r="O10" s="68">
        <v>0.12</v>
      </c>
      <c r="P10" s="68">
        <v>0.06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867</v>
      </c>
      <c r="C11" s="68">
        <v>8867</v>
      </c>
      <c r="D11" s="68">
        <v>31</v>
      </c>
      <c r="E11" s="68" t="s">
        <v>23</v>
      </c>
      <c r="F11" s="68">
        <v>1</v>
      </c>
      <c r="G11" s="68" t="s">
        <v>859</v>
      </c>
      <c r="H11" s="68" t="s">
        <v>46</v>
      </c>
      <c r="I11" s="68" t="s">
        <v>93</v>
      </c>
      <c r="J11" s="68" t="s">
        <v>808</v>
      </c>
      <c r="K11" s="68" t="s">
        <v>45</v>
      </c>
      <c r="L11" s="68">
        <v>0.3</v>
      </c>
      <c r="M11" s="68">
        <v>0.24</v>
      </c>
      <c r="N11" s="68">
        <v>0.18</v>
      </c>
      <c r="O11" s="68">
        <v>0.12</v>
      </c>
      <c r="P11" s="68">
        <v>0.06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868</v>
      </c>
      <c r="C12" s="68">
        <v>8868</v>
      </c>
      <c r="D12" s="68">
        <v>31</v>
      </c>
      <c r="E12" s="68" t="s">
        <v>809</v>
      </c>
      <c r="F12" s="68">
        <v>1</v>
      </c>
      <c r="G12" s="68" t="s">
        <v>859</v>
      </c>
      <c r="H12" s="68" t="s">
        <v>46</v>
      </c>
      <c r="I12" s="68" t="s">
        <v>93</v>
      </c>
      <c r="J12" s="68" t="s">
        <v>808</v>
      </c>
      <c r="K12" s="68" t="s">
        <v>45</v>
      </c>
      <c r="L12" s="68">
        <v>0.3</v>
      </c>
      <c r="M12" s="68">
        <v>0.24</v>
      </c>
      <c r="N12" s="68">
        <v>0.18</v>
      </c>
      <c r="O12" s="68">
        <v>0.12</v>
      </c>
      <c r="P12" s="68">
        <v>0.06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869</v>
      </c>
      <c r="C13" s="68">
        <v>8869</v>
      </c>
      <c r="D13" s="68">
        <v>31</v>
      </c>
      <c r="E13" s="68" t="s">
        <v>23</v>
      </c>
      <c r="F13" s="68">
        <v>1</v>
      </c>
      <c r="G13" s="68" t="s">
        <v>859</v>
      </c>
      <c r="H13" s="68" t="s">
        <v>46</v>
      </c>
      <c r="I13" s="68" t="s">
        <v>94</v>
      </c>
      <c r="J13" s="68" t="s">
        <v>808</v>
      </c>
      <c r="K13" s="68" t="s">
        <v>45</v>
      </c>
      <c r="L13" s="68">
        <v>0.4</v>
      </c>
      <c r="M13" s="68">
        <v>0.32</v>
      </c>
      <c r="N13" s="68">
        <v>0.24</v>
      </c>
      <c r="O13" s="68">
        <v>0.16</v>
      </c>
      <c r="P13" s="68">
        <v>0.08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870</v>
      </c>
      <c r="C14" s="68">
        <v>8870</v>
      </c>
      <c r="D14" s="68">
        <v>31</v>
      </c>
      <c r="E14" s="68" t="s">
        <v>809</v>
      </c>
      <c r="F14" s="68">
        <v>1</v>
      </c>
      <c r="G14" s="68" t="s">
        <v>859</v>
      </c>
      <c r="H14" s="68" t="s">
        <v>46</v>
      </c>
      <c r="I14" s="68" t="s">
        <v>94</v>
      </c>
      <c r="J14" s="68" t="s">
        <v>808</v>
      </c>
      <c r="K14" s="68" t="s">
        <v>45</v>
      </c>
      <c r="L14" s="68">
        <v>0.4</v>
      </c>
      <c r="M14" s="68">
        <v>0.32</v>
      </c>
      <c r="N14" s="68">
        <v>0.24</v>
      </c>
      <c r="O14" s="68">
        <v>0.16</v>
      </c>
      <c r="P14" s="68">
        <v>0.08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871</v>
      </c>
      <c r="C15" s="68">
        <v>8871</v>
      </c>
      <c r="D15" s="68">
        <v>31</v>
      </c>
      <c r="E15" s="68" t="s">
        <v>23</v>
      </c>
      <c r="F15" s="68">
        <v>1</v>
      </c>
      <c r="G15" s="68" t="s">
        <v>859</v>
      </c>
      <c r="H15" s="68" t="s">
        <v>51</v>
      </c>
      <c r="I15" s="68" t="s">
        <v>52</v>
      </c>
      <c r="J15" s="68" t="s">
        <v>808</v>
      </c>
      <c r="K15" s="68" t="s">
        <v>37</v>
      </c>
      <c r="L15" s="68">
        <v>0.15</v>
      </c>
      <c r="M15" s="68">
        <v>0.12</v>
      </c>
      <c r="N15" s="68">
        <v>0.09</v>
      </c>
      <c r="O15" s="68">
        <v>0.06</v>
      </c>
      <c r="P15" s="68">
        <v>0.03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872</v>
      </c>
      <c r="C16" s="68">
        <v>8872</v>
      </c>
      <c r="D16" s="68">
        <v>31</v>
      </c>
      <c r="E16" s="68" t="s">
        <v>33</v>
      </c>
      <c r="F16" s="68">
        <v>1</v>
      </c>
      <c r="G16" s="68" t="s">
        <v>859</v>
      </c>
      <c r="H16" s="68" t="s">
        <v>51</v>
      </c>
      <c r="I16" s="68" t="s">
        <v>52</v>
      </c>
      <c r="J16" s="68" t="s">
        <v>808</v>
      </c>
      <c r="K16" s="68" t="s">
        <v>37</v>
      </c>
      <c r="L16" s="68">
        <v>0.15</v>
      </c>
      <c r="M16" s="68">
        <v>0.12</v>
      </c>
      <c r="N16" s="68">
        <v>0.09</v>
      </c>
      <c r="O16" s="68">
        <v>0.06</v>
      </c>
      <c r="P16" s="68">
        <v>0.03</v>
      </c>
      <c r="Q16" s="68">
        <v>0</v>
      </c>
      <c r="R16" s="68"/>
      <c r="S16" s="68"/>
      <c r="T16" s="68"/>
      <c r="U16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CC64-185F-429B-95F7-6F1D28CDDACD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89" t="s">
        <v>1352</v>
      </c>
      <c r="B1" s="89" t="s">
        <v>22</v>
      </c>
      <c r="C1" s="89" t="s">
        <v>1351</v>
      </c>
      <c r="D1" s="89" t="s">
        <v>1350</v>
      </c>
      <c r="E1" s="89" t="s">
        <v>37</v>
      </c>
      <c r="F1" s="89" t="s">
        <v>1349</v>
      </c>
      <c r="G1" s="89" t="s">
        <v>1348</v>
      </c>
      <c r="H1" s="89" t="s">
        <v>776</v>
      </c>
      <c r="I1" s="89" t="s">
        <v>41</v>
      </c>
      <c r="J1" s="89" t="s">
        <v>42</v>
      </c>
      <c r="K1" s="89" t="s">
        <v>39</v>
      </c>
      <c r="L1" s="89" t="s">
        <v>57</v>
      </c>
    </row>
    <row r="2" spans="1:12" x14ac:dyDescent="0.2">
      <c r="A2" s="85" t="s">
        <v>1347</v>
      </c>
      <c r="B2" s="91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694.37120416690539</v>
      </c>
      <c r="C2" s="91">
        <f t="shared" si="0"/>
        <v>652.84871060807916</v>
      </c>
      <c r="D2" s="91">
        <f t="shared" si="0"/>
        <v>638.87084148926647</v>
      </c>
      <c r="E2" s="91">
        <f t="shared" si="0"/>
        <v>694.37120416690539</v>
      </c>
      <c r="F2" s="91">
        <f t="shared" si="0"/>
        <v>381.92471798167855</v>
      </c>
      <c r="G2" s="91">
        <f t="shared" si="0"/>
        <v>416.45827698109838</v>
      </c>
      <c r="H2" s="91">
        <f t="shared" si="0"/>
        <v>0</v>
      </c>
      <c r="I2" s="91">
        <f t="shared" si="0"/>
        <v>703.59204589867272</v>
      </c>
      <c r="J2" s="91">
        <f t="shared" si="0"/>
        <v>703.59204589867272</v>
      </c>
      <c r="K2" s="91">
        <f t="shared" si="0"/>
        <v>210.08980619460431</v>
      </c>
      <c r="L2" s="91">
        <f t="shared" si="0"/>
        <v>0</v>
      </c>
    </row>
    <row r="3" spans="1:12" ht="12" thickBot="1" x14ac:dyDescent="0.25">
      <c r="A3" s="83" t="s">
        <v>1346</v>
      </c>
      <c r="B3" s="90">
        <v>16.89</v>
      </c>
      <c r="C3" s="90">
        <v>15.88</v>
      </c>
      <c r="D3" s="90">
        <v>15.54</v>
      </c>
      <c r="E3" s="90">
        <v>16.89</v>
      </c>
      <c r="F3" s="90">
        <v>9.2899999999999991</v>
      </c>
      <c r="G3" s="90">
        <v>10.130000000000001</v>
      </c>
      <c r="H3" s="90">
        <v>0</v>
      </c>
      <c r="I3" s="90">
        <f>'TUSD BE'!$AC$22</f>
        <v>17.114289279156392</v>
      </c>
      <c r="J3" s="90">
        <f>'TUSD BE'!$AC$12</f>
        <v>17.114289279156392</v>
      </c>
      <c r="K3" s="90">
        <f>'TUSD BE'!$AC$8</f>
        <v>5.110259188936551</v>
      </c>
      <c r="L3" s="90">
        <v>0</v>
      </c>
    </row>
    <row r="5" spans="1:12" ht="12" thickBot="1" x14ac:dyDescent="0.25">
      <c r="A5" s="89" t="s">
        <v>1345</v>
      </c>
      <c r="B5" s="89" t="s">
        <v>1344</v>
      </c>
    </row>
    <row r="6" spans="1:12" x14ac:dyDescent="0.2">
      <c r="A6" s="85" t="s">
        <v>1343</v>
      </c>
      <c r="B6" s="88">
        <v>0.1226</v>
      </c>
    </row>
    <row r="7" spans="1:12" x14ac:dyDescent="0.2">
      <c r="A7" s="87" t="s">
        <v>1342</v>
      </c>
      <c r="B7" s="86">
        <v>0.34</v>
      </c>
    </row>
    <row r="8" spans="1:12" x14ac:dyDescent="0.2">
      <c r="A8" s="85" t="s">
        <v>1341</v>
      </c>
      <c r="B8" s="84">
        <v>229212273.14815989</v>
      </c>
    </row>
    <row r="9" spans="1:12" x14ac:dyDescent="0.2">
      <c r="A9" s="87" t="s">
        <v>1340</v>
      </c>
      <c r="B9" s="86">
        <v>3.9E-2</v>
      </c>
    </row>
    <row r="10" spans="1:12" x14ac:dyDescent="0.2">
      <c r="A10" s="85" t="s">
        <v>1339</v>
      </c>
      <c r="B10" s="84">
        <v>127706211.39813371</v>
      </c>
    </row>
    <row r="11" spans="1:12" ht="12" thickBot="1" x14ac:dyDescent="0.25">
      <c r="A11" s="83" t="s">
        <v>1338</v>
      </c>
      <c r="B11" s="82">
        <f>(1+$B$6)^(1/IF($B$9&lt;&gt;0,$B$9,1))*$B$6/IF((1+$B$6)^(1/IF($B$9&lt;&gt;0,$B$9,1))-1&lt;&gt;0,(1+$B$6)^(1/IF($B$9&lt;&gt;0,$B$9,1))-1,1)</f>
        <v>0.12926272394049823</v>
      </c>
    </row>
    <row r="18" spans="2:2" x14ac:dyDescent="0.2">
      <c r="B18" s="8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A120-15CE-4FE1-B9AE-6B00AAD3EC1D}">
  <dimension ref="B1:AT76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20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6" t="s">
        <v>1392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7"/>
      <c r="AI1" s="146" t="s">
        <v>1393</v>
      </c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1391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1391</v>
      </c>
    </row>
    <row r="3" spans="2:46" ht="12" customHeight="1" x14ac:dyDescent="0.25">
      <c r="B3" s="137" t="s">
        <v>67</v>
      </c>
      <c r="C3" s="138" t="s">
        <v>68</v>
      </c>
      <c r="D3" s="138" t="s">
        <v>69</v>
      </c>
      <c r="E3" s="138" t="s">
        <v>70</v>
      </c>
      <c r="F3" s="138" t="s">
        <v>71</v>
      </c>
      <c r="G3" s="138" t="s">
        <v>73</v>
      </c>
      <c r="H3" s="138" t="s">
        <v>74</v>
      </c>
      <c r="I3" s="138" t="s">
        <v>921</v>
      </c>
      <c r="J3" s="138" t="s">
        <v>1353</v>
      </c>
      <c r="K3" s="138" t="s">
        <v>1354</v>
      </c>
      <c r="L3" s="138" t="s">
        <v>1355</v>
      </c>
      <c r="M3" s="138" t="s">
        <v>1356</v>
      </c>
      <c r="N3" s="138" t="s">
        <v>1357</v>
      </c>
      <c r="O3" s="138" t="s">
        <v>1358</v>
      </c>
      <c r="P3" s="138" t="s">
        <v>1359</v>
      </c>
      <c r="Q3" s="138" t="s">
        <v>1360</v>
      </c>
      <c r="R3" s="138" t="s">
        <v>1361</v>
      </c>
      <c r="S3" s="138" t="s">
        <v>1362</v>
      </c>
      <c r="T3" s="138" t="s">
        <v>1363</v>
      </c>
      <c r="U3" s="138" t="s">
        <v>1364</v>
      </c>
      <c r="V3" s="138" t="s">
        <v>1365</v>
      </c>
      <c r="W3" s="138" t="s">
        <v>1366</v>
      </c>
      <c r="X3" s="138" t="s">
        <v>1367</v>
      </c>
      <c r="Y3" s="138" t="s">
        <v>1368</v>
      </c>
      <c r="Z3" s="138" t="s">
        <v>1369</v>
      </c>
      <c r="AA3" s="138" t="s">
        <v>1370</v>
      </c>
      <c r="AB3" s="138" t="s">
        <v>1371</v>
      </c>
      <c r="AC3" s="138" t="s">
        <v>1372</v>
      </c>
      <c r="AD3" s="138" t="s">
        <v>1373</v>
      </c>
      <c r="AE3" s="138" t="s">
        <v>1374</v>
      </c>
      <c r="AF3" s="138" t="s">
        <v>1375</v>
      </c>
      <c r="AG3" s="138" t="s">
        <v>1376</v>
      </c>
      <c r="AH3" s="138" t="s">
        <v>1377</v>
      </c>
      <c r="AI3" s="138" t="s">
        <v>1378</v>
      </c>
      <c r="AJ3" s="138" t="s">
        <v>1379</v>
      </c>
      <c r="AK3" s="138" t="s">
        <v>1380</v>
      </c>
      <c r="AL3" s="138" t="s">
        <v>1381</v>
      </c>
      <c r="AM3" s="138" t="s">
        <v>1382</v>
      </c>
      <c r="AN3" s="138" t="s">
        <v>1383</v>
      </c>
      <c r="AO3" s="138" t="s">
        <v>1384</v>
      </c>
      <c r="AP3" s="138" t="s">
        <v>1385</v>
      </c>
      <c r="AQ3" s="138" t="s">
        <v>1386</v>
      </c>
      <c r="AR3" s="138" t="s">
        <v>1387</v>
      </c>
      <c r="AS3" s="138" t="s">
        <v>1388</v>
      </c>
      <c r="AT3" s="139" t="s">
        <v>1389</v>
      </c>
    </row>
    <row r="4" spans="2:46" ht="12" customHeight="1" x14ac:dyDescent="0.25">
      <c r="B4" s="140" t="s">
        <v>57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25</v>
      </c>
      <c r="H4" s="141" t="s">
        <v>76</v>
      </c>
      <c r="I4" s="141" t="s">
        <v>77</v>
      </c>
      <c r="J4" s="141">
        <v>1.2</v>
      </c>
      <c r="K4" s="141">
        <v>0</v>
      </c>
      <c r="L4" s="141">
        <v>0</v>
      </c>
      <c r="M4" s="141">
        <v>3.7084555084387801E-2</v>
      </c>
      <c r="N4" s="141">
        <v>8.8900000000000007E-2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A4" s="141">
        <v>1.1598440705877799</v>
      </c>
      <c r="AB4" s="141">
        <v>-8.5124092935508294E-2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1">
        <v>0</v>
      </c>
      <c r="AS4" s="141">
        <v>0</v>
      </c>
      <c r="AT4" s="142">
        <v>0</v>
      </c>
    </row>
    <row r="5" spans="2:46" ht="12" customHeight="1" x14ac:dyDescent="0.25">
      <c r="B5" s="140" t="s">
        <v>57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76</v>
      </c>
      <c r="I5" s="141" t="s">
        <v>59</v>
      </c>
      <c r="J5" s="141">
        <v>6.47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0.14871898812332199</v>
      </c>
      <c r="AA5" s="141">
        <v>6.7814604781213097</v>
      </c>
      <c r="AB5" s="141">
        <v>-0.45866590356789599</v>
      </c>
      <c r="AC5" s="141">
        <v>0</v>
      </c>
      <c r="AD5" s="141">
        <v>0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1">
        <v>0</v>
      </c>
      <c r="AS5" s="141">
        <v>0</v>
      </c>
      <c r="AT5" s="142">
        <v>0</v>
      </c>
    </row>
    <row r="6" spans="2:46" ht="12" customHeight="1" x14ac:dyDescent="0.25">
      <c r="B6" s="140" t="s">
        <v>39</v>
      </c>
      <c r="C6" s="141" t="s">
        <v>40</v>
      </c>
      <c r="D6" s="141" t="s">
        <v>25</v>
      </c>
      <c r="E6" s="141" t="s">
        <v>25</v>
      </c>
      <c r="F6" s="141" t="s">
        <v>85</v>
      </c>
      <c r="G6" s="141" t="s">
        <v>34</v>
      </c>
      <c r="H6" s="141" t="s">
        <v>79</v>
      </c>
      <c r="I6" s="141" t="s">
        <v>25</v>
      </c>
      <c r="J6" s="141">
        <v>63.91</v>
      </c>
      <c r="K6" s="141">
        <v>0</v>
      </c>
      <c r="L6" s="141">
        <v>0</v>
      </c>
      <c r="M6" s="141">
        <v>0.27657178368125201</v>
      </c>
      <c r="N6" s="141">
        <v>0.83630412876215898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0</v>
      </c>
      <c r="Z6" s="141">
        <v>0</v>
      </c>
      <c r="AA6" s="141">
        <v>0</v>
      </c>
      <c r="AB6" s="141">
        <v>-5.3235184301976499</v>
      </c>
      <c r="AC6" s="141">
        <v>0</v>
      </c>
      <c r="AD6" s="141">
        <v>0</v>
      </c>
      <c r="AE6" s="141">
        <v>29.379344067512001</v>
      </c>
      <c r="AF6" s="141">
        <v>2.37545319814171</v>
      </c>
      <c r="AG6" s="141">
        <v>29.581251433049999</v>
      </c>
      <c r="AH6" s="141">
        <v>6.7809001915567499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1">
        <v>0</v>
      </c>
      <c r="AS6" s="141">
        <v>0</v>
      </c>
      <c r="AT6" s="142">
        <v>0</v>
      </c>
    </row>
    <row r="7" spans="2:46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85</v>
      </c>
      <c r="G7" s="141" t="s">
        <v>34</v>
      </c>
      <c r="H7" s="141" t="s">
        <v>76</v>
      </c>
      <c r="I7" s="141" t="s">
        <v>25</v>
      </c>
      <c r="J7" s="141">
        <v>46.36</v>
      </c>
      <c r="K7" s="141">
        <v>0</v>
      </c>
      <c r="L7" s="141">
        <v>0</v>
      </c>
      <c r="M7" s="141">
        <v>0</v>
      </c>
      <c r="N7" s="141">
        <v>0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8.7068631406927093</v>
      </c>
      <c r="U7" s="141">
        <v>1.31968309586626</v>
      </c>
      <c r="V7" s="141">
        <v>4.8260227887235302E-2</v>
      </c>
      <c r="W7" s="141">
        <v>0</v>
      </c>
      <c r="X7" s="141">
        <v>0</v>
      </c>
      <c r="Y7" s="141">
        <v>0</v>
      </c>
      <c r="Z7" s="141">
        <v>0</v>
      </c>
      <c r="AA7" s="141">
        <v>39.647648725858097</v>
      </c>
      <c r="AB7" s="141">
        <v>-3.3601942833625902</v>
      </c>
      <c r="AC7" s="141">
        <v>0</v>
      </c>
      <c r="AD7" s="141">
        <v>0</v>
      </c>
      <c r="AE7" s="141">
        <v>0</v>
      </c>
      <c r="AF7" s="141">
        <v>0</v>
      </c>
      <c r="AG7" s="141">
        <v>0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1">
        <v>0</v>
      </c>
      <c r="AS7" s="141">
        <v>0</v>
      </c>
      <c r="AT7" s="142">
        <v>0</v>
      </c>
    </row>
    <row r="8" spans="2:46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85</v>
      </c>
      <c r="G8" s="141" t="s">
        <v>35</v>
      </c>
      <c r="H8" s="141" t="s">
        <v>79</v>
      </c>
      <c r="I8" s="141" t="s">
        <v>25</v>
      </c>
      <c r="J8" s="141">
        <v>63.91</v>
      </c>
      <c r="K8" s="141">
        <v>0</v>
      </c>
      <c r="L8" s="141">
        <v>0</v>
      </c>
      <c r="M8" s="141">
        <v>0.27657178368125201</v>
      </c>
      <c r="N8" s="141">
        <v>0.83630412876215898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>
        <v>0</v>
      </c>
      <c r="Z8" s="141">
        <v>0</v>
      </c>
      <c r="AA8" s="141">
        <v>0</v>
      </c>
      <c r="AB8" s="141">
        <v>-5.3235184301976499</v>
      </c>
      <c r="AC8" s="141">
        <v>0</v>
      </c>
      <c r="AD8" s="141">
        <v>0</v>
      </c>
      <c r="AE8" s="141">
        <v>29.379344067512001</v>
      </c>
      <c r="AF8" s="141">
        <v>2.37545319814171</v>
      </c>
      <c r="AG8" s="141">
        <v>29.581251433049999</v>
      </c>
      <c r="AH8" s="141">
        <v>6.7809001915567499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1">
        <v>0</v>
      </c>
      <c r="AS8" s="141">
        <v>0</v>
      </c>
      <c r="AT8" s="142">
        <v>0</v>
      </c>
    </row>
    <row r="9" spans="2:46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85</v>
      </c>
      <c r="G9" s="141" t="s">
        <v>35</v>
      </c>
      <c r="H9" s="141" t="s">
        <v>76</v>
      </c>
      <c r="I9" s="141" t="s">
        <v>25</v>
      </c>
      <c r="J9" s="141">
        <v>15.5</v>
      </c>
      <c r="K9" s="141">
        <v>0</v>
      </c>
      <c r="L9" s="141">
        <v>0</v>
      </c>
      <c r="M9" s="141">
        <v>0</v>
      </c>
      <c r="N9" s="141">
        <v>0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9.9483884999046595</v>
      </c>
      <c r="U9" s="141">
        <v>1.55391218418211</v>
      </c>
      <c r="V9" s="141">
        <v>5.1800097903414E-2</v>
      </c>
      <c r="W9" s="141">
        <v>0</v>
      </c>
      <c r="X9" s="141">
        <v>0</v>
      </c>
      <c r="Y9" s="141">
        <v>0</v>
      </c>
      <c r="Z9" s="141">
        <v>0</v>
      </c>
      <c r="AA9" s="141">
        <v>5.1276960112940202</v>
      </c>
      <c r="AB9" s="141">
        <v>-1.1794267516588399</v>
      </c>
      <c r="AC9" s="141">
        <v>0</v>
      </c>
      <c r="AD9" s="141">
        <v>0</v>
      </c>
      <c r="AE9" s="141">
        <v>0</v>
      </c>
      <c r="AF9" s="141">
        <v>0</v>
      </c>
      <c r="AG9" s="141">
        <v>0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1">
        <v>0</v>
      </c>
      <c r="AS9" s="141">
        <v>0</v>
      </c>
      <c r="AT9" s="142">
        <v>0</v>
      </c>
    </row>
    <row r="10" spans="2:46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25</v>
      </c>
      <c r="G10" s="141" t="s">
        <v>34</v>
      </c>
      <c r="H10" s="141" t="s">
        <v>79</v>
      </c>
      <c r="I10" s="141" t="s">
        <v>25</v>
      </c>
      <c r="J10" s="141">
        <v>133.62</v>
      </c>
      <c r="K10" s="141">
        <v>322.12</v>
      </c>
      <c r="L10" s="141">
        <v>15.6310081638626</v>
      </c>
      <c r="M10" s="141">
        <v>0.27657178368125201</v>
      </c>
      <c r="N10" s="141">
        <v>0.84784703526043304</v>
      </c>
      <c r="O10" s="141">
        <v>0</v>
      </c>
      <c r="P10" s="141">
        <v>0</v>
      </c>
      <c r="Q10" s="141">
        <v>36.0807536229864</v>
      </c>
      <c r="R10" s="141">
        <v>21.6649913154762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141">
        <v>0</v>
      </c>
      <c r="AA10" s="141">
        <v>0</v>
      </c>
      <c r="AB10" s="141">
        <v>-8.9989131260535107</v>
      </c>
      <c r="AC10" s="141">
        <v>0</v>
      </c>
      <c r="AD10" s="141">
        <v>0</v>
      </c>
      <c r="AE10" s="141">
        <v>29.379344067512001</v>
      </c>
      <c r="AF10" s="141">
        <v>2.37545319814171</v>
      </c>
      <c r="AG10" s="141">
        <v>29.581251433049999</v>
      </c>
      <c r="AH10" s="141">
        <v>6.7809001915567499</v>
      </c>
      <c r="AI10" s="141">
        <v>11.803829801518299</v>
      </c>
      <c r="AJ10" s="141">
        <v>-17.197125811903</v>
      </c>
      <c r="AK10" s="141">
        <v>2.3178389475020298</v>
      </c>
      <c r="AL10" s="141">
        <v>68.505017061817995</v>
      </c>
      <c r="AM10" s="141">
        <v>0</v>
      </c>
      <c r="AN10" s="141">
        <v>276.072985054436</v>
      </c>
      <c r="AO10" s="141">
        <v>0</v>
      </c>
      <c r="AP10" s="141">
        <v>0</v>
      </c>
      <c r="AQ10" s="141">
        <v>0</v>
      </c>
      <c r="AR10" s="141">
        <v>-24.104402290528199</v>
      </c>
      <c r="AS10" s="141">
        <v>0</v>
      </c>
      <c r="AT10" s="142">
        <v>4.7266311293982399</v>
      </c>
    </row>
    <row r="11" spans="2:46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76</v>
      </c>
      <c r="I11" s="141" t="s">
        <v>25</v>
      </c>
      <c r="J11" s="141">
        <v>46.36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8.7068631406927093</v>
      </c>
      <c r="U11" s="141">
        <v>1.31968309586626</v>
      </c>
      <c r="V11" s="141">
        <v>4.8260227887235302E-2</v>
      </c>
      <c r="W11" s="141">
        <v>0</v>
      </c>
      <c r="X11" s="141">
        <v>0</v>
      </c>
      <c r="Y11" s="141">
        <v>0</v>
      </c>
      <c r="Z11" s="141">
        <v>0</v>
      </c>
      <c r="AA11" s="141">
        <v>39.647648725858097</v>
      </c>
      <c r="AB11" s="141">
        <v>-3.3601942833625902</v>
      </c>
      <c r="AC11" s="141">
        <v>0</v>
      </c>
      <c r="AD11" s="141">
        <v>0</v>
      </c>
      <c r="AE11" s="141">
        <v>0</v>
      </c>
      <c r="AF11" s="141">
        <v>0</v>
      </c>
      <c r="AG11" s="141">
        <v>0</v>
      </c>
      <c r="AH11" s="141">
        <v>0</v>
      </c>
      <c r="AI11" s="141">
        <v>0</v>
      </c>
      <c r="AJ11" s="141">
        <v>0</v>
      </c>
      <c r="AK11" s="141">
        <v>0</v>
      </c>
      <c r="AL11" s="141">
        <v>0</v>
      </c>
      <c r="AM11" s="141">
        <v>0</v>
      </c>
      <c r="AN11" s="141">
        <v>0</v>
      </c>
      <c r="AO11" s="141">
        <v>0</v>
      </c>
      <c r="AP11" s="141">
        <v>0</v>
      </c>
      <c r="AQ11" s="141">
        <v>0</v>
      </c>
      <c r="AR11" s="141">
        <v>0</v>
      </c>
      <c r="AS11" s="141">
        <v>0</v>
      </c>
      <c r="AT11" s="142">
        <v>0</v>
      </c>
    </row>
    <row r="12" spans="2:46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35</v>
      </c>
      <c r="H12" s="141" t="s">
        <v>79</v>
      </c>
      <c r="I12" s="141" t="s">
        <v>25</v>
      </c>
      <c r="J12" s="141">
        <v>133.62</v>
      </c>
      <c r="K12" s="141">
        <v>215.6</v>
      </c>
      <c r="L12" s="141">
        <v>15.6310081638626</v>
      </c>
      <c r="M12" s="141">
        <v>0.27657178368125201</v>
      </c>
      <c r="N12" s="141">
        <v>0.84784703526043304</v>
      </c>
      <c r="O12" s="141">
        <v>0</v>
      </c>
      <c r="P12" s="141">
        <v>0</v>
      </c>
      <c r="Q12" s="141">
        <v>36.0807536229864</v>
      </c>
      <c r="R12" s="141">
        <v>21.6649913154762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-8.9989131260535107</v>
      </c>
      <c r="AC12" s="141">
        <v>0</v>
      </c>
      <c r="AD12" s="141">
        <v>0</v>
      </c>
      <c r="AE12" s="141">
        <v>29.379344067512001</v>
      </c>
      <c r="AF12" s="141">
        <v>2.37545319814171</v>
      </c>
      <c r="AG12" s="141">
        <v>29.581251433049999</v>
      </c>
      <c r="AH12" s="141">
        <v>6.7809001915567499</v>
      </c>
      <c r="AI12" s="141">
        <v>11.803829801518299</v>
      </c>
      <c r="AJ12" s="141">
        <v>-17.197125811903</v>
      </c>
      <c r="AK12" s="141">
        <v>2.3178389475020298</v>
      </c>
      <c r="AL12" s="141">
        <v>68.505017061817995</v>
      </c>
      <c r="AM12" s="141">
        <v>0</v>
      </c>
      <c r="AN12" s="141">
        <v>160.507549450254</v>
      </c>
      <c r="AO12" s="141">
        <v>0</v>
      </c>
      <c r="AP12" s="141">
        <v>0</v>
      </c>
      <c r="AQ12" s="141">
        <v>0</v>
      </c>
      <c r="AR12" s="141">
        <v>-15.0609603196026</v>
      </c>
      <c r="AS12" s="141">
        <v>0</v>
      </c>
      <c r="AT12" s="142">
        <v>4.7266311293982399</v>
      </c>
    </row>
    <row r="13" spans="2:46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76</v>
      </c>
      <c r="I13" s="141" t="s">
        <v>25</v>
      </c>
      <c r="J13" s="141">
        <v>15.5</v>
      </c>
      <c r="K13" s="141">
        <v>0</v>
      </c>
      <c r="L13" s="141">
        <v>0</v>
      </c>
      <c r="M13" s="141">
        <v>0</v>
      </c>
      <c r="N13" s="141">
        <v>0</v>
      </c>
      <c r="O13" s="141">
        <v>0</v>
      </c>
      <c r="P13" s="141">
        <v>0</v>
      </c>
      <c r="Q13" s="141">
        <v>0</v>
      </c>
      <c r="R13" s="141">
        <v>0</v>
      </c>
      <c r="S13" s="141">
        <v>0</v>
      </c>
      <c r="T13" s="141">
        <v>9.9483884999046595</v>
      </c>
      <c r="U13" s="141">
        <v>1.55391218418211</v>
      </c>
      <c r="V13" s="141">
        <v>5.1800097903414E-2</v>
      </c>
      <c r="W13" s="141">
        <v>0</v>
      </c>
      <c r="X13" s="141">
        <v>0</v>
      </c>
      <c r="Y13" s="141">
        <v>0</v>
      </c>
      <c r="Z13" s="141">
        <v>0</v>
      </c>
      <c r="AA13" s="141">
        <v>5.1276960112940202</v>
      </c>
      <c r="AB13" s="141">
        <v>-1.1794267516588399</v>
      </c>
      <c r="AC13" s="141">
        <v>0</v>
      </c>
      <c r="AD13" s="141">
        <v>0</v>
      </c>
      <c r="AE13" s="141">
        <v>0</v>
      </c>
      <c r="AF13" s="141">
        <v>0</v>
      </c>
      <c r="AG13" s="141">
        <v>0</v>
      </c>
      <c r="AH13" s="141">
        <v>0</v>
      </c>
      <c r="AI13" s="141">
        <v>0</v>
      </c>
      <c r="AJ13" s="141">
        <v>0</v>
      </c>
      <c r="AK13" s="141">
        <v>0</v>
      </c>
      <c r="AL13" s="141">
        <v>0</v>
      </c>
      <c r="AM13" s="141">
        <v>0</v>
      </c>
      <c r="AN13" s="141">
        <v>0</v>
      </c>
      <c r="AO13" s="141">
        <v>0</v>
      </c>
      <c r="AP13" s="141">
        <v>0</v>
      </c>
      <c r="AQ13" s="141">
        <v>0</v>
      </c>
      <c r="AR13" s="141">
        <v>0</v>
      </c>
      <c r="AS13" s="141">
        <v>0</v>
      </c>
      <c r="AT13" s="142">
        <v>0</v>
      </c>
    </row>
    <row r="14" spans="2:46" ht="12" customHeight="1" x14ac:dyDescent="0.25">
      <c r="B14" s="140" t="s">
        <v>42</v>
      </c>
      <c r="C14" s="141" t="s">
        <v>40</v>
      </c>
      <c r="D14" s="141" t="s">
        <v>25</v>
      </c>
      <c r="E14" s="141" t="s">
        <v>25</v>
      </c>
      <c r="F14" s="141" t="s">
        <v>85</v>
      </c>
      <c r="G14" s="141" t="s">
        <v>34</v>
      </c>
      <c r="H14" s="141" t="s">
        <v>79</v>
      </c>
      <c r="I14" s="141" t="s">
        <v>25</v>
      </c>
      <c r="J14" s="141">
        <v>94.36</v>
      </c>
      <c r="K14" s="141">
        <v>0</v>
      </c>
      <c r="L14" s="141">
        <v>0</v>
      </c>
      <c r="M14" s="141">
        <v>0.80627114812533496</v>
      </c>
      <c r="N14" s="141">
        <v>1.5310329239885301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0</v>
      </c>
      <c r="Y14" s="141">
        <v>0</v>
      </c>
      <c r="Z14" s="141">
        <v>0</v>
      </c>
      <c r="AA14" s="141">
        <v>0</v>
      </c>
      <c r="AB14" s="141">
        <v>-7.8160333396291399</v>
      </c>
      <c r="AC14" s="141">
        <v>0</v>
      </c>
      <c r="AD14" s="141">
        <v>0</v>
      </c>
      <c r="AE14" s="141">
        <v>29.379344067512001</v>
      </c>
      <c r="AF14" s="141">
        <v>2.37545319814171</v>
      </c>
      <c r="AG14" s="141">
        <v>55.390585219323</v>
      </c>
      <c r="AH14" s="141">
        <v>12.697164985539001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1">
        <v>0</v>
      </c>
      <c r="AS14" s="141">
        <v>0</v>
      </c>
      <c r="AT14" s="142">
        <v>0</v>
      </c>
    </row>
    <row r="15" spans="2:46" ht="12" customHeight="1" x14ac:dyDescent="0.25">
      <c r="B15" s="140" t="s">
        <v>42</v>
      </c>
      <c r="C15" s="141" t="s">
        <v>40</v>
      </c>
      <c r="D15" s="141" t="s">
        <v>25</v>
      </c>
      <c r="E15" s="141" t="s">
        <v>25</v>
      </c>
      <c r="F15" s="141" t="s">
        <v>85</v>
      </c>
      <c r="G15" s="141" t="s">
        <v>34</v>
      </c>
      <c r="H15" s="141" t="s">
        <v>76</v>
      </c>
      <c r="I15" s="141" t="s">
        <v>25</v>
      </c>
      <c r="J15" s="141">
        <v>54.25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8.7068631406927093</v>
      </c>
      <c r="U15" s="141">
        <v>1.31968309586626</v>
      </c>
      <c r="V15" s="141">
        <v>4.8260227887235302E-2</v>
      </c>
      <c r="W15" s="141">
        <v>0</v>
      </c>
      <c r="X15" s="141">
        <v>0</v>
      </c>
      <c r="Y15" s="141">
        <v>0</v>
      </c>
      <c r="Z15" s="141">
        <v>0</v>
      </c>
      <c r="AA15" s="141">
        <v>48.0935808435433</v>
      </c>
      <c r="AB15" s="141">
        <v>-3.9199657679498401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1">
        <v>0</v>
      </c>
      <c r="AS15" s="141">
        <v>0</v>
      </c>
      <c r="AT15" s="142">
        <v>0</v>
      </c>
    </row>
    <row r="16" spans="2:46" ht="12" customHeight="1" x14ac:dyDescent="0.25">
      <c r="B16" s="140" t="s">
        <v>42</v>
      </c>
      <c r="C16" s="141" t="s">
        <v>40</v>
      </c>
      <c r="D16" s="141" t="s">
        <v>25</v>
      </c>
      <c r="E16" s="141" t="s">
        <v>25</v>
      </c>
      <c r="F16" s="141" t="s">
        <v>85</v>
      </c>
      <c r="G16" s="141" t="s">
        <v>35</v>
      </c>
      <c r="H16" s="141" t="s">
        <v>79</v>
      </c>
      <c r="I16" s="141" t="s">
        <v>25</v>
      </c>
      <c r="J16" s="141">
        <v>94.36</v>
      </c>
      <c r="K16" s="141">
        <v>0</v>
      </c>
      <c r="L16" s="141">
        <v>0</v>
      </c>
      <c r="M16" s="141">
        <v>0.80627114812533496</v>
      </c>
      <c r="N16" s="141">
        <v>1.5310329239885301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-7.8160333396291399</v>
      </c>
      <c r="AC16" s="141">
        <v>0</v>
      </c>
      <c r="AD16" s="141">
        <v>0</v>
      </c>
      <c r="AE16" s="141">
        <v>29.379344067512001</v>
      </c>
      <c r="AF16" s="141">
        <v>2.37545319814171</v>
      </c>
      <c r="AG16" s="141">
        <v>55.390585219323</v>
      </c>
      <c r="AH16" s="141">
        <v>12.697164985539001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1">
        <v>0</v>
      </c>
      <c r="AS16" s="141">
        <v>0</v>
      </c>
      <c r="AT16" s="142">
        <v>0</v>
      </c>
    </row>
    <row r="17" spans="2:46" ht="12" customHeight="1" x14ac:dyDescent="0.25">
      <c r="B17" s="140" t="s">
        <v>42</v>
      </c>
      <c r="C17" s="141" t="s">
        <v>40</v>
      </c>
      <c r="D17" s="141" t="s">
        <v>25</v>
      </c>
      <c r="E17" s="141" t="s">
        <v>25</v>
      </c>
      <c r="F17" s="141" t="s">
        <v>85</v>
      </c>
      <c r="G17" s="141" t="s">
        <v>35</v>
      </c>
      <c r="H17" s="141" t="s">
        <v>76</v>
      </c>
      <c r="I17" s="141" t="s">
        <v>25</v>
      </c>
      <c r="J17" s="141">
        <v>21.19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4.7863029689599204</v>
      </c>
      <c r="U17" s="141">
        <v>0.74758992649689704</v>
      </c>
      <c r="V17" s="141">
        <v>2.48970857804564E-2</v>
      </c>
      <c r="W17" s="141">
        <v>0</v>
      </c>
      <c r="X17" s="141">
        <v>0</v>
      </c>
      <c r="Y17" s="141">
        <v>0</v>
      </c>
      <c r="Z17" s="141">
        <v>0</v>
      </c>
      <c r="AA17" s="141">
        <v>17.172685303878801</v>
      </c>
      <c r="AB17" s="141">
        <v>-1.5420844705862999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1">
        <v>0</v>
      </c>
      <c r="AS17" s="141">
        <v>0</v>
      </c>
      <c r="AT17" s="142">
        <v>0</v>
      </c>
    </row>
    <row r="18" spans="2:46" ht="12" customHeight="1" x14ac:dyDescent="0.25">
      <c r="B18" s="140" t="s">
        <v>42</v>
      </c>
      <c r="C18" s="141" t="s">
        <v>40</v>
      </c>
      <c r="D18" s="141" t="s">
        <v>25</v>
      </c>
      <c r="E18" s="141" t="s">
        <v>25</v>
      </c>
      <c r="F18" s="141" t="s">
        <v>25</v>
      </c>
      <c r="G18" s="141" t="s">
        <v>34</v>
      </c>
      <c r="H18" s="141" t="s">
        <v>79</v>
      </c>
      <c r="I18" s="141" t="s">
        <v>25</v>
      </c>
      <c r="J18" s="141">
        <v>181.48</v>
      </c>
      <c r="K18" s="141">
        <v>322.12</v>
      </c>
      <c r="L18" s="141">
        <v>21.177494931684901</v>
      </c>
      <c r="M18" s="141">
        <v>0.80627114812533496</v>
      </c>
      <c r="N18" s="141">
        <v>1.54257583048681</v>
      </c>
      <c r="O18" s="141">
        <v>0</v>
      </c>
      <c r="P18" s="141">
        <v>0</v>
      </c>
      <c r="Q18" s="141">
        <v>48.883601682755803</v>
      </c>
      <c r="R18" s="141">
        <v>21.6649913154762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-12.441068681137599</v>
      </c>
      <c r="AC18" s="141">
        <v>0</v>
      </c>
      <c r="AD18" s="141">
        <v>0</v>
      </c>
      <c r="AE18" s="141">
        <v>29.379344067512001</v>
      </c>
      <c r="AF18" s="141">
        <v>2.37545319814171</v>
      </c>
      <c r="AG18" s="141">
        <v>55.390585219323</v>
      </c>
      <c r="AH18" s="141">
        <v>12.697164985539001</v>
      </c>
      <c r="AI18" s="141">
        <v>11.803829801518299</v>
      </c>
      <c r="AJ18" s="141">
        <v>-17.197125811903</v>
      </c>
      <c r="AK18" s="141">
        <v>2.3178389475020298</v>
      </c>
      <c r="AL18" s="141">
        <v>68.505017061817995</v>
      </c>
      <c r="AM18" s="141">
        <v>0</v>
      </c>
      <c r="AN18" s="141">
        <v>276.072985054436</v>
      </c>
      <c r="AO18" s="141">
        <v>0</v>
      </c>
      <c r="AP18" s="141">
        <v>0</v>
      </c>
      <c r="AQ18" s="141">
        <v>0</v>
      </c>
      <c r="AR18" s="141">
        <v>-24.104402290528199</v>
      </c>
      <c r="AS18" s="141">
        <v>0</v>
      </c>
      <c r="AT18" s="142">
        <v>4.7266311293982399</v>
      </c>
    </row>
    <row r="19" spans="2:46" ht="12" customHeight="1" x14ac:dyDescent="0.25">
      <c r="B19" s="140" t="s">
        <v>42</v>
      </c>
      <c r="C19" s="141" t="s">
        <v>40</v>
      </c>
      <c r="D19" s="141" t="s">
        <v>25</v>
      </c>
      <c r="E19" s="141" t="s">
        <v>25</v>
      </c>
      <c r="F19" s="141" t="s">
        <v>25</v>
      </c>
      <c r="G19" s="141" t="s">
        <v>34</v>
      </c>
      <c r="H19" s="141" t="s">
        <v>76</v>
      </c>
      <c r="I19" s="141" t="s">
        <v>25</v>
      </c>
      <c r="J19" s="141">
        <v>54.25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8.7068631406927093</v>
      </c>
      <c r="U19" s="141">
        <v>1.31968309586626</v>
      </c>
      <c r="V19" s="141">
        <v>4.8260227887235302E-2</v>
      </c>
      <c r="W19" s="141">
        <v>0</v>
      </c>
      <c r="X19" s="141">
        <v>0</v>
      </c>
      <c r="Y19" s="141">
        <v>0</v>
      </c>
      <c r="Z19" s="141">
        <v>0</v>
      </c>
      <c r="AA19" s="141">
        <v>48.0935808435433</v>
      </c>
      <c r="AB19" s="141">
        <v>-3.9199657679498401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1">
        <v>0</v>
      </c>
      <c r="AS19" s="141">
        <v>0</v>
      </c>
      <c r="AT19" s="142">
        <v>0</v>
      </c>
    </row>
    <row r="20" spans="2:46" ht="12" customHeight="1" x14ac:dyDescent="0.25">
      <c r="B20" s="140" t="s">
        <v>42</v>
      </c>
      <c r="C20" s="141" t="s">
        <v>40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79</v>
      </c>
      <c r="I20" s="141" t="s">
        <v>25</v>
      </c>
      <c r="J20" s="141">
        <v>181.48</v>
      </c>
      <c r="K20" s="141">
        <v>215.6</v>
      </c>
      <c r="L20" s="141">
        <v>21.177494931684901</v>
      </c>
      <c r="M20" s="141">
        <v>0.80627114812533496</v>
      </c>
      <c r="N20" s="141">
        <v>1.54257583048681</v>
      </c>
      <c r="O20" s="141">
        <v>0</v>
      </c>
      <c r="P20" s="141">
        <v>0</v>
      </c>
      <c r="Q20" s="141">
        <v>48.883601682755803</v>
      </c>
      <c r="R20" s="141">
        <v>21.6649913154762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0</v>
      </c>
      <c r="Z20" s="141">
        <v>0</v>
      </c>
      <c r="AA20" s="141">
        <v>0</v>
      </c>
      <c r="AB20" s="141">
        <v>-12.441068681137599</v>
      </c>
      <c r="AC20" s="141">
        <v>0</v>
      </c>
      <c r="AD20" s="141">
        <v>0</v>
      </c>
      <c r="AE20" s="141">
        <v>29.379344067512001</v>
      </c>
      <c r="AF20" s="141">
        <v>2.37545319814171</v>
      </c>
      <c r="AG20" s="141">
        <v>55.390585219323</v>
      </c>
      <c r="AH20" s="141">
        <v>12.697164985539001</v>
      </c>
      <c r="AI20" s="141">
        <v>11.803829801518299</v>
      </c>
      <c r="AJ20" s="141">
        <v>-17.197125811903</v>
      </c>
      <c r="AK20" s="141">
        <v>2.3178389475020298</v>
      </c>
      <c r="AL20" s="141">
        <v>68.505017061817995</v>
      </c>
      <c r="AM20" s="141">
        <v>0</v>
      </c>
      <c r="AN20" s="141">
        <v>160.507549450254</v>
      </c>
      <c r="AO20" s="141">
        <v>0</v>
      </c>
      <c r="AP20" s="141">
        <v>0</v>
      </c>
      <c r="AQ20" s="141">
        <v>0</v>
      </c>
      <c r="AR20" s="141">
        <v>-15.0609603196026</v>
      </c>
      <c r="AS20" s="141">
        <v>0</v>
      </c>
      <c r="AT20" s="142">
        <v>4.7266311293982399</v>
      </c>
    </row>
    <row r="21" spans="2:46" ht="12" customHeight="1" x14ac:dyDescent="0.25">
      <c r="B21" s="140" t="s">
        <v>42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141" t="s">
        <v>35</v>
      </c>
      <c r="H21" s="141" t="s">
        <v>76</v>
      </c>
      <c r="I21" s="141" t="s">
        <v>25</v>
      </c>
      <c r="J21" s="141">
        <v>21.19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4.7863029689599204</v>
      </c>
      <c r="U21" s="141">
        <v>0.74758992649689704</v>
      </c>
      <c r="V21" s="141">
        <v>2.48970857804564E-2</v>
      </c>
      <c r="W21" s="141">
        <v>0</v>
      </c>
      <c r="X21" s="141">
        <v>0</v>
      </c>
      <c r="Y21" s="141">
        <v>0</v>
      </c>
      <c r="Z21" s="141">
        <v>0</v>
      </c>
      <c r="AA21" s="141">
        <v>17.172685303878801</v>
      </c>
      <c r="AB21" s="141">
        <v>-1.5420844705862999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2">
        <v>0</v>
      </c>
    </row>
    <row r="22" spans="2:46" ht="12" customHeight="1" x14ac:dyDescent="0.25">
      <c r="B22" s="140" t="s">
        <v>42</v>
      </c>
      <c r="C22" s="141" t="s">
        <v>23</v>
      </c>
      <c r="D22" s="141" t="s">
        <v>25</v>
      </c>
      <c r="E22" s="141" t="s">
        <v>25</v>
      </c>
      <c r="F22" s="141" t="s">
        <v>25</v>
      </c>
      <c r="G22" s="141" t="s">
        <v>25</v>
      </c>
      <c r="H22" s="141" t="s">
        <v>79</v>
      </c>
      <c r="I22" s="141" t="s">
        <v>25</v>
      </c>
      <c r="J22" s="141">
        <v>0</v>
      </c>
      <c r="K22" s="141">
        <v>224.48</v>
      </c>
      <c r="L22" s="141">
        <v>0</v>
      </c>
      <c r="M22" s="141">
        <v>0</v>
      </c>
      <c r="N22" s="141">
        <v>0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0</v>
      </c>
      <c r="Y22" s="141">
        <v>0</v>
      </c>
      <c r="Z22" s="141">
        <v>0</v>
      </c>
      <c r="AA22" s="141">
        <v>0</v>
      </c>
      <c r="AB22" s="141">
        <v>0</v>
      </c>
      <c r="AC22" s="141">
        <v>0</v>
      </c>
      <c r="AD22" s="141">
        <v>0</v>
      </c>
      <c r="AE22" s="141">
        <v>0</v>
      </c>
      <c r="AF22" s="141">
        <v>0</v>
      </c>
      <c r="AG22" s="141">
        <v>0</v>
      </c>
      <c r="AH22" s="141">
        <v>0</v>
      </c>
      <c r="AI22" s="141">
        <v>11.803829801518299</v>
      </c>
      <c r="AJ22" s="141">
        <v>-17.197125811903</v>
      </c>
      <c r="AK22" s="141">
        <v>2.3178389475020298</v>
      </c>
      <c r="AL22" s="141">
        <v>68.505017061817995</v>
      </c>
      <c r="AM22" s="141">
        <v>0</v>
      </c>
      <c r="AN22" s="141">
        <v>170.13800241726901</v>
      </c>
      <c r="AO22" s="141">
        <v>0</v>
      </c>
      <c r="AP22" s="141">
        <v>0</v>
      </c>
      <c r="AQ22" s="141">
        <v>0</v>
      </c>
      <c r="AR22" s="141">
        <v>-15.814580483846401</v>
      </c>
      <c r="AS22" s="141">
        <v>0</v>
      </c>
      <c r="AT22" s="142">
        <v>4.7266311293982399</v>
      </c>
    </row>
    <row r="23" spans="2:46" ht="12" customHeight="1" x14ac:dyDescent="0.25">
      <c r="B23" s="140" t="s">
        <v>42</v>
      </c>
      <c r="C23" s="141" t="s">
        <v>58</v>
      </c>
      <c r="D23" s="141" t="s">
        <v>25</v>
      </c>
      <c r="E23" s="141" t="s">
        <v>25</v>
      </c>
      <c r="F23" s="141" t="s">
        <v>25</v>
      </c>
      <c r="G23" s="141" t="s">
        <v>25</v>
      </c>
      <c r="H23" s="141" t="s">
        <v>76</v>
      </c>
      <c r="I23" s="141" t="s">
        <v>25</v>
      </c>
      <c r="J23" s="141">
        <v>10.43</v>
      </c>
      <c r="K23" s="141">
        <v>0</v>
      </c>
      <c r="L23" s="141">
        <v>0</v>
      </c>
      <c r="M23" s="141">
        <v>3.62655126772145E-2</v>
      </c>
      <c r="N23" s="141">
        <v>9.7883847105358898E-2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0</v>
      </c>
      <c r="Z23" s="141">
        <v>0</v>
      </c>
      <c r="AA23" s="141">
        <v>11.034216391275899</v>
      </c>
      <c r="AB23" s="141">
        <v>-0.74011413715918695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1">
        <v>0</v>
      </c>
      <c r="AS23" s="141">
        <v>0</v>
      </c>
      <c r="AT23" s="142">
        <v>0</v>
      </c>
    </row>
    <row r="24" spans="2:46" ht="12" customHeight="1" x14ac:dyDescent="0.25">
      <c r="B24" s="140" t="s">
        <v>42</v>
      </c>
      <c r="C24" s="141" t="s">
        <v>43</v>
      </c>
      <c r="D24" s="141" t="s">
        <v>25</v>
      </c>
      <c r="E24" s="141" t="s">
        <v>25</v>
      </c>
      <c r="F24" s="141" t="s">
        <v>85</v>
      </c>
      <c r="G24" s="141" t="s">
        <v>34</v>
      </c>
      <c r="H24" s="141" t="s">
        <v>79</v>
      </c>
      <c r="I24" s="141" t="s">
        <v>25</v>
      </c>
      <c r="J24" s="141">
        <v>1410.78</v>
      </c>
      <c r="K24" s="141">
        <v>0</v>
      </c>
      <c r="L24" s="141">
        <v>0</v>
      </c>
      <c r="M24" s="141">
        <v>0.80627114812533496</v>
      </c>
      <c r="N24" s="141">
        <v>14.1043989254665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209.40022164462101</v>
      </c>
      <c r="U24" s="141">
        <v>31.739179351008801</v>
      </c>
      <c r="V24" s="141">
        <v>1.1609593696393801</v>
      </c>
      <c r="W24" s="141">
        <v>0</v>
      </c>
      <c r="X24" s="141">
        <v>0</v>
      </c>
      <c r="Y24" s="141">
        <v>0</v>
      </c>
      <c r="Z24" s="141">
        <v>0</v>
      </c>
      <c r="AA24" s="141">
        <v>1156.6514098723601</v>
      </c>
      <c r="AB24" s="141">
        <v>-102.927514276688</v>
      </c>
      <c r="AC24" s="141">
        <v>0</v>
      </c>
      <c r="AD24" s="141">
        <v>0</v>
      </c>
      <c r="AE24" s="141">
        <v>29.379344067512001</v>
      </c>
      <c r="AF24" s="141">
        <v>2.37545319814171</v>
      </c>
      <c r="AG24" s="141">
        <v>55.390585219323</v>
      </c>
      <c r="AH24" s="141">
        <v>12.697164985539001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1">
        <v>0</v>
      </c>
      <c r="AS24" s="141">
        <v>0</v>
      </c>
      <c r="AT24" s="142">
        <v>0</v>
      </c>
    </row>
    <row r="25" spans="2:46" ht="12" customHeight="1" x14ac:dyDescent="0.25">
      <c r="B25" s="140" t="s">
        <v>42</v>
      </c>
      <c r="C25" s="141" t="s">
        <v>43</v>
      </c>
      <c r="D25" s="141" t="s">
        <v>25</v>
      </c>
      <c r="E25" s="141" t="s">
        <v>25</v>
      </c>
      <c r="F25" s="141" t="s">
        <v>85</v>
      </c>
      <c r="G25" s="141" t="s">
        <v>25</v>
      </c>
      <c r="H25" s="141" t="s">
        <v>76</v>
      </c>
      <c r="I25" s="141" t="s">
        <v>25</v>
      </c>
      <c r="J25" s="141">
        <v>21.19</v>
      </c>
      <c r="K25" s="141">
        <v>0</v>
      </c>
      <c r="L25" s="141">
        <v>0</v>
      </c>
      <c r="M25" s="141">
        <v>0</v>
      </c>
      <c r="N25" s="141">
        <v>0</v>
      </c>
      <c r="O25" s="141">
        <v>0</v>
      </c>
      <c r="P25" s="141">
        <v>0</v>
      </c>
      <c r="Q25" s="141">
        <v>0</v>
      </c>
      <c r="R25" s="141">
        <v>0</v>
      </c>
      <c r="S25" s="141">
        <v>0</v>
      </c>
      <c r="T25" s="141">
        <v>4.7863029689599204</v>
      </c>
      <c r="U25" s="141">
        <v>0.74758992649689704</v>
      </c>
      <c r="V25" s="141">
        <v>2.48970857804564E-2</v>
      </c>
      <c r="W25" s="141">
        <v>0</v>
      </c>
      <c r="X25" s="141">
        <v>0</v>
      </c>
      <c r="Y25" s="141">
        <v>0</v>
      </c>
      <c r="Z25" s="141">
        <v>0</v>
      </c>
      <c r="AA25" s="141">
        <v>17.172685303878801</v>
      </c>
      <c r="AB25" s="141">
        <v>-1.5420844705862999</v>
      </c>
      <c r="AC25" s="141">
        <v>0</v>
      </c>
      <c r="AD25" s="141">
        <v>0</v>
      </c>
      <c r="AE25" s="141">
        <v>0</v>
      </c>
      <c r="AF25" s="141">
        <v>0</v>
      </c>
      <c r="AG25" s="141">
        <v>0</v>
      </c>
      <c r="AH25" s="141">
        <v>0</v>
      </c>
      <c r="AI25" s="141">
        <v>0</v>
      </c>
      <c r="AJ25" s="141">
        <v>0</v>
      </c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0</v>
      </c>
      <c r="AR25" s="141">
        <v>0</v>
      </c>
      <c r="AS25" s="141">
        <v>0</v>
      </c>
      <c r="AT25" s="142">
        <v>0</v>
      </c>
    </row>
    <row r="26" spans="2:46" ht="12" customHeight="1" x14ac:dyDescent="0.25">
      <c r="B26" s="140" t="s">
        <v>42</v>
      </c>
      <c r="C26" s="141" t="s">
        <v>43</v>
      </c>
      <c r="D26" s="141" t="s">
        <v>25</v>
      </c>
      <c r="E26" s="141" t="s">
        <v>25</v>
      </c>
      <c r="F26" s="141" t="s">
        <v>85</v>
      </c>
      <c r="G26" s="141" t="s">
        <v>35</v>
      </c>
      <c r="H26" s="141" t="s">
        <v>79</v>
      </c>
      <c r="I26" s="141" t="s">
        <v>25</v>
      </c>
      <c r="J26" s="141">
        <v>94.36</v>
      </c>
      <c r="K26" s="141">
        <v>0</v>
      </c>
      <c r="L26" s="141">
        <v>0</v>
      </c>
      <c r="M26" s="141">
        <v>0.80627114812533496</v>
      </c>
      <c r="N26" s="141">
        <v>1.5310329239885301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-7.8160333396291399</v>
      </c>
      <c r="AC26" s="141">
        <v>0</v>
      </c>
      <c r="AD26" s="141">
        <v>0</v>
      </c>
      <c r="AE26" s="141">
        <v>29.379344067512001</v>
      </c>
      <c r="AF26" s="141">
        <v>2.37545319814171</v>
      </c>
      <c r="AG26" s="141">
        <v>55.390585219323</v>
      </c>
      <c r="AH26" s="141">
        <v>12.697164985539001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2">
        <v>0</v>
      </c>
    </row>
    <row r="27" spans="2:46" ht="12" customHeight="1" x14ac:dyDescent="0.25">
      <c r="B27" s="140" t="s">
        <v>42</v>
      </c>
      <c r="C27" s="141" t="s">
        <v>43</v>
      </c>
      <c r="D27" s="141" t="s">
        <v>25</v>
      </c>
      <c r="E27" s="141" t="s">
        <v>25</v>
      </c>
      <c r="F27" s="141" t="s">
        <v>25</v>
      </c>
      <c r="G27" s="141" t="s">
        <v>34</v>
      </c>
      <c r="H27" s="141" t="s">
        <v>79</v>
      </c>
      <c r="I27" s="141" t="s">
        <v>25</v>
      </c>
      <c r="J27" s="141">
        <v>1497.89</v>
      </c>
      <c r="K27" s="141">
        <v>322.12</v>
      </c>
      <c r="L27" s="141">
        <v>21.177494931684901</v>
      </c>
      <c r="M27" s="141">
        <v>0.80627114812533496</v>
      </c>
      <c r="N27" s="141">
        <v>14.1159418319648</v>
      </c>
      <c r="O27" s="141">
        <v>0</v>
      </c>
      <c r="P27" s="141">
        <v>0</v>
      </c>
      <c r="Q27" s="141">
        <v>48.883601682755803</v>
      </c>
      <c r="R27" s="141">
        <v>21.6649913154762</v>
      </c>
      <c r="S27" s="141">
        <v>0</v>
      </c>
      <c r="T27" s="141">
        <v>209.40022164462101</v>
      </c>
      <c r="U27" s="141">
        <v>31.739179351008801</v>
      </c>
      <c r="V27" s="141">
        <v>1.1609593696393801</v>
      </c>
      <c r="W27" s="141">
        <v>0</v>
      </c>
      <c r="X27" s="141">
        <v>0</v>
      </c>
      <c r="Y27" s="141">
        <v>0</v>
      </c>
      <c r="Z27" s="141">
        <v>0</v>
      </c>
      <c r="AA27" s="141">
        <v>1156.6514098723601</v>
      </c>
      <c r="AB27" s="141">
        <v>-107.55254961819701</v>
      </c>
      <c r="AC27" s="141">
        <v>0</v>
      </c>
      <c r="AD27" s="141">
        <v>0</v>
      </c>
      <c r="AE27" s="141">
        <v>29.379344067512001</v>
      </c>
      <c r="AF27" s="141">
        <v>2.37545319814171</v>
      </c>
      <c r="AG27" s="141">
        <v>55.390585219323</v>
      </c>
      <c r="AH27" s="141">
        <v>12.697164985539001</v>
      </c>
      <c r="AI27" s="141">
        <v>11.803829801518299</v>
      </c>
      <c r="AJ27" s="141">
        <v>-17.197125811903</v>
      </c>
      <c r="AK27" s="141">
        <v>2.3178389475020298</v>
      </c>
      <c r="AL27" s="141">
        <v>68.505017061817995</v>
      </c>
      <c r="AM27" s="141">
        <v>0</v>
      </c>
      <c r="AN27" s="141">
        <v>276.072985054436</v>
      </c>
      <c r="AO27" s="141">
        <v>0</v>
      </c>
      <c r="AP27" s="141">
        <v>0</v>
      </c>
      <c r="AQ27" s="141">
        <v>0</v>
      </c>
      <c r="AR27" s="141">
        <v>-24.104402290528199</v>
      </c>
      <c r="AS27" s="141">
        <v>0</v>
      </c>
      <c r="AT27" s="142">
        <v>4.7266311293982399</v>
      </c>
    </row>
    <row r="28" spans="2:46" ht="12" customHeight="1" x14ac:dyDescent="0.25">
      <c r="B28" s="140" t="s">
        <v>42</v>
      </c>
      <c r="C28" s="141" t="s">
        <v>43</v>
      </c>
      <c r="D28" s="141" t="s">
        <v>25</v>
      </c>
      <c r="E28" s="141" t="s">
        <v>25</v>
      </c>
      <c r="F28" s="141" t="s">
        <v>25</v>
      </c>
      <c r="G28" s="141" t="s">
        <v>25</v>
      </c>
      <c r="H28" s="141" t="s">
        <v>76</v>
      </c>
      <c r="I28" s="141" t="s">
        <v>25</v>
      </c>
      <c r="J28" s="141">
        <v>21.19</v>
      </c>
      <c r="K28" s="141">
        <v>0</v>
      </c>
      <c r="L28" s="141">
        <v>0</v>
      </c>
      <c r="M28" s="141">
        <v>0</v>
      </c>
      <c r="N28" s="141">
        <v>0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4.7863029689599204</v>
      </c>
      <c r="U28" s="141">
        <v>0.74758992649689704</v>
      </c>
      <c r="V28" s="141">
        <v>2.48970857804564E-2</v>
      </c>
      <c r="W28" s="141">
        <v>0</v>
      </c>
      <c r="X28" s="141">
        <v>0</v>
      </c>
      <c r="Y28" s="141">
        <v>0</v>
      </c>
      <c r="Z28" s="141">
        <v>0</v>
      </c>
      <c r="AA28" s="141">
        <v>17.172685303878801</v>
      </c>
      <c r="AB28" s="141">
        <v>-1.5420844705862999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1">
        <v>0</v>
      </c>
      <c r="AS28" s="141">
        <v>0</v>
      </c>
      <c r="AT28" s="142">
        <v>0</v>
      </c>
    </row>
    <row r="29" spans="2:46" ht="12" customHeight="1" x14ac:dyDescent="0.25">
      <c r="B29" s="140" t="s">
        <v>42</v>
      </c>
      <c r="C29" s="141" t="s">
        <v>43</v>
      </c>
      <c r="D29" s="141" t="s">
        <v>25</v>
      </c>
      <c r="E29" s="141" t="s">
        <v>25</v>
      </c>
      <c r="F29" s="141" t="s">
        <v>25</v>
      </c>
      <c r="G29" s="141" t="s">
        <v>35</v>
      </c>
      <c r="H29" s="141" t="s">
        <v>79</v>
      </c>
      <c r="I29" s="141" t="s">
        <v>25</v>
      </c>
      <c r="J29" s="141">
        <v>181.48</v>
      </c>
      <c r="K29" s="141">
        <v>215.6</v>
      </c>
      <c r="L29" s="141">
        <v>21.177494931684901</v>
      </c>
      <c r="M29" s="141">
        <v>0.80627114812533496</v>
      </c>
      <c r="N29" s="141">
        <v>1.54257583048681</v>
      </c>
      <c r="O29" s="141">
        <v>0</v>
      </c>
      <c r="P29" s="141">
        <v>0</v>
      </c>
      <c r="Q29" s="141">
        <v>48.883601682755803</v>
      </c>
      <c r="R29" s="141">
        <v>21.6649913154762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0</v>
      </c>
      <c r="AB29" s="141">
        <v>-12.441068681137599</v>
      </c>
      <c r="AC29" s="141">
        <v>0</v>
      </c>
      <c r="AD29" s="141">
        <v>0</v>
      </c>
      <c r="AE29" s="141">
        <v>29.379344067512001</v>
      </c>
      <c r="AF29" s="141">
        <v>2.37545319814171</v>
      </c>
      <c r="AG29" s="141">
        <v>55.390585219323</v>
      </c>
      <c r="AH29" s="141">
        <v>12.697164985539001</v>
      </c>
      <c r="AI29" s="141">
        <v>11.803829801518299</v>
      </c>
      <c r="AJ29" s="141">
        <v>-17.197125811903</v>
      </c>
      <c r="AK29" s="141">
        <v>2.3178389475020298</v>
      </c>
      <c r="AL29" s="141">
        <v>68.505017061817995</v>
      </c>
      <c r="AM29" s="141">
        <v>0</v>
      </c>
      <c r="AN29" s="141">
        <v>160.507549450254</v>
      </c>
      <c r="AO29" s="141">
        <v>0</v>
      </c>
      <c r="AP29" s="141">
        <v>0</v>
      </c>
      <c r="AQ29" s="141">
        <v>0</v>
      </c>
      <c r="AR29" s="141">
        <v>-15.0609603196026</v>
      </c>
      <c r="AS29" s="141">
        <v>0</v>
      </c>
      <c r="AT29" s="142">
        <v>4.7266311293982399</v>
      </c>
    </row>
    <row r="30" spans="2:46" ht="12" customHeight="1" x14ac:dyDescent="0.25">
      <c r="B30" s="140" t="s">
        <v>41</v>
      </c>
      <c r="C30" s="141" t="s">
        <v>40</v>
      </c>
      <c r="D30" s="141" t="s">
        <v>25</v>
      </c>
      <c r="E30" s="141" t="s">
        <v>25</v>
      </c>
      <c r="F30" s="141" t="s">
        <v>85</v>
      </c>
      <c r="G30" s="141" t="s">
        <v>34</v>
      </c>
      <c r="H30" s="141" t="s">
        <v>79</v>
      </c>
      <c r="I30" s="141" t="s">
        <v>25</v>
      </c>
      <c r="J30" s="141">
        <v>94.36</v>
      </c>
      <c r="K30" s="141">
        <v>0</v>
      </c>
      <c r="L30" s="141">
        <v>0</v>
      </c>
      <c r="M30" s="141">
        <v>0.80627114812533496</v>
      </c>
      <c r="N30" s="141">
        <v>1.5310329239885301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141">
        <v>0</v>
      </c>
      <c r="AA30" s="141">
        <v>0</v>
      </c>
      <c r="AB30" s="141">
        <v>-7.8160333396291399</v>
      </c>
      <c r="AC30" s="141">
        <v>0</v>
      </c>
      <c r="AD30" s="141">
        <v>0</v>
      </c>
      <c r="AE30" s="141">
        <v>29.379344067512001</v>
      </c>
      <c r="AF30" s="141">
        <v>2.37545319814171</v>
      </c>
      <c r="AG30" s="141">
        <v>55.390585219323</v>
      </c>
      <c r="AH30" s="141">
        <v>12.697164985539001</v>
      </c>
      <c r="AI30" s="141">
        <v>0</v>
      </c>
      <c r="AJ30" s="141">
        <v>0</v>
      </c>
      <c r="AK30" s="141">
        <v>0</v>
      </c>
      <c r="AL30" s="141">
        <v>0</v>
      </c>
      <c r="AM30" s="141">
        <v>0</v>
      </c>
      <c r="AN30" s="141">
        <v>0</v>
      </c>
      <c r="AO30" s="141">
        <v>0</v>
      </c>
      <c r="AP30" s="141">
        <v>0</v>
      </c>
      <c r="AQ30" s="141">
        <v>0</v>
      </c>
      <c r="AR30" s="141">
        <v>0</v>
      </c>
      <c r="AS30" s="141">
        <v>0</v>
      </c>
      <c r="AT30" s="142">
        <v>0</v>
      </c>
    </row>
    <row r="31" spans="2:46" ht="12" customHeight="1" x14ac:dyDescent="0.25">
      <c r="B31" s="140" t="s">
        <v>41</v>
      </c>
      <c r="C31" s="141" t="s">
        <v>40</v>
      </c>
      <c r="D31" s="141" t="s">
        <v>25</v>
      </c>
      <c r="E31" s="141" t="s">
        <v>25</v>
      </c>
      <c r="F31" s="141" t="s">
        <v>85</v>
      </c>
      <c r="G31" s="141" t="s">
        <v>34</v>
      </c>
      <c r="H31" s="141" t="s">
        <v>76</v>
      </c>
      <c r="I31" s="141" t="s">
        <v>25</v>
      </c>
      <c r="J31" s="141">
        <v>54.25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8.7068631406927093</v>
      </c>
      <c r="U31" s="141">
        <v>1.31968309586626</v>
      </c>
      <c r="V31" s="141">
        <v>4.8260227887235302E-2</v>
      </c>
      <c r="W31" s="141">
        <v>0</v>
      </c>
      <c r="X31" s="141">
        <v>0</v>
      </c>
      <c r="Y31" s="141">
        <v>0</v>
      </c>
      <c r="Z31" s="141">
        <v>0</v>
      </c>
      <c r="AA31" s="141">
        <v>48.0935808435433</v>
      </c>
      <c r="AB31" s="141">
        <v>-3.9199657679498401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141">
        <v>0</v>
      </c>
      <c r="AJ31" s="141">
        <v>0</v>
      </c>
      <c r="AK31" s="141">
        <v>0</v>
      </c>
      <c r="AL31" s="141">
        <v>0</v>
      </c>
      <c r="AM31" s="141">
        <v>0</v>
      </c>
      <c r="AN31" s="141">
        <v>0</v>
      </c>
      <c r="AO31" s="141">
        <v>0</v>
      </c>
      <c r="AP31" s="141">
        <v>0</v>
      </c>
      <c r="AQ31" s="141">
        <v>0</v>
      </c>
      <c r="AR31" s="141">
        <v>0</v>
      </c>
      <c r="AS31" s="141">
        <v>0</v>
      </c>
      <c r="AT31" s="142">
        <v>0</v>
      </c>
    </row>
    <row r="32" spans="2:46" ht="12" customHeight="1" x14ac:dyDescent="0.25">
      <c r="B32" s="140" t="s">
        <v>41</v>
      </c>
      <c r="C32" s="141" t="s">
        <v>40</v>
      </c>
      <c r="D32" s="141" t="s">
        <v>25</v>
      </c>
      <c r="E32" s="141" t="s">
        <v>25</v>
      </c>
      <c r="F32" s="141" t="s">
        <v>85</v>
      </c>
      <c r="G32" s="141" t="s">
        <v>35</v>
      </c>
      <c r="H32" s="141" t="s">
        <v>79</v>
      </c>
      <c r="I32" s="141" t="s">
        <v>25</v>
      </c>
      <c r="J32" s="141">
        <v>94.36</v>
      </c>
      <c r="K32" s="141">
        <v>0</v>
      </c>
      <c r="L32" s="141">
        <v>0</v>
      </c>
      <c r="M32" s="141">
        <v>0.80627114812533496</v>
      </c>
      <c r="N32" s="141">
        <v>1.5310329239885301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141">
        <v>0</v>
      </c>
      <c r="AA32" s="141">
        <v>0</v>
      </c>
      <c r="AB32" s="141">
        <v>-7.8160333396291399</v>
      </c>
      <c r="AC32" s="141">
        <v>0</v>
      </c>
      <c r="AD32" s="141">
        <v>0</v>
      </c>
      <c r="AE32" s="141">
        <v>29.379344067512001</v>
      </c>
      <c r="AF32" s="141">
        <v>2.37545319814171</v>
      </c>
      <c r="AG32" s="141">
        <v>55.390585219323</v>
      </c>
      <c r="AH32" s="141">
        <v>12.697164985539001</v>
      </c>
      <c r="AI32" s="141">
        <v>0</v>
      </c>
      <c r="AJ32" s="141">
        <v>0</v>
      </c>
      <c r="AK32" s="141">
        <v>0</v>
      </c>
      <c r="AL32" s="141">
        <v>0</v>
      </c>
      <c r="AM32" s="141">
        <v>0</v>
      </c>
      <c r="AN32" s="141">
        <v>0</v>
      </c>
      <c r="AO32" s="141">
        <v>0</v>
      </c>
      <c r="AP32" s="141">
        <v>0</v>
      </c>
      <c r="AQ32" s="141">
        <v>0</v>
      </c>
      <c r="AR32" s="141">
        <v>0</v>
      </c>
      <c r="AS32" s="141">
        <v>0</v>
      </c>
      <c r="AT32" s="142">
        <v>0</v>
      </c>
    </row>
    <row r="33" spans="2:46" ht="12" customHeight="1" x14ac:dyDescent="0.25">
      <c r="B33" s="140" t="s">
        <v>41</v>
      </c>
      <c r="C33" s="141" t="s">
        <v>40</v>
      </c>
      <c r="D33" s="141" t="s">
        <v>25</v>
      </c>
      <c r="E33" s="141" t="s">
        <v>25</v>
      </c>
      <c r="F33" s="141" t="s">
        <v>85</v>
      </c>
      <c r="G33" s="141" t="s">
        <v>35</v>
      </c>
      <c r="H33" s="141" t="s">
        <v>76</v>
      </c>
      <c r="I33" s="141" t="s">
        <v>25</v>
      </c>
      <c r="J33" s="141">
        <v>21.19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4.7863029689599204</v>
      </c>
      <c r="U33" s="141">
        <v>0.74758992649689704</v>
      </c>
      <c r="V33" s="141">
        <v>2.48970857804564E-2</v>
      </c>
      <c r="W33" s="141">
        <v>0</v>
      </c>
      <c r="X33" s="141">
        <v>0</v>
      </c>
      <c r="Y33" s="141">
        <v>0</v>
      </c>
      <c r="Z33" s="141">
        <v>0</v>
      </c>
      <c r="AA33" s="141">
        <v>17.172685303878801</v>
      </c>
      <c r="AB33" s="141">
        <v>-1.5420844705862999</v>
      </c>
      <c r="AC33" s="141">
        <v>0</v>
      </c>
      <c r="AD33" s="141">
        <v>0</v>
      </c>
      <c r="AE33" s="141">
        <v>0</v>
      </c>
      <c r="AF33" s="141">
        <v>0</v>
      </c>
      <c r="AG33" s="141">
        <v>0</v>
      </c>
      <c r="AH33" s="141">
        <v>0</v>
      </c>
      <c r="AI33" s="141">
        <v>0</v>
      </c>
      <c r="AJ33" s="141">
        <v>0</v>
      </c>
      <c r="AK33" s="141">
        <v>0</v>
      </c>
      <c r="AL33" s="141">
        <v>0</v>
      </c>
      <c r="AM33" s="141">
        <v>0</v>
      </c>
      <c r="AN33" s="141">
        <v>0</v>
      </c>
      <c r="AO33" s="141">
        <v>0</v>
      </c>
      <c r="AP33" s="141">
        <v>0</v>
      </c>
      <c r="AQ33" s="141">
        <v>0</v>
      </c>
      <c r="AR33" s="141">
        <v>0</v>
      </c>
      <c r="AS33" s="141">
        <v>0</v>
      </c>
      <c r="AT33" s="142">
        <v>0</v>
      </c>
    </row>
    <row r="34" spans="2:46" ht="12" customHeight="1" x14ac:dyDescent="0.25">
      <c r="B34" s="140" t="s">
        <v>41</v>
      </c>
      <c r="C34" s="141" t="s">
        <v>40</v>
      </c>
      <c r="D34" s="141" t="s">
        <v>25</v>
      </c>
      <c r="E34" s="141" t="s">
        <v>25</v>
      </c>
      <c r="F34" s="141" t="s">
        <v>25</v>
      </c>
      <c r="G34" s="141" t="s">
        <v>34</v>
      </c>
      <c r="H34" s="141" t="s">
        <v>79</v>
      </c>
      <c r="I34" s="141" t="s">
        <v>25</v>
      </c>
      <c r="J34" s="141">
        <v>181.48</v>
      </c>
      <c r="K34" s="141">
        <v>322.12</v>
      </c>
      <c r="L34" s="141">
        <v>21.177494931684901</v>
      </c>
      <c r="M34" s="141">
        <v>0.80627114812533496</v>
      </c>
      <c r="N34" s="141">
        <v>1.54257583048681</v>
      </c>
      <c r="O34" s="141">
        <v>0</v>
      </c>
      <c r="P34" s="141">
        <v>0</v>
      </c>
      <c r="Q34" s="141">
        <v>48.883601682755803</v>
      </c>
      <c r="R34" s="141">
        <v>21.6649913154762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Z34" s="141">
        <v>0</v>
      </c>
      <c r="AA34" s="141">
        <v>0</v>
      </c>
      <c r="AB34" s="141">
        <v>-12.441068681137599</v>
      </c>
      <c r="AC34" s="141">
        <v>0</v>
      </c>
      <c r="AD34" s="141">
        <v>0</v>
      </c>
      <c r="AE34" s="141">
        <v>29.379344067512001</v>
      </c>
      <c r="AF34" s="141">
        <v>2.37545319814171</v>
      </c>
      <c r="AG34" s="141">
        <v>55.390585219323</v>
      </c>
      <c r="AH34" s="141">
        <v>12.697164985539001</v>
      </c>
      <c r="AI34" s="141">
        <v>11.803829801518299</v>
      </c>
      <c r="AJ34" s="141">
        <v>-17.197125811903</v>
      </c>
      <c r="AK34" s="141">
        <v>2.3178389475020298</v>
      </c>
      <c r="AL34" s="141">
        <v>68.505017061817995</v>
      </c>
      <c r="AM34" s="141">
        <v>0</v>
      </c>
      <c r="AN34" s="141">
        <v>276.072985054436</v>
      </c>
      <c r="AO34" s="141">
        <v>0</v>
      </c>
      <c r="AP34" s="141">
        <v>0</v>
      </c>
      <c r="AQ34" s="141">
        <v>0</v>
      </c>
      <c r="AR34" s="141">
        <v>-24.104402290528199</v>
      </c>
      <c r="AS34" s="141">
        <v>0</v>
      </c>
      <c r="AT34" s="142">
        <v>4.7266311293982399</v>
      </c>
    </row>
    <row r="35" spans="2:46" ht="12" customHeight="1" x14ac:dyDescent="0.25">
      <c r="B35" s="140" t="s">
        <v>41</v>
      </c>
      <c r="C35" s="141" t="s">
        <v>40</v>
      </c>
      <c r="D35" s="141" t="s">
        <v>25</v>
      </c>
      <c r="E35" s="141" t="s">
        <v>25</v>
      </c>
      <c r="F35" s="141" t="s">
        <v>25</v>
      </c>
      <c r="G35" s="141" t="s">
        <v>34</v>
      </c>
      <c r="H35" s="141" t="s">
        <v>76</v>
      </c>
      <c r="I35" s="141" t="s">
        <v>25</v>
      </c>
      <c r="J35" s="141">
        <v>54.25</v>
      </c>
      <c r="K35" s="141">
        <v>0</v>
      </c>
      <c r="L35" s="141">
        <v>0</v>
      </c>
      <c r="M35" s="141">
        <v>0</v>
      </c>
      <c r="N35" s="141">
        <v>0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8.7068631406927093</v>
      </c>
      <c r="U35" s="141">
        <v>1.31968309586626</v>
      </c>
      <c r="V35" s="141">
        <v>4.8260227887235302E-2</v>
      </c>
      <c r="W35" s="141">
        <v>0</v>
      </c>
      <c r="X35" s="141">
        <v>0</v>
      </c>
      <c r="Y35" s="141">
        <v>0</v>
      </c>
      <c r="Z35" s="141">
        <v>0</v>
      </c>
      <c r="AA35" s="141">
        <v>48.0935808435433</v>
      </c>
      <c r="AB35" s="141">
        <v>-3.9199657679498401</v>
      </c>
      <c r="AC35" s="141">
        <v>0</v>
      </c>
      <c r="AD35" s="141">
        <v>0</v>
      </c>
      <c r="AE35" s="141">
        <v>0</v>
      </c>
      <c r="AF35" s="141">
        <v>0</v>
      </c>
      <c r="AG35" s="141">
        <v>0</v>
      </c>
      <c r="AH35" s="141">
        <v>0</v>
      </c>
      <c r="AI35" s="141">
        <v>0</v>
      </c>
      <c r="AJ35" s="141">
        <v>0</v>
      </c>
      <c r="AK35" s="141">
        <v>0</v>
      </c>
      <c r="AL35" s="141">
        <v>0</v>
      </c>
      <c r="AM35" s="141">
        <v>0</v>
      </c>
      <c r="AN35" s="141">
        <v>0</v>
      </c>
      <c r="AO35" s="141">
        <v>0</v>
      </c>
      <c r="AP35" s="141">
        <v>0</v>
      </c>
      <c r="AQ35" s="141">
        <v>0</v>
      </c>
      <c r="AR35" s="141">
        <v>0</v>
      </c>
      <c r="AS35" s="141">
        <v>0</v>
      </c>
      <c r="AT35" s="142">
        <v>0</v>
      </c>
    </row>
    <row r="36" spans="2:46" ht="12" customHeight="1" x14ac:dyDescent="0.25">
      <c r="B36" s="140" t="s">
        <v>41</v>
      </c>
      <c r="C36" s="141" t="s">
        <v>40</v>
      </c>
      <c r="D36" s="141" t="s">
        <v>25</v>
      </c>
      <c r="E36" s="141" t="s">
        <v>25</v>
      </c>
      <c r="F36" s="141" t="s">
        <v>25</v>
      </c>
      <c r="G36" s="141" t="s">
        <v>35</v>
      </c>
      <c r="H36" s="141" t="s">
        <v>79</v>
      </c>
      <c r="I36" s="141" t="s">
        <v>25</v>
      </c>
      <c r="J36" s="141">
        <v>181.48</v>
      </c>
      <c r="K36" s="141">
        <v>215.6</v>
      </c>
      <c r="L36" s="141">
        <v>21.177494931684901</v>
      </c>
      <c r="M36" s="141">
        <v>0.80627114812533496</v>
      </c>
      <c r="N36" s="141">
        <v>1.54257583048681</v>
      </c>
      <c r="O36" s="141">
        <v>0</v>
      </c>
      <c r="P36" s="141">
        <v>0</v>
      </c>
      <c r="Q36" s="141">
        <v>48.883601682755803</v>
      </c>
      <c r="R36" s="141">
        <v>21.6649913154762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0</v>
      </c>
      <c r="Z36" s="141">
        <v>0</v>
      </c>
      <c r="AA36" s="141">
        <v>0</v>
      </c>
      <c r="AB36" s="141">
        <v>-12.441068681137599</v>
      </c>
      <c r="AC36" s="141">
        <v>0</v>
      </c>
      <c r="AD36" s="141">
        <v>0</v>
      </c>
      <c r="AE36" s="141">
        <v>29.379344067512001</v>
      </c>
      <c r="AF36" s="141">
        <v>2.37545319814171</v>
      </c>
      <c r="AG36" s="141">
        <v>55.390585219323</v>
      </c>
      <c r="AH36" s="141">
        <v>12.697164985539001</v>
      </c>
      <c r="AI36" s="141">
        <v>11.803829801518299</v>
      </c>
      <c r="AJ36" s="141">
        <v>-17.197125811903</v>
      </c>
      <c r="AK36" s="141">
        <v>2.3178389475020298</v>
      </c>
      <c r="AL36" s="141">
        <v>68.505017061817995</v>
      </c>
      <c r="AM36" s="141">
        <v>0</v>
      </c>
      <c r="AN36" s="141">
        <v>160.507549450254</v>
      </c>
      <c r="AO36" s="141">
        <v>0</v>
      </c>
      <c r="AP36" s="141">
        <v>0</v>
      </c>
      <c r="AQ36" s="141">
        <v>0</v>
      </c>
      <c r="AR36" s="141">
        <v>-15.0609603196026</v>
      </c>
      <c r="AS36" s="141">
        <v>0</v>
      </c>
      <c r="AT36" s="142">
        <v>4.7266311293982399</v>
      </c>
    </row>
    <row r="37" spans="2:46" ht="12" customHeight="1" x14ac:dyDescent="0.25">
      <c r="B37" s="140" t="s">
        <v>41</v>
      </c>
      <c r="C37" s="141" t="s">
        <v>40</v>
      </c>
      <c r="D37" s="141" t="s">
        <v>25</v>
      </c>
      <c r="E37" s="141" t="s">
        <v>25</v>
      </c>
      <c r="F37" s="141" t="s">
        <v>25</v>
      </c>
      <c r="G37" s="141" t="s">
        <v>35</v>
      </c>
      <c r="H37" s="141" t="s">
        <v>76</v>
      </c>
      <c r="I37" s="141" t="s">
        <v>25</v>
      </c>
      <c r="J37" s="141">
        <v>21.19</v>
      </c>
      <c r="K37" s="141">
        <v>0</v>
      </c>
      <c r="L37" s="141">
        <v>0</v>
      </c>
      <c r="M37" s="141">
        <v>0</v>
      </c>
      <c r="N37" s="141">
        <v>0</v>
      </c>
      <c r="O37" s="141">
        <v>0</v>
      </c>
      <c r="P37" s="141">
        <v>0</v>
      </c>
      <c r="Q37" s="141">
        <v>0</v>
      </c>
      <c r="R37" s="141">
        <v>0</v>
      </c>
      <c r="S37" s="141">
        <v>0</v>
      </c>
      <c r="T37" s="141">
        <v>4.7863029689599204</v>
      </c>
      <c r="U37" s="141">
        <v>0.74758992649689704</v>
      </c>
      <c r="V37" s="141">
        <v>2.48970857804564E-2</v>
      </c>
      <c r="W37" s="141">
        <v>0</v>
      </c>
      <c r="X37" s="141">
        <v>0</v>
      </c>
      <c r="Y37" s="141">
        <v>0</v>
      </c>
      <c r="Z37" s="141">
        <v>0</v>
      </c>
      <c r="AA37" s="141">
        <v>17.172685303878801</v>
      </c>
      <c r="AB37" s="141">
        <v>-1.5420844705862999</v>
      </c>
      <c r="AC37" s="141">
        <v>0</v>
      </c>
      <c r="AD37" s="141">
        <v>0</v>
      </c>
      <c r="AE37" s="141">
        <v>0</v>
      </c>
      <c r="AF37" s="141">
        <v>0</v>
      </c>
      <c r="AG37" s="141">
        <v>0</v>
      </c>
      <c r="AH37" s="141">
        <v>0</v>
      </c>
      <c r="AI37" s="141">
        <v>0</v>
      </c>
      <c r="AJ37" s="141">
        <v>0</v>
      </c>
      <c r="AK37" s="141">
        <v>0</v>
      </c>
      <c r="AL37" s="141">
        <v>0</v>
      </c>
      <c r="AM37" s="141">
        <v>0</v>
      </c>
      <c r="AN37" s="141">
        <v>0</v>
      </c>
      <c r="AO37" s="141">
        <v>0</v>
      </c>
      <c r="AP37" s="141">
        <v>0</v>
      </c>
      <c r="AQ37" s="141">
        <v>0</v>
      </c>
      <c r="AR37" s="141">
        <v>0</v>
      </c>
      <c r="AS37" s="141">
        <v>0</v>
      </c>
      <c r="AT37" s="142">
        <v>0</v>
      </c>
    </row>
    <row r="38" spans="2:46" ht="12" customHeight="1" x14ac:dyDescent="0.25">
      <c r="B38" s="140" t="s">
        <v>41</v>
      </c>
      <c r="C38" s="141" t="s">
        <v>23</v>
      </c>
      <c r="D38" s="141" t="s">
        <v>25</v>
      </c>
      <c r="E38" s="141" t="s">
        <v>25</v>
      </c>
      <c r="F38" s="141" t="s">
        <v>25</v>
      </c>
      <c r="G38" s="141" t="s">
        <v>25</v>
      </c>
      <c r="H38" s="141" t="s">
        <v>79</v>
      </c>
      <c r="I38" s="141" t="s">
        <v>25</v>
      </c>
      <c r="J38" s="141">
        <v>0</v>
      </c>
      <c r="K38" s="141">
        <v>224.48</v>
      </c>
      <c r="L38" s="141">
        <v>0</v>
      </c>
      <c r="M38" s="141">
        <v>0</v>
      </c>
      <c r="N38" s="141">
        <v>0</v>
      </c>
      <c r="O38" s="141">
        <v>0</v>
      </c>
      <c r="P38" s="141">
        <v>0</v>
      </c>
      <c r="Q38" s="141">
        <v>0</v>
      </c>
      <c r="R38" s="141">
        <v>0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0</v>
      </c>
      <c r="Z38" s="141">
        <v>0</v>
      </c>
      <c r="AA38" s="141">
        <v>0</v>
      </c>
      <c r="AB38" s="141">
        <v>0</v>
      </c>
      <c r="AC38" s="141">
        <v>0</v>
      </c>
      <c r="AD38" s="141">
        <v>0</v>
      </c>
      <c r="AE38" s="141">
        <v>0</v>
      </c>
      <c r="AF38" s="141">
        <v>0</v>
      </c>
      <c r="AG38" s="141">
        <v>0</v>
      </c>
      <c r="AH38" s="141">
        <v>0</v>
      </c>
      <c r="AI38" s="141">
        <v>11.803829801518299</v>
      </c>
      <c r="AJ38" s="141">
        <v>-17.197125811903</v>
      </c>
      <c r="AK38" s="141">
        <v>2.3178389475020298</v>
      </c>
      <c r="AL38" s="141">
        <v>68.505017061817995</v>
      </c>
      <c r="AM38" s="141">
        <v>0</v>
      </c>
      <c r="AN38" s="141">
        <v>170.13800241726901</v>
      </c>
      <c r="AO38" s="141">
        <v>0</v>
      </c>
      <c r="AP38" s="141">
        <v>0</v>
      </c>
      <c r="AQ38" s="141">
        <v>0</v>
      </c>
      <c r="AR38" s="141">
        <v>-15.814580483846401</v>
      </c>
      <c r="AS38" s="141">
        <v>0</v>
      </c>
      <c r="AT38" s="142">
        <v>4.7266311293982399</v>
      </c>
    </row>
    <row r="39" spans="2:46" ht="12" customHeight="1" x14ac:dyDescent="0.25">
      <c r="B39" s="140" t="s">
        <v>41</v>
      </c>
      <c r="C39" s="141" t="s">
        <v>58</v>
      </c>
      <c r="D39" s="141" t="s">
        <v>25</v>
      </c>
      <c r="E39" s="141" t="s">
        <v>25</v>
      </c>
      <c r="F39" s="141" t="s">
        <v>25</v>
      </c>
      <c r="G39" s="141" t="s">
        <v>25</v>
      </c>
      <c r="H39" s="141" t="s">
        <v>76</v>
      </c>
      <c r="I39" s="141" t="s">
        <v>25</v>
      </c>
      <c r="J39" s="141">
        <v>10.43</v>
      </c>
      <c r="K39" s="141">
        <v>0</v>
      </c>
      <c r="L39" s="141">
        <v>0</v>
      </c>
      <c r="M39" s="141">
        <v>3.62655126772145E-2</v>
      </c>
      <c r="N39" s="141">
        <v>9.7883847105358898E-2</v>
      </c>
      <c r="O39" s="141">
        <v>0</v>
      </c>
      <c r="P39" s="141">
        <v>0</v>
      </c>
      <c r="Q39" s="141">
        <v>0</v>
      </c>
      <c r="R39" s="141">
        <v>0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0</v>
      </c>
      <c r="Y39" s="141">
        <v>0</v>
      </c>
      <c r="Z39" s="141">
        <v>0</v>
      </c>
      <c r="AA39" s="141">
        <v>11.034216391275899</v>
      </c>
      <c r="AB39" s="141">
        <v>-0.74011413715918695</v>
      </c>
      <c r="AC39" s="141">
        <v>0</v>
      </c>
      <c r="AD39" s="141">
        <v>0</v>
      </c>
      <c r="AE39" s="141">
        <v>0</v>
      </c>
      <c r="AF39" s="141">
        <v>0</v>
      </c>
      <c r="AG39" s="141">
        <v>0</v>
      </c>
      <c r="AH39" s="141">
        <v>0</v>
      </c>
      <c r="AI39" s="141">
        <v>0</v>
      </c>
      <c r="AJ39" s="141">
        <v>0</v>
      </c>
      <c r="AK39" s="141">
        <v>0</v>
      </c>
      <c r="AL39" s="141">
        <v>0</v>
      </c>
      <c r="AM39" s="141">
        <v>0</v>
      </c>
      <c r="AN39" s="141">
        <v>0</v>
      </c>
      <c r="AO39" s="141">
        <v>0</v>
      </c>
      <c r="AP39" s="141">
        <v>0</v>
      </c>
      <c r="AQ39" s="141">
        <v>0</v>
      </c>
      <c r="AR39" s="141">
        <v>0</v>
      </c>
      <c r="AS39" s="141">
        <v>0</v>
      </c>
      <c r="AT39" s="142">
        <v>0</v>
      </c>
    </row>
    <row r="40" spans="2:46" ht="12" customHeight="1" x14ac:dyDescent="0.25">
      <c r="B40" s="140" t="s">
        <v>41</v>
      </c>
      <c r="C40" s="141" t="s">
        <v>43</v>
      </c>
      <c r="D40" s="141" t="s">
        <v>25</v>
      </c>
      <c r="E40" s="141" t="s">
        <v>25</v>
      </c>
      <c r="F40" s="141" t="s">
        <v>85</v>
      </c>
      <c r="G40" s="141" t="s">
        <v>34</v>
      </c>
      <c r="H40" s="141" t="s">
        <v>79</v>
      </c>
      <c r="I40" s="141" t="s">
        <v>25</v>
      </c>
      <c r="J40" s="141">
        <v>1410.78</v>
      </c>
      <c r="K40" s="141">
        <v>0</v>
      </c>
      <c r="L40" s="141">
        <v>0</v>
      </c>
      <c r="M40" s="141">
        <v>0.80627114812533496</v>
      </c>
      <c r="N40" s="141">
        <v>14.1043989254665</v>
      </c>
      <c r="O40" s="141">
        <v>0</v>
      </c>
      <c r="P40" s="141">
        <v>0</v>
      </c>
      <c r="Q40" s="141">
        <v>0</v>
      </c>
      <c r="R40" s="141">
        <v>0</v>
      </c>
      <c r="S40" s="141">
        <v>0</v>
      </c>
      <c r="T40" s="141">
        <v>209.40022164462101</v>
      </c>
      <c r="U40" s="141">
        <v>31.739179351008801</v>
      </c>
      <c r="V40" s="141">
        <v>1.1609593696393801</v>
      </c>
      <c r="W40" s="141">
        <v>0</v>
      </c>
      <c r="X40" s="141">
        <v>0</v>
      </c>
      <c r="Y40" s="141">
        <v>0</v>
      </c>
      <c r="Z40" s="141">
        <v>0</v>
      </c>
      <c r="AA40" s="141">
        <v>1156.6514098723601</v>
      </c>
      <c r="AB40" s="141">
        <v>-102.927514276688</v>
      </c>
      <c r="AC40" s="141">
        <v>0</v>
      </c>
      <c r="AD40" s="141">
        <v>0</v>
      </c>
      <c r="AE40" s="141">
        <v>29.379344067512001</v>
      </c>
      <c r="AF40" s="141">
        <v>2.37545319814171</v>
      </c>
      <c r="AG40" s="141">
        <v>55.390585219323</v>
      </c>
      <c r="AH40" s="141">
        <v>12.697164985539001</v>
      </c>
      <c r="AI40" s="141">
        <v>0</v>
      </c>
      <c r="AJ40" s="141">
        <v>0</v>
      </c>
      <c r="AK40" s="141">
        <v>0</v>
      </c>
      <c r="AL40" s="141">
        <v>0</v>
      </c>
      <c r="AM40" s="141">
        <v>0</v>
      </c>
      <c r="AN40" s="141">
        <v>0</v>
      </c>
      <c r="AO40" s="141">
        <v>0</v>
      </c>
      <c r="AP40" s="141">
        <v>0</v>
      </c>
      <c r="AQ40" s="141">
        <v>0</v>
      </c>
      <c r="AR40" s="141">
        <v>0</v>
      </c>
      <c r="AS40" s="141">
        <v>0</v>
      </c>
      <c r="AT40" s="142">
        <v>0</v>
      </c>
    </row>
    <row r="41" spans="2:46" ht="12" customHeight="1" x14ac:dyDescent="0.25">
      <c r="B41" s="140" t="s">
        <v>41</v>
      </c>
      <c r="C41" s="141" t="s">
        <v>43</v>
      </c>
      <c r="D41" s="141" t="s">
        <v>25</v>
      </c>
      <c r="E41" s="141" t="s">
        <v>25</v>
      </c>
      <c r="F41" s="141" t="s">
        <v>85</v>
      </c>
      <c r="G41" s="141" t="s">
        <v>25</v>
      </c>
      <c r="H41" s="141" t="s">
        <v>76</v>
      </c>
      <c r="I41" s="141" t="s">
        <v>25</v>
      </c>
      <c r="J41" s="141">
        <v>21.19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4.7863029689599204</v>
      </c>
      <c r="U41" s="141">
        <v>0.74758992649689704</v>
      </c>
      <c r="V41" s="141">
        <v>2.48970857804564E-2</v>
      </c>
      <c r="W41" s="141">
        <v>0</v>
      </c>
      <c r="X41" s="141">
        <v>0</v>
      </c>
      <c r="Y41" s="141">
        <v>0</v>
      </c>
      <c r="Z41" s="141">
        <v>0</v>
      </c>
      <c r="AA41" s="141">
        <v>17.172685303878801</v>
      </c>
      <c r="AB41" s="141">
        <v>-1.5420844705862999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141">
        <v>0</v>
      </c>
      <c r="AJ41" s="141">
        <v>0</v>
      </c>
      <c r="AK41" s="141">
        <v>0</v>
      </c>
      <c r="AL41" s="141">
        <v>0</v>
      </c>
      <c r="AM41" s="141">
        <v>0</v>
      </c>
      <c r="AN41" s="141">
        <v>0</v>
      </c>
      <c r="AO41" s="141">
        <v>0</v>
      </c>
      <c r="AP41" s="141">
        <v>0</v>
      </c>
      <c r="AQ41" s="141">
        <v>0</v>
      </c>
      <c r="AR41" s="141">
        <v>0</v>
      </c>
      <c r="AS41" s="141">
        <v>0</v>
      </c>
      <c r="AT41" s="142">
        <v>0</v>
      </c>
    </row>
    <row r="42" spans="2:46" ht="12" customHeight="1" x14ac:dyDescent="0.25">
      <c r="B42" s="140" t="s">
        <v>41</v>
      </c>
      <c r="C42" s="141" t="s">
        <v>43</v>
      </c>
      <c r="D42" s="141" t="s">
        <v>25</v>
      </c>
      <c r="E42" s="141" t="s">
        <v>25</v>
      </c>
      <c r="F42" s="141" t="s">
        <v>85</v>
      </c>
      <c r="G42" s="141" t="s">
        <v>35</v>
      </c>
      <c r="H42" s="141" t="s">
        <v>79</v>
      </c>
      <c r="I42" s="141" t="s">
        <v>25</v>
      </c>
      <c r="J42" s="141">
        <v>94.36</v>
      </c>
      <c r="K42" s="141">
        <v>0</v>
      </c>
      <c r="L42" s="141">
        <v>0</v>
      </c>
      <c r="M42" s="141">
        <v>0.80627114812533496</v>
      </c>
      <c r="N42" s="141">
        <v>1.5310329239885301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0</v>
      </c>
      <c r="Z42" s="141">
        <v>0</v>
      </c>
      <c r="AA42" s="141">
        <v>0</v>
      </c>
      <c r="AB42" s="141">
        <v>-7.8160333396291399</v>
      </c>
      <c r="AC42" s="141">
        <v>0</v>
      </c>
      <c r="AD42" s="141">
        <v>0</v>
      </c>
      <c r="AE42" s="141">
        <v>29.379344067512001</v>
      </c>
      <c r="AF42" s="141">
        <v>2.37545319814171</v>
      </c>
      <c r="AG42" s="141">
        <v>55.390585219323</v>
      </c>
      <c r="AH42" s="141">
        <v>12.697164985539001</v>
      </c>
      <c r="AI42" s="141">
        <v>0</v>
      </c>
      <c r="AJ42" s="141">
        <v>0</v>
      </c>
      <c r="AK42" s="141">
        <v>0</v>
      </c>
      <c r="AL42" s="141">
        <v>0</v>
      </c>
      <c r="AM42" s="141">
        <v>0</v>
      </c>
      <c r="AN42" s="141">
        <v>0</v>
      </c>
      <c r="AO42" s="141">
        <v>0</v>
      </c>
      <c r="AP42" s="141">
        <v>0</v>
      </c>
      <c r="AQ42" s="141">
        <v>0</v>
      </c>
      <c r="AR42" s="141">
        <v>0</v>
      </c>
      <c r="AS42" s="141">
        <v>0</v>
      </c>
      <c r="AT42" s="142">
        <v>0</v>
      </c>
    </row>
    <row r="43" spans="2:46" ht="12" customHeight="1" x14ac:dyDescent="0.25">
      <c r="B43" s="140" t="s">
        <v>41</v>
      </c>
      <c r="C43" s="141" t="s">
        <v>43</v>
      </c>
      <c r="D43" s="141" t="s">
        <v>25</v>
      </c>
      <c r="E43" s="141" t="s">
        <v>25</v>
      </c>
      <c r="F43" s="141" t="s">
        <v>25</v>
      </c>
      <c r="G43" s="141" t="s">
        <v>34</v>
      </c>
      <c r="H43" s="141" t="s">
        <v>79</v>
      </c>
      <c r="I43" s="141" t="s">
        <v>25</v>
      </c>
      <c r="J43" s="141">
        <v>1497.89</v>
      </c>
      <c r="K43" s="141">
        <v>322.12</v>
      </c>
      <c r="L43" s="141">
        <v>21.177494931684901</v>
      </c>
      <c r="M43" s="141">
        <v>0.80627114812533496</v>
      </c>
      <c r="N43" s="141">
        <v>14.1159418319648</v>
      </c>
      <c r="O43" s="141">
        <v>0</v>
      </c>
      <c r="P43" s="141">
        <v>0</v>
      </c>
      <c r="Q43" s="141">
        <v>48.883601682755803</v>
      </c>
      <c r="R43" s="141">
        <v>21.6649913154762</v>
      </c>
      <c r="S43" s="141">
        <v>0</v>
      </c>
      <c r="T43" s="141">
        <v>209.40022164462101</v>
      </c>
      <c r="U43" s="141">
        <v>31.739179351008801</v>
      </c>
      <c r="V43" s="141">
        <v>1.1609593696393801</v>
      </c>
      <c r="W43" s="141">
        <v>0</v>
      </c>
      <c r="X43" s="141">
        <v>0</v>
      </c>
      <c r="Y43" s="141">
        <v>0</v>
      </c>
      <c r="Z43" s="141">
        <v>0</v>
      </c>
      <c r="AA43" s="141">
        <v>1156.6514098723601</v>
      </c>
      <c r="AB43" s="141">
        <v>-107.55254961819701</v>
      </c>
      <c r="AC43" s="141">
        <v>0</v>
      </c>
      <c r="AD43" s="141">
        <v>0</v>
      </c>
      <c r="AE43" s="141">
        <v>29.379344067512001</v>
      </c>
      <c r="AF43" s="141">
        <v>2.37545319814171</v>
      </c>
      <c r="AG43" s="141">
        <v>55.390585219323</v>
      </c>
      <c r="AH43" s="141">
        <v>12.697164985539001</v>
      </c>
      <c r="AI43" s="141">
        <v>11.803829801518299</v>
      </c>
      <c r="AJ43" s="141">
        <v>-17.197125811903</v>
      </c>
      <c r="AK43" s="141">
        <v>2.3178389475020298</v>
      </c>
      <c r="AL43" s="141">
        <v>68.505017061817995</v>
      </c>
      <c r="AM43" s="141">
        <v>0</v>
      </c>
      <c r="AN43" s="141">
        <v>276.072985054436</v>
      </c>
      <c r="AO43" s="141">
        <v>0</v>
      </c>
      <c r="AP43" s="141">
        <v>0</v>
      </c>
      <c r="AQ43" s="141">
        <v>0</v>
      </c>
      <c r="AR43" s="141">
        <v>-24.104402290528199</v>
      </c>
      <c r="AS43" s="141">
        <v>0</v>
      </c>
      <c r="AT43" s="142">
        <v>4.7266311293982399</v>
      </c>
    </row>
    <row r="44" spans="2:46" ht="12" customHeight="1" x14ac:dyDescent="0.25">
      <c r="B44" s="140" t="s">
        <v>41</v>
      </c>
      <c r="C44" s="141" t="s">
        <v>43</v>
      </c>
      <c r="D44" s="141" t="s">
        <v>25</v>
      </c>
      <c r="E44" s="141" t="s">
        <v>25</v>
      </c>
      <c r="F44" s="141" t="s">
        <v>25</v>
      </c>
      <c r="G44" s="141" t="s">
        <v>25</v>
      </c>
      <c r="H44" s="141" t="s">
        <v>76</v>
      </c>
      <c r="I44" s="141" t="s">
        <v>25</v>
      </c>
      <c r="J44" s="141">
        <v>21.19</v>
      </c>
      <c r="K44" s="141">
        <v>0</v>
      </c>
      <c r="L44" s="141">
        <v>0</v>
      </c>
      <c r="M44" s="141">
        <v>0</v>
      </c>
      <c r="N44" s="141">
        <v>0</v>
      </c>
      <c r="O44" s="141">
        <v>0</v>
      </c>
      <c r="P44" s="141">
        <v>0</v>
      </c>
      <c r="Q44" s="141">
        <v>0</v>
      </c>
      <c r="R44" s="141">
        <v>0</v>
      </c>
      <c r="S44" s="141">
        <v>0</v>
      </c>
      <c r="T44" s="141">
        <v>4.7863029689599204</v>
      </c>
      <c r="U44" s="141">
        <v>0.74758992649689704</v>
      </c>
      <c r="V44" s="141">
        <v>2.48970857804564E-2</v>
      </c>
      <c r="W44" s="141">
        <v>0</v>
      </c>
      <c r="X44" s="141">
        <v>0</v>
      </c>
      <c r="Y44" s="141">
        <v>0</v>
      </c>
      <c r="Z44" s="141">
        <v>0</v>
      </c>
      <c r="AA44" s="141">
        <v>17.172685303878801</v>
      </c>
      <c r="AB44" s="141">
        <v>-1.5420844705862999</v>
      </c>
      <c r="AC44" s="141">
        <v>0</v>
      </c>
      <c r="AD44" s="141">
        <v>0</v>
      </c>
      <c r="AE44" s="141">
        <v>0</v>
      </c>
      <c r="AF44" s="141">
        <v>0</v>
      </c>
      <c r="AG44" s="141">
        <v>0</v>
      </c>
      <c r="AH44" s="141">
        <v>0</v>
      </c>
      <c r="AI44" s="141">
        <v>0</v>
      </c>
      <c r="AJ44" s="141">
        <v>0</v>
      </c>
      <c r="AK44" s="141">
        <v>0</v>
      </c>
      <c r="AL44" s="141">
        <v>0</v>
      </c>
      <c r="AM44" s="141">
        <v>0</v>
      </c>
      <c r="AN44" s="141">
        <v>0</v>
      </c>
      <c r="AO44" s="141">
        <v>0</v>
      </c>
      <c r="AP44" s="141">
        <v>0</v>
      </c>
      <c r="AQ44" s="141">
        <v>0</v>
      </c>
      <c r="AR44" s="141">
        <v>0</v>
      </c>
      <c r="AS44" s="141">
        <v>0</v>
      </c>
      <c r="AT44" s="142">
        <v>0</v>
      </c>
    </row>
    <row r="45" spans="2:46" ht="12" customHeight="1" x14ac:dyDescent="0.25">
      <c r="B45" s="140" t="s">
        <v>41</v>
      </c>
      <c r="C45" s="141" t="s">
        <v>43</v>
      </c>
      <c r="D45" s="141" t="s">
        <v>25</v>
      </c>
      <c r="E45" s="141" t="s">
        <v>25</v>
      </c>
      <c r="F45" s="141" t="s">
        <v>25</v>
      </c>
      <c r="G45" s="141" t="s">
        <v>35</v>
      </c>
      <c r="H45" s="141" t="s">
        <v>79</v>
      </c>
      <c r="I45" s="141" t="s">
        <v>25</v>
      </c>
      <c r="J45" s="141">
        <v>181.48</v>
      </c>
      <c r="K45" s="141">
        <v>215.6</v>
      </c>
      <c r="L45" s="141">
        <v>21.177494931684901</v>
      </c>
      <c r="M45" s="141">
        <v>0.80627114812533496</v>
      </c>
      <c r="N45" s="141">
        <v>1.54257583048681</v>
      </c>
      <c r="O45" s="141">
        <v>0</v>
      </c>
      <c r="P45" s="141">
        <v>0</v>
      </c>
      <c r="Q45" s="141">
        <v>48.883601682755803</v>
      </c>
      <c r="R45" s="141">
        <v>21.6649913154762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0</v>
      </c>
      <c r="Z45" s="141">
        <v>0</v>
      </c>
      <c r="AA45" s="141">
        <v>0</v>
      </c>
      <c r="AB45" s="141">
        <v>-12.441068681137599</v>
      </c>
      <c r="AC45" s="141">
        <v>0</v>
      </c>
      <c r="AD45" s="141">
        <v>0</v>
      </c>
      <c r="AE45" s="141">
        <v>29.379344067512001</v>
      </c>
      <c r="AF45" s="141">
        <v>2.37545319814171</v>
      </c>
      <c r="AG45" s="141">
        <v>55.390585219323</v>
      </c>
      <c r="AH45" s="141">
        <v>12.697164985539001</v>
      </c>
      <c r="AI45" s="141">
        <v>11.803829801518299</v>
      </c>
      <c r="AJ45" s="141">
        <v>-17.197125811903</v>
      </c>
      <c r="AK45" s="141">
        <v>2.3178389475020298</v>
      </c>
      <c r="AL45" s="141">
        <v>68.505017061817995</v>
      </c>
      <c r="AM45" s="141">
        <v>0</v>
      </c>
      <c r="AN45" s="141">
        <v>160.507549450254</v>
      </c>
      <c r="AO45" s="141">
        <v>0</v>
      </c>
      <c r="AP45" s="141">
        <v>0</v>
      </c>
      <c r="AQ45" s="141">
        <v>0</v>
      </c>
      <c r="AR45" s="141">
        <v>-15.0609603196026</v>
      </c>
      <c r="AS45" s="141">
        <v>0</v>
      </c>
      <c r="AT45" s="142">
        <v>4.7266311293982399</v>
      </c>
    </row>
    <row r="46" spans="2:46" ht="12" customHeight="1" x14ac:dyDescent="0.25">
      <c r="B46" s="140" t="s">
        <v>87</v>
      </c>
      <c r="C46" s="141" t="s">
        <v>58</v>
      </c>
      <c r="D46" s="141" t="s">
        <v>25</v>
      </c>
      <c r="E46" s="141" t="s">
        <v>25</v>
      </c>
      <c r="F46" s="141" t="s">
        <v>88</v>
      </c>
      <c r="G46" s="141" t="s">
        <v>25</v>
      </c>
      <c r="H46" s="141" t="s">
        <v>76</v>
      </c>
      <c r="I46" s="141" t="s">
        <v>25</v>
      </c>
      <c r="J46" s="141">
        <v>10.33</v>
      </c>
      <c r="K46" s="141">
        <v>0</v>
      </c>
      <c r="L46" s="141">
        <v>0</v>
      </c>
      <c r="M46" s="141">
        <v>3.5836335012395401E-2</v>
      </c>
      <c r="N46" s="141">
        <v>9.6960414585497007E-2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10.927193378196201</v>
      </c>
      <c r="AB46" s="141">
        <v>-0.73293246484827501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141">
        <v>0</v>
      </c>
      <c r="AJ46" s="141">
        <v>0</v>
      </c>
      <c r="AK46" s="141">
        <v>0</v>
      </c>
      <c r="AL46" s="141">
        <v>0</v>
      </c>
      <c r="AM46" s="141">
        <v>0</v>
      </c>
      <c r="AN46" s="141">
        <v>0</v>
      </c>
      <c r="AO46" s="141">
        <v>0</v>
      </c>
      <c r="AP46" s="141">
        <v>0</v>
      </c>
      <c r="AQ46" s="141">
        <v>0</v>
      </c>
      <c r="AR46" s="141">
        <v>0</v>
      </c>
      <c r="AS46" s="141">
        <v>0</v>
      </c>
      <c r="AT46" s="142">
        <v>0</v>
      </c>
    </row>
    <row r="47" spans="2:46" ht="12" customHeight="1" x14ac:dyDescent="0.25">
      <c r="B47" s="140" t="s">
        <v>87</v>
      </c>
      <c r="C47" s="141" t="s">
        <v>58</v>
      </c>
      <c r="D47" s="141" t="s">
        <v>25</v>
      </c>
      <c r="E47" s="141" t="s">
        <v>25</v>
      </c>
      <c r="F47" s="141" t="s">
        <v>89</v>
      </c>
      <c r="G47" s="141" t="s">
        <v>25</v>
      </c>
      <c r="H47" s="141" t="s">
        <v>76</v>
      </c>
      <c r="I47" s="141" t="s">
        <v>25</v>
      </c>
      <c r="J47" s="141">
        <v>23.4</v>
      </c>
      <c r="K47" s="141">
        <v>0</v>
      </c>
      <c r="L47" s="141">
        <v>0</v>
      </c>
      <c r="M47" s="141">
        <v>3.5836335012395401E-2</v>
      </c>
      <c r="N47" s="141">
        <v>9.6960414585497007E-2</v>
      </c>
      <c r="O47" s="141">
        <v>0</v>
      </c>
      <c r="P47" s="141">
        <v>0</v>
      </c>
      <c r="Q47" s="141">
        <v>0</v>
      </c>
      <c r="R47" s="141">
        <v>0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0</v>
      </c>
      <c r="Y47" s="141">
        <v>0</v>
      </c>
      <c r="Z47" s="141">
        <v>0</v>
      </c>
      <c r="AA47" s="141">
        <v>24.926430730131099</v>
      </c>
      <c r="AB47" s="141">
        <v>-1.66076065081879</v>
      </c>
      <c r="AC47" s="141">
        <v>0</v>
      </c>
      <c r="AD47" s="141">
        <v>0</v>
      </c>
      <c r="AE47" s="141">
        <v>0</v>
      </c>
      <c r="AF47" s="141">
        <v>0</v>
      </c>
      <c r="AG47" s="141">
        <v>0</v>
      </c>
      <c r="AH47" s="141">
        <v>0</v>
      </c>
      <c r="AI47" s="141">
        <v>0</v>
      </c>
      <c r="AJ47" s="141">
        <v>0</v>
      </c>
      <c r="AK47" s="141">
        <v>0</v>
      </c>
      <c r="AL47" s="141">
        <v>0</v>
      </c>
      <c r="AM47" s="141">
        <v>0</v>
      </c>
      <c r="AN47" s="141">
        <v>0</v>
      </c>
      <c r="AO47" s="141">
        <v>0</v>
      </c>
      <c r="AP47" s="141">
        <v>0</v>
      </c>
      <c r="AQ47" s="141">
        <v>0</v>
      </c>
      <c r="AR47" s="141">
        <v>0</v>
      </c>
      <c r="AS47" s="141">
        <v>0</v>
      </c>
      <c r="AT47" s="142">
        <v>0</v>
      </c>
    </row>
    <row r="48" spans="2:46" ht="12" customHeight="1" x14ac:dyDescent="0.25">
      <c r="B48" s="140" t="s">
        <v>22</v>
      </c>
      <c r="C48" s="141" t="s">
        <v>33</v>
      </c>
      <c r="D48" s="141" t="s">
        <v>24</v>
      </c>
      <c r="E48" s="141" t="s">
        <v>24</v>
      </c>
      <c r="F48" s="141" t="s">
        <v>25</v>
      </c>
      <c r="G48" s="141" t="s">
        <v>34</v>
      </c>
      <c r="H48" s="141" t="s">
        <v>79</v>
      </c>
      <c r="I48" s="141" t="s">
        <v>25</v>
      </c>
      <c r="J48" s="141">
        <v>1169.55</v>
      </c>
      <c r="K48" s="141">
        <v>322.12</v>
      </c>
      <c r="L48" s="141">
        <v>25.211303490100999</v>
      </c>
      <c r="M48" s="141">
        <v>1.0012572556685999</v>
      </c>
      <c r="N48" s="141">
        <v>10.857995461089899</v>
      </c>
      <c r="O48" s="141">
        <v>0</v>
      </c>
      <c r="P48" s="141">
        <v>0</v>
      </c>
      <c r="Q48" s="141">
        <v>58.194763908042702</v>
      </c>
      <c r="R48" s="141">
        <v>21.6649913154762</v>
      </c>
      <c r="S48" s="141">
        <v>0</v>
      </c>
      <c r="T48" s="141">
        <v>102.430672728855</v>
      </c>
      <c r="U48" s="141">
        <v>15.765210681552</v>
      </c>
      <c r="V48" s="141">
        <v>0.55021379618136501</v>
      </c>
      <c r="W48" s="141">
        <v>0</v>
      </c>
      <c r="X48" s="141">
        <v>0</v>
      </c>
      <c r="Y48" s="141">
        <v>0</v>
      </c>
      <c r="Z48" s="141">
        <v>0</v>
      </c>
      <c r="AA48" s="141">
        <v>912.97111648426096</v>
      </c>
      <c r="AB48" s="141">
        <v>-83.229730286054306</v>
      </c>
      <c r="AC48" s="141">
        <v>0</v>
      </c>
      <c r="AD48" s="141">
        <v>0</v>
      </c>
      <c r="AE48" s="141">
        <v>29.379344067512001</v>
      </c>
      <c r="AF48" s="141">
        <v>2.37545319814171</v>
      </c>
      <c r="AG48" s="141">
        <v>58.880638461168097</v>
      </c>
      <c r="AH48" s="141">
        <v>13.497188701565101</v>
      </c>
      <c r="AI48" s="141">
        <v>11.803829801518299</v>
      </c>
      <c r="AJ48" s="141">
        <v>-17.197125811903</v>
      </c>
      <c r="AK48" s="141">
        <v>2.3178389475020298</v>
      </c>
      <c r="AL48" s="141">
        <v>68.505017061817995</v>
      </c>
      <c r="AM48" s="141">
        <v>0</v>
      </c>
      <c r="AN48" s="141">
        <v>276.072985054436</v>
      </c>
      <c r="AO48" s="141">
        <v>0</v>
      </c>
      <c r="AP48" s="141">
        <v>0</v>
      </c>
      <c r="AQ48" s="141">
        <v>0</v>
      </c>
      <c r="AR48" s="141">
        <v>-24.104402290528199</v>
      </c>
      <c r="AS48" s="141">
        <v>0</v>
      </c>
      <c r="AT48" s="142">
        <v>4.7266311293982399</v>
      </c>
    </row>
    <row r="49" spans="2:46" ht="12" customHeight="1" x14ac:dyDescent="0.25">
      <c r="B49" s="140" t="s">
        <v>22</v>
      </c>
      <c r="C49" s="141" t="s">
        <v>33</v>
      </c>
      <c r="D49" s="141" t="s">
        <v>24</v>
      </c>
      <c r="E49" s="141" t="s">
        <v>24</v>
      </c>
      <c r="F49" s="141" t="s">
        <v>25</v>
      </c>
      <c r="G49" s="141" t="s">
        <v>36</v>
      </c>
      <c r="H49" s="141" t="s">
        <v>79</v>
      </c>
      <c r="I49" s="141" t="s">
        <v>25</v>
      </c>
      <c r="J49" s="141">
        <v>781.08</v>
      </c>
      <c r="K49" s="141">
        <v>215.6</v>
      </c>
      <c r="L49" s="141">
        <v>25.211303490100999</v>
      </c>
      <c r="M49" s="141">
        <v>1.0012572556685999</v>
      </c>
      <c r="N49" s="141">
        <v>7.1699364116050202</v>
      </c>
      <c r="O49" s="141">
        <v>0</v>
      </c>
      <c r="P49" s="141">
        <v>0</v>
      </c>
      <c r="Q49" s="141">
        <v>58.194763908042702</v>
      </c>
      <c r="R49" s="141">
        <v>21.6649913154762</v>
      </c>
      <c r="S49" s="141">
        <v>0</v>
      </c>
      <c r="T49" s="141">
        <v>61.458328355330501</v>
      </c>
      <c r="U49" s="141">
        <v>9.4591439148421301</v>
      </c>
      <c r="V49" s="141">
        <v>0.33015187684225999</v>
      </c>
      <c r="W49" s="141">
        <v>0</v>
      </c>
      <c r="X49" s="141">
        <v>0</v>
      </c>
      <c r="Y49" s="141">
        <v>0</v>
      </c>
      <c r="Z49" s="141">
        <v>0</v>
      </c>
      <c r="AA49" s="141">
        <v>547.78272216064897</v>
      </c>
      <c r="AB49" s="141">
        <v>-55.328494941442699</v>
      </c>
      <c r="AC49" s="141">
        <v>0</v>
      </c>
      <c r="AD49" s="141">
        <v>0</v>
      </c>
      <c r="AE49" s="141">
        <v>29.379344067512001</v>
      </c>
      <c r="AF49" s="141">
        <v>2.37545319814171</v>
      </c>
      <c r="AG49" s="141">
        <v>58.880638461168097</v>
      </c>
      <c r="AH49" s="141">
        <v>13.497188701565101</v>
      </c>
      <c r="AI49" s="141">
        <v>11.803829801518299</v>
      </c>
      <c r="AJ49" s="141">
        <v>-17.197125811903</v>
      </c>
      <c r="AK49" s="141">
        <v>2.3178389475020298</v>
      </c>
      <c r="AL49" s="141">
        <v>68.505017061817995</v>
      </c>
      <c r="AM49" s="141">
        <v>0</v>
      </c>
      <c r="AN49" s="141">
        <v>160.507549450254</v>
      </c>
      <c r="AO49" s="141">
        <v>0</v>
      </c>
      <c r="AP49" s="141">
        <v>0</v>
      </c>
      <c r="AQ49" s="141">
        <v>0</v>
      </c>
      <c r="AR49" s="141">
        <v>-15.0609603196026</v>
      </c>
      <c r="AS49" s="141">
        <v>0</v>
      </c>
      <c r="AT49" s="142">
        <v>4.7266311293982399</v>
      </c>
    </row>
    <row r="50" spans="2:46" ht="12" customHeight="1" x14ac:dyDescent="0.25">
      <c r="B50" s="140" t="s">
        <v>22</v>
      </c>
      <c r="C50" s="141" t="s">
        <v>33</v>
      </c>
      <c r="D50" s="141" t="s">
        <v>24</v>
      </c>
      <c r="E50" s="141" t="s">
        <v>24</v>
      </c>
      <c r="F50" s="141" t="s">
        <v>25</v>
      </c>
      <c r="G50" s="141" t="s">
        <v>35</v>
      </c>
      <c r="H50" s="141" t="s">
        <v>79</v>
      </c>
      <c r="I50" s="141" t="s">
        <v>25</v>
      </c>
      <c r="J50" s="141">
        <v>392.6</v>
      </c>
      <c r="K50" s="141">
        <v>215.6</v>
      </c>
      <c r="L50" s="141">
        <v>25.211303490100999</v>
      </c>
      <c r="M50" s="141">
        <v>1.0012572556685999</v>
      </c>
      <c r="N50" s="141">
        <v>3.48187736212012</v>
      </c>
      <c r="O50" s="141">
        <v>0</v>
      </c>
      <c r="P50" s="141">
        <v>0</v>
      </c>
      <c r="Q50" s="141">
        <v>58.194763908042702</v>
      </c>
      <c r="R50" s="141">
        <v>21.6649913154762</v>
      </c>
      <c r="S50" s="141">
        <v>0</v>
      </c>
      <c r="T50" s="141">
        <v>20.486109451776802</v>
      </c>
      <c r="U50" s="141">
        <v>3.1530771481322701</v>
      </c>
      <c r="V50" s="141">
        <v>0.11008995750315501</v>
      </c>
      <c r="W50" s="141">
        <v>0</v>
      </c>
      <c r="X50" s="141">
        <v>0</v>
      </c>
      <c r="Y50" s="141">
        <v>0</v>
      </c>
      <c r="Z50" s="141">
        <v>0</v>
      </c>
      <c r="AA50" s="141">
        <v>182.59419716180599</v>
      </c>
      <c r="AB50" s="141">
        <v>-27.427260248615401</v>
      </c>
      <c r="AC50" s="141">
        <v>0</v>
      </c>
      <c r="AD50" s="141">
        <v>0</v>
      </c>
      <c r="AE50" s="141">
        <v>29.379344067512001</v>
      </c>
      <c r="AF50" s="141">
        <v>2.37545319814171</v>
      </c>
      <c r="AG50" s="141">
        <v>58.880638461168097</v>
      </c>
      <c r="AH50" s="141">
        <v>13.497188701565101</v>
      </c>
      <c r="AI50" s="141">
        <v>11.803829801518299</v>
      </c>
      <c r="AJ50" s="141">
        <v>-17.197125811903</v>
      </c>
      <c r="AK50" s="141">
        <v>2.3178389475020298</v>
      </c>
      <c r="AL50" s="141">
        <v>68.505017061817995</v>
      </c>
      <c r="AM50" s="141">
        <v>0</v>
      </c>
      <c r="AN50" s="141">
        <v>160.507549450254</v>
      </c>
      <c r="AO50" s="141">
        <v>0</v>
      </c>
      <c r="AP50" s="141">
        <v>0</v>
      </c>
      <c r="AQ50" s="141">
        <v>0</v>
      </c>
      <c r="AR50" s="141">
        <v>-15.0609603196026</v>
      </c>
      <c r="AS50" s="141">
        <v>0</v>
      </c>
      <c r="AT50" s="142">
        <v>4.7266311293982399</v>
      </c>
    </row>
    <row r="51" spans="2:46" ht="12" customHeight="1" x14ac:dyDescent="0.25">
      <c r="B51" s="140" t="s">
        <v>22</v>
      </c>
      <c r="C51" s="141" t="s">
        <v>23</v>
      </c>
      <c r="D51" s="141" t="s">
        <v>24</v>
      </c>
      <c r="E51" s="141" t="s">
        <v>1390</v>
      </c>
      <c r="F51" s="141" t="s">
        <v>25</v>
      </c>
      <c r="G51" s="141" t="s">
        <v>25</v>
      </c>
      <c r="H51" s="141" t="s">
        <v>79</v>
      </c>
      <c r="I51" s="141" t="s">
        <v>25</v>
      </c>
      <c r="J51" s="141">
        <v>397.43</v>
      </c>
      <c r="K51" s="141">
        <v>224.48</v>
      </c>
      <c r="L51" s="141">
        <v>0</v>
      </c>
      <c r="M51" s="141">
        <v>1.0012572556685999</v>
      </c>
      <c r="N51" s="141">
        <v>4.4632725869630701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31.5170528581273</v>
      </c>
      <c r="U51" s="141">
        <v>4.8508003906488097</v>
      </c>
      <c r="V51" s="141">
        <v>0.169323782440544</v>
      </c>
      <c r="W51" s="141">
        <v>0</v>
      </c>
      <c r="X51" s="141">
        <v>0</v>
      </c>
      <c r="Y51" s="141">
        <v>0</v>
      </c>
      <c r="Z51" s="141">
        <v>0</v>
      </c>
      <c r="AA51" s="141">
        <v>280.91423994716899</v>
      </c>
      <c r="AB51" s="141">
        <v>-29.6234438455011</v>
      </c>
      <c r="AC51" s="141">
        <v>0</v>
      </c>
      <c r="AD51" s="141">
        <v>0</v>
      </c>
      <c r="AE51" s="141">
        <v>29.379344067512001</v>
      </c>
      <c r="AF51" s="141">
        <v>2.37545319814171</v>
      </c>
      <c r="AG51" s="141">
        <v>58.880638461168097</v>
      </c>
      <c r="AH51" s="141">
        <v>13.497188701565101</v>
      </c>
      <c r="AI51" s="141">
        <v>11.803829801518299</v>
      </c>
      <c r="AJ51" s="141">
        <v>-17.197125811903</v>
      </c>
      <c r="AK51" s="141">
        <v>2.3178389475020298</v>
      </c>
      <c r="AL51" s="141">
        <v>68.505017061817995</v>
      </c>
      <c r="AM51" s="141">
        <v>0</v>
      </c>
      <c r="AN51" s="141">
        <v>170.13800241726901</v>
      </c>
      <c r="AO51" s="141">
        <v>0</v>
      </c>
      <c r="AP51" s="141">
        <v>0</v>
      </c>
      <c r="AQ51" s="141">
        <v>0</v>
      </c>
      <c r="AR51" s="141">
        <v>-15.814580483846401</v>
      </c>
      <c r="AS51" s="141">
        <v>0</v>
      </c>
      <c r="AT51" s="142">
        <v>4.7266311293982399</v>
      </c>
    </row>
    <row r="52" spans="2:46" ht="12" customHeight="1" x14ac:dyDescent="0.25">
      <c r="B52" s="140" t="s">
        <v>22</v>
      </c>
      <c r="C52" s="141" t="s">
        <v>23</v>
      </c>
      <c r="D52" s="141" t="s">
        <v>24</v>
      </c>
      <c r="E52" s="141" t="s">
        <v>24</v>
      </c>
      <c r="F52" s="141" t="s">
        <v>25</v>
      </c>
      <c r="G52" s="141" t="s">
        <v>25</v>
      </c>
      <c r="H52" s="141" t="s">
        <v>79</v>
      </c>
      <c r="I52" s="141" t="s">
        <v>25</v>
      </c>
      <c r="J52" s="141">
        <v>497.19</v>
      </c>
      <c r="K52" s="141">
        <v>224.48</v>
      </c>
      <c r="L52" s="141">
        <v>25.211303490100999</v>
      </c>
      <c r="M52" s="141">
        <v>1.0012572556685999</v>
      </c>
      <c r="N52" s="141">
        <v>4.4748154934613504</v>
      </c>
      <c r="O52" s="141">
        <v>0</v>
      </c>
      <c r="P52" s="141">
        <v>0</v>
      </c>
      <c r="Q52" s="141">
        <v>58.194763908042702</v>
      </c>
      <c r="R52" s="141">
        <v>21.6649913154762</v>
      </c>
      <c r="S52" s="141">
        <v>0</v>
      </c>
      <c r="T52" s="141">
        <v>31.5170528581273</v>
      </c>
      <c r="U52" s="141">
        <v>4.8508003906488097</v>
      </c>
      <c r="V52" s="141">
        <v>0.169323782440544</v>
      </c>
      <c r="W52" s="141">
        <v>0</v>
      </c>
      <c r="X52" s="141">
        <v>0</v>
      </c>
      <c r="Y52" s="141">
        <v>0</v>
      </c>
      <c r="Z52" s="141">
        <v>0</v>
      </c>
      <c r="AA52" s="141">
        <v>280.91423994716899</v>
      </c>
      <c r="AB52" s="141">
        <v>-34.939126929302297</v>
      </c>
      <c r="AC52" s="141">
        <v>0</v>
      </c>
      <c r="AD52" s="141">
        <v>0</v>
      </c>
      <c r="AE52" s="141">
        <v>29.379344067512001</v>
      </c>
      <c r="AF52" s="141">
        <v>2.37545319814171</v>
      </c>
      <c r="AG52" s="141">
        <v>58.880638461168097</v>
      </c>
      <c r="AH52" s="141">
        <v>13.497188701565101</v>
      </c>
      <c r="AI52" s="141">
        <v>11.803829801518299</v>
      </c>
      <c r="AJ52" s="141">
        <v>-17.197125811903</v>
      </c>
      <c r="AK52" s="141">
        <v>2.3178389475020298</v>
      </c>
      <c r="AL52" s="141">
        <v>68.505017061817995</v>
      </c>
      <c r="AM52" s="141">
        <v>0</v>
      </c>
      <c r="AN52" s="141">
        <v>170.13800241726901</v>
      </c>
      <c r="AO52" s="141">
        <v>0</v>
      </c>
      <c r="AP52" s="141">
        <v>0</v>
      </c>
      <c r="AQ52" s="141">
        <v>0</v>
      </c>
      <c r="AR52" s="141">
        <v>-15.814580483846401</v>
      </c>
      <c r="AS52" s="141">
        <v>0</v>
      </c>
      <c r="AT52" s="142">
        <v>4.7266311293982399</v>
      </c>
    </row>
    <row r="53" spans="2:46" ht="12" customHeight="1" x14ac:dyDescent="0.25">
      <c r="B53" s="140" t="s">
        <v>22</v>
      </c>
      <c r="C53" s="141" t="s">
        <v>92</v>
      </c>
      <c r="D53" s="141" t="s">
        <v>24</v>
      </c>
      <c r="E53" s="141" t="s">
        <v>1390</v>
      </c>
      <c r="F53" s="141" t="s">
        <v>25</v>
      </c>
      <c r="G53" s="141" t="s">
        <v>25</v>
      </c>
      <c r="H53" s="141" t="s">
        <v>79</v>
      </c>
      <c r="I53" s="141" t="s">
        <v>25</v>
      </c>
      <c r="J53" s="141">
        <v>397.43</v>
      </c>
      <c r="K53" s="141">
        <v>224.48</v>
      </c>
      <c r="L53" s="141">
        <v>0</v>
      </c>
      <c r="M53" s="141">
        <v>1.0012572556685999</v>
      </c>
      <c r="N53" s="141">
        <v>4.4632725869630701</v>
      </c>
      <c r="O53" s="141">
        <v>0</v>
      </c>
      <c r="P53" s="141">
        <v>0</v>
      </c>
      <c r="Q53" s="141">
        <v>0</v>
      </c>
      <c r="R53" s="141">
        <v>0</v>
      </c>
      <c r="S53" s="141">
        <v>0</v>
      </c>
      <c r="T53" s="141">
        <v>31.5170528581273</v>
      </c>
      <c r="U53" s="141">
        <v>4.8508003906488097</v>
      </c>
      <c r="V53" s="141">
        <v>0.169323782440544</v>
      </c>
      <c r="W53" s="141">
        <v>0</v>
      </c>
      <c r="X53" s="141">
        <v>0</v>
      </c>
      <c r="Y53" s="141">
        <v>0</v>
      </c>
      <c r="Z53" s="141">
        <v>0</v>
      </c>
      <c r="AA53" s="141">
        <v>280.91423994716899</v>
      </c>
      <c r="AB53" s="141">
        <v>-29.6234438455011</v>
      </c>
      <c r="AC53" s="141">
        <v>0</v>
      </c>
      <c r="AD53" s="141">
        <v>0</v>
      </c>
      <c r="AE53" s="141">
        <v>29.379344067512001</v>
      </c>
      <c r="AF53" s="141">
        <v>2.37545319814171</v>
      </c>
      <c r="AG53" s="141">
        <v>58.880638461168097</v>
      </c>
      <c r="AH53" s="141">
        <v>13.497188701565101</v>
      </c>
      <c r="AI53" s="141">
        <v>11.803829801518299</v>
      </c>
      <c r="AJ53" s="141">
        <v>-17.197125811903</v>
      </c>
      <c r="AK53" s="141">
        <v>2.3178389475020298</v>
      </c>
      <c r="AL53" s="141">
        <v>68.505017061817995</v>
      </c>
      <c r="AM53" s="141">
        <v>0</v>
      </c>
      <c r="AN53" s="141">
        <v>170.13800241726901</v>
      </c>
      <c r="AO53" s="141">
        <v>0</v>
      </c>
      <c r="AP53" s="141">
        <v>0</v>
      </c>
      <c r="AQ53" s="141">
        <v>0</v>
      </c>
      <c r="AR53" s="141">
        <v>-15.814580483846401</v>
      </c>
      <c r="AS53" s="141">
        <v>0</v>
      </c>
      <c r="AT53" s="142">
        <v>4.7266311293982399</v>
      </c>
    </row>
    <row r="54" spans="2:46" ht="12" customHeight="1" x14ac:dyDescent="0.25">
      <c r="B54" s="140" t="s">
        <v>22</v>
      </c>
      <c r="C54" s="141" t="s">
        <v>92</v>
      </c>
      <c r="D54" s="141" t="s">
        <v>24</v>
      </c>
      <c r="E54" s="141" t="s">
        <v>24</v>
      </c>
      <c r="F54" s="141" t="s">
        <v>25</v>
      </c>
      <c r="G54" s="141" t="s">
        <v>25</v>
      </c>
      <c r="H54" s="141" t="s">
        <v>79</v>
      </c>
      <c r="I54" s="141" t="s">
        <v>25</v>
      </c>
      <c r="J54" s="141">
        <v>497.19</v>
      </c>
      <c r="K54" s="141">
        <v>224.48</v>
      </c>
      <c r="L54" s="141">
        <v>25.211303490100999</v>
      </c>
      <c r="M54" s="141">
        <v>1.0012572556685999</v>
      </c>
      <c r="N54" s="141">
        <v>4.4748154934613504</v>
      </c>
      <c r="O54" s="141">
        <v>0</v>
      </c>
      <c r="P54" s="141">
        <v>0</v>
      </c>
      <c r="Q54" s="141">
        <v>58.194763908042702</v>
      </c>
      <c r="R54" s="141">
        <v>21.6649913154762</v>
      </c>
      <c r="S54" s="141">
        <v>0</v>
      </c>
      <c r="T54" s="141">
        <v>31.5170528581273</v>
      </c>
      <c r="U54" s="141">
        <v>4.8508003906488097</v>
      </c>
      <c r="V54" s="141">
        <v>0.169323782440544</v>
      </c>
      <c r="W54" s="141">
        <v>0</v>
      </c>
      <c r="X54" s="141">
        <v>0</v>
      </c>
      <c r="Y54" s="141">
        <v>0</v>
      </c>
      <c r="Z54" s="141">
        <v>0</v>
      </c>
      <c r="AA54" s="141">
        <v>280.91423994716899</v>
      </c>
      <c r="AB54" s="141">
        <v>-34.939126929302297</v>
      </c>
      <c r="AC54" s="141">
        <v>0</v>
      </c>
      <c r="AD54" s="141">
        <v>0</v>
      </c>
      <c r="AE54" s="141">
        <v>29.379344067512001</v>
      </c>
      <c r="AF54" s="141">
        <v>2.37545319814171</v>
      </c>
      <c r="AG54" s="141">
        <v>58.880638461168097</v>
      </c>
      <c r="AH54" s="141">
        <v>13.497188701565101</v>
      </c>
      <c r="AI54" s="141">
        <v>11.803829801518299</v>
      </c>
      <c r="AJ54" s="141">
        <v>-17.197125811903</v>
      </c>
      <c r="AK54" s="141">
        <v>2.3178389475020298</v>
      </c>
      <c r="AL54" s="141">
        <v>68.505017061817995</v>
      </c>
      <c r="AM54" s="141">
        <v>0</v>
      </c>
      <c r="AN54" s="141">
        <v>170.13800241726901</v>
      </c>
      <c r="AO54" s="141">
        <v>0</v>
      </c>
      <c r="AP54" s="141">
        <v>0</v>
      </c>
      <c r="AQ54" s="141">
        <v>0</v>
      </c>
      <c r="AR54" s="141">
        <v>-15.814580483846401</v>
      </c>
      <c r="AS54" s="141">
        <v>0</v>
      </c>
      <c r="AT54" s="142">
        <v>4.7266311293982399</v>
      </c>
    </row>
    <row r="55" spans="2:46" ht="12" customHeight="1" x14ac:dyDescent="0.25">
      <c r="B55" s="140" t="s">
        <v>45</v>
      </c>
      <c r="C55" s="141" t="s">
        <v>33</v>
      </c>
      <c r="D55" s="141" t="s">
        <v>46</v>
      </c>
      <c r="E55" s="141" t="s">
        <v>93</v>
      </c>
      <c r="F55" s="141" t="s">
        <v>25</v>
      </c>
      <c r="G55" s="141" t="s">
        <v>34</v>
      </c>
      <c r="H55" s="141" t="s">
        <v>79</v>
      </c>
      <c r="I55" s="141" t="s">
        <v>25</v>
      </c>
      <c r="J55" s="141">
        <v>1099.3800000000001</v>
      </c>
      <c r="K55" s="141">
        <v>302.8</v>
      </c>
      <c r="L55" s="141">
        <v>23.698625280695001</v>
      </c>
      <c r="M55" s="141">
        <v>0.94118182032848297</v>
      </c>
      <c r="N55" s="141">
        <v>10.206515733424499</v>
      </c>
      <c r="O55" s="141">
        <v>0</v>
      </c>
      <c r="P55" s="141">
        <v>0</v>
      </c>
      <c r="Q55" s="141">
        <v>54.7030780735601</v>
      </c>
      <c r="R55" s="141">
        <v>20.365091836547599</v>
      </c>
      <c r="S55" s="141">
        <v>0</v>
      </c>
      <c r="T55" s="141">
        <v>96.284832365123506</v>
      </c>
      <c r="U55" s="141">
        <v>14.8192980406589</v>
      </c>
      <c r="V55" s="141">
        <v>0.51720096841048302</v>
      </c>
      <c r="W55" s="141">
        <v>0</v>
      </c>
      <c r="X55" s="141">
        <v>0</v>
      </c>
      <c r="Y55" s="141">
        <v>0</v>
      </c>
      <c r="Z55" s="141">
        <v>0</v>
      </c>
      <c r="AA55" s="141">
        <v>858.19284949520602</v>
      </c>
      <c r="AB55" s="141">
        <v>-78.235946468891001</v>
      </c>
      <c r="AC55" s="141">
        <v>0</v>
      </c>
      <c r="AD55" s="141">
        <v>0</v>
      </c>
      <c r="AE55" s="141">
        <v>27.6165834234613</v>
      </c>
      <c r="AF55" s="141">
        <v>2.2329260062532099</v>
      </c>
      <c r="AG55" s="141">
        <v>55.347800153498</v>
      </c>
      <c r="AH55" s="141">
        <v>12.6873573794712</v>
      </c>
      <c r="AI55" s="141">
        <v>11.0956000134272</v>
      </c>
      <c r="AJ55" s="141">
        <v>-16.165298263188902</v>
      </c>
      <c r="AK55" s="141">
        <v>2.1787686106519102</v>
      </c>
      <c r="AL55" s="141">
        <v>64.394716038108996</v>
      </c>
      <c r="AM55" s="141">
        <v>0</v>
      </c>
      <c r="AN55" s="141">
        <v>259.50860595117001</v>
      </c>
      <c r="AO55" s="141">
        <v>0</v>
      </c>
      <c r="AP55" s="141">
        <v>0</v>
      </c>
      <c r="AQ55" s="141">
        <v>0</v>
      </c>
      <c r="AR55" s="141">
        <v>-22.658138153096498</v>
      </c>
      <c r="AS55" s="141">
        <v>0</v>
      </c>
      <c r="AT55" s="142">
        <v>4.4430332616343398</v>
      </c>
    </row>
    <row r="56" spans="2:46" ht="12" customHeight="1" x14ac:dyDescent="0.25">
      <c r="B56" s="140" t="s">
        <v>45</v>
      </c>
      <c r="C56" s="141" t="s">
        <v>33</v>
      </c>
      <c r="D56" s="141" t="s">
        <v>46</v>
      </c>
      <c r="E56" s="141" t="s">
        <v>93</v>
      </c>
      <c r="F56" s="141" t="s">
        <v>25</v>
      </c>
      <c r="G56" s="141" t="s">
        <v>36</v>
      </c>
      <c r="H56" s="141" t="s">
        <v>79</v>
      </c>
      <c r="I56" s="141" t="s">
        <v>25</v>
      </c>
      <c r="J56" s="141">
        <v>734.21</v>
      </c>
      <c r="K56" s="141">
        <v>202.67</v>
      </c>
      <c r="L56" s="141">
        <v>23.698625280695001</v>
      </c>
      <c r="M56" s="141">
        <v>0.94118182032848297</v>
      </c>
      <c r="N56" s="141">
        <v>6.7397402269087197</v>
      </c>
      <c r="O56" s="141">
        <v>0</v>
      </c>
      <c r="P56" s="141">
        <v>0</v>
      </c>
      <c r="Q56" s="141">
        <v>54.7030780735601</v>
      </c>
      <c r="R56" s="141">
        <v>20.365091836547599</v>
      </c>
      <c r="S56" s="141">
        <v>0</v>
      </c>
      <c r="T56" s="141">
        <v>57.7708286540107</v>
      </c>
      <c r="U56" s="141">
        <v>8.8915952799516003</v>
      </c>
      <c r="V56" s="141">
        <v>0.31034276423172502</v>
      </c>
      <c r="W56" s="141">
        <v>0</v>
      </c>
      <c r="X56" s="141">
        <v>0</v>
      </c>
      <c r="Y56" s="141">
        <v>0</v>
      </c>
      <c r="Z56" s="141">
        <v>0</v>
      </c>
      <c r="AA56" s="141">
        <v>514.91575883100995</v>
      </c>
      <c r="AB56" s="141">
        <v>-52.008785244956201</v>
      </c>
      <c r="AC56" s="141">
        <v>0</v>
      </c>
      <c r="AD56" s="141">
        <v>0</v>
      </c>
      <c r="AE56" s="141">
        <v>27.6165834234613</v>
      </c>
      <c r="AF56" s="141">
        <v>2.2329260062532099</v>
      </c>
      <c r="AG56" s="141">
        <v>55.347800153498</v>
      </c>
      <c r="AH56" s="141">
        <v>12.6873573794712</v>
      </c>
      <c r="AI56" s="141">
        <v>11.0956000134272</v>
      </c>
      <c r="AJ56" s="141">
        <v>-16.165298263188902</v>
      </c>
      <c r="AK56" s="141">
        <v>2.1787686106519102</v>
      </c>
      <c r="AL56" s="141">
        <v>64.394716038108996</v>
      </c>
      <c r="AM56" s="141">
        <v>0</v>
      </c>
      <c r="AN56" s="141">
        <v>150.87709648323801</v>
      </c>
      <c r="AO56" s="141">
        <v>0</v>
      </c>
      <c r="AP56" s="141">
        <v>0</v>
      </c>
      <c r="AQ56" s="141">
        <v>0</v>
      </c>
      <c r="AR56" s="141">
        <v>-14.1573027004265</v>
      </c>
      <c r="AS56" s="141">
        <v>0</v>
      </c>
      <c r="AT56" s="142">
        <v>4.4430332616343398</v>
      </c>
    </row>
    <row r="57" spans="2:46" ht="12" customHeight="1" x14ac:dyDescent="0.25">
      <c r="B57" s="140" t="s">
        <v>45</v>
      </c>
      <c r="C57" s="141" t="s">
        <v>33</v>
      </c>
      <c r="D57" s="141" t="s">
        <v>46</v>
      </c>
      <c r="E57" s="141" t="s">
        <v>93</v>
      </c>
      <c r="F57" s="141" t="s">
        <v>25</v>
      </c>
      <c r="G57" s="141" t="s">
        <v>35</v>
      </c>
      <c r="H57" s="141" t="s">
        <v>79</v>
      </c>
      <c r="I57" s="141" t="s">
        <v>25</v>
      </c>
      <c r="J57" s="141">
        <v>369.05</v>
      </c>
      <c r="K57" s="141">
        <v>202.67</v>
      </c>
      <c r="L57" s="141">
        <v>23.698625280695001</v>
      </c>
      <c r="M57" s="141">
        <v>0.94118182032848297</v>
      </c>
      <c r="N57" s="141">
        <v>3.2729647203929102</v>
      </c>
      <c r="O57" s="141">
        <v>0</v>
      </c>
      <c r="P57" s="141">
        <v>0</v>
      </c>
      <c r="Q57" s="141">
        <v>54.7030780735601</v>
      </c>
      <c r="R57" s="141">
        <v>20.365091836547599</v>
      </c>
      <c r="S57" s="141">
        <v>0</v>
      </c>
      <c r="T57" s="141">
        <v>19.256942884670199</v>
      </c>
      <c r="U57" s="141">
        <v>2.9638925192443302</v>
      </c>
      <c r="V57" s="141">
        <v>0.103484560052966</v>
      </c>
      <c r="W57" s="141">
        <v>0</v>
      </c>
      <c r="X57" s="141">
        <v>0</v>
      </c>
      <c r="Y57" s="141">
        <v>0</v>
      </c>
      <c r="Z57" s="141">
        <v>0</v>
      </c>
      <c r="AA57" s="141">
        <v>171.638545332098</v>
      </c>
      <c r="AB57" s="141">
        <v>-25.781624633698499</v>
      </c>
      <c r="AC57" s="141">
        <v>0</v>
      </c>
      <c r="AD57" s="141">
        <v>0</v>
      </c>
      <c r="AE57" s="141">
        <v>27.6165834234613</v>
      </c>
      <c r="AF57" s="141">
        <v>2.2329260062532099</v>
      </c>
      <c r="AG57" s="141">
        <v>55.347800153498</v>
      </c>
      <c r="AH57" s="141">
        <v>12.6873573794712</v>
      </c>
      <c r="AI57" s="141">
        <v>11.0956000134272</v>
      </c>
      <c r="AJ57" s="141">
        <v>-16.165298263188902</v>
      </c>
      <c r="AK57" s="141">
        <v>2.1787686106519102</v>
      </c>
      <c r="AL57" s="141">
        <v>64.394716038108996</v>
      </c>
      <c r="AM57" s="141">
        <v>0</v>
      </c>
      <c r="AN57" s="141">
        <v>150.87709648323801</v>
      </c>
      <c r="AO57" s="141">
        <v>0</v>
      </c>
      <c r="AP57" s="141">
        <v>0</v>
      </c>
      <c r="AQ57" s="141">
        <v>0</v>
      </c>
      <c r="AR57" s="141">
        <v>-14.1573027004265</v>
      </c>
      <c r="AS57" s="141">
        <v>0</v>
      </c>
      <c r="AT57" s="142">
        <v>4.4430332616343398</v>
      </c>
    </row>
    <row r="58" spans="2:46" ht="12" customHeight="1" x14ac:dyDescent="0.25">
      <c r="B58" s="140" t="s">
        <v>45</v>
      </c>
      <c r="C58" s="141" t="s">
        <v>33</v>
      </c>
      <c r="D58" s="141" t="s">
        <v>46</v>
      </c>
      <c r="E58" s="141" t="s">
        <v>25</v>
      </c>
      <c r="F58" s="141" t="s">
        <v>25</v>
      </c>
      <c r="G58" s="141" t="s">
        <v>34</v>
      </c>
      <c r="H58" s="141" t="s">
        <v>79</v>
      </c>
      <c r="I58" s="141" t="s">
        <v>25</v>
      </c>
      <c r="J58" s="141">
        <v>1099.3800000000001</v>
      </c>
      <c r="K58" s="141">
        <v>302.8</v>
      </c>
      <c r="L58" s="141">
        <v>23.698625280695001</v>
      </c>
      <c r="M58" s="141">
        <v>0.94118182032848297</v>
      </c>
      <c r="N58" s="141">
        <v>10.206515733424499</v>
      </c>
      <c r="O58" s="141">
        <v>0</v>
      </c>
      <c r="P58" s="141">
        <v>0</v>
      </c>
      <c r="Q58" s="141">
        <v>54.7030780735601</v>
      </c>
      <c r="R58" s="141">
        <v>20.365091836547599</v>
      </c>
      <c r="S58" s="141">
        <v>0</v>
      </c>
      <c r="T58" s="141">
        <v>96.284832365123506</v>
      </c>
      <c r="U58" s="141">
        <v>14.8192980406589</v>
      </c>
      <c r="V58" s="141">
        <v>0.51720096841048302</v>
      </c>
      <c r="W58" s="141">
        <v>0</v>
      </c>
      <c r="X58" s="141">
        <v>0</v>
      </c>
      <c r="Y58" s="141">
        <v>0</v>
      </c>
      <c r="Z58" s="141">
        <v>0</v>
      </c>
      <c r="AA58" s="141">
        <v>858.19284949520602</v>
      </c>
      <c r="AB58" s="141">
        <v>-78.235946468891001</v>
      </c>
      <c r="AC58" s="141">
        <v>0</v>
      </c>
      <c r="AD58" s="141">
        <v>0</v>
      </c>
      <c r="AE58" s="141">
        <v>27.6165834234613</v>
      </c>
      <c r="AF58" s="141">
        <v>2.2329260062532099</v>
      </c>
      <c r="AG58" s="141">
        <v>55.347800153498</v>
      </c>
      <c r="AH58" s="141">
        <v>12.6873573794712</v>
      </c>
      <c r="AI58" s="141">
        <v>11.0956000134272</v>
      </c>
      <c r="AJ58" s="141">
        <v>-16.165298263188902</v>
      </c>
      <c r="AK58" s="141">
        <v>2.1787686106519102</v>
      </c>
      <c r="AL58" s="141">
        <v>64.394716038108996</v>
      </c>
      <c r="AM58" s="141">
        <v>0</v>
      </c>
      <c r="AN58" s="141">
        <v>259.50860595117001</v>
      </c>
      <c r="AO58" s="141">
        <v>0</v>
      </c>
      <c r="AP58" s="141">
        <v>0</v>
      </c>
      <c r="AQ58" s="141">
        <v>0</v>
      </c>
      <c r="AR58" s="141">
        <v>-22.658138153096498</v>
      </c>
      <c r="AS58" s="141">
        <v>0</v>
      </c>
      <c r="AT58" s="142">
        <v>4.4430332616343398</v>
      </c>
    </row>
    <row r="59" spans="2:46" ht="12" customHeight="1" x14ac:dyDescent="0.25">
      <c r="B59" s="140" t="s">
        <v>45</v>
      </c>
      <c r="C59" s="141" t="s">
        <v>33</v>
      </c>
      <c r="D59" s="141" t="s">
        <v>46</v>
      </c>
      <c r="E59" s="141" t="s">
        <v>25</v>
      </c>
      <c r="F59" s="141" t="s">
        <v>25</v>
      </c>
      <c r="G59" s="141" t="s">
        <v>36</v>
      </c>
      <c r="H59" s="141" t="s">
        <v>79</v>
      </c>
      <c r="I59" s="141" t="s">
        <v>25</v>
      </c>
      <c r="J59" s="141">
        <v>734.21</v>
      </c>
      <c r="K59" s="141">
        <v>202.67</v>
      </c>
      <c r="L59" s="141">
        <v>23.698625280695001</v>
      </c>
      <c r="M59" s="141">
        <v>0.94118182032848297</v>
      </c>
      <c r="N59" s="141">
        <v>6.7397402269087197</v>
      </c>
      <c r="O59" s="141">
        <v>0</v>
      </c>
      <c r="P59" s="141">
        <v>0</v>
      </c>
      <c r="Q59" s="141">
        <v>54.7030780735601</v>
      </c>
      <c r="R59" s="141">
        <v>20.365091836547599</v>
      </c>
      <c r="S59" s="141">
        <v>0</v>
      </c>
      <c r="T59" s="141">
        <v>57.7708286540107</v>
      </c>
      <c r="U59" s="141">
        <v>8.8915952799516003</v>
      </c>
      <c r="V59" s="141">
        <v>0.31034276423172502</v>
      </c>
      <c r="W59" s="141">
        <v>0</v>
      </c>
      <c r="X59" s="141">
        <v>0</v>
      </c>
      <c r="Y59" s="141">
        <v>0</v>
      </c>
      <c r="Z59" s="141">
        <v>0</v>
      </c>
      <c r="AA59" s="141">
        <v>514.91575883100995</v>
      </c>
      <c r="AB59" s="141">
        <v>-52.008785244956201</v>
      </c>
      <c r="AC59" s="141">
        <v>0</v>
      </c>
      <c r="AD59" s="141">
        <v>0</v>
      </c>
      <c r="AE59" s="141">
        <v>27.6165834234613</v>
      </c>
      <c r="AF59" s="141">
        <v>2.2329260062532099</v>
      </c>
      <c r="AG59" s="141">
        <v>55.347800153498</v>
      </c>
      <c r="AH59" s="141">
        <v>12.6873573794712</v>
      </c>
      <c r="AI59" s="141">
        <v>11.0956000134272</v>
      </c>
      <c r="AJ59" s="141">
        <v>-16.165298263188902</v>
      </c>
      <c r="AK59" s="141">
        <v>2.1787686106519102</v>
      </c>
      <c r="AL59" s="141">
        <v>64.394716038108996</v>
      </c>
      <c r="AM59" s="141">
        <v>0</v>
      </c>
      <c r="AN59" s="141">
        <v>150.87709648323801</v>
      </c>
      <c r="AO59" s="141">
        <v>0</v>
      </c>
      <c r="AP59" s="141">
        <v>0</v>
      </c>
      <c r="AQ59" s="141">
        <v>0</v>
      </c>
      <c r="AR59" s="141">
        <v>-14.1573027004265</v>
      </c>
      <c r="AS59" s="141">
        <v>0</v>
      </c>
      <c r="AT59" s="142">
        <v>4.4430332616343398</v>
      </c>
    </row>
    <row r="60" spans="2:46" ht="12" customHeight="1" x14ac:dyDescent="0.25">
      <c r="B60" s="140" t="s">
        <v>45</v>
      </c>
      <c r="C60" s="141" t="s">
        <v>33</v>
      </c>
      <c r="D60" s="141" t="s">
        <v>46</v>
      </c>
      <c r="E60" s="141" t="s">
        <v>25</v>
      </c>
      <c r="F60" s="141" t="s">
        <v>25</v>
      </c>
      <c r="G60" s="141" t="s">
        <v>35</v>
      </c>
      <c r="H60" s="141" t="s">
        <v>79</v>
      </c>
      <c r="I60" s="141" t="s">
        <v>25</v>
      </c>
      <c r="J60" s="141">
        <v>369.05</v>
      </c>
      <c r="K60" s="141">
        <v>202.67</v>
      </c>
      <c r="L60" s="141">
        <v>23.698625280695001</v>
      </c>
      <c r="M60" s="141">
        <v>0.94118182032848297</v>
      </c>
      <c r="N60" s="141">
        <v>3.2729647203929102</v>
      </c>
      <c r="O60" s="141">
        <v>0</v>
      </c>
      <c r="P60" s="141">
        <v>0</v>
      </c>
      <c r="Q60" s="141">
        <v>54.7030780735601</v>
      </c>
      <c r="R60" s="141">
        <v>20.365091836547599</v>
      </c>
      <c r="S60" s="141">
        <v>0</v>
      </c>
      <c r="T60" s="141">
        <v>19.256942884670199</v>
      </c>
      <c r="U60" s="141">
        <v>2.9638925192443302</v>
      </c>
      <c r="V60" s="141">
        <v>0.103484560052966</v>
      </c>
      <c r="W60" s="141">
        <v>0</v>
      </c>
      <c r="X60" s="141">
        <v>0</v>
      </c>
      <c r="Y60" s="141">
        <v>0</v>
      </c>
      <c r="Z60" s="141">
        <v>0</v>
      </c>
      <c r="AA60" s="141">
        <v>171.638545332098</v>
      </c>
      <c r="AB60" s="141">
        <v>-25.781624633698499</v>
      </c>
      <c r="AC60" s="141">
        <v>0</v>
      </c>
      <c r="AD60" s="141">
        <v>0</v>
      </c>
      <c r="AE60" s="141">
        <v>27.6165834234613</v>
      </c>
      <c r="AF60" s="141">
        <v>2.2329260062532099</v>
      </c>
      <c r="AG60" s="141">
        <v>55.347800153498</v>
      </c>
      <c r="AH60" s="141">
        <v>12.6873573794712</v>
      </c>
      <c r="AI60" s="141">
        <v>11.0956000134272</v>
      </c>
      <c r="AJ60" s="141">
        <v>-16.165298263188902</v>
      </c>
      <c r="AK60" s="141">
        <v>2.1787686106519102</v>
      </c>
      <c r="AL60" s="141">
        <v>64.394716038108996</v>
      </c>
      <c r="AM60" s="141">
        <v>0</v>
      </c>
      <c r="AN60" s="141">
        <v>150.87709648323801</v>
      </c>
      <c r="AO60" s="141">
        <v>0</v>
      </c>
      <c r="AP60" s="141">
        <v>0</v>
      </c>
      <c r="AQ60" s="141">
        <v>0</v>
      </c>
      <c r="AR60" s="141">
        <v>-14.1573027004265</v>
      </c>
      <c r="AS60" s="141">
        <v>0</v>
      </c>
      <c r="AT60" s="142">
        <v>4.4430332616343398</v>
      </c>
    </row>
    <row r="61" spans="2:46" ht="12" customHeight="1" x14ac:dyDescent="0.25">
      <c r="B61" s="140" t="s">
        <v>45</v>
      </c>
      <c r="C61" s="141" t="s">
        <v>33</v>
      </c>
      <c r="D61" s="141" t="s">
        <v>46</v>
      </c>
      <c r="E61" s="141" t="s">
        <v>94</v>
      </c>
      <c r="F61" s="141" t="s">
        <v>25</v>
      </c>
      <c r="G61" s="141" t="s">
        <v>34</v>
      </c>
      <c r="H61" s="141" t="s">
        <v>79</v>
      </c>
      <c r="I61" s="141" t="s">
        <v>25</v>
      </c>
      <c r="J61" s="141">
        <v>1075.99</v>
      </c>
      <c r="K61" s="141">
        <v>296.35000000000002</v>
      </c>
      <c r="L61" s="141">
        <v>23.1943992108929</v>
      </c>
      <c r="M61" s="141">
        <v>0.92115667521511102</v>
      </c>
      <c r="N61" s="141">
        <v>9.9893558242027307</v>
      </c>
      <c r="O61" s="141">
        <v>0</v>
      </c>
      <c r="P61" s="141">
        <v>0</v>
      </c>
      <c r="Q61" s="141">
        <v>53.539182795399199</v>
      </c>
      <c r="R61" s="141">
        <v>19.931792010238102</v>
      </c>
      <c r="S61" s="141">
        <v>0</v>
      </c>
      <c r="T61" s="141">
        <v>94.236218910546398</v>
      </c>
      <c r="U61" s="141">
        <v>14.5039938270278</v>
      </c>
      <c r="V61" s="141">
        <v>0.50619669248685595</v>
      </c>
      <c r="W61" s="141">
        <v>0</v>
      </c>
      <c r="X61" s="141">
        <v>0</v>
      </c>
      <c r="Y61" s="141">
        <v>0</v>
      </c>
      <c r="Z61" s="141">
        <v>0</v>
      </c>
      <c r="AA61" s="141">
        <v>839.93342716552104</v>
      </c>
      <c r="AB61" s="141">
        <v>-76.571351863169994</v>
      </c>
      <c r="AC61" s="141">
        <v>0</v>
      </c>
      <c r="AD61" s="141">
        <v>0</v>
      </c>
      <c r="AE61" s="141">
        <v>27.028996542110999</v>
      </c>
      <c r="AF61" s="141">
        <v>2.1854169422903702</v>
      </c>
      <c r="AG61" s="141">
        <v>54.170187384274698</v>
      </c>
      <c r="AH61" s="141">
        <v>12.417413605439901</v>
      </c>
      <c r="AI61" s="141">
        <v>10.859523417396799</v>
      </c>
      <c r="AJ61" s="141">
        <v>-15.8213557469508</v>
      </c>
      <c r="AK61" s="141">
        <v>2.1324118317018699</v>
      </c>
      <c r="AL61" s="141">
        <v>63.024615696872601</v>
      </c>
      <c r="AM61" s="141">
        <v>0</v>
      </c>
      <c r="AN61" s="141">
        <v>253.98714625008199</v>
      </c>
      <c r="AO61" s="141">
        <v>0</v>
      </c>
      <c r="AP61" s="141">
        <v>0</v>
      </c>
      <c r="AQ61" s="141">
        <v>0</v>
      </c>
      <c r="AR61" s="141">
        <v>-22.176050107285999</v>
      </c>
      <c r="AS61" s="141">
        <v>0</v>
      </c>
      <c r="AT61" s="142">
        <v>4.3485006390463798</v>
      </c>
    </row>
    <row r="62" spans="2:46" ht="12" customHeight="1" x14ac:dyDescent="0.25">
      <c r="B62" s="140" t="s">
        <v>45</v>
      </c>
      <c r="C62" s="141" t="s">
        <v>33</v>
      </c>
      <c r="D62" s="141" t="s">
        <v>46</v>
      </c>
      <c r="E62" s="141" t="s">
        <v>94</v>
      </c>
      <c r="F62" s="141" t="s">
        <v>25</v>
      </c>
      <c r="G62" s="141" t="s">
        <v>36</v>
      </c>
      <c r="H62" s="141" t="s">
        <v>79</v>
      </c>
      <c r="I62" s="141" t="s">
        <v>25</v>
      </c>
      <c r="J62" s="141">
        <v>718.59</v>
      </c>
      <c r="K62" s="141">
        <v>198.35</v>
      </c>
      <c r="L62" s="141">
        <v>23.1943992108929</v>
      </c>
      <c r="M62" s="141">
        <v>0.92115667521511102</v>
      </c>
      <c r="N62" s="141">
        <v>6.5963414986766198</v>
      </c>
      <c r="O62" s="141">
        <v>0</v>
      </c>
      <c r="P62" s="141">
        <v>0</v>
      </c>
      <c r="Q62" s="141">
        <v>53.539182795399199</v>
      </c>
      <c r="R62" s="141">
        <v>19.931792010238102</v>
      </c>
      <c r="S62" s="141">
        <v>0</v>
      </c>
      <c r="T62" s="141">
        <v>56.541662086904097</v>
      </c>
      <c r="U62" s="141">
        <v>8.7024124016547599</v>
      </c>
      <c r="V62" s="141">
        <v>0.30373972669487898</v>
      </c>
      <c r="W62" s="141">
        <v>0</v>
      </c>
      <c r="X62" s="141">
        <v>0</v>
      </c>
      <c r="Y62" s="141">
        <v>0</v>
      </c>
      <c r="Z62" s="141">
        <v>0</v>
      </c>
      <c r="AA62" s="141">
        <v>503.960104387797</v>
      </c>
      <c r="AB62" s="141">
        <v>-50.902215346127299</v>
      </c>
      <c r="AC62" s="141">
        <v>0</v>
      </c>
      <c r="AD62" s="141">
        <v>0</v>
      </c>
      <c r="AE62" s="141">
        <v>27.028996542110999</v>
      </c>
      <c r="AF62" s="141">
        <v>2.1854169422903702</v>
      </c>
      <c r="AG62" s="141">
        <v>54.170187384274698</v>
      </c>
      <c r="AH62" s="141">
        <v>12.417413605439901</v>
      </c>
      <c r="AI62" s="141">
        <v>10.859523417396799</v>
      </c>
      <c r="AJ62" s="141">
        <v>-15.8213557469508</v>
      </c>
      <c r="AK62" s="141">
        <v>2.1324118317018699</v>
      </c>
      <c r="AL62" s="141">
        <v>63.024615696872601</v>
      </c>
      <c r="AM62" s="141">
        <v>0</v>
      </c>
      <c r="AN62" s="141">
        <v>147.666945494233</v>
      </c>
      <c r="AO62" s="141">
        <v>0</v>
      </c>
      <c r="AP62" s="141">
        <v>0</v>
      </c>
      <c r="AQ62" s="141">
        <v>0</v>
      </c>
      <c r="AR62" s="141">
        <v>-13.856083494034401</v>
      </c>
      <c r="AS62" s="141">
        <v>0</v>
      </c>
      <c r="AT62" s="142">
        <v>4.3485006390463798</v>
      </c>
    </row>
    <row r="63" spans="2:46" ht="12" customHeight="1" x14ac:dyDescent="0.25">
      <c r="B63" s="140" t="s">
        <v>45</v>
      </c>
      <c r="C63" s="141" t="s">
        <v>33</v>
      </c>
      <c r="D63" s="141" t="s">
        <v>46</v>
      </c>
      <c r="E63" s="141" t="s">
        <v>94</v>
      </c>
      <c r="F63" s="141" t="s">
        <v>25</v>
      </c>
      <c r="G63" s="141" t="s">
        <v>35</v>
      </c>
      <c r="H63" s="141" t="s">
        <v>79</v>
      </c>
      <c r="I63" s="141" t="s">
        <v>25</v>
      </c>
      <c r="J63" s="141">
        <v>361.19</v>
      </c>
      <c r="K63" s="141">
        <v>198.35</v>
      </c>
      <c r="L63" s="141">
        <v>23.1943992108929</v>
      </c>
      <c r="M63" s="141">
        <v>0.92115667521511102</v>
      </c>
      <c r="N63" s="141">
        <v>3.2033271731505102</v>
      </c>
      <c r="O63" s="141">
        <v>0</v>
      </c>
      <c r="P63" s="141">
        <v>0</v>
      </c>
      <c r="Q63" s="141">
        <v>53.539182795399199</v>
      </c>
      <c r="R63" s="141">
        <v>19.931792010238102</v>
      </c>
      <c r="S63" s="141">
        <v>0</v>
      </c>
      <c r="T63" s="141">
        <v>18.8472206956347</v>
      </c>
      <c r="U63" s="141">
        <v>2.9008309762816902</v>
      </c>
      <c r="V63" s="141">
        <v>0.101282760902903</v>
      </c>
      <c r="W63" s="141">
        <v>0</v>
      </c>
      <c r="X63" s="141">
        <v>0</v>
      </c>
      <c r="Y63" s="141">
        <v>0</v>
      </c>
      <c r="Z63" s="141">
        <v>0</v>
      </c>
      <c r="AA63" s="141">
        <v>167.98666138886199</v>
      </c>
      <c r="AB63" s="141">
        <v>-25.233079428726199</v>
      </c>
      <c r="AC63" s="141">
        <v>0</v>
      </c>
      <c r="AD63" s="141">
        <v>0</v>
      </c>
      <c r="AE63" s="141">
        <v>27.028996542110999</v>
      </c>
      <c r="AF63" s="141">
        <v>2.1854169422903702</v>
      </c>
      <c r="AG63" s="141">
        <v>54.170187384274698</v>
      </c>
      <c r="AH63" s="141">
        <v>12.417413605439901</v>
      </c>
      <c r="AI63" s="141">
        <v>10.859523417396799</v>
      </c>
      <c r="AJ63" s="141">
        <v>-15.8213557469508</v>
      </c>
      <c r="AK63" s="141">
        <v>2.1324118317018699</v>
      </c>
      <c r="AL63" s="141">
        <v>63.024615696872601</v>
      </c>
      <c r="AM63" s="141">
        <v>0</v>
      </c>
      <c r="AN63" s="141">
        <v>147.666945494233</v>
      </c>
      <c r="AO63" s="141">
        <v>0</v>
      </c>
      <c r="AP63" s="141">
        <v>0</v>
      </c>
      <c r="AQ63" s="141">
        <v>0</v>
      </c>
      <c r="AR63" s="141">
        <v>-13.856083494034401</v>
      </c>
      <c r="AS63" s="141">
        <v>0</v>
      </c>
      <c r="AT63" s="142">
        <v>4.3485006390463798</v>
      </c>
    </row>
    <row r="64" spans="2:46" ht="12" customHeight="1" x14ac:dyDescent="0.25">
      <c r="B64" s="140" t="s">
        <v>45</v>
      </c>
      <c r="C64" s="141" t="s">
        <v>23</v>
      </c>
      <c r="D64" s="141" t="s">
        <v>46</v>
      </c>
      <c r="E64" s="141" t="s">
        <v>93</v>
      </c>
      <c r="F64" s="141" t="s">
        <v>25</v>
      </c>
      <c r="G64" s="141" t="s">
        <v>25</v>
      </c>
      <c r="H64" s="141" t="s">
        <v>79</v>
      </c>
      <c r="I64" s="141" t="s">
        <v>25</v>
      </c>
      <c r="J64" s="141">
        <v>467.36</v>
      </c>
      <c r="K64" s="141">
        <v>211.01</v>
      </c>
      <c r="L64" s="141">
        <v>23.698625280695001</v>
      </c>
      <c r="M64" s="141">
        <v>0.94118182032848297</v>
      </c>
      <c r="N64" s="141">
        <v>4.2063265638536702</v>
      </c>
      <c r="O64" s="141">
        <v>0</v>
      </c>
      <c r="P64" s="141">
        <v>0</v>
      </c>
      <c r="Q64" s="141">
        <v>54.7030780735601</v>
      </c>
      <c r="R64" s="141">
        <v>20.365091836547599</v>
      </c>
      <c r="S64" s="141">
        <v>0</v>
      </c>
      <c r="T64" s="141">
        <v>29.626029686639601</v>
      </c>
      <c r="U64" s="141">
        <v>4.5597523672098896</v>
      </c>
      <c r="V64" s="141">
        <v>0.15916435549411201</v>
      </c>
      <c r="W64" s="141">
        <v>0</v>
      </c>
      <c r="X64" s="141">
        <v>0</v>
      </c>
      <c r="Y64" s="141">
        <v>0</v>
      </c>
      <c r="Z64" s="141">
        <v>0</v>
      </c>
      <c r="AA64" s="141">
        <v>264.05938555033902</v>
      </c>
      <c r="AB64" s="141">
        <v>-32.842779313544099</v>
      </c>
      <c r="AC64" s="141">
        <v>0</v>
      </c>
      <c r="AD64" s="141">
        <v>0</v>
      </c>
      <c r="AE64" s="141">
        <v>27.6165834234613</v>
      </c>
      <c r="AF64" s="141">
        <v>2.2329260062532099</v>
      </c>
      <c r="AG64" s="141">
        <v>55.347800153498</v>
      </c>
      <c r="AH64" s="141">
        <v>12.6873573794712</v>
      </c>
      <c r="AI64" s="141">
        <v>11.0956000134272</v>
      </c>
      <c r="AJ64" s="141">
        <v>-16.165298263188902</v>
      </c>
      <c r="AK64" s="141">
        <v>2.1787686106519102</v>
      </c>
      <c r="AL64" s="141">
        <v>64.394716038108996</v>
      </c>
      <c r="AM64" s="141">
        <v>0</v>
      </c>
      <c r="AN64" s="141">
        <v>159.92972227223299</v>
      </c>
      <c r="AO64" s="141">
        <v>0</v>
      </c>
      <c r="AP64" s="141">
        <v>0</v>
      </c>
      <c r="AQ64" s="141">
        <v>0</v>
      </c>
      <c r="AR64" s="141">
        <v>-14.865705654815599</v>
      </c>
      <c r="AS64" s="141">
        <v>0</v>
      </c>
      <c r="AT64" s="142">
        <v>4.4430332616343398</v>
      </c>
    </row>
    <row r="65" spans="2:46" ht="12" customHeight="1" x14ac:dyDescent="0.25">
      <c r="B65" s="140" t="s">
        <v>45</v>
      </c>
      <c r="C65" s="141" t="s">
        <v>23</v>
      </c>
      <c r="D65" s="141" t="s">
        <v>46</v>
      </c>
      <c r="E65" s="141" t="s">
        <v>25</v>
      </c>
      <c r="F65" s="141" t="s">
        <v>25</v>
      </c>
      <c r="G65" s="141" t="s">
        <v>25</v>
      </c>
      <c r="H65" s="141" t="s">
        <v>79</v>
      </c>
      <c r="I65" s="141" t="s">
        <v>25</v>
      </c>
      <c r="J65" s="141">
        <v>467.36</v>
      </c>
      <c r="K65" s="141">
        <v>211.01</v>
      </c>
      <c r="L65" s="141">
        <v>23.698625280695001</v>
      </c>
      <c r="M65" s="141">
        <v>0.94118182032848297</v>
      </c>
      <c r="N65" s="141">
        <v>4.2063265638536702</v>
      </c>
      <c r="O65" s="141">
        <v>0</v>
      </c>
      <c r="P65" s="141">
        <v>0</v>
      </c>
      <c r="Q65" s="141">
        <v>54.7030780735601</v>
      </c>
      <c r="R65" s="141">
        <v>20.365091836547599</v>
      </c>
      <c r="S65" s="141">
        <v>0</v>
      </c>
      <c r="T65" s="141">
        <v>29.626029686639601</v>
      </c>
      <c r="U65" s="141">
        <v>4.5597523672098896</v>
      </c>
      <c r="V65" s="141">
        <v>0.15916435549411201</v>
      </c>
      <c r="W65" s="141">
        <v>0</v>
      </c>
      <c r="X65" s="141">
        <v>0</v>
      </c>
      <c r="Y65" s="141">
        <v>0</v>
      </c>
      <c r="Z65" s="141">
        <v>0</v>
      </c>
      <c r="AA65" s="141">
        <v>264.05938555033902</v>
      </c>
      <c r="AB65" s="141">
        <v>-32.842779313544099</v>
      </c>
      <c r="AC65" s="141">
        <v>0</v>
      </c>
      <c r="AD65" s="141">
        <v>0</v>
      </c>
      <c r="AE65" s="141">
        <v>27.6165834234613</v>
      </c>
      <c r="AF65" s="141">
        <v>2.2329260062532099</v>
      </c>
      <c r="AG65" s="141">
        <v>55.347800153498</v>
      </c>
      <c r="AH65" s="141">
        <v>12.6873573794712</v>
      </c>
      <c r="AI65" s="141">
        <v>11.0956000134272</v>
      </c>
      <c r="AJ65" s="141">
        <v>-16.165298263188902</v>
      </c>
      <c r="AK65" s="141">
        <v>2.1787686106519102</v>
      </c>
      <c r="AL65" s="141">
        <v>64.394716038108996</v>
      </c>
      <c r="AM65" s="141">
        <v>0</v>
      </c>
      <c r="AN65" s="141">
        <v>159.92972227223299</v>
      </c>
      <c r="AO65" s="141">
        <v>0</v>
      </c>
      <c r="AP65" s="141">
        <v>0</v>
      </c>
      <c r="AQ65" s="141">
        <v>0</v>
      </c>
      <c r="AR65" s="141">
        <v>-14.865705654815599</v>
      </c>
      <c r="AS65" s="141">
        <v>0</v>
      </c>
      <c r="AT65" s="142">
        <v>4.4430332616343398</v>
      </c>
    </row>
    <row r="66" spans="2:46" ht="12" customHeight="1" x14ac:dyDescent="0.25">
      <c r="B66" s="140" t="s">
        <v>45</v>
      </c>
      <c r="C66" s="141" t="s">
        <v>23</v>
      </c>
      <c r="D66" s="141" t="s">
        <v>46</v>
      </c>
      <c r="E66" s="141" t="s">
        <v>94</v>
      </c>
      <c r="F66" s="141" t="s">
        <v>25</v>
      </c>
      <c r="G66" s="141" t="s">
        <v>25</v>
      </c>
      <c r="H66" s="141" t="s">
        <v>79</v>
      </c>
      <c r="I66" s="141" t="s">
        <v>25</v>
      </c>
      <c r="J66" s="141">
        <v>457.42</v>
      </c>
      <c r="K66" s="141">
        <v>206.52</v>
      </c>
      <c r="L66" s="141">
        <v>23.1943992108929</v>
      </c>
      <c r="M66" s="141">
        <v>0.92115667521511102</v>
      </c>
      <c r="N66" s="141">
        <v>4.1168302539844399</v>
      </c>
      <c r="O66" s="141">
        <v>0</v>
      </c>
      <c r="P66" s="141">
        <v>0</v>
      </c>
      <c r="Q66" s="141">
        <v>53.539182795399199</v>
      </c>
      <c r="R66" s="141">
        <v>19.931792010238102</v>
      </c>
      <c r="S66" s="141">
        <v>0</v>
      </c>
      <c r="T66" s="141">
        <v>28.995688629477101</v>
      </c>
      <c r="U66" s="141">
        <v>4.46273635939691</v>
      </c>
      <c r="V66" s="141">
        <v>0.155777879845301</v>
      </c>
      <c r="W66" s="141">
        <v>0</v>
      </c>
      <c r="X66" s="141">
        <v>0</v>
      </c>
      <c r="Y66" s="141">
        <v>0</v>
      </c>
      <c r="Z66" s="141">
        <v>0</v>
      </c>
      <c r="AA66" s="141">
        <v>258.44110075139503</v>
      </c>
      <c r="AB66" s="141">
        <v>-32.143996774958097</v>
      </c>
      <c r="AC66" s="141">
        <v>0</v>
      </c>
      <c r="AD66" s="141">
        <v>0</v>
      </c>
      <c r="AE66" s="141">
        <v>27.028996542110999</v>
      </c>
      <c r="AF66" s="141">
        <v>2.1854169422903702</v>
      </c>
      <c r="AG66" s="141">
        <v>54.170187384274698</v>
      </c>
      <c r="AH66" s="141">
        <v>12.417413605439901</v>
      </c>
      <c r="AI66" s="141">
        <v>10.859523417396799</v>
      </c>
      <c r="AJ66" s="141">
        <v>-15.8213557469508</v>
      </c>
      <c r="AK66" s="141">
        <v>2.1324118317018699</v>
      </c>
      <c r="AL66" s="141">
        <v>63.024615696872601</v>
      </c>
      <c r="AM66" s="141">
        <v>0</v>
      </c>
      <c r="AN66" s="141">
        <v>156.52696222388701</v>
      </c>
      <c r="AO66" s="141">
        <v>0</v>
      </c>
      <c r="AP66" s="141">
        <v>0</v>
      </c>
      <c r="AQ66" s="141">
        <v>0</v>
      </c>
      <c r="AR66" s="141">
        <v>-14.5494140451387</v>
      </c>
      <c r="AS66" s="141">
        <v>0</v>
      </c>
      <c r="AT66" s="142">
        <v>4.3485006390463798</v>
      </c>
    </row>
    <row r="67" spans="2:46" ht="12" customHeight="1" x14ac:dyDescent="0.25">
      <c r="B67" s="140" t="s">
        <v>45</v>
      </c>
      <c r="C67" s="141" t="s">
        <v>92</v>
      </c>
      <c r="D67" s="141" t="s">
        <v>46</v>
      </c>
      <c r="E67" s="141" t="s">
        <v>93</v>
      </c>
      <c r="F67" s="141" t="s">
        <v>25</v>
      </c>
      <c r="G67" s="141" t="s">
        <v>25</v>
      </c>
      <c r="H67" s="141" t="s">
        <v>79</v>
      </c>
      <c r="I67" s="141" t="s">
        <v>25</v>
      </c>
      <c r="J67" s="141">
        <v>467.36</v>
      </c>
      <c r="K67" s="141">
        <v>211.01</v>
      </c>
      <c r="L67" s="141">
        <v>23.698625280695001</v>
      </c>
      <c r="M67" s="141">
        <v>0.94118182032848297</v>
      </c>
      <c r="N67" s="141">
        <v>4.2063265638536702</v>
      </c>
      <c r="O67" s="141">
        <v>0</v>
      </c>
      <c r="P67" s="141">
        <v>0</v>
      </c>
      <c r="Q67" s="141">
        <v>54.7030780735601</v>
      </c>
      <c r="R67" s="141">
        <v>20.365091836547599</v>
      </c>
      <c r="S67" s="141">
        <v>0</v>
      </c>
      <c r="T67" s="141">
        <v>29.626029686639601</v>
      </c>
      <c r="U67" s="141">
        <v>4.5597523672098896</v>
      </c>
      <c r="V67" s="141">
        <v>0.15916435549411201</v>
      </c>
      <c r="W67" s="141">
        <v>0</v>
      </c>
      <c r="X67" s="141">
        <v>0</v>
      </c>
      <c r="Y67" s="141">
        <v>0</v>
      </c>
      <c r="Z67" s="141">
        <v>0</v>
      </c>
      <c r="AA67" s="141">
        <v>264.05938555033902</v>
      </c>
      <c r="AB67" s="141">
        <v>-32.842779313544099</v>
      </c>
      <c r="AC67" s="141">
        <v>0</v>
      </c>
      <c r="AD67" s="141">
        <v>0</v>
      </c>
      <c r="AE67" s="141">
        <v>27.6165834234613</v>
      </c>
      <c r="AF67" s="141">
        <v>2.2329260062532099</v>
      </c>
      <c r="AG67" s="141">
        <v>55.347800153498</v>
      </c>
      <c r="AH67" s="141">
        <v>12.6873573794712</v>
      </c>
      <c r="AI67" s="141">
        <v>11.0956000134272</v>
      </c>
      <c r="AJ67" s="141">
        <v>-16.165298263188902</v>
      </c>
      <c r="AK67" s="141">
        <v>2.1787686106519102</v>
      </c>
      <c r="AL67" s="141">
        <v>64.394716038108996</v>
      </c>
      <c r="AM67" s="141">
        <v>0</v>
      </c>
      <c r="AN67" s="141">
        <v>159.92972227223299</v>
      </c>
      <c r="AO67" s="141">
        <v>0</v>
      </c>
      <c r="AP67" s="141">
        <v>0</v>
      </c>
      <c r="AQ67" s="141">
        <v>0</v>
      </c>
      <c r="AR67" s="141">
        <v>-14.865705654815599</v>
      </c>
      <c r="AS67" s="141">
        <v>0</v>
      </c>
      <c r="AT67" s="142">
        <v>4.4430332616343398</v>
      </c>
    </row>
    <row r="68" spans="2:46" ht="12" customHeight="1" x14ac:dyDescent="0.25">
      <c r="B68" s="140" t="s">
        <v>45</v>
      </c>
      <c r="C68" s="141" t="s">
        <v>92</v>
      </c>
      <c r="D68" s="141" t="s">
        <v>46</v>
      </c>
      <c r="E68" s="141" t="s">
        <v>25</v>
      </c>
      <c r="F68" s="141" t="s">
        <v>25</v>
      </c>
      <c r="G68" s="141" t="s">
        <v>25</v>
      </c>
      <c r="H68" s="141" t="s">
        <v>79</v>
      </c>
      <c r="I68" s="141" t="s">
        <v>25</v>
      </c>
      <c r="J68" s="141">
        <v>467.36</v>
      </c>
      <c r="K68" s="141">
        <v>211.01</v>
      </c>
      <c r="L68" s="141">
        <v>23.698625280695001</v>
      </c>
      <c r="M68" s="141">
        <v>0.94118182032848297</v>
      </c>
      <c r="N68" s="141">
        <v>4.2063265638536702</v>
      </c>
      <c r="O68" s="141">
        <v>0</v>
      </c>
      <c r="P68" s="141">
        <v>0</v>
      </c>
      <c r="Q68" s="141">
        <v>54.7030780735601</v>
      </c>
      <c r="R68" s="141">
        <v>20.365091836547599</v>
      </c>
      <c r="S68" s="141">
        <v>0</v>
      </c>
      <c r="T68" s="141">
        <v>29.626029686639601</v>
      </c>
      <c r="U68" s="141">
        <v>4.5597523672098896</v>
      </c>
      <c r="V68" s="141">
        <v>0.15916435549411201</v>
      </c>
      <c r="W68" s="141">
        <v>0</v>
      </c>
      <c r="X68" s="141">
        <v>0</v>
      </c>
      <c r="Y68" s="141">
        <v>0</v>
      </c>
      <c r="Z68" s="141">
        <v>0</v>
      </c>
      <c r="AA68" s="141">
        <v>264.05938555033902</v>
      </c>
      <c r="AB68" s="141">
        <v>-32.842779313544099</v>
      </c>
      <c r="AC68" s="141">
        <v>0</v>
      </c>
      <c r="AD68" s="141">
        <v>0</v>
      </c>
      <c r="AE68" s="141">
        <v>27.6165834234613</v>
      </c>
      <c r="AF68" s="141">
        <v>2.2329260062532099</v>
      </c>
      <c r="AG68" s="141">
        <v>55.347800153498</v>
      </c>
      <c r="AH68" s="141">
        <v>12.6873573794712</v>
      </c>
      <c r="AI68" s="141">
        <v>11.0956000134272</v>
      </c>
      <c r="AJ68" s="141">
        <v>-16.165298263188902</v>
      </c>
      <c r="AK68" s="141">
        <v>2.1787686106519102</v>
      </c>
      <c r="AL68" s="141">
        <v>64.394716038108996</v>
      </c>
      <c r="AM68" s="141">
        <v>0</v>
      </c>
      <c r="AN68" s="141">
        <v>159.92972227223299</v>
      </c>
      <c r="AO68" s="141">
        <v>0</v>
      </c>
      <c r="AP68" s="141">
        <v>0</v>
      </c>
      <c r="AQ68" s="141">
        <v>0</v>
      </c>
      <c r="AR68" s="141">
        <v>-14.865705654815599</v>
      </c>
      <c r="AS68" s="141">
        <v>0</v>
      </c>
      <c r="AT68" s="142">
        <v>4.4430332616343398</v>
      </c>
    </row>
    <row r="69" spans="2:46" ht="12" customHeight="1" x14ac:dyDescent="0.25">
      <c r="B69" s="140" t="s">
        <v>45</v>
      </c>
      <c r="C69" s="141" t="s">
        <v>92</v>
      </c>
      <c r="D69" s="141" t="s">
        <v>46</v>
      </c>
      <c r="E69" s="141" t="s">
        <v>94</v>
      </c>
      <c r="F69" s="141" t="s">
        <v>25</v>
      </c>
      <c r="G69" s="141" t="s">
        <v>25</v>
      </c>
      <c r="H69" s="141" t="s">
        <v>79</v>
      </c>
      <c r="I69" s="141" t="s">
        <v>25</v>
      </c>
      <c r="J69" s="141">
        <v>457.42</v>
      </c>
      <c r="K69" s="141">
        <v>206.52</v>
      </c>
      <c r="L69" s="141">
        <v>23.1943992108929</v>
      </c>
      <c r="M69" s="141">
        <v>0.92115667521511102</v>
      </c>
      <c r="N69" s="141">
        <v>4.1168302539844399</v>
      </c>
      <c r="O69" s="141">
        <v>0</v>
      </c>
      <c r="P69" s="141">
        <v>0</v>
      </c>
      <c r="Q69" s="141">
        <v>53.539182795399199</v>
      </c>
      <c r="R69" s="141">
        <v>19.931792010238102</v>
      </c>
      <c r="S69" s="141">
        <v>0</v>
      </c>
      <c r="T69" s="141">
        <v>28.995688629477101</v>
      </c>
      <c r="U69" s="141">
        <v>4.46273635939691</v>
      </c>
      <c r="V69" s="141">
        <v>0.155777879845301</v>
      </c>
      <c r="W69" s="141">
        <v>0</v>
      </c>
      <c r="X69" s="141">
        <v>0</v>
      </c>
      <c r="Y69" s="141">
        <v>0</v>
      </c>
      <c r="Z69" s="141">
        <v>0</v>
      </c>
      <c r="AA69" s="141">
        <v>258.44110075139503</v>
      </c>
      <c r="AB69" s="141">
        <v>-32.143996774958097</v>
      </c>
      <c r="AC69" s="141">
        <v>0</v>
      </c>
      <c r="AD69" s="141">
        <v>0</v>
      </c>
      <c r="AE69" s="141">
        <v>27.028996542110999</v>
      </c>
      <c r="AF69" s="141">
        <v>2.1854169422903702</v>
      </c>
      <c r="AG69" s="141">
        <v>54.170187384274698</v>
      </c>
      <c r="AH69" s="141">
        <v>12.417413605439901</v>
      </c>
      <c r="AI69" s="141">
        <v>10.859523417396799</v>
      </c>
      <c r="AJ69" s="141">
        <v>-15.8213557469508</v>
      </c>
      <c r="AK69" s="141">
        <v>2.1324118317018699</v>
      </c>
      <c r="AL69" s="141">
        <v>63.024615696872601</v>
      </c>
      <c r="AM69" s="141">
        <v>0</v>
      </c>
      <c r="AN69" s="141">
        <v>156.52696222388701</v>
      </c>
      <c r="AO69" s="141">
        <v>0</v>
      </c>
      <c r="AP69" s="141">
        <v>0</v>
      </c>
      <c r="AQ69" s="141">
        <v>0</v>
      </c>
      <c r="AR69" s="141">
        <v>-14.5494140451387</v>
      </c>
      <c r="AS69" s="141">
        <v>0</v>
      </c>
      <c r="AT69" s="142">
        <v>4.3485006390463798</v>
      </c>
    </row>
    <row r="70" spans="2:46" ht="12" customHeight="1" x14ac:dyDescent="0.25">
      <c r="B70" s="140" t="s">
        <v>37</v>
      </c>
      <c r="C70" s="141" t="s">
        <v>33</v>
      </c>
      <c r="D70" s="141" t="s">
        <v>25</v>
      </c>
      <c r="E70" s="141" t="s">
        <v>25</v>
      </c>
      <c r="F70" s="141" t="s">
        <v>25</v>
      </c>
      <c r="G70" s="141" t="s">
        <v>34</v>
      </c>
      <c r="H70" s="141" t="s">
        <v>79</v>
      </c>
      <c r="I70" s="141" t="s">
        <v>25</v>
      </c>
      <c r="J70" s="141">
        <v>1169.55</v>
      </c>
      <c r="K70" s="141">
        <v>322.12</v>
      </c>
      <c r="L70" s="141">
        <v>25.211303490100999</v>
      </c>
      <c r="M70" s="141">
        <v>1.0012572556685999</v>
      </c>
      <c r="N70" s="141">
        <v>10.857995461089899</v>
      </c>
      <c r="O70" s="141">
        <v>0</v>
      </c>
      <c r="P70" s="141">
        <v>0</v>
      </c>
      <c r="Q70" s="141">
        <v>58.194763908042702</v>
      </c>
      <c r="R70" s="141">
        <v>21.6649913154762</v>
      </c>
      <c r="S70" s="141">
        <v>0</v>
      </c>
      <c r="T70" s="141">
        <v>102.430672728855</v>
      </c>
      <c r="U70" s="141">
        <v>15.765210681552</v>
      </c>
      <c r="V70" s="141">
        <v>0.55021379618136501</v>
      </c>
      <c r="W70" s="141">
        <v>0</v>
      </c>
      <c r="X70" s="141">
        <v>0</v>
      </c>
      <c r="Y70" s="141">
        <v>0</v>
      </c>
      <c r="Z70" s="141">
        <v>0</v>
      </c>
      <c r="AA70" s="141">
        <v>912.97111648426096</v>
      </c>
      <c r="AB70" s="141">
        <v>-83.229730286054306</v>
      </c>
      <c r="AC70" s="141">
        <v>0</v>
      </c>
      <c r="AD70" s="141">
        <v>0</v>
      </c>
      <c r="AE70" s="141">
        <v>29.379344067512001</v>
      </c>
      <c r="AF70" s="141">
        <v>2.37545319814171</v>
      </c>
      <c r="AG70" s="141">
        <v>58.880638461168097</v>
      </c>
      <c r="AH70" s="141">
        <v>13.497188701565101</v>
      </c>
      <c r="AI70" s="141">
        <v>11.803829801518299</v>
      </c>
      <c r="AJ70" s="141">
        <v>-17.197125811903</v>
      </c>
      <c r="AK70" s="141">
        <v>2.3178389475020298</v>
      </c>
      <c r="AL70" s="141">
        <v>68.505017061817995</v>
      </c>
      <c r="AM70" s="141">
        <v>0</v>
      </c>
      <c r="AN70" s="141">
        <v>276.072985054436</v>
      </c>
      <c r="AO70" s="141">
        <v>0</v>
      </c>
      <c r="AP70" s="141">
        <v>0</v>
      </c>
      <c r="AQ70" s="141">
        <v>0</v>
      </c>
      <c r="AR70" s="141">
        <v>-24.104402290528199</v>
      </c>
      <c r="AS70" s="141">
        <v>0</v>
      </c>
      <c r="AT70" s="142">
        <v>4.7266311293982399</v>
      </c>
    </row>
    <row r="71" spans="2:46" ht="12" customHeight="1" x14ac:dyDescent="0.25">
      <c r="B71" s="140" t="s">
        <v>37</v>
      </c>
      <c r="C71" s="141" t="s">
        <v>33</v>
      </c>
      <c r="D71" s="141" t="s">
        <v>25</v>
      </c>
      <c r="E71" s="141" t="s">
        <v>25</v>
      </c>
      <c r="F71" s="141" t="s">
        <v>25</v>
      </c>
      <c r="G71" s="141" t="s">
        <v>36</v>
      </c>
      <c r="H71" s="141" t="s">
        <v>79</v>
      </c>
      <c r="I71" s="141" t="s">
        <v>25</v>
      </c>
      <c r="J71" s="141">
        <v>781.08</v>
      </c>
      <c r="K71" s="141">
        <v>215.6</v>
      </c>
      <c r="L71" s="141">
        <v>25.211303490100999</v>
      </c>
      <c r="M71" s="141">
        <v>1.0012572556685999</v>
      </c>
      <c r="N71" s="141">
        <v>7.1699364116050202</v>
      </c>
      <c r="O71" s="141">
        <v>0</v>
      </c>
      <c r="P71" s="141">
        <v>0</v>
      </c>
      <c r="Q71" s="141">
        <v>58.194763908042702</v>
      </c>
      <c r="R71" s="141">
        <v>21.6649913154762</v>
      </c>
      <c r="S71" s="141">
        <v>0</v>
      </c>
      <c r="T71" s="141">
        <v>61.458328355330501</v>
      </c>
      <c r="U71" s="141">
        <v>9.4591439148421301</v>
      </c>
      <c r="V71" s="141">
        <v>0.33015187684225999</v>
      </c>
      <c r="W71" s="141">
        <v>0</v>
      </c>
      <c r="X71" s="141">
        <v>0</v>
      </c>
      <c r="Y71" s="141">
        <v>0</v>
      </c>
      <c r="Z71" s="141">
        <v>0</v>
      </c>
      <c r="AA71" s="141">
        <v>547.78272216064897</v>
      </c>
      <c r="AB71" s="141">
        <v>-55.328494941442699</v>
      </c>
      <c r="AC71" s="141">
        <v>0</v>
      </c>
      <c r="AD71" s="141">
        <v>0</v>
      </c>
      <c r="AE71" s="141">
        <v>29.379344067512001</v>
      </c>
      <c r="AF71" s="141">
        <v>2.37545319814171</v>
      </c>
      <c r="AG71" s="141">
        <v>58.880638461168097</v>
      </c>
      <c r="AH71" s="141">
        <v>13.497188701565101</v>
      </c>
      <c r="AI71" s="141">
        <v>11.803829801518299</v>
      </c>
      <c r="AJ71" s="141">
        <v>-17.197125811903</v>
      </c>
      <c r="AK71" s="141">
        <v>2.3178389475020298</v>
      </c>
      <c r="AL71" s="141">
        <v>68.505017061817995</v>
      </c>
      <c r="AM71" s="141">
        <v>0</v>
      </c>
      <c r="AN71" s="141">
        <v>160.507549450254</v>
      </c>
      <c r="AO71" s="141">
        <v>0</v>
      </c>
      <c r="AP71" s="141">
        <v>0</v>
      </c>
      <c r="AQ71" s="141">
        <v>0</v>
      </c>
      <c r="AR71" s="141">
        <v>-15.0609603196026</v>
      </c>
      <c r="AS71" s="141">
        <v>0</v>
      </c>
      <c r="AT71" s="142">
        <v>4.7266311293982399</v>
      </c>
    </row>
    <row r="72" spans="2:46" ht="12" customHeight="1" x14ac:dyDescent="0.25">
      <c r="B72" s="140" t="s">
        <v>37</v>
      </c>
      <c r="C72" s="141" t="s">
        <v>33</v>
      </c>
      <c r="D72" s="141" t="s">
        <v>25</v>
      </c>
      <c r="E72" s="141" t="s">
        <v>25</v>
      </c>
      <c r="F72" s="141" t="s">
        <v>25</v>
      </c>
      <c r="G72" s="141" t="s">
        <v>35</v>
      </c>
      <c r="H72" s="141" t="s">
        <v>79</v>
      </c>
      <c r="I72" s="141" t="s">
        <v>25</v>
      </c>
      <c r="J72" s="141">
        <v>392.6</v>
      </c>
      <c r="K72" s="141">
        <v>215.6</v>
      </c>
      <c r="L72" s="141">
        <v>25.211303490100999</v>
      </c>
      <c r="M72" s="141">
        <v>1.0012572556685999</v>
      </c>
      <c r="N72" s="141">
        <v>3.48187736212012</v>
      </c>
      <c r="O72" s="141">
        <v>0</v>
      </c>
      <c r="P72" s="141">
        <v>0</v>
      </c>
      <c r="Q72" s="141">
        <v>58.194763908042702</v>
      </c>
      <c r="R72" s="141">
        <v>21.6649913154762</v>
      </c>
      <c r="S72" s="141">
        <v>0</v>
      </c>
      <c r="T72" s="141">
        <v>20.486109451776802</v>
      </c>
      <c r="U72" s="141">
        <v>3.1530771481322701</v>
      </c>
      <c r="V72" s="141">
        <v>0.11008995750315501</v>
      </c>
      <c r="W72" s="141">
        <v>0</v>
      </c>
      <c r="X72" s="141">
        <v>0</v>
      </c>
      <c r="Y72" s="141">
        <v>0</v>
      </c>
      <c r="Z72" s="141">
        <v>0</v>
      </c>
      <c r="AA72" s="141">
        <v>182.59419716180599</v>
      </c>
      <c r="AB72" s="141">
        <v>-27.427260248615401</v>
      </c>
      <c r="AC72" s="141">
        <v>0</v>
      </c>
      <c r="AD72" s="141">
        <v>0</v>
      </c>
      <c r="AE72" s="141">
        <v>29.379344067512001</v>
      </c>
      <c r="AF72" s="141">
        <v>2.37545319814171</v>
      </c>
      <c r="AG72" s="141">
        <v>58.880638461168097</v>
      </c>
      <c r="AH72" s="141">
        <v>13.497188701565101</v>
      </c>
      <c r="AI72" s="141">
        <v>11.803829801518299</v>
      </c>
      <c r="AJ72" s="141">
        <v>-17.197125811903</v>
      </c>
      <c r="AK72" s="141">
        <v>2.3178389475020298</v>
      </c>
      <c r="AL72" s="141">
        <v>68.505017061817995</v>
      </c>
      <c r="AM72" s="141">
        <v>0</v>
      </c>
      <c r="AN72" s="141">
        <v>160.507549450254</v>
      </c>
      <c r="AO72" s="141">
        <v>0</v>
      </c>
      <c r="AP72" s="141">
        <v>0</v>
      </c>
      <c r="AQ72" s="141">
        <v>0</v>
      </c>
      <c r="AR72" s="141">
        <v>-15.0609603196026</v>
      </c>
      <c r="AS72" s="141">
        <v>0</v>
      </c>
      <c r="AT72" s="142">
        <v>4.7266311293982399</v>
      </c>
    </row>
    <row r="73" spans="2:46" ht="12" customHeight="1" x14ac:dyDescent="0.25">
      <c r="B73" s="140" t="s">
        <v>37</v>
      </c>
      <c r="C73" s="141" t="s">
        <v>23</v>
      </c>
      <c r="D73" s="141" t="s">
        <v>25</v>
      </c>
      <c r="E73" s="141" t="s">
        <v>25</v>
      </c>
      <c r="F73" s="141" t="s">
        <v>25</v>
      </c>
      <c r="G73" s="141" t="s">
        <v>25</v>
      </c>
      <c r="H73" s="141" t="s">
        <v>79</v>
      </c>
      <c r="I73" s="141" t="s">
        <v>25</v>
      </c>
      <c r="J73" s="141">
        <v>497.19</v>
      </c>
      <c r="K73" s="141">
        <v>224.48</v>
      </c>
      <c r="L73" s="141">
        <v>25.211303490100999</v>
      </c>
      <c r="M73" s="141">
        <v>1.0012572556685999</v>
      </c>
      <c r="N73" s="141">
        <v>4.4748154934613504</v>
      </c>
      <c r="O73" s="141">
        <v>0</v>
      </c>
      <c r="P73" s="141">
        <v>0</v>
      </c>
      <c r="Q73" s="141">
        <v>58.194763908042702</v>
      </c>
      <c r="R73" s="141">
        <v>21.6649913154762</v>
      </c>
      <c r="S73" s="141">
        <v>0</v>
      </c>
      <c r="T73" s="141">
        <v>31.5170528581273</v>
      </c>
      <c r="U73" s="141">
        <v>4.8508003906488097</v>
      </c>
      <c r="V73" s="141">
        <v>0.169323782440544</v>
      </c>
      <c r="W73" s="141">
        <v>0</v>
      </c>
      <c r="X73" s="141">
        <v>0</v>
      </c>
      <c r="Y73" s="141">
        <v>0</v>
      </c>
      <c r="Z73" s="141">
        <v>0</v>
      </c>
      <c r="AA73" s="141">
        <v>280.91423994716899</v>
      </c>
      <c r="AB73" s="141">
        <v>-34.939126929302297</v>
      </c>
      <c r="AC73" s="141">
        <v>0</v>
      </c>
      <c r="AD73" s="141">
        <v>0</v>
      </c>
      <c r="AE73" s="141">
        <v>29.379344067512001</v>
      </c>
      <c r="AF73" s="141">
        <v>2.37545319814171</v>
      </c>
      <c r="AG73" s="141">
        <v>58.880638461168097</v>
      </c>
      <c r="AH73" s="141">
        <v>13.497188701565101</v>
      </c>
      <c r="AI73" s="141">
        <v>11.803829801518299</v>
      </c>
      <c r="AJ73" s="141">
        <v>-17.197125811903</v>
      </c>
      <c r="AK73" s="141">
        <v>2.3178389475020298</v>
      </c>
      <c r="AL73" s="141">
        <v>68.505017061817995</v>
      </c>
      <c r="AM73" s="141">
        <v>0</v>
      </c>
      <c r="AN73" s="141">
        <v>170.13800241726901</v>
      </c>
      <c r="AO73" s="141">
        <v>0</v>
      </c>
      <c r="AP73" s="141">
        <v>0</v>
      </c>
      <c r="AQ73" s="141">
        <v>0</v>
      </c>
      <c r="AR73" s="141">
        <v>-15.814580483846401</v>
      </c>
      <c r="AS73" s="141">
        <v>0</v>
      </c>
      <c r="AT73" s="142">
        <v>4.7266311293982399</v>
      </c>
    </row>
    <row r="74" spans="2:46" ht="12" customHeight="1" x14ac:dyDescent="0.25">
      <c r="B74" s="140" t="s">
        <v>37</v>
      </c>
      <c r="C74" s="141" t="s">
        <v>92</v>
      </c>
      <c r="D74" s="141" t="s">
        <v>25</v>
      </c>
      <c r="E74" s="141" t="s">
        <v>25</v>
      </c>
      <c r="F74" s="141" t="s">
        <v>25</v>
      </c>
      <c r="G74" s="141" t="s">
        <v>25</v>
      </c>
      <c r="H74" s="141" t="s">
        <v>79</v>
      </c>
      <c r="I74" s="141" t="s">
        <v>25</v>
      </c>
      <c r="J74" s="141">
        <v>497.19</v>
      </c>
      <c r="K74" s="141">
        <v>224.48</v>
      </c>
      <c r="L74" s="141">
        <v>25.211303490100999</v>
      </c>
      <c r="M74" s="141">
        <v>1.0012572556685999</v>
      </c>
      <c r="N74" s="141">
        <v>4.4748154934613504</v>
      </c>
      <c r="O74" s="141">
        <v>0</v>
      </c>
      <c r="P74" s="141">
        <v>0</v>
      </c>
      <c r="Q74" s="141">
        <v>58.194763908042702</v>
      </c>
      <c r="R74" s="141">
        <v>21.6649913154762</v>
      </c>
      <c r="S74" s="141">
        <v>0</v>
      </c>
      <c r="T74" s="141">
        <v>31.5170528581273</v>
      </c>
      <c r="U74" s="141">
        <v>4.8508003906488097</v>
      </c>
      <c r="V74" s="141">
        <v>0.169323782440544</v>
      </c>
      <c r="W74" s="141">
        <v>0</v>
      </c>
      <c r="X74" s="141">
        <v>0</v>
      </c>
      <c r="Y74" s="141">
        <v>0</v>
      </c>
      <c r="Z74" s="141">
        <v>0</v>
      </c>
      <c r="AA74" s="141">
        <v>280.91423994716899</v>
      </c>
      <c r="AB74" s="141">
        <v>-34.939126929302297</v>
      </c>
      <c r="AC74" s="141">
        <v>0</v>
      </c>
      <c r="AD74" s="141">
        <v>0</v>
      </c>
      <c r="AE74" s="141">
        <v>29.379344067512001</v>
      </c>
      <c r="AF74" s="141">
        <v>2.37545319814171</v>
      </c>
      <c r="AG74" s="141">
        <v>58.880638461168097</v>
      </c>
      <c r="AH74" s="141">
        <v>13.497188701565101</v>
      </c>
      <c r="AI74" s="141">
        <v>11.803829801518299</v>
      </c>
      <c r="AJ74" s="141">
        <v>-17.197125811903</v>
      </c>
      <c r="AK74" s="141">
        <v>2.3178389475020298</v>
      </c>
      <c r="AL74" s="141">
        <v>68.505017061817995</v>
      </c>
      <c r="AM74" s="141">
        <v>0</v>
      </c>
      <c r="AN74" s="141">
        <v>170.13800241726901</v>
      </c>
      <c r="AO74" s="141">
        <v>0</v>
      </c>
      <c r="AP74" s="141">
        <v>0</v>
      </c>
      <c r="AQ74" s="141">
        <v>0</v>
      </c>
      <c r="AR74" s="141">
        <v>-15.814580483846401</v>
      </c>
      <c r="AS74" s="141">
        <v>0</v>
      </c>
      <c r="AT74" s="142">
        <v>4.7266311293982399</v>
      </c>
    </row>
    <row r="75" spans="2:46" ht="12" customHeight="1" x14ac:dyDescent="0.25">
      <c r="B75" s="140" t="s">
        <v>48</v>
      </c>
      <c r="C75" s="141" t="s">
        <v>23</v>
      </c>
      <c r="D75" s="141" t="s">
        <v>49</v>
      </c>
      <c r="E75" s="141" t="s">
        <v>50</v>
      </c>
      <c r="F75" s="141" t="s">
        <v>25</v>
      </c>
      <c r="G75" s="141" t="s">
        <v>25</v>
      </c>
      <c r="H75" s="141" t="s">
        <v>79</v>
      </c>
      <c r="I75" s="141" t="s">
        <v>25</v>
      </c>
      <c r="J75" s="141">
        <v>273.45999999999998</v>
      </c>
      <c r="K75" s="141">
        <v>123.46</v>
      </c>
      <c r="L75" s="141">
        <v>13.866216919555599</v>
      </c>
      <c r="M75" s="141">
        <v>0.55069149061772904</v>
      </c>
      <c r="N75" s="141">
        <v>2.4611485214037399</v>
      </c>
      <c r="O75" s="141">
        <v>0</v>
      </c>
      <c r="P75" s="141">
        <v>0</v>
      </c>
      <c r="Q75" s="141">
        <v>32.0071201494235</v>
      </c>
      <c r="R75" s="141">
        <v>11.9157452235119</v>
      </c>
      <c r="S75" s="141">
        <v>0</v>
      </c>
      <c r="T75" s="141">
        <v>17.334379071970002</v>
      </c>
      <c r="U75" s="141">
        <v>2.6679402148568498</v>
      </c>
      <c r="V75" s="141">
        <v>9.3128080342299496E-2</v>
      </c>
      <c r="W75" s="141">
        <v>0</v>
      </c>
      <c r="X75" s="141">
        <v>0</v>
      </c>
      <c r="Y75" s="141">
        <v>0</v>
      </c>
      <c r="Z75" s="141">
        <v>0</v>
      </c>
      <c r="AA75" s="141">
        <v>154.50283197094299</v>
      </c>
      <c r="AB75" s="141">
        <v>-19.216519811116299</v>
      </c>
      <c r="AC75" s="141">
        <v>0</v>
      </c>
      <c r="AD75" s="141">
        <v>0</v>
      </c>
      <c r="AE75" s="141">
        <v>16.158639237131599</v>
      </c>
      <c r="AF75" s="141">
        <v>1.3064992589779401</v>
      </c>
      <c r="AG75" s="141">
        <v>32.384351153642498</v>
      </c>
      <c r="AH75" s="141">
        <v>7.4234537858607901</v>
      </c>
      <c r="AI75" s="141">
        <v>6.4921063908350698</v>
      </c>
      <c r="AJ75" s="141">
        <v>-9.4584191965466697</v>
      </c>
      <c r="AK75" s="141">
        <v>1.2748114211261199</v>
      </c>
      <c r="AL75" s="141">
        <v>37.677759383999899</v>
      </c>
      <c r="AM75" s="141">
        <v>0</v>
      </c>
      <c r="AN75" s="141">
        <v>93.575901329497896</v>
      </c>
      <c r="AO75" s="141">
        <v>0</v>
      </c>
      <c r="AP75" s="141">
        <v>0</v>
      </c>
      <c r="AQ75" s="141">
        <v>0</v>
      </c>
      <c r="AR75" s="141">
        <v>-8.69801926611553</v>
      </c>
      <c r="AS75" s="141">
        <v>0</v>
      </c>
      <c r="AT75" s="142">
        <v>2.59964712116903</v>
      </c>
    </row>
    <row r="76" spans="2:46" ht="12" customHeight="1" x14ac:dyDescent="0.25">
      <c r="B76" s="143" t="s">
        <v>48</v>
      </c>
      <c r="C76" s="144" t="s">
        <v>23</v>
      </c>
      <c r="D76" s="144" t="s">
        <v>49</v>
      </c>
      <c r="E76" s="144" t="s">
        <v>95</v>
      </c>
      <c r="F76" s="144" t="s">
        <v>25</v>
      </c>
      <c r="G76" s="144" t="s">
        <v>25</v>
      </c>
      <c r="H76" s="144" t="s">
        <v>79</v>
      </c>
      <c r="I76" s="144" t="s">
        <v>25</v>
      </c>
      <c r="J76" s="144">
        <v>298.32</v>
      </c>
      <c r="K76" s="144">
        <v>134.69</v>
      </c>
      <c r="L76" s="144">
        <v>15.1267820940606</v>
      </c>
      <c r="M76" s="144">
        <v>0.60075435340115901</v>
      </c>
      <c r="N76" s="144">
        <v>2.6848892960768098</v>
      </c>
      <c r="O76" s="144">
        <v>0</v>
      </c>
      <c r="P76" s="144">
        <v>0</v>
      </c>
      <c r="Q76" s="144">
        <v>34.916858344825599</v>
      </c>
      <c r="R76" s="144">
        <v>12.9989947892857</v>
      </c>
      <c r="S76" s="144">
        <v>0</v>
      </c>
      <c r="T76" s="144">
        <v>18.9102317148763</v>
      </c>
      <c r="U76" s="144">
        <v>2.9104802343892899</v>
      </c>
      <c r="V76" s="144">
        <v>0.10159426946432699</v>
      </c>
      <c r="W76" s="144">
        <v>0</v>
      </c>
      <c r="X76" s="144">
        <v>0</v>
      </c>
      <c r="Y76" s="144">
        <v>0</v>
      </c>
      <c r="Z76" s="144">
        <v>0</v>
      </c>
      <c r="AA76" s="144">
        <v>168.548543968301</v>
      </c>
      <c r="AB76" s="144">
        <v>-20.9634761575814</v>
      </c>
      <c r="AC76" s="144">
        <v>0</v>
      </c>
      <c r="AD76" s="144">
        <v>0</v>
      </c>
      <c r="AE76" s="144">
        <v>17.627606440507201</v>
      </c>
      <c r="AF76" s="144">
        <v>1.42527191888503</v>
      </c>
      <c r="AG76" s="144">
        <v>35.328383076700902</v>
      </c>
      <c r="AH76" s="144">
        <v>8.0983132209390405</v>
      </c>
      <c r="AI76" s="144">
        <v>7.08229788091099</v>
      </c>
      <c r="AJ76" s="144">
        <v>-10.318275487141801</v>
      </c>
      <c r="AK76" s="144">
        <v>1.39070336850122</v>
      </c>
      <c r="AL76" s="144">
        <v>41.1030102370908</v>
      </c>
      <c r="AM76" s="144">
        <v>0</v>
      </c>
      <c r="AN76" s="144">
        <v>102.082801450361</v>
      </c>
      <c r="AO76" s="144">
        <v>0</v>
      </c>
      <c r="AP76" s="144">
        <v>0</v>
      </c>
      <c r="AQ76" s="144">
        <v>0</v>
      </c>
      <c r="AR76" s="144">
        <v>-9.4887482903078499</v>
      </c>
      <c r="AS76" s="144">
        <v>0</v>
      </c>
      <c r="AT76" s="145">
        <v>2.83597867763894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8E6D-1B9B-4B87-B681-968EF1A3E82F}">
  <dimension ref="B1:AT76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20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6" t="s">
        <v>1392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7"/>
      <c r="AI1" s="146" t="s">
        <v>1393</v>
      </c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1391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1391</v>
      </c>
    </row>
    <row r="3" spans="2:46" ht="12" customHeight="1" x14ac:dyDescent="0.25">
      <c r="B3" s="137" t="s">
        <v>67</v>
      </c>
      <c r="C3" s="138" t="s">
        <v>68</v>
      </c>
      <c r="D3" s="138" t="s">
        <v>69</v>
      </c>
      <c r="E3" s="138" t="s">
        <v>70</v>
      </c>
      <c r="F3" s="138" t="s">
        <v>71</v>
      </c>
      <c r="G3" s="138" t="s">
        <v>73</v>
      </c>
      <c r="H3" s="138" t="s">
        <v>74</v>
      </c>
      <c r="I3" s="138" t="s">
        <v>921</v>
      </c>
      <c r="J3" s="138" t="s">
        <v>1353</v>
      </c>
      <c r="K3" s="138" t="s">
        <v>1354</v>
      </c>
      <c r="L3" s="138" t="s">
        <v>1355</v>
      </c>
      <c r="M3" s="138" t="s">
        <v>1356</v>
      </c>
      <c r="N3" s="138" t="s">
        <v>1357</v>
      </c>
      <c r="O3" s="138" t="s">
        <v>1358</v>
      </c>
      <c r="P3" s="138" t="s">
        <v>1359</v>
      </c>
      <c r="Q3" s="138" t="s">
        <v>1360</v>
      </c>
      <c r="R3" s="138" t="s">
        <v>1361</v>
      </c>
      <c r="S3" s="138" t="s">
        <v>1362</v>
      </c>
      <c r="T3" s="138" t="s">
        <v>1363</v>
      </c>
      <c r="U3" s="138" t="s">
        <v>1364</v>
      </c>
      <c r="V3" s="138" t="s">
        <v>1365</v>
      </c>
      <c r="W3" s="138" t="s">
        <v>1366</v>
      </c>
      <c r="X3" s="138" t="s">
        <v>1367</v>
      </c>
      <c r="Y3" s="138" t="s">
        <v>1368</v>
      </c>
      <c r="Z3" s="138" t="s">
        <v>1369</v>
      </c>
      <c r="AA3" s="138" t="s">
        <v>1370</v>
      </c>
      <c r="AB3" s="138" t="s">
        <v>1371</v>
      </c>
      <c r="AC3" s="138" t="s">
        <v>1372</v>
      </c>
      <c r="AD3" s="138" t="s">
        <v>1373</v>
      </c>
      <c r="AE3" s="138" t="s">
        <v>1374</v>
      </c>
      <c r="AF3" s="138" t="s">
        <v>1375</v>
      </c>
      <c r="AG3" s="138" t="s">
        <v>1376</v>
      </c>
      <c r="AH3" s="138" t="s">
        <v>1377</v>
      </c>
      <c r="AI3" s="138" t="s">
        <v>1378</v>
      </c>
      <c r="AJ3" s="138" t="s">
        <v>1379</v>
      </c>
      <c r="AK3" s="138" t="s">
        <v>1380</v>
      </c>
      <c r="AL3" s="138" t="s">
        <v>1381</v>
      </c>
      <c r="AM3" s="138" t="s">
        <v>1382</v>
      </c>
      <c r="AN3" s="138" t="s">
        <v>1383</v>
      </c>
      <c r="AO3" s="138" t="s">
        <v>1384</v>
      </c>
      <c r="AP3" s="138" t="s">
        <v>1385</v>
      </c>
      <c r="AQ3" s="138" t="s">
        <v>1386</v>
      </c>
      <c r="AR3" s="138" t="s">
        <v>1387</v>
      </c>
      <c r="AS3" s="138" t="s">
        <v>1388</v>
      </c>
      <c r="AT3" s="139" t="s">
        <v>1389</v>
      </c>
    </row>
    <row r="4" spans="2:46" ht="12" customHeight="1" x14ac:dyDescent="0.25">
      <c r="B4" s="140" t="s">
        <v>57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25</v>
      </c>
      <c r="H4" s="141" t="s">
        <v>76</v>
      </c>
      <c r="I4" s="141" t="s">
        <v>77</v>
      </c>
      <c r="J4" s="141">
        <v>1.28</v>
      </c>
      <c r="K4" s="141">
        <v>0</v>
      </c>
      <c r="L4" s="141">
        <v>0</v>
      </c>
      <c r="M4" s="141">
        <v>3.5200000000000002E-2</v>
      </c>
      <c r="N4" s="141">
        <v>8.8900000000000007E-2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A4" s="141">
        <v>1.1558999999999999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1">
        <v>0</v>
      </c>
      <c r="AS4" s="141">
        <v>0</v>
      </c>
      <c r="AT4" s="142">
        <v>0</v>
      </c>
    </row>
    <row r="5" spans="2:46" ht="12" customHeight="1" x14ac:dyDescent="0.25">
      <c r="B5" s="140" t="s">
        <v>57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76</v>
      </c>
      <c r="I5" s="141" t="s">
        <v>59</v>
      </c>
      <c r="J5" s="141">
        <v>6.9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0.13850000000000001</v>
      </c>
      <c r="AA5" s="141">
        <v>6.7584</v>
      </c>
      <c r="AB5" s="141">
        <v>0</v>
      </c>
      <c r="AC5" s="141">
        <v>0</v>
      </c>
      <c r="AD5" s="141">
        <v>0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1">
        <v>0</v>
      </c>
      <c r="AS5" s="141">
        <v>0</v>
      </c>
      <c r="AT5" s="142">
        <v>0</v>
      </c>
    </row>
    <row r="6" spans="2:46" ht="12" customHeight="1" x14ac:dyDescent="0.25">
      <c r="B6" s="140" t="s">
        <v>39</v>
      </c>
      <c r="C6" s="141" t="s">
        <v>40</v>
      </c>
      <c r="D6" s="141" t="s">
        <v>25</v>
      </c>
      <c r="E6" s="141" t="s">
        <v>25</v>
      </c>
      <c r="F6" s="141" t="s">
        <v>85</v>
      </c>
      <c r="G6" s="141" t="s">
        <v>34</v>
      </c>
      <c r="H6" s="141" t="s">
        <v>79</v>
      </c>
      <c r="I6" s="141" t="s">
        <v>25</v>
      </c>
      <c r="J6" s="141">
        <v>80.05</v>
      </c>
      <c r="K6" s="141">
        <v>0</v>
      </c>
      <c r="L6" s="141">
        <v>0</v>
      </c>
      <c r="M6" s="141">
        <v>0.26251701721719001</v>
      </c>
      <c r="N6" s="141">
        <v>0.83630412876215898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0</v>
      </c>
      <c r="Z6" s="141">
        <v>0</v>
      </c>
      <c r="AA6" s="141">
        <v>0</v>
      </c>
      <c r="AB6" s="141">
        <v>0</v>
      </c>
      <c r="AC6" s="141">
        <v>0</v>
      </c>
      <c r="AD6" s="141">
        <v>0</v>
      </c>
      <c r="AE6" s="141">
        <v>34.570476318864301</v>
      </c>
      <c r="AF6" s="141">
        <v>2.7951797815574202</v>
      </c>
      <c r="AG6" s="141">
        <v>34.808059356215203</v>
      </c>
      <c r="AH6" s="141">
        <v>6.7765230192642001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1">
        <v>0</v>
      </c>
      <c r="AS6" s="141">
        <v>0</v>
      </c>
      <c r="AT6" s="142">
        <v>0</v>
      </c>
    </row>
    <row r="7" spans="2:46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85</v>
      </c>
      <c r="G7" s="141" t="s">
        <v>34</v>
      </c>
      <c r="H7" s="141" t="s">
        <v>76</v>
      </c>
      <c r="I7" s="141" t="s">
        <v>25</v>
      </c>
      <c r="J7" s="141">
        <v>50.53</v>
      </c>
      <c r="K7" s="141">
        <v>0</v>
      </c>
      <c r="L7" s="141">
        <v>0</v>
      </c>
      <c r="M7" s="141">
        <v>0</v>
      </c>
      <c r="N7" s="141">
        <v>0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9.7173571134438195</v>
      </c>
      <c r="U7" s="141">
        <v>1.2476258892389001</v>
      </c>
      <c r="V7" s="141">
        <v>4.8998610528471001E-2</v>
      </c>
      <c r="W7" s="141">
        <v>0</v>
      </c>
      <c r="X7" s="141">
        <v>0</v>
      </c>
      <c r="Y7" s="141">
        <v>0</v>
      </c>
      <c r="Z7" s="141">
        <v>0</v>
      </c>
      <c r="AA7" s="141">
        <v>39.512826184466903</v>
      </c>
      <c r="AB7" s="141">
        <v>0</v>
      </c>
      <c r="AC7" s="141">
        <v>0</v>
      </c>
      <c r="AD7" s="141">
        <v>0</v>
      </c>
      <c r="AE7" s="141">
        <v>0</v>
      </c>
      <c r="AF7" s="141">
        <v>0</v>
      </c>
      <c r="AG7" s="141">
        <v>0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1">
        <v>0</v>
      </c>
      <c r="AS7" s="141">
        <v>0</v>
      </c>
      <c r="AT7" s="142">
        <v>0</v>
      </c>
    </row>
    <row r="8" spans="2:46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85</v>
      </c>
      <c r="G8" s="141" t="s">
        <v>35</v>
      </c>
      <c r="H8" s="141" t="s">
        <v>79</v>
      </c>
      <c r="I8" s="141" t="s">
        <v>25</v>
      </c>
      <c r="J8" s="141">
        <v>80.05</v>
      </c>
      <c r="K8" s="141">
        <v>0</v>
      </c>
      <c r="L8" s="141">
        <v>0</v>
      </c>
      <c r="M8" s="141">
        <v>0.26251701721719001</v>
      </c>
      <c r="N8" s="141">
        <v>0.83630412876215898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>
        <v>0</v>
      </c>
      <c r="Z8" s="141">
        <v>0</v>
      </c>
      <c r="AA8" s="141">
        <v>0</v>
      </c>
      <c r="AB8" s="141">
        <v>0</v>
      </c>
      <c r="AC8" s="141">
        <v>0</v>
      </c>
      <c r="AD8" s="141">
        <v>0</v>
      </c>
      <c r="AE8" s="141">
        <v>34.570476318864301</v>
      </c>
      <c r="AF8" s="141">
        <v>2.7951797815574202</v>
      </c>
      <c r="AG8" s="141">
        <v>34.808059356215203</v>
      </c>
      <c r="AH8" s="141">
        <v>6.7765230192642001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1">
        <v>0</v>
      </c>
      <c r="AS8" s="141">
        <v>0</v>
      </c>
      <c r="AT8" s="142">
        <v>0</v>
      </c>
    </row>
    <row r="9" spans="2:46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85</v>
      </c>
      <c r="G9" s="141" t="s">
        <v>35</v>
      </c>
      <c r="H9" s="141" t="s">
        <v>76</v>
      </c>
      <c r="I9" s="141" t="s">
        <v>25</v>
      </c>
      <c r="J9" s="141">
        <v>17.73</v>
      </c>
      <c r="K9" s="141">
        <v>0</v>
      </c>
      <c r="L9" s="141">
        <v>0</v>
      </c>
      <c r="M9" s="141">
        <v>0</v>
      </c>
      <c r="N9" s="141">
        <v>0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11.102970403318</v>
      </c>
      <c r="U9" s="141">
        <v>1.4690656239078199</v>
      </c>
      <c r="V9" s="141">
        <v>5.2592640640583797E-2</v>
      </c>
      <c r="W9" s="141">
        <v>0</v>
      </c>
      <c r="X9" s="141">
        <v>0</v>
      </c>
      <c r="Y9" s="141">
        <v>0</v>
      </c>
      <c r="Z9" s="141">
        <v>0</v>
      </c>
      <c r="AA9" s="141">
        <v>5.1102591889365501</v>
      </c>
      <c r="AB9" s="141">
        <v>0</v>
      </c>
      <c r="AC9" s="141">
        <v>0</v>
      </c>
      <c r="AD9" s="141">
        <v>0</v>
      </c>
      <c r="AE9" s="141">
        <v>0</v>
      </c>
      <c r="AF9" s="141">
        <v>0</v>
      </c>
      <c r="AG9" s="141">
        <v>0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1">
        <v>0</v>
      </c>
      <c r="AS9" s="141">
        <v>0</v>
      </c>
      <c r="AT9" s="142">
        <v>0</v>
      </c>
    </row>
    <row r="10" spans="2:46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25</v>
      </c>
      <c r="G10" s="141" t="s">
        <v>34</v>
      </c>
      <c r="H10" s="141" t="s">
        <v>79</v>
      </c>
      <c r="I10" s="141" t="s">
        <v>25</v>
      </c>
      <c r="J10" s="141">
        <v>135.32</v>
      </c>
      <c r="K10" s="141">
        <v>362.45</v>
      </c>
      <c r="L10" s="141">
        <v>15.3041603431206</v>
      </c>
      <c r="M10" s="141">
        <v>0.26251701721719001</v>
      </c>
      <c r="N10" s="141">
        <v>0.84784703526043304</v>
      </c>
      <c r="O10" s="141">
        <v>0</v>
      </c>
      <c r="P10" s="141">
        <v>0</v>
      </c>
      <c r="Q10" s="141">
        <v>24.938415919836</v>
      </c>
      <c r="R10" s="141">
        <v>15.012316553504499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141">
        <v>0</v>
      </c>
      <c r="AA10" s="141">
        <v>0</v>
      </c>
      <c r="AB10" s="141">
        <v>0</v>
      </c>
      <c r="AC10" s="141">
        <v>0</v>
      </c>
      <c r="AD10" s="141">
        <v>0</v>
      </c>
      <c r="AE10" s="141">
        <v>34.570476318864301</v>
      </c>
      <c r="AF10" s="141">
        <v>2.7951797815574202</v>
      </c>
      <c r="AG10" s="141">
        <v>34.808059356215203</v>
      </c>
      <c r="AH10" s="141">
        <v>6.7765230192642001</v>
      </c>
      <c r="AI10" s="141">
        <v>12.0640874485312</v>
      </c>
      <c r="AJ10" s="141">
        <v>-17.197125811903</v>
      </c>
      <c r="AK10" s="141">
        <v>2.3178389475020298</v>
      </c>
      <c r="AL10" s="141">
        <v>34.8549685144812</v>
      </c>
      <c r="AM10" s="141">
        <v>0</v>
      </c>
      <c r="AN10" s="141">
        <v>324.85322239227298</v>
      </c>
      <c r="AO10" s="141">
        <v>0</v>
      </c>
      <c r="AP10" s="141">
        <v>0</v>
      </c>
      <c r="AQ10" s="141">
        <v>0</v>
      </c>
      <c r="AR10" s="141">
        <v>0</v>
      </c>
      <c r="AS10" s="141">
        <v>0</v>
      </c>
      <c r="AT10" s="142">
        <v>5.5617950200447197</v>
      </c>
    </row>
    <row r="11" spans="2:46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76</v>
      </c>
      <c r="I11" s="141" t="s">
        <v>25</v>
      </c>
      <c r="J11" s="141">
        <v>50.53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9.7173571134438195</v>
      </c>
      <c r="U11" s="141">
        <v>1.2476258892389001</v>
      </c>
      <c r="V11" s="141">
        <v>4.8998610528471001E-2</v>
      </c>
      <c r="W11" s="141">
        <v>0</v>
      </c>
      <c r="X11" s="141">
        <v>0</v>
      </c>
      <c r="Y11" s="141">
        <v>0</v>
      </c>
      <c r="Z11" s="141">
        <v>0</v>
      </c>
      <c r="AA11" s="141">
        <v>39.512826184466903</v>
      </c>
      <c r="AB11" s="141">
        <v>0</v>
      </c>
      <c r="AC11" s="141">
        <v>0</v>
      </c>
      <c r="AD11" s="141">
        <v>0</v>
      </c>
      <c r="AE11" s="141">
        <v>0</v>
      </c>
      <c r="AF11" s="141">
        <v>0</v>
      </c>
      <c r="AG11" s="141">
        <v>0</v>
      </c>
      <c r="AH11" s="141">
        <v>0</v>
      </c>
      <c r="AI11" s="141">
        <v>0</v>
      </c>
      <c r="AJ11" s="141">
        <v>0</v>
      </c>
      <c r="AK11" s="141">
        <v>0</v>
      </c>
      <c r="AL11" s="141">
        <v>0</v>
      </c>
      <c r="AM11" s="141">
        <v>0</v>
      </c>
      <c r="AN11" s="141">
        <v>0</v>
      </c>
      <c r="AO11" s="141">
        <v>0</v>
      </c>
      <c r="AP11" s="141">
        <v>0</v>
      </c>
      <c r="AQ11" s="141">
        <v>0</v>
      </c>
      <c r="AR11" s="141">
        <v>0</v>
      </c>
      <c r="AS11" s="141">
        <v>0</v>
      </c>
      <c r="AT11" s="142">
        <v>0</v>
      </c>
    </row>
    <row r="12" spans="2:46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35</v>
      </c>
      <c r="H12" s="141" t="s">
        <v>79</v>
      </c>
      <c r="I12" s="141" t="s">
        <v>25</v>
      </c>
      <c r="J12" s="141">
        <v>135.32</v>
      </c>
      <c r="K12" s="141">
        <v>226.47</v>
      </c>
      <c r="L12" s="141">
        <v>15.3041603431206</v>
      </c>
      <c r="M12" s="141">
        <v>0.26251701721719001</v>
      </c>
      <c r="N12" s="141">
        <v>0.84784703526043304</v>
      </c>
      <c r="O12" s="141">
        <v>0</v>
      </c>
      <c r="P12" s="141">
        <v>0</v>
      </c>
      <c r="Q12" s="141">
        <v>24.938415919836</v>
      </c>
      <c r="R12" s="141">
        <v>15.012316553504499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34.570476318864301</v>
      </c>
      <c r="AF12" s="141">
        <v>2.7951797815574202</v>
      </c>
      <c r="AG12" s="141">
        <v>34.808059356215203</v>
      </c>
      <c r="AH12" s="141">
        <v>6.7765230192642001</v>
      </c>
      <c r="AI12" s="141">
        <v>12.0640874485312</v>
      </c>
      <c r="AJ12" s="141">
        <v>-17.197125811903</v>
      </c>
      <c r="AK12" s="141">
        <v>2.3178389475020298</v>
      </c>
      <c r="AL12" s="141">
        <v>34.8549685144812</v>
      </c>
      <c r="AM12" s="141">
        <v>0</v>
      </c>
      <c r="AN12" s="141">
        <v>188.86815255364701</v>
      </c>
      <c r="AO12" s="141">
        <v>0</v>
      </c>
      <c r="AP12" s="141">
        <v>0</v>
      </c>
      <c r="AQ12" s="141">
        <v>0</v>
      </c>
      <c r="AR12" s="141">
        <v>0</v>
      </c>
      <c r="AS12" s="141">
        <v>0</v>
      </c>
      <c r="AT12" s="142">
        <v>5.5617950200447197</v>
      </c>
    </row>
    <row r="13" spans="2:46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76</v>
      </c>
      <c r="I13" s="141" t="s">
        <v>25</v>
      </c>
      <c r="J13" s="141">
        <v>17.73</v>
      </c>
      <c r="K13" s="141">
        <v>0</v>
      </c>
      <c r="L13" s="141">
        <v>0</v>
      </c>
      <c r="M13" s="141">
        <v>0</v>
      </c>
      <c r="N13" s="141">
        <v>0</v>
      </c>
      <c r="O13" s="141">
        <v>0</v>
      </c>
      <c r="P13" s="141">
        <v>0</v>
      </c>
      <c r="Q13" s="141">
        <v>0</v>
      </c>
      <c r="R13" s="141">
        <v>0</v>
      </c>
      <c r="S13" s="141">
        <v>0</v>
      </c>
      <c r="T13" s="141">
        <v>11.102970403318</v>
      </c>
      <c r="U13" s="141">
        <v>1.4690656239078199</v>
      </c>
      <c r="V13" s="141">
        <v>5.2592640640583797E-2</v>
      </c>
      <c r="W13" s="141">
        <v>0</v>
      </c>
      <c r="X13" s="141">
        <v>0</v>
      </c>
      <c r="Y13" s="141">
        <v>0</v>
      </c>
      <c r="Z13" s="141">
        <v>0</v>
      </c>
      <c r="AA13" s="141">
        <v>5.1102591889365501</v>
      </c>
      <c r="AB13" s="141">
        <v>0</v>
      </c>
      <c r="AC13" s="141">
        <v>0</v>
      </c>
      <c r="AD13" s="141">
        <v>0</v>
      </c>
      <c r="AE13" s="141">
        <v>0</v>
      </c>
      <c r="AF13" s="141">
        <v>0</v>
      </c>
      <c r="AG13" s="141">
        <v>0</v>
      </c>
      <c r="AH13" s="141">
        <v>0</v>
      </c>
      <c r="AI13" s="141">
        <v>0</v>
      </c>
      <c r="AJ13" s="141">
        <v>0</v>
      </c>
      <c r="AK13" s="141">
        <v>0</v>
      </c>
      <c r="AL13" s="141">
        <v>0</v>
      </c>
      <c r="AM13" s="141">
        <v>0</v>
      </c>
      <c r="AN13" s="141">
        <v>0</v>
      </c>
      <c r="AO13" s="141">
        <v>0</v>
      </c>
      <c r="AP13" s="141">
        <v>0</v>
      </c>
      <c r="AQ13" s="141">
        <v>0</v>
      </c>
      <c r="AR13" s="141">
        <v>0</v>
      </c>
      <c r="AS13" s="141">
        <v>0</v>
      </c>
      <c r="AT13" s="142">
        <v>0</v>
      </c>
    </row>
    <row r="14" spans="2:46" ht="12" customHeight="1" x14ac:dyDescent="0.25">
      <c r="B14" s="140" t="s">
        <v>42</v>
      </c>
      <c r="C14" s="141" t="s">
        <v>40</v>
      </c>
      <c r="D14" s="141" t="s">
        <v>25</v>
      </c>
      <c r="E14" s="141" t="s">
        <v>25</v>
      </c>
      <c r="F14" s="141" t="s">
        <v>85</v>
      </c>
      <c r="G14" s="141" t="s">
        <v>34</v>
      </c>
      <c r="H14" s="141" t="s">
        <v>79</v>
      </c>
      <c r="I14" s="141" t="s">
        <v>25</v>
      </c>
      <c r="J14" s="141">
        <v>117.53</v>
      </c>
      <c r="K14" s="141">
        <v>0</v>
      </c>
      <c r="L14" s="141">
        <v>0</v>
      </c>
      <c r="M14" s="141">
        <v>0.76529823128334495</v>
      </c>
      <c r="N14" s="141">
        <v>1.5310329239885301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0</v>
      </c>
      <c r="Y14" s="141">
        <v>0</v>
      </c>
      <c r="Z14" s="141">
        <v>0</v>
      </c>
      <c r="AA14" s="141">
        <v>0</v>
      </c>
      <c r="AB14" s="141">
        <v>0</v>
      </c>
      <c r="AC14" s="141">
        <v>0</v>
      </c>
      <c r="AD14" s="141">
        <v>0</v>
      </c>
      <c r="AE14" s="141">
        <v>34.570476318864301</v>
      </c>
      <c r="AF14" s="141">
        <v>2.7951797815574202</v>
      </c>
      <c r="AG14" s="141">
        <v>65.177728618187103</v>
      </c>
      <c r="AH14" s="141">
        <v>12.688968776009499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1">
        <v>0</v>
      </c>
      <c r="AS14" s="141">
        <v>0</v>
      </c>
      <c r="AT14" s="142">
        <v>0</v>
      </c>
    </row>
    <row r="15" spans="2:46" ht="12" customHeight="1" x14ac:dyDescent="0.25">
      <c r="B15" s="140" t="s">
        <v>42</v>
      </c>
      <c r="C15" s="141" t="s">
        <v>40</v>
      </c>
      <c r="D15" s="141" t="s">
        <v>25</v>
      </c>
      <c r="E15" s="141" t="s">
        <v>25</v>
      </c>
      <c r="F15" s="141" t="s">
        <v>85</v>
      </c>
      <c r="G15" s="141" t="s">
        <v>34</v>
      </c>
      <c r="H15" s="141" t="s">
        <v>76</v>
      </c>
      <c r="I15" s="141" t="s">
        <v>25</v>
      </c>
      <c r="J15" s="141">
        <v>58.94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9.7173571134438195</v>
      </c>
      <c r="U15" s="141">
        <v>1.2476258892389001</v>
      </c>
      <c r="V15" s="141">
        <v>4.8998610528471001E-2</v>
      </c>
      <c r="W15" s="141">
        <v>0</v>
      </c>
      <c r="X15" s="141">
        <v>0</v>
      </c>
      <c r="Y15" s="141">
        <v>0</v>
      </c>
      <c r="Z15" s="141">
        <v>0</v>
      </c>
      <c r="AA15" s="141">
        <v>47.930037758333803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1">
        <v>0</v>
      </c>
      <c r="AS15" s="141">
        <v>0</v>
      </c>
      <c r="AT15" s="142">
        <v>0</v>
      </c>
    </row>
    <row r="16" spans="2:46" ht="12" customHeight="1" x14ac:dyDescent="0.25">
      <c r="B16" s="140" t="s">
        <v>42</v>
      </c>
      <c r="C16" s="141" t="s">
        <v>40</v>
      </c>
      <c r="D16" s="141" t="s">
        <v>25</v>
      </c>
      <c r="E16" s="141" t="s">
        <v>25</v>
      </c>
      <c r="F16" s="141" t="s">
        <v>85</v>
      </c>
      <c r="G16" s="141" t="s">
        <v>35</v>
      </c>
      <c r="H16" s="141" t="s">
        <v>79</v>
      </c>
      <c r="I16" s="141" t="s">
        <v>25</v>
      </c>
      <c r="J16" s="141">
        <v>117.53</v>
      </c>
      <c r="K16" s="141">
        <v>0</v>
      </c>
      <c r="L16" s="141">
        <v>0</v>
      </c>
      <c r="M16" s="141">
        <v>0.76529823128334495</v>
      </c>
      <c r="N16" s="141">
        <v>1.5310329239885301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34.570476318864301</v>
      </c>
      <c r="AF16" s="141">
        <v>2.7951797815574202</v>
      </c>
      <c r="AG16" s="141">
        <v>65.177728618187103</v>
      </c>
      <c r="AH16" s="141">
        <v>12.688968776009499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1">
        <v>0</v>
      </c>
      <c r="AS16" s="141">
        <v>0</v>
      </c>
      <c r="AT16" s="142">
        <v>0</v>
      </c>
    </row>
    <row r="17" spans="2:46" ht="12" customHeight="1" x14ac:dyDescent="0.25">
      <c r="B17" s="140" t="s">
        <v>42</v>
      </c>
      <c r="C17" s="141" t="s">
        <v>40</v>
      </c>
      <c r="D17" s="141" t="s">
        <v>25</v>
      </c>
      <c r="E17" s="141" t="s">
        <v>25</v>
      </c>
      <c r="F17" s="141" t="s">
        <v>85</v>
      </c>
      <c r="G17" s="141" t="s">
        <v>35</v>
      </c>
      <c r="H17" s="141" t="s">
        <v>76</v>
      </c>
      <c r="I17" s="141" t="s">
        <v>25</v>
      </c>
      <c r="J17" s="141">
        <v>23.19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5.34178778866388</v>
      </c>
      <c r="U17" s="141">
        <v>0.70677009484575704</v>
      </c>
      <c r="V17" s="141">
        <v>2.5278011788526601E-2</v>
      </c>
      <c r="W17" s="141">
        <v>0</v>
      </c>
      <c r="X17" s="141">
        <v>0</v>
      </c>
      <c r="Y17" s="141">
        <v>0</v>
      </c>
      <c r="Z17" s="141">
        <v>0</v>
      </c>
      <c r="AA17" s="141">
        <v>17.114289279156399</v>
      </c>
      <c r="AB17" s="141">
        <v>0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1">
        <v>0</v>
      </c>
      <c r="AS17" s="141">
        <v>0</v>
      </c>
      <c r="AT17" s="142">
        <v>0</v>
      </c>
    </row>
    <row r="18" spans="2:46" ht="12" customHeight="1" x14ac:dyDescent="0.25">
      <c r="B18" s="140" t="s">
        <v>42</v>
      </c>
      <c r="C18" s="141" t="s">
        <v>40</v>
      </c>
      <c r="D18" s="141" t="s">
        <v>25</v>
      </c>
      <c r="E18" s="141" t="s">
        <v>25</v>
      </c>
      <c r="F18" s="141" t="s">
        <v>25</v>
      </c>
      <c r="G18" s="141" t="s">
        <v>34</v>
      </c>
      <c r="H18" s="141" t="s">
        <v>79</v>
      </c>
      <c r="I18" s="141" t="s">
        <v>25</v>
      </c>
      <c r="J18" s="141">
        <v>187.07</v>
      </c>
      <c r="K18" s="141">
        <v>362.45</v>
      </c>
      <c r="L18" s="141">
        <v>20.7346688519699</v>
      </c>
      <c r="M18" s="141">
        <v>0.76529823128334495</v>
      </c>
      <c r="N18" s="141">
        <v>1.54257583048681</v>
      </c>
      <c r="O18" s="141">
        <v>0</v>
      </c>
      <c r="P18" s="141">
        <v>0</v>
      </c>
      <c r="Q18" s="141">
        <v>33.787531246229399</v>
      </c>
      <c r="R18" s="141">
        <v>15.012316553504499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0</v>
      </c>
      <c r="AE18" s="141">
        <v>34.570476318864301</v>
      </c>
      <c r="AF18" s="141">
        <v>2.7951797815574202</v>
      </c>
      <c r="AG18" s="141">
        <v>65.177728618187103</v>
      </c>
      <c r="AH18" s="141">
        <v>12.688968776009499</v>
      </c>
      <c r="AI18" s="141">
        <v>12.0640874485312</v>
      </c>
      <c r="AJ18" s="141">
        <v>-17.197125811903</v>
      </c>
      <c r="AK18" s="141">
        <v>2.3178389475020298</v>
      </c>
      <c r="AL18" s="141">
        <v>34.8549685144812</v>
      </c>
      <c r="AM18" s="141">
        <v>0</v>
      </c>
      <c r="AN18" s="141">
        <v>324.85322239227298</v>
      </c>
      <c r="AO18" s="141">
        <v>0</v>
      </c>
      <c r="AP18" s="141">
        <v>0</v>
      </c>
      <c r="AQ18" s="141">
        <v>0</v>
      </c>
      <c r="AR18" s="141">
        <v>0</v>
      </c>
      <c r="AS18" s="141">
        <v>0</v>
      </c>
      <c r="AT18" s="142">
        <v>5.5617950200447197</v>
      </c>
    </row>
    <row r="19" spans="2:46" ht="12" customHeight="1" x14ac:dyDescent="0.25">
      <c r="B19" s="140" t="s">
        <v>42</v>
      </c>
      <c r="C19" s="141" t="s">
        <v>40</v>
      </c>
      <c r="D19" s="141" t="s">
        <v>25</v>
      </c>
      <c r="E19" s="141" t="s">
        <v>25</v>
      </c>
      <c r="F19" s="141" t="s">
        <v>25</v>
      </c>
      <c r="G19" s="141" t="s">
        <v>34</v>
      </c>
      <c r="H19" s="141" t="s">
        <v>76</v>
      </c>
      <c r="I19" s="141" t="s">
        <v>25</v>
      </c>
      <c r="J19" s="141">
        <v>58.94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9.7173571134438195</v>
      </c>
      <c r="U19" s="141">
        <v>1.2476258892389001</v>
      </c>
      <c r="V19" s="141">
        <v>4.8998610528471001E-2</v>
      </c>
      <c r="W19" s="141">
        <v>0</v>
      </c>
      <c r="X19" s="141">
        <v>0</v>
      </c>
      <c r="Y19" s="141">
        <v>0</v>
      </c>
      <c r="Z19" s="141">
        <v>0</v>
      </c>
      <c r="AA19" s="141">
        <v>47.930037758333803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1">
        <v>0</v>
      </c>
      <c r="AS19" s="141">
        <v>0</v>
      </c>
      <c r="AT19" s="142">
        <v>0</v>
      </c>
    </row>
    <row r="20" spans="2:46" ht="12" customHeight="1" x14ac:dyDescent="0.25">
      <c r="B20" s="140" t="s">
        <v>42</v>
      </c>
      <c r="C20" s="141" t="s">
        <v>40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79</v>
      </c>
      <c r="I20" s="141" t="s">
        <v>25</v>
      </c>
      <c r="J20" s="141">
        <v>187.07</v>
      </c>
      <c r="K20" s="141">
        <v>226.47</v>
      </c>
      <c r="L20" s="141">
        <v>20.7346688519699</v>
      </c>
      <c r="M20" s="141">
        <v>0.76529823128334495</v>
      </c>
      <c r="N20" s="141">
        <v>1.54257583048681</v>
      </c>
      <c r="O20" s="141">
        <v>0</v>
      </c>
      <c r="P20" s="141">
        <v>0</v>
      </c>
      <c r="Q20" s="141">
        <v>33.787531246229399</v>
      </c>
      <c r="R20" s="141">
        <v>15.012316553504499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0</v>
      </c>
      <c r="Z20" s="141">
        <v>0</v>
      </c>
      <c r="AA20" s="141">
        <v>0</v>
      </c>
      <c r="AB20" s="141">
        <v>0</v>
      </c>
      <c r="AC20" s="141">
        <v>0</v>
      </c>
      <c r="AD20" s="141">
        <v>0</v>
      </c>
      <c r="AE20" s="141">
        <v>34.570476318864301</v>
      </c>
      <c r="AF20" s="141">
        <v>2.7951797815574202</v>
      </c>
      <c r="AG20" s="141">
        <v>65.177728618187103</v>
      </c>
      <c r="AH20" s="141">
        <v>12.688968776009499</v>
      </c>
      <c r="AI20" s="141">
        <v>12.0640874485312</v>
      </c>
      <c r="AJ20" s="141">
        <v>-17.197125811903</v>
      </c>
      <c r="AK20" s="141">
        <v>2.3178389475020298</v>
      </c>
      <c r="AL20" s="141">
        <v>34.8549685144812</v>
      </c>
      <c r="AM20" s="141">
        <v>0</v>
      </c>
      <c r="AN20" s="141">
        <v>188.86815255364701</v>
      </c>
      <c r="AO20" s="141">
        <v>0</v>
      </c>
      <c r="AP20" s="141">
        <v>0</v>
      </c>
      <c r="AQ20" s="141">
        <v>0</v>
      </c>
      <c r="AR20" s="141">
        <v>0</v>
      </c>
      <c r="AS20" s="141">
        <v>0</v>
      </c>
      <c r="AT20" s="142">
        <v>5.5617950200447197</v>
      </c>
    </row>
    <row r="21" spans="2:46" ht="12" customHeight="1" x14ac:dyDescent="0.25">
      <c r="B21" s="140" t="s">
        <v>42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141" t="s">
        <v>35</v>
      </c>
      <c r="H21" s="141" t="s">
        <v>76</v>
      </c>
      <c r="I21" s="141" t="s">
        <v>25</v>
      </c>
      <c r="J21" s="141">
        <v>23.19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5.34178778866388</v>
      </c>
      <c r="U21" s="141">
        <v>0.70677009484575704</v>
      </c>
      <c r="V21" s="141">
        <v>2.5278011788526601E-2</v>
      </c>
      <c r="W21" s="141">
        <v>0</v>
      </c>
      <c r="X21" s="141">
        <v>0</v>
      </c>
      <c r="Y21" s="141">
        <v>0</v>
      </c>
      <c r="Z21" s="141">
        <v>0</v>
      </c>
      <c r="AA21" s="141">
        <v>17.114289279156399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2">
        <v>0</v>
      </c>
    </row>
    <row r="22" spans="2:46" ht="12" customHeight="1" x14ac:dyDescent="0.25">
      <c r="B22" s="140" t="s">
        <v>42</v>
      </c>
      <c r="C22" s="141" t="s">
        <v>23</v>
      </c>
      <c r="D22" s="141" t="s">
        <v>25</v>
      </c>
      <c r="E22" s="141" t="s">
        <v>25</v>
      </c>
      <c r="F22" s="141" t="s">
        <v>25</v>
      </c>
      <c r="G22" s="141" t="s">
        <v>25</v>
      </c>
      <c r="H22" s="141" t="s">
        <v>79</v>
      </c>
      <c r="I22" s="141" t="s">
        <v>25</v>
      </c>
      <c r="J22" s="141">
        <v>0</v>
      </c>
      <c r="K22" s="141">
        <v>237.8</v>
      </c>
      <c r="L22" s="141">
        <v>0</v>
      </c>
      <c r="M22" s="141">
        <v>0</v>
      </c>
      <c r="N22" s="141">
        <v>0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0</v>
      </c>
      <c r="Y22" s="141">
        <v>0</v>
      </c>
      <c r="Z22" s="141">
        <v>0</v>
      </c>
      <c r="AA22" s="141">
        <v>0</v>
      </c>
      <c r="AB22" s="141">
        <v>0</v>
      </c>
      <c r="AC22" s="141">
        <v>0</v>
      </c>
      <c r="AD22" s="141">
        <v>0</v>
      </c>
      <c r="AE22" s="141">
        <v>0</v>
      </c>
      <c r="AF22" s="141">
        <v>0</v>
      </c>
      <c r="AG22" s="141">
        <v>0</v>
      </c>
      <c r="AH22" s="141">
        <v>0</v>
      </c>
      <c r="AI22" s="141">
        <v>12.0640874485312</v>
      </c>
      <c r="AJ22" s="141">
        <v>-17.197125811903</v>
      </c>
      <c r="AK22" s="141">
        <v>2.3178389475020298</v>
      </c>
      <c r="AL22" s="141">
        <v>34.8549685144812</v>
      </c>
      <c r="AM22" s="141">
        <v>0</v>
      </c>
      <c r="AN22" s="141">
        <v>200.200241706866</v>
      </c>
      <c r="AO22" s="141">
        <v>0</v>
      </c>
      <c r="AP22" s="141">
        <v>0</v>
      </c>
      <c r="AQ22" s="141">
        <v>0</v>
      </c>
      <c r="AR22" s="141">
        <v>0</v>
      </c>
      <c r="AS22" s="141">
        <v>0</v>
      </c>
      <c r="AT22" s="142">
        <v>5.5617950200447197</v>
      </c>
    </row>
    <row r="23" spans="2:46" ht="12" customHeight="1" x14ac:dyDescent="0.25">
      <c r="B23" s="140" t="s">
        <v>42</v>
      </c>
      <c r="C23" s="141" t="s">
        <v>58</v>
      </c>
      <c r="D23" s="141" t="s">
        <v>25</v>
      </c>
      <c r="E23" s="141" t="s">
        <v>25</v>
      </c>
      <c r="F23" s="141" t="s">
        <v>25</v>
      </c>
      <c r="G23" s="141" t="s">
        <v>25</v>
      </c>
      <c r="H23" s="141" t="s">
        <v>76</v>
      </c>
      <c r="I23" s="141" t="s">
        <v>25</v>
      </c>
      <c r="J23" s="141">
        <v>11.13</v>
      </c>
      <c r="K23" s="141">
        <v>0</v>
      </c>
      <c r="L23" s="141">
        <v>0</v>
      </c>
      <c r="M23" s="141">
        <v>3.44225795168124E-2</v>
      </c>
      <c r="N23" s="141">
        <v>9.7883847105358898E-2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0</v>
      </c>
      <c r="Z23" s="141">
        <v>0</v>
      </c>
      <c r="AA23" s="141">
        <v>10.996694340311</v>
      </c>
      <c r="AB23" s="141">
        <v>0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1">
        <v>0</v>
      </c>
      <c r="AS23" s="141">
        <v>0</v>
      </c>
      <c r="AT23" s="142">
        <v>0</v>
      </c>
    </row>
    <row r="24" spans="2:46" ht="12" customHeight="1" x14ac:dyDescent="0.25">
      <c r="B24" s="140" t="s">
        <v>42</v>
      </c>
      <c r="C24" s="141" t="s">
        <v>43</v>
      </c>
      <c r="D24" s="141" t="s">
        <v>25</v>
      </c>
      <c r="E24" s="141" t="s">
        <v>25</v>
      </c>
      <c r="F24" s="141" t="s">
        <v>85</v>
      </c>
      <c r="G24" s="141" t="s">
        <v>34</v>
      </c>
      <c r="H24" s="141" t="s">
        <v>79</v>
      </c>
      <c r="I24" s="141" t="s">
        <v>25</v>
      </c>
      <c r="J24" s="141">
        <v>1547.71</v>
      </c>
      <c r="K24" s="141">
        <v>0</v>
      </c>
      <c r="L24" s="141">
        <v>0</v>
      </c>
      <c r="M24" s="141">
        <v>0.76529823128334495</v>
      </c>
      <c r="N24" s="141">
        <v>14.1043989254665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233.70262061948401</v>
      </c>
      <c r="U24" s="141">
        <v>30.006159801207701</v>
      </c>
      <c r="V24" s="141">
        <v>1.17872207576926</v>
      </c>
      <c r="W24" s="141">
        <v>0</v>
      </c>
      <c r="X24" s="141">
        <v>0</v>
      </c>
      <c r="Y24" s="141">
        <v>0</v>
      </c>
      <c r="Z24" s="141">
        <v>0</v>
      </c>
      <c r="AA24" s="141">
        <v>1152.71819598467</v>
      </c>
      <c r="AB24" s="141">
        <v>0</v>
      </c>
      <c r="AC24" s="141">
        <v>0</v>
      </c>
      <c r="AD24" s="141">
        <v>0</v>
      </c>
      <c r="AE24" s="141">
        <v>34.570476318864301</v>
      </c>
      <c r="AF24" s="141">
        <v>2.7951797815574202</v>
      </c>
      <c r="AG24" s="141">
        <v>65.177728618187103</v>
      </c>
      <c r="AH24" s="141">
        <v>12.688968776009499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1">
        <v>0</v>
      </c>
      <c r="AS24" s="141">
        <v>0</v>
      </c>
      <c r="AT24" s="142">
        <v>0</v>
      </c>
    </row>
    <row r="25" spans="2:46" ht="12" customHeight="1" x14ac:dyDescent="0.25">
      <c r="B25" s="140" t="s">
        <v>42</v>
      </c>
      <c r="C25" s="141" t="s">
        <v>43</v>
      </c>
      <c r="D25" s="141" t="s">
        <v>25</v>
      </c>
      <c r="E25" s="141" t="s">
        <v>25</v>
      </c>
      <c r="F25" s="141" t="s">
        <v>85</v>
      </c>
      <c r="G25" s="141" t="s">
        <v>25</v>
      </c>
      <c r="H25" s="141" t="s">
        <v>76</v>
      </c>
      <c r="I25" s="141" t="s">
        <v>25</v>
      </c>
      <c r="J25" s="141">
        <v>23.19</v>
      </c>
      <c r="K25" s="141">
        <v>0</v>
      </c>
      <c r="L25" s="141">
        <v>0</v>
      </c>
      <c r="M25" s="141">
        <v>0</v>
      </c>
      <c r="N25" s="141">
        <v>0</v>
      </c>
      <c r="O25" s="141">
        <v>0</v>
      </c>
      <c r="P25" s="141">
        <v>0</v>
      </c>
      <c r="Q25" s="141">
        <v>0</v>
      </c>
      <c r="R25" s="141">
        <v>0</v>
      </c>
      <c r="S25" s="141">
        <v>0</v>
      </c>
      <c r="T25" s="141">
        <v>5.34178778866388</v>
      </c>
      <c r="U25" s="141">
        <v>0.70677009484575704</v>
      </c>
      <c r="V25" s="141">
        <v>2.5278011788526601E-2</v>
      </c>
      <c r="W25" s="141">
        <v>0</v>
      </c>
      <c r="X25" s="141">
        <v>0</v>
      </c>
      <c r="Y25" s="141">
        <v>0</v>
      </c>
      <c r="Z25" s="141">
        <v>0</v>
      </c>
      <c r="AA25" s="141">
        <v>17.114289279156399</v>
      </c>
      <c r="AB25" s="141">
        <v>0</v>
      </c>
      <c r="AC25" s="141">
        <v>0</v>
      </c>
      <c r="AD25" s="141">
        <v>0</v>
      </c>
      <c r="AE25" s="141">
        <v>0</v>
      </c>
      <c r="AF25" s="141">
        <v>0</v>
      </c>
      <c r="AG25" s="141">
        <v>0</v>
      </c>
      <c r="AH25" s="141">
        <v>0</v>
      </c>
      <c r="AI25" s="141">
        <v>0</v>
      </c>
      <c r="AJ25" s="141">
        <v>0</v>
      </c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0</v>
      </c>
      <c r="AR25" s="141">
        <v>0</v>
      </c>
      <c r="AS25" s="141">
        <v>0</v>
      </c>
      <c r="AT25" s="142">
        <v>0</v>
      </c>
    </row>
    <row r="26" spans="2:46" ht="12" customHeight="1" x14ac:dyDescent="0.25">
      <c r="B26" s="140" t="s">
        <v>42</v>
      </c>
      <c r="C26" s="141" t="s">
        <v>43</v>
      </c>
      <c r="D26" s="141" t="s">
        <v>25</v>
      </c>
      <c r="E26" s="141" t="s">
        <v>25</v>
      </c>
      <c r="F26" s="141" t="s">
        <v>85</v>
      </c>
      <c r="G26" s="141" t="s">
        <v>35</v>
      </c>
      <c r="H26" s="141" t="s">
        <v>79</v>
      </c>
      <c r="I26" s="141" t="s">
        <v>25</v>
      </c>
      <c r="J26" s="141">
        <v>117.53</v>
      </c>
      <c r="K26" s="141">
        <v>0</v>
      </c>
      <c r="L26" s="141">
        <v>0</v>
      </c>
      <c r="M26" s="141">
        <v>0.76529823128334495</v>
      </c>
      <c r="N26" s="141">
        <v>1.5310329239885301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34.570476318864301</v>
      </c>
      <c r="AF26" s="141">
        <v>2.7951797815574202</v>
      </c>
      <c r="AG26" s="141">
        <v>65.177728618187103</v>
      </c>
      <c r="AH26" s="141">
        <v>12.688968776009499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2">
        <v>0</v>
      </c>
    </row>
    <row r="27" spans="2:46" ht="12" customHeight="1" x14ac:dyDescent="0.25">
      <c r="B27" s="140" t="s">
        <v>42</v>
      </c>
      <c r="C27" s="141" t="s">
        <v>43</v>
      </c>
      <c r="D27" s="141" t="s">
        <v>25</v>
      </c>
      <c r="E27" s="141" t="s">
        <v>25</v>
      </c>
      <c r="F27" s="141" t="s">
        <v>25</v>
      </c>
      <c r="G27" s="141" t="s">
        <v>34</v>
      </c>
      <c r="H27" s="141" t="s">
        <v>79</v>
      </c>
      <c r="I27" s="141" t="s">
        <v>25</v>
      </c>
      <c r="J27" s="141">
        <v>1617.25</v>
      </c>
      <c r="K27" s="141">
        <v>362.45</v>
      </c>
      <c r="L27" s="141">
        <v>20.7346688519699</v>
      </c>
      <c r="M27" s="141">
        <v>0.76529823128334495</v>
      </c>
      <c r="N27" s="141">
        <v>14.1159418319648</v>
      </c>
      <c r="O27" s="141">
        <v>0</v>
      </c>
      <c r="P27" s="141">
        <v>0</v>
      </c>
      <c r="Q27" s="141">
        <v>33.787531246229399</v>
      </c>
      <c r="R27" s="141">
        <v>15.012316553504499</v>
      </c>
      <c r="S27" s="141">
        <v>0</v>
      </c>
      <c r="T27" s="141">
        <v>233.70262061948401</v>
      </c>
      <c r="U27" s="141">
        <v>30.006159801207701</v>
      </c>
      <c r="V27" s="141">
        <v>1.17872207576926</v>
      </c>
      <c r="W27" s="141">
        <v>0</v>
      </c>
      <c r="X27" s="141">
        <v>0</v>
      </c>
      <c r="Y27" s="141">
        <v>0</v>
      </c>
      <c r="Z27" s="141">
        <v>0</v>
      </c>
      <c r="AA27" s="141">
        <v>1152.71819598467</v>
      </c>
      <c r="AB27" s="141">
        <v>0</v>
      </c>
      <c r="AC27" s="141">
        <v>0</v>
      </c>
      <c r="AD27" s="141">
        <v>0</v>
      </c>
      <c r="AE27" s="141">
        <v>34.570476318864301</v>
      </c>
      <c r="AF27" s="141">
        <v>2.7951797815574202</v>
      </c>
      <c r="AG27" s="141">
        <v>65.177728618187103</v>
      </c>
      <c r="AH27" s="141">
        <v>12.688968776009499</v>
      </c>
      <c r="AI27" s="141">
        <v>12.0640874485312</v>
      </c>
      <c r="AJ27" s="141">
        <v>-17.197125811903</v>
      </c>
      <c r="AK27" s="141">
        <v>2.3178389475020298</v>
      </c>
      <c r="AL27" s="141">
        <v>34.8549685144812</v>
      </c>
      <c r="AM27" s="141">
        <v>0</v>
      </c>
      <c r="AN27" s="141">
        <v>324.85322239227298</v>
      </c>
      <c r="AO27" s="141">
        <v>0</v>
      </c>
      <c r="AP27" s="141">
        <v>0</v>
      </c>
      <c r="AQ27" s="141">
        <v>0</v>
      </c>
      <c r="AR27" s="141">
        <v>0</v>
      </c>
      <c r="AS27" s="141">
        <v>0</v>
      </c>
      <c r="AT27" s="142">
        <v>5.5617950200447197</v>
      </c>
    </row>
    <row r="28" spans="2:46" ht="12" customHeight="1" x14ac:dyDescent="0.25">
      <c r="B28" s="140" t="s">
        <v>42</v>
      </c>
      <c r="C28" s="141" t="s">
        <v>43</v>
      </c>
      <c r="D28" s="141" t="s">
        <v>25</v>
      </c>
      <c r="E28" s="141" t="s">
        <v>25</v>
      </c>
      <c r="F28" s="141" t="s">
        <v>25</v>
      </c>
      <c r="G28" s="141" t="s">
        <v>25</v>
      </c>
      <c r="H28" s="141" t="s">
        <v>76</v>
      </c>
      <c r="I28" s="141" t="s">
        <v>25</v>
      </c>
      <c r="J28" s="141">
        <v>23.19</v>
      </c>
      <c r="K28" s="141">
        <v>0</v>
      </c>
      <c r="L28" s="141">
        <v>0</v>
      </c>
      <c r="M28" s="141">
        <v>0</v>
      </c>
      <c r="N28" s="141">
        <v>0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5.34178778866388</v>
      </c>
      <c r="U28" s="141">
        <v>0.70677009484575704</v>
      </c>
      <c r="V28" s="141">
        <v>2.5278011788526601E-2</v>
      </c>
      <c r="W28" s="141">
        <v>0</v>
      </c>
      <c r="X28" s="141">
        <v>0</v>
      </c>
      <c r="Y28" s="141">
        <v>0</v>
      </c>
      <c r="Z28" s="141">
        <v>0</v>
      </c>
      <c r="AA28" s="141">
        <v>17.114289279156399</v>
      </c>
      <c r="AB28" s="141">
        <v>0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1">
        <v>0</v>
      </c>
      <c r="AS28" s="141">
        <v>0</v>
      </c>
      <c r="AT28" s="142">
        <v>0</v>
      </c>
    </row>
    <row r="29" spans="2:46" ht="12" customHeight="1" x14ac:dyDescent="0.25">
      <c r="B29" s="140" t="s">
        <v>42</v>
      </c>
      <c r="C29" s="141" t="s">
        <v>43</v>
      </c>
      <c r="D29" s="141" t="s">
        <v>25</v>
      </c>
      <c r="E29" s="141" t="s">
        <v>25</v>
      </c>
      <c r="F29" s="141" t="s">
        <v>25</v>
      </c>
      <c r="G29" s="141" t="s">
        <v>35</v>
      </c>
      <c r="H29" s="141" t="s">
        <v>79</v>
      </c>
      <c r="I29" s="141" t="s">
        <v>25</v>
      </c>
      <c r="J29" s="141">
        <v>187.07</v>
      </c>
      <c r="K29" s="141">
        <v>226.47</v>
      </c>
      <c r="L29" s="141">
        <v>20.7346688519699</v>
      </c>
      <c r="M29" s="141">
        <v>0.76529823128334495</v>
      </c>
      <c r="N29" s="141">
        <v>1.54257583048681</v>
      </c>
      <c r="O29" s="141">
        <v>0</v>
      </c>
      <c r="P29" s="141">
        <v>0</v>
      </c>
      <c r="Q29" s="141">
        <v>33.787531246229399</v>
      </c>
      <c r="R29" s="141">
        <v>15.012316553504499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0</v>
      </c>
      <c r="AB29" s="141">
        <v>0</v>
      </c>
      <c r="AC29" s="141">
        <v>0</v>
      </c>
      <c r="AD29" s="141">
        <v>0</v>
      </c>
      <c r="AE29" s="141">
        <v>34.570476318864301</v>
      </c>
      <c r="AF29" s="141">
        <v>2.7951797815574202</v>
      </c>
      <c r="AG29" s="141">
        <v>65.177728618187103</v>
      </c>
      <c r="AH29" s="141">
        <v>12.688968776009499</v>
      </c>
      <c r="AI29" s="141">
        <v>12.0640874485312</v>
      </c>
      <c r="AJ29" s="141">
        <v>-17.197125811903</v>
      </c>
      <c r="AK29" s="141">
        <v>2.3178389475020298</v>
      </c>
      <c r="AL29" s="141">
        <v>34.8549685144812</v>
      </c>
      <c r="AM29" s="141">
        <v>0</v>
      </c>
      <c r="AN29" s="141">
        <v>188.86815255364701</v>
      </c>
      <c r="AO29" s="141">
        <v>0</v>
      </c>
      <c r="AP29" s="141">
        <v>0</v>
      </c>
      <c r="AQ29" s="141">
        <v>0</v>
      </c>
      <c r="AR29" s="141">
        <v>0</v>
      </c>
      <c r="AS29" s="141">
        <v>0</v>
      </c>
      <c r="AT29" s="142">
        <v>5.5617950200447197</v>
      </c>
    </row>
    <row r="30" spans="2:46" ht="12" customHeight="1" x14ac:dyDescent="0.25">
      <c r="B30" s="140" t="s">
        <v>41</v>
      </c>
      <c r="C30" s="141" t="s">
        <v>40</v>
      </c>
      <c r="D30" s="141" t="s">
        <v>25</v>
      </c>
      <c r="E30" s="141" t="s">
        <v>25</v>
      </c>
      <c r="F30" s="141" t="s">
        <v>85</v>
      </c>
      <c r="G30" s="141" t="s">
        <v>34</v>
      </c>
      <c r="H30" s="141" t="s">
        <v>79</v>
      </c>
      <c r="I30" s="141" t="s">
        <v>25</v>
      </c>
      <c r="J30" s="141">
        <v>117.53</v>
      </c>
      <c r="K30" s="141">
        <v>0</v>
      </c>
      <c r="L30" s="141">
        <v>0</v>
      </c>
      <c r="M30" s="141">
        <v>0.76529823128334495</v>
      </c>
      <c r="N30" s="141">
        <v>1.5310329239885301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141">
        <v>0</v>
      </c>
      <c r="AA30" s="141">
        <v>0</v>
      </c>
      <c r="AB30" s="141">
        <v>0</v>
      </c>
      <c r="AC30" s="141">
        <v>0</v>
      </c>
      <c r="AD30" s="141">
        <v>0</v>
      </c>
      <c r="AE30" s="141">
        <v>34.570476318864301</v>
      </c>
      <c r="AF30" s="141">
        <v>2.7951797815574202</v>
      </c>
      <c r="AG30" s="141">
        <v>65.177728618187103</v>
      </c>
      <c r="AH30" s="141">
        <v>12.688968776009499</v>
      </c>
      <c r="AI30" s="141">
        <v>0</v>
      </c>
      <c r="AJ30" s="141">
        <v>0</v>
      </c>
      <c r="AK30" s="141">
        <v>0</v>
      </c>
      <c r="AL30" s="141">
        <v>0</v>
      </c>
      <c r="AM30" s="141">
        <v>0</v>
      </c>
      <c r="AN30" s="141">
        <v>0</v>
      </c>
      <c r="AO30" s="141">
        <v>0</v>
      </c>
      <c r="AP30" s="141">
        <v>0</v>
      </c>
      <c r="AQ30" s="141">
        <v>0</v>
      </c>
      <c r="AR30" s="141">
        <v>0</v>
      </c>
      <c r="AS30" s="141">
        <v>0</v>
      </c>
      <c r="AT30" s="142">
        <v>0</v>
      </c>
    </row>
    <row r="31" spans="2:46" ht="12" customHeight="1" x14ac:dyDescent="0.25">
      <c r="B31" s="140" t="s">
        <v>41</v>
      </c>
      <c r="C31" s="141" t="s">
        <v>40</v>
      </c>
      <c r="D31" s="141" t="s">
        <v>25</v>
      </c>
      <c r="E31" s="141" t="s">
        <v>25</v>
      </c>
      <c r="F31" s="141" t="s">
        <v>85</v>
      </c>
      <c r="G31" s="141" t="s">
        <v>34</v>
      </c>
      <c r="H31" s="141" t="s">
        <v>76</v>
      </c>
      <c r="I31" s="141" t="s">
        <v>25</v>
      </c>
      <c r="J31" s="141">
        <v>58.94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9.7173571134438195</v>
      </c>
      <c r="U31" s="141">
        <v>1.2476258892389001</v>
      </c>
      <c r="V31" s="141">
        <v>4.8998610528471001E-2</v>
      </c>
      <c r="W31" s="141">
        <v>0</v>
      </c>
      <c r="X31" s="141">
        <v>0</v>
      </c>
      <c r="Y31" s="141">
        <v>0</v>
      </c>
      <c r="Z31" s="141">
        <v>0</v>
      </c>
      <c r="AA31" s="141">
        <v>47.930037758333803</v>
      </c>
      <c r="AB31" s="141">
        <v>0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141">
        <v>0</v>
      </c>
      <c r="AJ31" s="141">
        <v>0</v>
      </c>
      <c r="AK31" s="141">
        <v>0</v>
      </c>
      <c r="AL31" s="141">
        <v>0</v>
      </c>
      <c r="AM31" s="141">
        <v>0</v>
      </c>
      <c r="AN31" s="141">
        <v>0</v>
      </c>
      <c r="AO31" s="141">
        <v>0</v>
      </c>
      <c r="AP31" s="141">
        <v>0</v>
      </c>
      <c r="AQ31" s="141">
        <v>0</v>
      </c>
      <c r="AR31" s="141">
        <v>0</v>
      </c>
      <c r="AS31" s="141">
        <v>0</v>
      </c>
      <c r="AT31" s="142">
        <v>0</v>
      </c>
    </row>
    <row r="32" spans="2:46" ht="12" customHeight="1" x14ac:dyDescent="0.25">
      <c r="B32" s="140" t="s">
        <v>41</v>
      </c>
      <c r="C32" s="141" t="s">
        <v>40</v>
      </c>
      <c r="D32" s="141" t="s">
        <v>25</v>
      </c>
      <c r="E32" s="141" t="s">
        <v>25</v>
      </c>
      <c r="F32" s="141" t="s">
        <v>85</v>
      </c>
      <c r="G32" s="141" t="s">
        <v>35</v>
      </c>
      <c r="H32" s="141" t="s">
        <v>79</v>
      </c>
      <c r="I32" s="141" t="s">
        <v>25</v>
      </c>
      <c r="J32" s="141">
        <v>117.53</v>
      </c>
      <c r="K32" s="141">
        <v>0</v>
      </c>
      <c r="L32" s="141">
        <v>0</v>
      </c>
      <c r="M32" s="141">
        <v>0.76529823128334495</v>
      </c>
      <c r="N32" s="141">
        <v>1.5310329239885301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141">
        <v>0</v>
      </c>
      <c r="AA32" s="141">
        <v>0</v>
      </c>
      <c r="AB32" s="141">
        <v>0</v>
      </c>
      <c r="AC32" s="141">
        <v>0</v>
      </c>
      <c r="AD32" s="141">
        <v>0</v>
      </c>
      <c r="AE32" s="141">
        <v>34.570476318864301</v>
      </c>
      <c r="AF32" s="141">
        <v>2.7951797815574202</v>
      </c>
      <c r="AG32" s="141">
        <v>65.177728618187103</v>
      </c>
      <c r="AH32" s="141">
        <v>12.688968776009499</v>
      </c>
      <c r="AI32" s="141">
        <v>0</v>
      </c>
      <c r="AJ32" s="141">
        <v>0</v>
      </c>
      <c r="AK32" s="141">
        <v>0</v>
      </c>
      <c r="AL32" s="141">
        <v>0</v>
      </c>
      <c r="AM32" s="141">
        <v>0</v>
      </c>
      <c r="AN32" s="141">
        <v>0</v>
      </c>
      <c r="AO32" s="141">
        <v>0</v>
      </c>
      <c r="AP32" s="141">
        <v>0</v>
      </c>
      <c r="AQ32" s="141">
        <v>0</v>
      </c>
      <c r="AR32" s="141">
        <v>0</v>
      </c>
      <c r="AS32" s="141">
        <v>0</v>
      </c>
      <c r="AT32" s="142">
        <v>0</v>
      </c>
    </row>
    <row r="33" spans="2:46" ht="12" customHeight="1" x14ac:dyDescent="0.25">
      <c r="B33" s="140" t="s">
        <v>41</v>
      </c>
      <c r="C33" s="141" t="s">
        <v>40</v>
      </c>
      <c r="D33" s="141" t="s">
        <v>25</v>
      </c>
      <c r="E33" s="141" t="s">
        <v>25</v>
      </c>
      <c r="F33" s="141" t="s">
        <v>85</v>
      </c>
      <c r="G33" s="141" t="s">
        <v>35</v>
      </c>
      <c r="H33" s="141" t="s">
        <v>76</v>
      </c>
      <c r="I33" s="141" t="s">
        <v>25</v>
      </c>
      <c r="J33" s="141">
        <v>23.19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5.34178778866388</v>
      </c>
      <c r="U33" s="141">
        <v>0.70677009484575704</v>
      </c>
      <c r="V33" s="141">
        <v>2.5278011788526601E-2</v>
      </c>
      <c r="W33" s="141">
        <v>0</v>
      </c>
      <c r="X33" s="141">
        <v>0</v>
      </c>
      <c r="Y33" s="141">
        <v>0</v>
      </c>
      <c r="Z33" s="141">
        <v>0</v>
      </c>
      <c r="AA33" s="141">
        <v>17.114289279156399</v>
      </c>
      <c r="AB33" s="141">
        <v>0</v>
      </c>
      <c r="AC33" s="141">
        <v>0</v>
      </c>
      <c r="AD33" s="141">
        <v>0</v>
      </c>
      <c r="AE33" s="141">
        <v>0</v>
      </c>
      <c r="AF33" s="141">
        <v>0</v>
      </c>
      <c r="AG33" s="141">
        <v>0</v>
      </c>
      <c r="AH33" s="141">
        <v>0</v>
      </c>
      <c r="AI33" s="141">
        <v>0</v>
      </c>
      <c r="AJ33" s="141">
        <v>0</v>
      </c>
      <c r="AK33" s="141">
        <v>0</v>
      </c>
      <c r="AL33" s="141">
        <v>0</v>
      </c>
      <c r="AM33" s="141">
        <v>0</v>
      </c>
      <c r="AN33" s="141">
        <v>0</v>
      </c>
      <c r="AO33" s="141">
        <v>0</v>
      </c>
      <c r="AP33" s="141">
        <v>0</v>
      </c>
      <c r="AQ33" s="141">
        <v>0</v>
      </c>
      <c r="AR33" s="141">
        <v>0</v>
      </c>
      <c r="AS33" s="141">
        <v>0</v>
      </c>
      <c r="AT33" s="142">
        <v>0</v>
      </c>
    </row>
    <row r="34" spans="2:46" ht="12" customHeight="1" x14ac:dyDescent="0.25">
      <c r="B34" s="140" t="s">
        <v>41</v>
      </c>
      <c r="C34" s="141" t="s">
        <v>40</v>
      </c>
      <c r="D34" s="141" t="s">
        <v>25</v>
      </c>
      <c r="E34" s="141" t="s">
        <v>25</v>
      </c>
      <c r="F34" s="141" t="s">
        <v>25</v>
      </c>
      <c r="G34" s="141" t="s">
        <v>34</v>
      </c>
      <c r="H34" s="141" t="s">
        <v>79</v>
      </c>
      <c r="I34" s="141" t="s">
        <v>25</v>
      </c>
      <c r="J34" s="141">
        <v>187.07</v>
      </c>
      <c r="K34" s="141">
        <v>362.45</v>
      </c>
      <c r="L34" s="141">
        <v>20.7346688519699</v>
      </c>
      <c r="M34" s="141">
        <v>0.76529823128334495</v>
      </c>
      <c r="N34" s="141">
        <v>1.54257583048681</v>
      </c>
      <c r="O34" s="141">
        <v>0</v>
      </c>
      <c r="P34" s="141">
        <v>0</v>
      </c>
      <c r="Q34" s="141">
        <v>33.787531246229399</v>
      </c>
      <c r="R34" s="141">
        <v>15.012316553504499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Z34" s="141">
        <v>0</v>
      </c>
      <c r="AA34" s="141">
        <v>0</v>
      </c>
      <c r="AB34" s="141">
        <v>0</v>
      </c>
      <c r="AC34" s="141">
        <v>0</v>
      </c>
      <c r="AD34" s="141">
        <v>0</v>
      </c>
      <c r="AE34" s="141">
        <v>34.570476318864301</v>
      </c>
      <c r="AF34" s="141">
        <v>2.7951797815574202</v>
      </c>
      <c r="AG34" s="141">
        <v>65.177728618187103</v>
      </c>
      <c r="AH34" s="141">
        <v>12.688968776009499</v>
      </c>
      <c r="AI34" s="141">
        <v>12.0640874485312</v>
      </c>
      <c r="AJ34" s="141">
        <v>-17.197125811903</v>
      </c>
      <c r="AK34" s="141">
        <v>2.3178389475020298</v>
      </c>
      <c r="AL34" s="141">
        <v>34.8549685144812</v>
      </c>
      <c r="AM34" s="141">
        <v>0</v>
      </c>
      <c r="AN34" s="141">
        <v>324.85322239227298</v>
      </c>
      <c r="AO34" s="141">
        <v>0</v>
      </c>
      <c r="AP34" s="141">
        <v>0</v>
      </c>
      <c r="AQ34" s="141">
        <v>0</v>
      </c>
      <c r="AR34" s="141">
        <v>0</v>
      </c>
      <c r="AS34" s="141">
        <v>0</v>
      </c>
      <c r="AT34" s="142">
        <v>5.5617950200447197</v>
      </c>
    </row>
    <row r="35" spans="2:46" ht="12" customHeight="1" x14ac:dyDescent="0.25">
      <c r="B35" s="140" t="s">
        <v>41</v>
      </c>
      <c r="C35" s="141" t="s">
        <v>40</v>
      </c>
      <c r="D35" s="141" t="s">
        <v>25</v>
      </c>
      <c r="E35" s="141" t="s">
        <v>25</v>
      </c>
      <c r="F35" s="141" t="s">
        <v>25</v>
      </c>
      <c r="G35" s="141" t="s">
        <v>34</v>
      </c>
      <c r="H35" s="141" t="s">
        <v>76</v>
      </c>
      <c r="I35" s="141" t="s">
        <v>25</v>
      </c>
      <c r="J35" s="141">
        <v>58.94</v>
      </c>
      <c r="K35" s="141">
        <v>0</v>
      </c>
      <c r="L35" s="141">
        <v>0</v>
      </c>
      <c r="M35" s="141">
        <v>0</v>
      </c>
      <c r="N35" s="141">
        <v>0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9.7173571134438195</v>
      </c>
      <c r="U35" s="141">
        <v>1.2476258892389001</v>
      </c>
      <c r="V35" s="141">
        <v>4.8998610528471001E-2</v>
      </c>
      <c r="W35" s="141">
        <v>0</v>
      </c>
      <c r="X35" s="141">
        <v>0</v>
      </c>
      <c r="Y35" s="141">
        <v>0</v>
      </c>
      <c r="Z35" s="141">
        <v>0</v>
      </c>
      <c r="AA35" s="141">
        <v>47.930037758333803</v>
      </c>
      <c r="AB35" s="141">
        <v>0</v>
      </c>
      <c r="AC35" s="141">
        <v>0</v>
      </c>
      <c r="AD35" s="141">
        <v>0</v>
      </c>
      <c r="AE35" s="141">
        <v>0</v>
      </c>
      <c r="AF35" s="141">
        <v>0</v>
      </c>
      <c r="AG35" s="141">
        <v>0</v>
      </c>
      <c r="AH35" s="141">
        <v>0</v>
      </c>
      <c r="AI35" s="141">
        <v>0</v>
      </c>
      <c r="AJ35" s="141">
        <v>0</v>
      </c>
      <c r="AK35" s="141">
        <v>0</v>
      </c>
      <c r="AL35" s="141">
        <v>0</v>
      </c>
      <c r="AM35" s="141">
        <v>0</v>
      </c>
      <c r="AN35" s="141">
        <v>0</v>
      </c>
      <c r="AO35" s="141">
        <v>0</v>
      </c>
      <c r="AP35" s="141">
        <v>0</v>
      </c>
      <c r="AQ35" s="141">
        <v>0</v>
      </c>
      <c r="AR35" s="141">
        <v>0</v>
      </c>
      <c r="AS35" s="141">
        <v>0</v>
      </c>
      <c r="AT35" s="142">
        <v>0</v>
      </c>
    </row>
    <row r="36" spans="2:46" ht="12" customHeight="1" x14ac:dyDescent="0.25">
      <c r="B36" s="140" t="s">
        <v>41</v>
      </c>
      <c r="C36" s="141" t="s">
        <v>40</v>
      </c>
      <c r="D36" s="141" t="s">
        <v>25</v>
      </c>
      <c r="E36" s="141" t="s">
        <v>25</v>
      </c>
      <c r="F36" s="141" t="s">
        <v>25</v>
      </c>
      <c r="G36" s="141" t="s">
        <v>35</v>
      </c>
      <c r="H36" s="141" t="s">
        <v>79</v>
      </c>
      <c r="I36" s="141" t="s">
        <v>25</v>
      </c>
      <c r="J36" s="141">
        <v>187.07</v>
      </c>
      <c r="K36" s="141">
        <v>226.47</v>
      </c>
      <c r="L36" s="141">
        <v>20.7346688519699</v>
      </c>
      <c r="M36" s="141">
        <v>0.76529823128334495</v>
      </c>
      <c r="N36" s="141">
        <v>1.54257583048681</v>
      </c>
      <c r="O36" s="141">
        <v>0</v>
      </c>
      <c r="P36" s="141">
        <v>0</v>
      </c>
      <c r="Q36" s="141">
        <v>33.787531246229399</v>
      </c>
      <c r="R36" s="141">
        <v>15.012316553504499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0</v>
      </c>
      <c r="Z36" s="141">
        <v>0</v>
      </c>
      <c r="AA36" s="141">
        <v>0</v>
      </c>
      <c r="AB36" s="141">
        <v>0</v>
      </c>
      <c r="AC36" s="141">
        <v>0</v>
      </c>
      <c r="AD36" s="141">
        <v>0</v>
      </c>
      <c r="AE36" s="141">
        <v>34.570476318864301</v>
      </c>
      <c r="AF36" s="141">
        <v>2.7951797815574202</v>
      </c>
      <c r="AG36" s="141">
        <v>65.177728618187103</v>
      </c>
      <c r="AH36" s="141">
        <v>12.688968776009499</v>
      </c>
      <c r="AI36" s="141">
        <v>12.0640874485312</v>
      </c>
      <c r="AJ36" s="141">
        <v>-17.197125811903</v>
      </c>
      <c r="AK36" s="141">
        <v>2.3178389475020298</v>
      </c>
      <c r="AL36" s="141">
        <v>34.8549685144812</v>
      </c>
      <c r="AM36" s="141">
        <v>0</v>
      </c>
      <c r="AN36" s="141">
        <v>188.86815255364701</v>
      </c>
      <c r="AO36" s="141">
        <v>0</v>
      </c>
      <c r="AP36" s="141">
        <v>0</v>
      </c>
      <c r="AQ36" s="141">
        <v>0</v>
      </c>
      <c r="AR36" s="141">
        <v>0</v>
      </c>
      <c r="AS36" s="141">
        <v>0</v>
      </c>
      <c r="AT36" s="142">
        <v>5.5617950200447197</v>
      </c>
    </row>
    <row r="37" spans="2:46" ht="12" customHeight="1" x14ac:dyDescent="0.25">
      <c r="B37" s="140" t="s">
        <v>41</v>
      </c>
      <c r="C37" s="141" t="s">
        <v>40</v>
      </c>
      <c r="D37" s="141" t="s">
        <v>25</v>
      </c>
      <c r="E37" s="141" t="s">
        <v>25</v>
      </c>
      <c r="F37" s="141" t="s">
        <v>25</v>
      </c>
      <c r="G37" s="141" t="s">
        <v>35</v>
      </c>
      <c r="H37" s="141" t="s">
        <v>76</v>
      </c>
      <c r="I37" s="141" t="s">
        <v>25</v>
      </c>
      <c r="J37" s="141">
        <v>23.19</v>
      </c>
      <c r="K37" s="141">
        <v>0</v>
      </c>
      <c r="L37" s="141">
        <v>0</v>
      </c>
      <c r="M37" s="141">
        <v>0</v>
      </c>
      <c r="N37" s="141">
        <v>0</v>
      </c>
      <c r="O37" s="141">
        <v>0</v>
      </c>
      <c r="P37" s="141">
        <v>0</v>
      </c>
      <c r="Q37" s="141">
        <v>0</v>
      </c>
      <c r="R37" s="141">
        <v>0</v>
      </c>
      <c r="S37" s="141">
        <v>0</v>
      </c>
      <c r="T37" s="141">
        <v>5.34178778866388</v>
      </c>
      <c r="U37" s="141">
        <v>0.70677009484575704</v>
      </c>
      <c r="V37" s="141">
        <v>2.5278011788526601E-2</v>
      </c>
      <c r="W37" s="141">
        <v>0</v>
      </c>
      <c r="X37" s="141">
        <v>0</v>
      </c>
      <c r="Y37" s="141">
        <v>0</v>
      </c>
      <c r="Z37" s="141">
        <v>0</v>
      </c>
      <c r="AA37" s="141">
        <v>17.114289279156399</v>
      </c>
      <c r="AB37" s="141">
        <v>0</v>
      </c>
      <c r="AC37" s="141">
        <v>0</v>
      </c>
      <c r="AD37" s="141">
        <v>0</v>
      </c>
      <c r="AE37" s="141">
        <v>0</v>
      </c>
      <c r="AF37" s="141">
        <v>0</v>
      </c>
      <c r="AG37" s="141">
        <v>0</v>
      </c>
      <c r="AH37" s="141">
        <v>0</v>
      </c>
      <c r="AI37" s="141">
        <v>0</v>
      </c>
      <c r="AJ37" s="141">
        <v>0</v>
      </c>
      <c r="AK37" s="141">
        <v>0</v>
      </c>
      <c r="AL37" s="141">
        <v>0</v>
      </c>
      <c r="AM37" s="141">
        <v>0</v>
      </c>
      <c r="AN37" s="141">
        <v>0</v>
      </c>
      <c r="AO37" s="141">
        <v>0</v>
      </c>
      <c r="AP37" s="141">
        <v>0</v>
      </c>
      <c r="AQ37" s="141">
        <v>0</v>
      </c>
      <c r="AR37" s="141">
        <v>0</v>
      </c>
      <c r="AS37" s="141">
        <v>0</v>
      </c>
      <c r="AT37" s="142">
        <v>0</v>
      </c>
    </row>
    <row r="38" spans="2:46" ht="12" customHeight="1" x14ac:dyDescent="0.25">
      <c r="B38" s="140" t="s">
        <v>41</v>
      </c>
      <c r="C38" s="141" t="s">
        <v>23</v>
      </c>
      <c r="D38" s="141" t="s">
        <v>25</v>
      </c>
      <c r="E38" s="141" t="s">
        <v>25</v>
      </c>
      <c r="F38" s="141" t="s">
        <v>25</v>
      </c>
      <c r="G38" s="141" t="s">
        <v>25</v>
      </c>
      <c r="H38" s="141" t="s">
        <v>79</v>
      </c>
      <c r="I38" s="141" t="s">
        <v>25</v>
      </c>
      <c r="J38" s="141">
        <v>0</v>
      </c>
      <c r="K38" s="141">
        <v>237.8</v>
      </c>
      <c r="L38" s="141">
        <v>0</v>
      </c>
      <c r="M38" s="141">
        <v>0</v>
      </c>
      <c r="N38" s="141">
        <v>0</v>
      </c>
      <c r="O38" s="141">
        <v>0</v>
      </c>
      <c r="P38" s="141">
        <v>0</v>
      </c>
      <c r="Q38" s="141">
        <v>0</v>
      </c>
      <c r="R38" s="141">
        <v>0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0</v>
      </c>
      <c r="Z38" s="141">
        <v>0</v>
      </c>
      <c r="AA38" s="141">
        <v>0</v>
      </c>
      <c r="AB38" s="141">
        <v>0</v>
      </c>
      <c r="AC38" s="141">
        <v>0</v>
      </c>
      <c r="AD38" s="141">
        <v>0</v>
      </c>
      <c r="AE38" s="141">
        <v>0</v>
      </c>
      <c r="AF38" s="141">
        <v>0</v>
      </c>
      <c r="AG38" s="141">
        <v>0</v>
      </c>
      <c r="AH38" s="141">
        <v>0</v>
      </c>
      <c r="AI38" s="141">
        <v>12.0640874485312</v>
      </c>
      <c r="AJ38" s="141">
        <v>-17.197125811903</v>
      </c>
      <c r="AK38" s="141">
        <v>2.3178389475020298</v>
      </c>
      <c r="AL38" s="141">
        <v>34.8549685144812</v>
      </c>
      <c r="AM38" s="141">
        <v>0</v>
      </c>
      <c r="AN38" s="141">
        <v>200.200241706866</v>
      </c>
      <c r="AO38" s="141">
        <v>0</v>
      </c>
      <c r="AP38" s="141">
        <v>0</v>
      </c>
      <c r="AQ38" s="141">
        <v>0</v>
      </c>
      <c r="AR38" s="141">
        <v>0</v>
      </c>
      <c r="AS38" s="141">
        <v>0</v>
      </c>
      <c r="AT38" s="142">
        <v>5.5617950200447197</v>
      </c>
    </row>
    <row r="39" spans="2:46" ht="12" customHeight="1" x14ac:dyDescent="0.25">
      <c r="B39" s="140" t="s">
        <v>41</v>
      </c>
      <c r="C39" s="141" t="s">
        <v>58</v>
      </c>
      <c r="D39" s="141" t="s">
        <v>25</v>
      </c>
      <c r="E39" s="141" t="s">
        <v>25</v>
      </c>
      <c r="F39" s="141" t="s">
        <v>25</v>
      </c>
      <c r="G39" s="141" t="s">
        <v>25</v>
      </c>
      <c r="H39" s="141" t="s">
        <v>76</v>
      </c>
      <c r="I39" s="141" t="s">
        <v>25</v>
      </c>
      <c r="J39" s="141">
        <v>11.13</v>
      </c>
      <c r="K39" s="141">
        <v>0</v>
      </c>
      <c r="L39" s="141">
        <v>0</v>
      </c>
      <c r="M39" s="141">
        <v>3.44225795168124E-2</v>
      </c>
      <c r="N39" s="141">
        <v>9.7883847105358898E-2</v>
      </c>
      <c r="O39" s="141">
        <v>0</v>
      </c>
      <c r="P39" s="141">
        <v>0</v>
      </c>
      <c r="Q39" s="141">
        <v>0</v>
      </c>
      <c r="R39" s="141">
        <v>0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0</v>
      </c>
      <c r="Y39" s="141">
        <v>0</v>
      </c>
      <c r="Z39" s="141">
        <v>0</v>
      </c>
      <c r="AA39" s="141">
        <v>10.996694340311</v>
      </c>
      <c r="AB39" s="141">
        <v>0</v>
      </c>
      <c r="AC39" s="141">
        <v>0</v>
      </c>
      <c r="AD39" s="141">
        <v>0</v>
      </c>
      <c r="AE39" s="141">
        <v>0</v>
      </c>
      <c r="AF39" s="141">
        <v>0</v>
      </c>
      <c r="AG39" s="141">
        <v>0</v>
      </c>
      <c r="AH39" s="141">
        <v>0</v>
      </c>
      <c r="AI39" s="141">
        <v>0</v>
      </c>
      <c r="AJ39" s="141">
        <v>0</v>
      </c>
      <c r="AK39" s="141">
        <v>0</v>
      </c>
      <c r="AL39" s="141">
        <v>0</v>
      </c>
      <c r="AM39" s="141">
        <v>0</v>
      </c>
      <c r="AN39" s="141">
        <v>0</v>
      </c>
      <c r="AO39" s="141">
        <v>0</v>
      </c>
      <c r="AP39" s="141">
        <v>0</v>
      </c>
      <c r="AQ39" s="141">
        <v>0</v>
      </c>
      <c r="AR39" s="141">
        <v>0</v>
      </c>
      <c r="AS39" s="141">
        <v>0</v>
      </c>
      <c r="AT39" s="142">
        <v>0</v>
      </c>
    </row>
    <row r="40" spans="2:46" ht="12" customHeight="1" x14ac:dyDescent="0.25">
      <c r="B40" s="140" t="s">
        <v>41</v>
      </c>
      <c r="C40" s="141" t="s">
        <v>43</v>
      </c>
      <c r="D40" s="141" t="s">
        <v>25</v>
      </c>
      <c r="E40" s="141" t="s">
        <v>25</v>
      </c>
      <c r="F40" s="141" t="s">
        <v>85</v>
      </c>
      <c r="G40" s="141" t="s">
        <v>34</v>
      </c>
      <c r="H40" s="141" t="s">
        <v>79</v>
      </c>
      <c r="I40" s="141" t="s">
        <v>25</v>
      </c>
      <c r="J40" s="141">
        <v>1547.71</v>
      </c>
      <c r="K40" s="141">
        <v>0</v>
      </c>
      <c r="L40" s="141">
        <v>0</v>
      </c>
      <c r="M40" s="141">
        <v>0.76529823128334495</v>
      </c>
      <c r="N40" s="141">
        <v>14.1043989254665</v>
      </c>
      <c r="O40" s="141">
        <v>0</v>
      </c>
      <c r="P40" s="141">
        <v>0</v>
      </c>
      <c r="Q40" s="141">
        <v>0</v>
      </c>
      <c r="R40" s="141">
        <v>0</v>
      </c>
      <c r="S40" s="141">
        <v>0</v>
      </c>
      <c r="T40" s="141">
        <v>233.70262061948401</v>
      </c>
      <c r="U40" s="141">
        <v>30.006159801207701</v>
      </c>
      <c r="V40" s="141">
        <v>1.17872207576926</v>
      </c>
      <c r="W40" s="141">
        <v>0</v>
      </c>
      <c r="X40" s="141">
        <v>0</v>
      </c>
      <c r="Y40" s="141">
        <v>0</v>
      </c>
      <c r="Z40" s="141">
        <v>0</v>
      </c>
      <c r="AA40" s="141">
        <v>1152.71819598467</v>
      </c>
      <c r="AB40" s="141">
        <v>0</v>
      </c>
      <c r="AC40" s="141">
        <v>0</v>
      </c>
      <c r="AD40" s="141">
        <v>0</v>
      </c>
      <c r="AE40" s="141">
        <v>34.570476318864301</v>
      </c>
      <c r="AF40" s="141">
        <v>2.7951797815574202</v>
      </c>
      <c r="AG40" s="141">
        <v>65.177728618187103</v>
      </c>
      <c r="AH40" s="141">
        <v>12.688968776009499</v>
      </c>
      <c r="AI40" s="141">
        <v>0</v>
      </c>
      <c r="AJ40" s="141">
        <v>0</v>
      </c>
      <c r="AK40" s="141">
        <v>0</v>
      </c>
      <c r="AL40" s="141">
        <v>0</v>
      </c>
      <c r="AM40" s="141">
        <v>0</v>
      </c>
      <c r="AN40" s="141">
        <v>0</v>
      </c>
      <c r="AO40" s="141">
        <v>0</v>
      </c>
      <c r="AP40" s="141">
        <v>0</v>
      </c>
      <c r="AQ40" s="141">
        <v>0</v>
      </c>
      <c r="AR40" s="141">
        <v>0</v>
      </c>
      <c r="AS40" s="141">
        <v>0</v>
      </c>
      <c r="AT40" s="142">
        <v>0</v>
      </c>
    </row>
    <row r="41" spans="2:46" ht="12" customHeight="1" x14ac:dyDescent="0.25">
      <c r="B41" s="140" t="s">
        <v>41</v>
      </c>
      <c r="C41" s="141" t="s">
        <v>43</v>
      </c>
      <c r="D41" s="141" t="s">
        <v>25</v>
      </c>
      <c r="E41" s="141" t="s">
        <v>25</v>
      </c>
      <c r="F41" s="141" t="s">
        <v>85</v>
      </c>
      <c r="G41" s="141" t="s">
        <v>25</v>
      </c>
      <c r="H41" s="141" t="s">
        <v>76</v>
      </c>
      <c r="I41" s="141" t="s">
        <v>25</v>
      </c>
      <c r="J41" s="141">
        <v>23.19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5.34178778866388</v>
      </c>
      <c r="U41" s="141">
        <v>0.70677009484575704</v>
      </c>
      <c r="V41" s="141">
        <v>2.5278011788526601E-2</v>
      </c>
      <c r="W41" s="141">
        <v>0</v>
      </c>
      <c r="X41" s="141">
        <v>0</v>
      </c>
      <c r="Y41" s="141">
        <v>0</v>
      </c>
      <c r="Z41" s="141">
        <v>0</v>
      </c>
      <c r="AA41" s="141">
        <v>17.114289279156399</v>
      </c>
      <c r="AB41" s="141">
        <v>0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141">
        <v>0</v>
      </c>
      <c r="AJ41" s="141">
        <v>0</v>
      </c>
      <c r="AK41" s="141">
        <v>0</v>
      </c>
      <c r="AL41" s="141">
        <v>0</v>
      </c>
      <c r="AM41" s="141">
        <v>0</v>
      </c>
      <c r="AN41" s="141">
        <v>0</v>
      </c>
      <c r="AO41" s="141">
        <v>0</v>
      </c>
      <c r="AP41" s="141">
        <v>0</v>
      </c>
      <c r="AQ41" s="141">
        <v>0</v>
      </c>
      <c r="AR41" s="141">
        <v>0</v>
      </c>
      <c r="AS41" s="141">
        <v>0</v>
      </c>
      <c r="AT41" s="142">
        <v>0</v>
      </c>
    </row>
    <row r="42" spans="2:46" ht="12" customHeight="1" x14ac:dyDescent="0.25">
      <c r="B42" s="140" t="s">
        <v>41</v>
      </c>
      <c r="C42" s="141" t="s">
        <v>43</v>
      </c>
      <c r="D42" s="141" t="s">
        <v>25</v>
      </c>
      <c r="E42" s="141" t="s">
        <v>25</v>
      </c>
      <c r="F42" s="141" t="s">
        <v>85</v>
      </c>
      <c r="G42" s="141" t="s">
        <v>35</v>
      </c>
      <c r="H42" s="141" t="s">
        <v>79</v>
      </c>
      <c r="I42" s="141" t="s">
        <v>25</v>
      </c>
      <c r="J42" s="141">
        <v>117.53</v>
      </c>
      <c r="K42" s="141">
        <v>0</v>
      </c>
      <c r="L42" s="141">
        <v>0</v>
      </c>
      <c r="M42" s="141">
        <v>0.76529823128334495</v>
      </c>
      <c r="N42" s="141">
        <v>1.5310329239885301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0</v>
      </c>
      <c r="Z42" s="141">
        <v>0</v>
      </c>
      <c r="AA42" s="141">
        <v>0</v>
      </c>
      <c r="AB42" s="141">
        <v>0</v>
      </c>
      <c r="AC42" s="141">
        <v>0</v>
      </c>
      <c r="AD42" s="141">
        <v>0</v>
      </c>
      <c r="AE42" s="141">
        <v>34.570476318864301</v>
      </c>
      <c r="AF42" s="141">
        <v>2.7951797815574202</v>
      </c>
      <c r="AG42" s="141">
        <v>65.177728618187103</v>
      </c>
      <c r="AH42" s="141">
        <v>12.688968776009499</v>
      </c>
      <c r="AI42" s="141">
        <v>0</v>
      </c>
      <c r="AJ42" s="141">
        <v>0</v>
      </c>
      <c r="AK42" s="141">
        <v>0</v>
      </c>
      <c r="AL42" s="141">
        <v>0</v>
      </c>
      <c r="AM42" s="141">
        <v>0</v>
      </c>
      <c r="AN42" s="141">
        <v>0</v>
      </c>
      <c r="AO42" s="141">
        <v>0</v>
      </c>
      <c r="AP42" s="141">
        <v>0</v>
      </c>
      <c r="AQ42" s="141">
        <v>0</v>
      </c>
      <c r="AR42" s="141">
        <v>0</v>
      </c>
      <c r="AS42" s="141">
        <v>0</v>
      </c>
      <c r="AT42" s="142">
        <v>0</v>
      </c>
    </row>
    <row r="43" spans="2:46" ht="12" customHeight="1" x14ac:dyDescent="0.25">
      <c r="B43" s="140" t="s">
        <v>41</v>
      </c>
      <c r="C43" s="141" t="s">
        <v>43</v>
      </c>
      <c r="D43" s="141" t="s">
        <v>25</v>
      </c>
      <c r="E43" s="141" t="s">
        <v>25</v>
      </c>
      <c r="F43" s="141" t="s">
        <v>25</v>
      </c>
      <c r="G43" s="141" t="s">
        <v>34</v>
      </c>
      <c r="H43" s="141" t="s">
        <v>79</v>
      </c>
      <c r="I43" s="141" t="s">
        <v>25</v>
      </c>
      <c r="J43" s="141">
        <v>1617.25</v>
      </c>
      <c r="K43" s="141">
        <v>362.45</v>
      </c>
      <c r="L43" s="141">
        <v>20.7346688519699</v>
      </c>
      <c r="M43" s="141">
        <v>0.76529823128334495</v>
      </c>
      <c r="N43" s="141">
        <v>14.1159418319648</v>
      </c>
      <c r="O43" s="141">
        <v>0</v>
      </c>
      <c r="P43" s="141">
        <v>0</v>
      </c>
      <c r="Q43" s="141">
        <v>33.787531246229399</v>
      </c>
      <c r="R43" s="141">
        <v>15.012316553504499</v>
      </c>
      <c r="S43" s="141">
        <v>0</v>
      </c>
      <c r="T43" s="141">
        <v>233.70262061948401</v>
      </c>
      <c r="U43" s="141">
        <v>30.006159801207701</v>
      </c>
      <c r="V43" s="141">
        <v>1.17872207576926</v>
      </c>
      <c r="W43" s="141">
        <v>0</v>
      </c>
      <c r="X43" s="141">
        <v>0</v>
      </c>
      <c r="Y43" s="141">
        <v>0</v>
      </c>
      <c r="Z43" s="141">
        <v>0</v>
      </c>
      <c r="AA43" s="141">
        <v>1152.71819598467</v>
      </c>
      <c r="AB43" s="141">
        <v>0</v>
      </c>
      <c r="AC43" s="141">
        <v>0</v>
      </c>
      <c r="AD43" s="141">
        <v>0</v>
      </c>
      <c r="AE43" s="141">
        <v>34.570476318864301</v>
      </c>
      <c r="AF43" s="141">
        <v>2.7951797815574202</v>
      </c>
      <c r="AG43" s="141">
        <v>65.177728618187103</v>
      </c>
      <c r="AH43" s="141">
        <v>12.688968776009499</v>
      </c>
      <c r="AI43" s="141">
        <v>12.0640874485312</v>
      </c>
      <c r="AJ43" s="141">
        <v>-17.197125811903</v>
      </c>
      <c r="AK43" s="141">
        <v>2.3178389475020298</v>
      </c>
      <c r="AL43" s="141">
        <v>34.8549685144812</v>
      </c>
      <c r="AM43" s="141">
        <v>0</v>
      </c>
      <c r="AN43" s="141">
        <v>324.85322239227298</v>
      </c>
      <c r="AO43" s="141">
        <v>0</v>
      </c>
      <c r="AP43" s="141">
        <v>0</v>
      </c>
      <c r="AQ43" s="141">
        <v>0</v>
      </c>
      <c r="AR43" s="141">
        <v>0</v>
      </c>
      <c r="AS43" s="141">
        <v>0</v>
      </c>
      <c r="AT43" s="142">
        <v>5.5617950200447197</v>
      </c>
    </row>
    <row r="44" spans="2:46" ht="12" customHeight="1" x14ac:dyDescent="0.25">
      <c r="B44" s="140" t="s">
        <v>41</v>
      </c>
      <c r="C44" s="141" t="s">
        <v>43</v>
      </c>
      <c r="D44" s="141" t="s">
        <v>25</v>
      </c>
      <c r="E44" s="141" t="s">
        <v>25</v>
      </c>
      <c r="F44" s="141" t="s">
        <v>25</v>
      </c>
      <c r="G44" s="141" t="s">
        <v>25</v>
      </c>
      <c r="H44" s="141" t="s">
        <v>76</v>
      </c>
      <c r="I44" s="141" t="s">
        <v>25</v>
      </c>
      <c r="J44" s="141">
        <v>23.19</v>
      </c>
      <c r="K44" s="141">
        <v>0</v>
      </c>
      <c r="L44" s="141">
        <v>0</v>
      </c>
      <c r="M44" s="141">
        <v>0</v>
      </c>
      <c r="N44" s="141">
        <v>0</v>
      </c>
      <c r="O44" s="141">
        <v>0</v>
      </c>
      <c r="P44" s="141">
        <v>0</v>
      </c>
      <c r="Q44" s="141">
        <v>0</v>
      </c>
      <c r="R44" s="141">
        <v>0</v>
      </c>
      <c r="S44" s="141">
        <v>0</v>
      </c>
      <c r="T44" s="141">
        <v>5.34178778866388</v>
      </c>
      <c r="U44" s="141">
        <v>0.70677009484575704</v>
      </c>
      <c r="V44" s="141">
        <v>2.5278011788526601E-2</v>
      </c>
      <c r="W44" s="141">
        <v>0</v>
      </c>
      <c r="X44" s="141">
        <v>0</v>
      </c>
      <c r="Y44" s="141">
        <v>0</v>
      </c>
      <c r="Z44" s="141">
        <v>0</v>
      </c>
      <c r="AA44" s="141">
        <v>17.114289279156399</v>
      </c>
      <c r="AB44" s="141">
        <v>0</v>
      </c>
      <c r="AC44" s="141">
        <v>0</v>
      </c>
      <c r="AD44" s="141">
        <v>0</v>
      </c>
      <c r="AE44" s="141">
        <v>0</v>
      </c>
      <c r="AF44" s="141">
        <v>0</v>
      </c>
      <c r="AG44" s="141">
        <v>0</v>
      </c>
      <c r="AH44" s="141">
        <v>0</v>
      </c>
      <c r="AI44" s="141">
        <v>0</v>
      </c>
      <c r="AJ44" s="141">
        <v>0</v>
      </c>
      <c r="AK44" s="141">
        <v>0</v>
      </c>
      <c r="AL44" s="141">
        <v>0</v>
      </c>
      <c r="AM44" s="141">
        <v>0</v>
      </c>
      <c r="AN44" s="141">
        <v>0</v>
      </c>
      <c r="AO44" s="141">
        <v>0</v>
      </c>
      <c r="AP44" s="141">
        <v>0</v>
      </c>
      <c r="AQ44" s="141">
        <v>0</v>
      </c>
      <c r="AR44" s="141">
        <v>0</v>
      </c>
      <c r="AS44" s="141">
        <v>0</v>
      </c>
      <c r="AT44" s="142">
        <v>0</v>
      </c>
    </row>
    <row r="45" spans="2:46" ht="12" customHeight="1" x14ac:dyDescent="0.25">
      <c r="B45" s="140" t="s">
        <v>41</v>
      </c>
      <c r="C45" s="141" t="s">
        <v>43</v>
      </c>
      <c r="D45" s="141" t="s">
        <v>25</v>
      </c>
      <c r="E45" s="141" t="s">
        <v>25</v>
      </c>
      <c r="F45" s="141" t="s">
        <v>25</v>
      </c>
      <c r="G45" s="141" t="s">
        <v>35</v>
      </c>
      <c r="H45" s="141" t="s">
        <v>79</v>
      </c>
      <c r="I45" s="141" t="s">
        <v>25</v>
      </c>
      <c r="J45" s="141">
        <v>187.07</v>
      </c>
      <c r="K45" s="141">
        <v>226.47</v>
      </c>
      <c r="L45" s="141">
        <v>20.7346688519699</v>
      </c>
      <c r="M45" s="141">
        <v>0.76529823128334495</v>
      </c>
      <c r="N45" s="141">
        <v>1.54257583048681</v>
      </c>
      <c r="O45" s="141">
        <v>0</v>
      </c>
      <c r="P45" s="141">
        <v>0</v>
      </c>
      <c r="Q45" s="141">
        <v>33.787531246229399</v>
      </c>
      <c r="R45" s="141">
        <v>15.012316553504499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0</v>
      </c>
      <c r="Z45" s="141">
        <v>0</v>
      </c>
      <c r="AA45" s="141">
        <v>0</v>
      </c>
      <c r="AB45" s="141">
        <v>0</v>
      </c>
      <c r="AC45" s="141">
        <v>0</v>
      </c>
      <c r="AD45" s="141">
        <v>0</v>
      </c>
      <c r="AE45" s="141">
        <v>34.570476318864301</v>
      </c>
      <c r="AF45" s="141">
        <v>2.7951797815574202</v>
      </c>
      <c r="AG45" s="141">
        <v>65.177728618187103</v>
      </c>
      <c r="AH45" s="141">
        <v>12.688968776009499</v>
      </c>
      <c r="AI45" s="141">
        <v>12.0640874485312</v>
      </c>
      <c r="AJ45" s="141">
        <v>-17.197125811903</v>
      </c>
      <c r="AK45" s="141">
        <v>2.3178389475020298</v>
      </c>
      <c r="AL45" s="141">
        <v>34.8549685144812</v>
      </c>
      <c r="AM45" s="141">
        <v>0</v>
      </c>
      <c r="AN45" s="141">
        <v>188.86815255364701</v>
      </c>
      <c r="AO45" s="141">
        <v>0</v>
      </c>
      <c r="AP45" s="141">
        <v>0</v>
      </c>
      <c r="AQ45" s="141">
        <v>0</v>
      </c>
      <c r="AR45" s="141">
        <v>0</v>
      </c>
      <c r="AS45" s="141">
        <v>0</v>
      </c>
      <c r="AT45" s="142">
        <v>5.5617950200447197</v>
      </c>
    </row>
    <row r="46" spans="2:46" ht="12" customHeight="1" x14ac:dyDescent="0.25">
      <c r="B46" s="140" t="s">
        <v>87</v>
      </c>
      <c r="C46" s="141" t="s">
        <v>58</v>
      </c>
      <c r="D46" s="141" t="s">
        <v>25</v>
      </c>
      <c r="E46" s="141" t="s">
        <v>25</v>
      </c>
      <c r="F46" s="141" t="s">
        <v>88</v>
      </c>
      <c r="G46" s="141" t="s">
        <v>25</v>
      </c>
      <c r="H46" s="141" t="s">
        <v>76</v>
      </c>
      <c r="I46" s="141" t="s">
        <v>25</v>
      </c>
      <c r="J46" s="141">
        <v>11.02</v>
      </c>
      <c r="K46" s="141">
        <v>0</v>
      </c>
      <c r="L46" s="141">
        <v>0</v>
      </c>
      <c r="M46" s="141">
        <v>3.4015211711879698E-2</v>
      </c>
      <c r="N46" s="141">
        <v>9.6960414585497007E-2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10.890035260908901</v>
      </c>
      <c r="AB46" s="141">
        <v>0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141">
        <v>0</v>
      </c>
      <c r="AJ46" s="141">
        <v>0</v>
      </c>
      <c r="AK46" s="141">
        <v>0</v>
      </c>
      <c r="AL46" s="141">
        <v>0</v>
      </c>
      <c r="AM46" s="141">
        <v>0</v>
      </c>
      <c r="AN46" s="141">
        <v>0</v>
      </c>
      <c r="AO46" s="141">
        <v>0</v>
      </c>
      <c r="AP46" s="141">
        <v>0</v>
      </c>
      <c r="AQ46" s="141">
        <v>0</v>
      </c>
      <c r="AR46" s="141">
        <v>0</v>
      </c>
      <c r="AS46" s="141">
        <v>0</v>
      </c>
      <c r="AT46" s="142">
        <v>0</v>
      </c>
    </row>
    <row r="47" spans="2:46" ht="12" customHeight="1" x14ac:dyDescent="0.25">
      <c r="B47" s="140" t="s">
        <v>87</v>
      </c>
      <c r="C47" s="141" t="s">
        <v>58</v>
      </c>
      <c r="D47" s="141" t="s">
        <v>25</v>
      </c>
      <c r="E47" s="141" t="s">
        <v>25</v>
      </c>
      <c r="F47" s="141" t="s">
        <v>89</v>
      </c>
      <c r="G47" s="141" t="s">
        <v>25</v>
      </c>
      <c r="H47" s="141" t="s">
        <v>76</v>
      </c>
      <c r="I47" s="141" t="s">
        <v>25</v>
      </c>
      <c r="J47" s="141">
        <v>24.97</v>
      </c>
      <c r="K47" s="141">
        <v>0</v>
      </c>
      <c r="L47" s="141">
        <v>0</v>
      </c>
      <c r="M47" s="141">
        <v>3.4015211711879698E-2</v>
      </c>
      <c r="N47" s="141">
        <v>9.6960414585497007E-2</v>
      </c>
      <c r="O47" s="141">
        <v>0</v>
      </c>
      <c r="P47" s="141">
        <v>0</v>
      </c>
      <c r="Q47" s="141">
        <v>0</v>
      </c>
      <c r="R47" s="141">
        <v>0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0</v>
      </c>
      <c r="Y47" s="141">
        <v>0</v>
      </c>
      <c r="Z47" s="141">
        <v>0</v>
      </c>
      <c r="AA47" s="141">
        <v>24.841667954863301</v>
      </c>
      <c r="AB47" s="141">
        <v>0</v>
      </c>
      <c r="AC47" s="141">
        <v>0</v>
      </c>
      <c r="AD47" s="141">
        <v>0</v>
      </c>
      <c r="AE47" s="141">
        <v>0</v>
      </c>
      <c r="AF47" s="141">
        <v>0</v>
      </c>
      <c r="AG47" s="141">
        <v>0</v>
      </c>
      <c r="AH47" s="141">
        <v>0</v>
      </c>
      <c r="AI47" s="141">
        <v>0</v>
      </c>
      <c r="AJ47" s="141">
        <v>0</v>
      </c>
      <c r="AK47" s="141">
        <v>0</v>
      </c>
      <c r="AL47" s="141">
        <v>0</v>
      </c>
      <c r="AM47" s="141">
        <v>0</v>
      </c>
      <c r="AN47" s="141">
        <v>0</v>
      </c>
      <c r="AO47" s="141">
        <v>0</v>
      </c>
      <c r="AP47" s="141">
        <v>0</v>
      </c>
      <c r="AQ47" s="141">
        <v>0</v>
      </c>
      <c r="AR47" s="141">
        <v>0</v>
      </c>
      <c r="AS47" s="141">
        <v>0</v>
      </c>
      <c r="AT47" s="142">
        <v>0</v>
      </c>
    </row>
    <row r="48" spans="2:46" ht="12" customHeight="1" x14ac:dyDescent="0.25">
      <c r="B48" s="140" t="s">
        <v>22</v>
      </c>
      <c r="C48" s="141" t="s">
        <v>33</v>
      </c>
      <c r="D48" s="141" t="s">
        <v>24</v>
      </c>
      <c r="E48" s="141" t="s">
        <v>24</v>
      </c>
      <c r="F48" s="141" t="s">
        <v>25</v>
      </c>
      <c r="G48" s="141" t="s">
        <v>34</v>
      </c>
      <c r="H48" s="141" t="s">
        <v>79</v>
      </c>
      <c r="I48" s="141" t="s">
        <v>25</v>
      </c>
      <c r="J48" s="141">
        <v>1251.51</v>
      </c>
      <c r="K48" s="141">
        <v>362.45</v>
      </c>
      <c r="L48" s="141">
        <v>24.684129585678399</v>
      </c>
      <c r="M48" s="141">
        <v>0.95037557601364098</v>
      </c>
      <c r="N48" s="141">
        <v>10.857995461089899</v>
      </c>
      <c r="O48" s="141">
        <v>0</v>
      </c>
      <c r="P48" s="141">
        <v>0</v>
      </c>
      <c r="Q48" s="141">
        <v>40.223251483606496</v>
      </c>
      <c r="R48" s="141">
        <v>15.012316553504499</v>
      </c>
      <c r="S48" s="141">
        <v>0</v>
      </c>
      <c r="T48" s="141">
        <v>114.318487633582</v>
      </c>
      <c r="U48" s="141">
        <v>14.904400198215001</v>
      </c>
      <c r="V48" s="141">
        <v>0.55863208042606405</v>
      </c>
      <c r="W48" s="141">
        <v>0</v>
      </c>
      <c r="X48" s="141">
        <v>0</v>
      </c>
      <c r="Y48" s="141">
        <v>0</v>
      </c>
      <c r="Z48" s="141">
        <v>0</v>
      </c>
      <c r="AA48" s="141">
        <v>909.86654180967605</v>
      </c>
      <c r="AB48" s="141">
        <v>0</v>
      </c>
      <c r="AC48" s="141">
        <v>0</v>
      </c>
      <c r="AD48" s="141">
        <v>0</v>
      </c>
      <c r="AE48" s="141">
        <v>34.570476318864301</v>
      </c>
      <c r="AF48" s="141">
        <v>2.7951797815574202</v>
      </c>
      <c r="AG48" s="141">
        <v>69.284450765268602</v>
      </c>
      <c r="AH48" s="141">
        <v>13.4884760647849</v>
      </c>
      <c r="AI48" s="141">
        <v>12.0640874485312</v>
      </c>
      <c r="AJ48" s="141">
        <v>-17.197125811903</v>
      </c>
      <c r="AK48" s="141">
        <v>2.3178389475020298</v>
      </c>
      <c r="AL48" s="141">
        <v>34.8549685144812</v>
      </c>
      <c r="AM48" s="141">
        <v>0</v>
      </c>
      <c r="AN48" s="141">
        <v>324.85322239227298</v>
      </c>
      <c r="AO48" s="141">
        <v>0</v>
      </c>
      <c r="AP48" s="141">
        <v>0</v>
      </c>
      <c r="AQ48" s="141">
        <v>0</v>
      </c>
      <c r="AR48" s="141">
        <v>0</v>
      </c>
      <c r="AS48" s="141">
        <v>0</v>
      </c>
      <c r="AT48" s="142">
        <v>5.5617950200447197</v>
      </c>
    </row>
    <row r="49" spans="2:46" ht="12" customHeight="1" x14ac:dyDescent="0.25">
      <c r="B49" s="140" t="s">
        <v>22</v>
      </c>
      <c r="C49" s="141" t="s">
        <v>33</v>
      </c>
      <c r="D49" s="141" t="s">
        <v>24</v>
      </c>
      <c r="E49" s="141" t="s">
        <v>24</v>
      </c>
      <c r="F49" s="141" t="s">
        <v>25</v>
      </c>
      <c r="G49" s="141" t="s">
        <v>36</v>
      </c>
      <c r="H49" s="141" t="s">
        <v>79</v>
      </c>
      <c r="I49" s="141" t="s">
        <v>25</v>
      </c>
      <c r="J49" s="141">
        <v>831.97</v>
      </c>
      <c r="K49" s="141">
        <v>226.47</v>
      </c>
      <c r="L49" s="141">
        <v>24.684129585678399</v>
      </c>
      <c r="M49" s="141">
        <v>0.95037557601364098</v>
      </c>
      <c r="N49" s="141">
        <v>7.1699364116050202</v>
      </c>
      <c r="O49" s="141">
        <v>0</v>
      </c>
      <c r="P49" s="141">
        <v>0</v>
      </c>
      <c r="Q49" s="141">
        <v>40.223251483606496</v>
      </c>
      <c r="R49" s="141">
        <v>15.012316553504499</v>
      </c>
      <c r="S49" s="141">
        <v>0</v>
      </c>
      <c r="T49" s="141">
        <v>68.591008561152506</v>
      </c>
      <c r="U49" s="141">
        <v>8.9426566689838793</v>
      </c>
      <c r="V49" s="141">
        <v>0.33520320845638601</v>
      </c>
      <c r="W49" s="141">
        <v>0</v>
      </c>
      <c r="X49" s="141">
        <v>0</v>
      </c>
      <c r="Y49" s="141">
        <v>0</v>
      </c>
      <c r="Z49" s="141">
        <v>0</v>
      </c>
      <c r="AA49" s="141">
        <v>545.91997717815195</v>
      </c>
      <c r="AB49" s="141">
        <v>0</v>
      </c>
      <c r="AC49" s="141">
        <v>0</v>
      </c>
      <c r="AD49" s="141">
        <v>0</v>
      </c>
      <c r="AE49" s="141">
        <v>34.570476318864301</v>
      </c>
      <c r="AF49" s="141">
        <v>2.7951797815574202</v>
      </c>
      <c r="AG49" s="141">
        <v>69.284450765268602</v>
      </c>
      <c r="AH49" s="141">
        <v>13.4884760647849</v>
      </c>
      <c r="AI49" s="141">
        <v>12.0640874485312</v>
      </c>
      <c r="AJ49" s="141">
        <v>-17.197125811903</v>
      </c>
      <c r="AK49" s="141">
        <v>2.3178389475020298</v>
      </c>
      <c r="AL49" s="141">
        <v>34.8549685144812</v>
      </c>
      <c r="AM49" s="141">
        <v>0</v>
      </c>
      <c r="AN49" s="141">
        <v>188.86815255364701</v>
      </c>
      <c r="AO49" s="141">
        <v>0</v>
      </c>
      <c r="AP49" s="141">
        <v>0</v>
      </c>
      <c r="AQ49" s="141">
        <v>0</v>
      </c>
      <c r="AR49" s="141">
        <v>0</v>
      </c>
      <c r="AS49" s="141">
        <v>0</v>
      </c>
      <c r="AT49" s="142">
        <v>5.5617950200447197</v>
      </c>
    </row>
    <row r="50" spans="2:46" ht="12" customHeight="1" x14ac:dyDescent="0.25">
      <c r="B50" s="140" t="s">
        <v>22</v>
      </c>
      <c r="C50" s="141" t="s">
        <v>33</v>
      </c>
      <c r="D50" s="141" t="s">
        <v>24</v>
      </c>
      <c r="E50" s="141" t="s">
        <v>24</v>
      </c>
      <c r="F50" s="141" t="s">
        <v>25</v>
      </c>
      <c r="G50" s="141" t="s">
        <v>35</v>
      </c>
      <c r="H50" s="141" t="s">
        <v>79</v>
      </c>
      <c r="I50" s="141" t="s">
        <v>25</v>
      </c>
      <c r="J50" s="141">
        <v>412.42</v>
      </c>
      <c r="K50" s="141">
        <v>226.47</v>
      </c>
      <c r="L50" s="141">
        <v>24.684129585678399</v>
      </c>
      <c r="M50" s="141">
        <v>0.95037557601364098</v>
      </c>
      <c r="N50" s="141">
        <v>3.48187736212012</v>
      </c>
      <c r="O50" s="141">
        <v>0</v>
      </c>
      <c r="P50" s="141">
        <v>0</v>
      </c>
      <c r="Q50" s="141">
        <v>40.223251483606496</v>
      </c>
      <c r="R50" s="141">
        <v>15.012316553504499</v>
      </c>
      <c r="S50" s="141">
        <v>0</v>
      </c>
      <c r="T50" s="141">
        <v>22.8636695203842</v>
      </c>
      <c r="U50" s="141">
        <v>2.9809131397528099</v>
      </c>
      <c r="V50" s="141">
        <v>0.111774336486708</v>
      </c>
      <c r="W50" s="141">
        <v>0</v>
      </c>
      <c r="X50" s="141">
        <v>0</v>
      </c>
      <c r="Y50" s="141">
        <v>0</v>
      </c>
      <c r="Z50" s="141">
        <v>0</v>
      </c>
      <c r="AA50" s="141">
        <v>181.97328231576199</v>
      </c>
      <c r="AB50" s="141">
        <v>0</v>
      </c>
      <c r="AC50" s="141">
        <v>0</v>
      </c>
      <c r="AD50" s="141">
        <v>0</v>
      </c>
      <c r="AE50" s="141">
        <v>34.570476318864301</v>
      </c>
      <c r="AF50" s="141">
        <v>2.7951797815574202</v>
      </c>
      <c r="AG50" s="141">
        <v>69.284450765268602</v>
      </c>
      <c r="AH50" s="141">
        <v>13.4884760647849</v>
      </c>
      <c r="AI50" s="141">
        <v>12.0640874485312</v>
      </c>
      <c r="AJ50" s="141">
        <v>-17.197125811903</v>
      </c>
      <c r="AK50" s="141">
        <v>2.3178389475020298</v>
      </c>
      <c r="AL50" s="141">
        <v>34.8549685144812</v>
      </c>
      <c r="AM50" s="141">
        <v>0</v>
      </c>
      <c r="AN50" s="141">
        <v>188.86815255364701</v>
      </c>
      <c r="AO50" s="141">
        <v>0</v>
      </c>
      <c r="AP50" s="141">
        <v>0</v>
      </c>
      <c r="AQ50" s="141">
        <v>0</v>
      </c>
      <c r="AR50" s="141">
        <v>0</v>
      </c>
      <c r="AS50" s="141">
        <v>0</v>
      </c>
      <c r="AT50" s="142">
        <v>5.5617950200447197</v>
      </c>
    </row>
    <row r="51" spans="2:46" ht="12" customHeight="1" x14ac:dyDescent="0.25">
      <c r="B51" s="140" t="s">
        <v>22</v>
      </c>
      <c r="C51" s="141" t="s">
        <v>23</v>
      </c>
      <c r="D51" s="141" t="s">
        <v>24</v>
      </c>
      <c r="E51" s="141" t="s">
        <v>1390</v>
      </c>
      <c r="F51" s="141" t="s">
        <v>25</v>
      </c>
      <c r="G51" s="141" t="s">
        <v>25</v>
      </c>
      <c r="H51" s="141" t="s">
        <v>79</v>
      </c>
      <c r="I51" s="141" t="s">
        <v>25</v>
      </c>
      <c r="J51" s="141">
        <v>445.44</v>
      </c>
      <c r="K51" s="141">
        <v>237.8</v>
      </c>
      <c r="L51" s="141">
        <v>0</v>
      </c>
      <c r="M51" s="141">
        <v>0.95037557601364098</v>
      </c>
      <c r="N51" s="141">
        <v>4.4632725869630701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35.174833098541399</v>
      </c>
      <c r="U51" s="141">
        <v>4.5859374647297804</v>
      </c>
      <c r="V51" s="141">
        <v>0.17191444036272799</v>
      </c>
      <c r="W51" s="141">
        <v>0</v>
      </c>
      <c r="X51" s="141">
        <v>0</v>
      </c>
      <c r="Y51" s="141">
        <v>0</v>
      </c>
      <c r="Z51" s="141">
        <v>0</v>
      </c>
      <c r="AA51" s="141">
        <v>279.95898603023301</v>
      </c>
      <c r="AB51" s="141">
        <v>0</v>
      </c>
      <c r="AC51" s="141">
        <v>0</v>
      </c>
      <c r="AD51" s="141">
        <v>0</v>
      </c>
      <c r="AE51" s="141">
        <v>34.570476318864301</v>
      </c>
      <c r="AF51" s="141">
        <v>2.7951797815574202</v>
      </c>
      <c r="AG51" s="141">
        <v>69.284450765268602</v>
      </c>
      <c r="AH51" s="141">
        <v>13.4884760647849</v>
      </c>
      <c r="AI51" s="141">
        <v>12.0640874485312</v>
      </c>
      <c r="AJ51" s="141">
        <v>-17.197125811903</v>
      </c>
      <c r="AK51" s="141">
        <v>2.3178389475020298</v>
      </c>
      <c r="AL51" s="141">
        <v>34.8549685144812</v>
      </c>
      <c r="AM51" s="141">
        <v>0</v>
      </c>
      <c r="AN51" s="141">
        <v>200.200241706866</v>
      </c>
      <c r="AO51" s="141">
        <v>0</v>
      </c>
      <c r="AP51" s="141">
        <v>0</v>
      </c>
      <c r="AQ51" s="141">
        <v>0</v>
      </c>
      <c r="AR51" s="141">
        <v>0</v>
      </c>
      <c r="AS51" s="141">
        <v>0</v>
      </c>
      <c r="AT51" s="142">
        <v>5.5617950200447197</v>
      </c>
    </row>
    <row r="52" spans="2:46" ht="12" customHeight="1" x14ac:dyDescent="0.25">
      <c r="B52" s="140" t="s">
        <v>22</v>
      </c>
      <c r="C52" s="141" t="s">
        <v>23</v>
      </c>
      <c r="D52" s="141" t="s">
        <v>24</v>
      </c>
      <c r="E52" s="141" t="s">
        <v>24</v>
      </c>
      <c r="F52" s="141" t="s">
        <v>25</v>
      </c>
      <c r="G52" s="141" t="s">
        <v>25</v>
      </c>
      <c r="H52" s="141" t="s">
        <v>79</v>
      </c>
      <c r="I52" s="141" t="s">
        <v>25</v>
      </c>
      <c r="J52" s="141">
        <v>525.38</v>
      </c>
      <c r="K52" s="141">
        <v>237.8</v>
      </c>
      <c r="L52" s="141">
        <v>24.684129585678399</v>
      </c>
      <c r="M52" s="141">
        <v>0.95037557601364098</v>
      </c>
      <c r="N52" s="141">
        <v>4.4748154934613504</v>
      </c>
      <c r="O52" s="141">
        <v>0</v>
      </c>
      <c r="P52" s="141">
        <v>0</v>
      </c>
      <c r="Q52" s="141">
        <v>40.223251483606496</v>
      </c>
      <c r="R52" s="141">
        <v>15.012316553504499</v>
      </c>
      <c r="S52" s="141">
        <v>0</v>
      </c>
      <c r="T52" s="141">
        <v>35.174833098541399</v>
      </c>
      <c r="U52" s="141">
        <v>4.5859374647297804</v>
      </c>
      <c r="V52" s="141">
        <v>0.17191444036272799</v>
      </c>
      <c r="W52" s="141">
        <v>0</v>
      </c>
      <c r="X52" s="141">
        <v>0</v>
      </c>
      <c r="Y52" s="141">
        <v>0</v>
      </c>
      <c r="Z52" s="141">
        <v>0</v>
      </c>
      <c r="AA52" s="141">
        <v>279.95898603023301</v>
      </c>
      <c r="AB52" s="141">
        <v>0</v>
      </c>
      <c r="AC52" s="141">
        <v>0</v>
      </c>
      <c r="AD52" s="141">
        <v>0</v>
      </c>
      <c r="AE52" s="141">
        <v>34.570476318864301</v>
      </c>
      <c r="AF52" s="141">
        <v>2.7951797815574202</v>
      </c>
      <c r="AG52" s="141">
        <v>69.284450765268602</v>
      </c>
      <c r="AH52" s="141">
        <v>13.4884760647849</v>
      </c>
      <c r="AI52" s="141">
        <v>12.0640874485312</v>
      </c>
      <c r="AJ52" s="141">
        <v>-17.197125811903</v>
      </c>
      <c r="AK52" s="141">
        <v>2.3178389475020298</v>
      </c>
      <c r="AL52" s="141">
        <v>34.8549685144812</v>
      </c>
      <c r="AM52" s="141">
        <v>0</v>
      </c>
      <c r="AN52" s="141">
        <v>200.200241706866</v>
      </c>
      <c r="AO52" s="141">
        <v>0</v>
      </c>
      <c r="AP52" s="141">
        <v>0</v>
      </c>
      <c r="AQ52" s="141">
        <v>0</v>
      </c>
      <c r="AR52" s="141">
        <v>0</v>
      </c>
      <c r="AS52" s="141">
        <v>0</v>
      </c>
      <c r="AT52" s="142">
        <v>5.5617950200447197</v>
      </c>
    </row>
    <row r="53" spans="2:46" ht="12" customHeight="1" x14ac:dyDescent="0.25">
      <c r="B53" s="140" t="s">
        <v>22</v>
      </c>
      <c r="C53" s="141" t="s">
        <v>92</v>
      </c>
      <c r="D53" s="141" t="s">
        <v>24</v>
      </c>
      <c r="E53" s="141" t="s">
        <v>1390</v>
      </c>
      <c r="F53" s="141" t="s">
        <v>25</v>
      </c>
      <c r="G53" s="141" t="s">
        <v>25</v>
      </c>
      <c r="H53" s="141" t="s">
        <v>79</v>
      </c>
      <c r="I53" s="141" t="s">
        <v>25</v>
      </c>
      <c r="J53" s="141">
        <v>445.44</v>
      </c>
      <c r="K53" s="141">
        <v>237.8</v>
      </c>
      <c r="L53" s="141">
        <v>0</v>
      </c>
      <c r="M53" s="141">
        <v>0.95037557601364098</v>
      </c>
      <c r="N53" s="141">
        <v>4.4632725869630701</v>
      </c>
      <c r="O53" s="141">
        <v>0</v>
      </c>
      <c r="P53" s="141">
        <v>0</v>
      </c>
      <c r="Q53" s="141">
        <v>0</v>
      </c>
      <c r="R53" s="141">
        <v>0</v>
      </c>
      <c r="S53" s="141">
        <v>0</v>
      </c>
      <c r="T53" s="141">
        <v>35.174833098541399</v>
      </c>
      <c r="U53" s="141">
        <v>4.5859374647297804</v>
      </c>
      <c r="V53" s="141">
        <v>0.17191444036272799</v>
      </c>
      <c r="W53" s="141">
        <v>0</v>
      </c>
      <c r="X53" s="141">
        <v>0</v>
      </c>
      <c r="Y53" s="141">
        <v>0</v>
      </c>
      <c r="Z53" s="141">
        <v>0</v>
      </c>
      <c r="AA53" s="141">
        <v>279.95898603023301</v>
      </c>
      <c r="AB53" s="141">
        <v>0</v>
      </c>
      <c r="AC53" s="141">
        <v>0</v>
      </c>
      <c r="AD53" s="141">
        <v>0</v>
      </c>
      <c r="AE53" s="141">
        <v>34.570476318864301</v>
      </c>
      <c r="AF53" s="141">
        <v>2.7951797815574202</v>
      </c>
      <c r="AG53" s="141">
        <v>69.284450765268602</v>
      </c>
      <c r="AH53" s="141">
        <v>13.4884760647849</v>
      </c>
      <c r="AI53" s="141">
        <v>12.0640874485312</v>
      </c>
      <c r="AJ53" s="141">
        <v>-17.197125811903</v>
      </c>
      <c r="AK53" s="141">
        <v>2.3178389475020298</v>
      </c>
      <c r="AL53" s="141">
        <v>34.8549685144812</v>
      </c>
      <c r="AM53" s="141">
        <v>0</v>
      </c>
      <c r="AN53" s="141">
        <v>200.200241706866</v>
      </c>
      <c r="AO53" s="141">
        <v>0</v>
      </c>
      <c r="AP53" s="141">
        <v>0</v>
      </c>
      <c r="AQ53" s="141">
        <v>0</v>
      </c>
      <c r="AR53" s="141">
        <v>0</v>
      </c>
      <c r="AS53" s="141">
        <v>0</v>
      </c>
      <c r="AT53" s="142">
        <v>5.5617950200447197</v>
      </c>
    </row>
    <row r="54" spans="2:46" ht="12" customHeight="1" x14ac:dyDescent="0.25">
      <c r="B54" s="140" t="s">
        <v>22</v>
      </c>
      <c r="C54" s="141" t="s">
        <v>92</v>
      </c>
      <c r="D54" s="141" t="s">
        <v>24</v>
      </c>
      <c r="E54" s="141" t="s">
        <v>24</v>
      </c>
      <c r="F54" s="141" t="s">
        <v>25</v>
      </c>
      <c r="G54" s="141" t="s">
        <v>25</v>
      </c>
      <c r="H54" s="141" t="s">
        <v>79</v>
      </c>
      <c r="I54" s="141" t="s">
        <v>25</v>
      </c>
      <c r="J54" s="141">
        <v>525.38</v>
      </c>
      <c r="K54" s="141">
        <v>237.8</v>
      </c>
      <c r="L54" s="141">
        <v>24.684129585678399</v>
      </c>
      <c r="M54" s="141">
        <v>0.95037557601364098</v>
      </c>
      <c r="N54" s="141">
        <v>4.4748154934613504</v>
      </c>
      <c r="O54" s="141">
        <v>0</v>
      </c>
      <c r="P54" s="141">
        <v>0</v>
      </c>
      <c r="Q54" s="141">
        <v>40.223251483606496</v>
      </c>
      <c r="R54" s="141">
        <v>15.012316553504499</v>
      </c>
      <c r="S54" s="141">
        <v>0</v>
      </c>
      <c r="T54" s="141">
        <v>35.174833098541399</v>
      </c>
      <c r="U54" s="141">
        <v>4.5859374647297804</v>
      </c>
      <c r="V54" s="141">
        <v>0.17191444036272799</v>
      </c>
      <c r="W54" s="141">
        <v>0</v>
      </c>
      <c r="X54" s="141">
        <v>0</v>
      </c>
      <c r="Y54" s="141">
        <v>0</v>
      </c>
      <c r="Z54" s="141">
        <v>0</v>
      </c>
      <c r="AA54" s="141">
        <v>279.95898603023301</v>
      </c>
      <c r="AB54" s="141">
        <v>0</v>
      </c>
      <c r="AC54" s="141">
        <v>0</v>
      </c>
      <c r="AD54" s="141">
        <v>0</v>
      </c>
      <c r="AE54" s="141">
        <v>34.570476318864301</v>
      </c>
      <c r="AF54" s="141">
        <v>2.7951797815574202</v>
      </c>
      <c r="AG54" s="141">
        <v>69.284450765268602</v>
      </c>
      <c r="AH54" s="141">
        <v>13.4884760647849</v>
      </c>
      <c r="AI54" s="141">
        <v>12.0640874485312</v>
      </c>
      <c r="AJ54" s="141">
        <v>-17.197125811903</v>
      </c>
      <c r="AK54" s="141">
        <v>2.3178389475020298</v>
      </c>
      <c r="AL54" s="141">
        <v>34.8549685144812</v>
      </c>
      <c r="AM54" s="141">
        <v>0</v>
      </c>
      <c r="AN54" s="141">
        <v>200.200241706866</v>
      </c>
      <c r="AO54" s="141">
        <v>0</v>
      </c>
      <c r="AP54" s="141">
        <v>0</v>
      </c>
      <c r="AQ54" s="141">
        <v>0</v>
      </c>
      <c r="AR54" s="141">
        <v>0</v>
      </c>
      <c r="AS54" s="141">
        <v>0</v>
      </c>
      <c r="AT54" s="142">
        <v>5.5617950200447197</v>
      </c>
    </row>
    <row r="55" spans="2:46" ht="12" customHeight="1" x14ac:dyDescent="0.25">
      <c r="B55" s="140" t="s">
        <v>45</v>
      </c>
      <c r="C55" s="141" t="s">
        <v>33</v>
      </c>
      <c r="D55" s="141" t="s">
        <v>46</v>
      </c>
      <c r="E55" s="141" t="s">
        <v>93</v>
      </c>
      <c r="F55" s="141" t="s">
        <v>25</v>
      </c>
      <c r="G55" s="141" t="s">
        <v>34</v>
      </c>
      <c r="H55" s="141" t="s">
        <v>79</v>
      </c>
      <c r="I55" s="141" t="s">
        <v>25</v>
      </c>
      <c r="J55" s="141">
        <v>1176.42</v>
      </c>
      <c r="K55" s="141">
        <v>340.71</v>
      </c>
      <c r="L55" s="141">
        <v>23.2030818105377</v>
      </c>
      <c r="M55" s="141">
        <v>0.89335304145282202</v>
      </c>
      <c r="N55" s="141">
        <v>10.206515733424499</v>
      </c>
      <c r="O55" s="141">
        <v>0</v>
      </c>
      <c r="P55" s="141">
        <v>0</v>
      </c>
      <c r="Q55" s="141">
        <v>37.809856394590099</v>
      </c>
      <c r="R55" s="141">
        <v>14.1115775602943</v>
      </c>
      <c r="S55" s="141">
        <v>0</v>
      </c>
      <c r="T55" s="141">
        <v>107.459378375567</v>
      </c>
      <c r="U55" s="141">
        <v>14.0101361863221</v>
      </c>
      <c r="V55" s="141">
        <v>0.52511415560050001</v>
      </c>
      <c r="W55" s="141">
        <v>0</v>
      </c>
      <c r="X55" s="141">
        <v>0</v>
      </c>
      <c r="Y55" s="141">
        <v>0</v>
      </c>
      <c r="Z55" s="141">
        <v>0</v>
      </c>
      <c r="AA55" s="141">
        <v>855.27454930109502</v>
      </c>
      <c r="AB55" s="141">
        <v>0</v>
      </c>
      <c r="AC55" s="141">
        <v>0</v>
      </c>
      <c r="AD55" s="141">
        <v>0</v>
      </c>
      <c r="AE55" s="141">
        <v>32.496247739732397</v>
      </c>
      <c r="AF55" s="141">
        <v>2.62746899466398</v>
      </c>
      <c r="AG55" s="141">
        <v>65.127383719352494</v>
      </c>
      <c r="AH55" s="141">
        <v>12.679167500897799</v>
      </c>
      <c r="AI55" s="141">
        <v>11.340242201619301</v>
      </c>
      <c r="AJ55" s="141">
        <v>-16.165298263188902</v>
      </c>
      <c r="AK55" s="141">
        <v>2.1787686106519102</v>
      </c>
      <c r="AL55" s="141">
        <v>32.763670403612302</v>
      </c>
      <c r="AM55" s="141">
        <v>0</v>
      </c>
      <c r="AN55" s="141">
        <v>305.36202904873602</v>
      </c>
      <c r="AO55" s="141">
        <v>0</v>
      </c>
      <c r="AP55" s="141">
        <v>0</v>
      </c>
      <c r="AQ55" s="141">
        <v>0</v>
      </c>
      <c r="AR55" s="141">
        <v>0</v>
      </c>
      <c r="AS55" s="141">
        <v>0</v>
      </c>
      <c r="AT55" s="142">
        <v>5.2280873188420296</v>
      </c>
    </row>
    <row r="56" spans="2:46" ht="12" customHeight="1" x14ac:dyDescent="0.25">
      <c r="B56" s="140" t="s">
        <v>45</v>
      </c>
      <c r="C56" s="141" t="s">
        <v>33</v>
      </c>
      <c r="D56" s="141" t="s">
        <v>46</v>
      </c>
      <c r="E56" s="141" t="s">
        <v>93</v>
      </c>
      <c r="F56" s="141" t="s">
        <v>25</v>
      </c>
      <c r="G56" s="141" t="s">
        <v>36</v>
      </c>
      <c r="H56" s="141" t="s">
        <v>79</v>
      </c>
      <c r="I56" s="141" t="s">
        <v>25</v>
      </c>
      <c r="J56" s="141">
        <v>782.05</v>
      </c>
      <c r="K56" s="141">
        <v>212.88</v>
      </c>
      <c r="L56" s="141">
        <v>23.2030818105377</v>
      </c>
      <c r="M56" s="141">
        <v>0.89335304145282202</v>
      </c>
      <c r="N56" s="141">
        <v>6.7397402269087197</v>
      </c>
      <c r="O56" s="141">
        <v>0</v>
      </c>
      <c r="P56" s="141">
        <v>0</v>
      </c>
      <c r="Q56" s="141">
        <v>37.809856394590099</v>
      </c>
      <c r="R56" s="141">
        <v>14.1115775602943</v>
      </c>
      <c r="S56" s="141">
        <v>0</v>
      </c>
      <c r="T56" s="141">
        <v>64.4755480474834</v>
      </c>
      <c r="U56" s="141">
        <v>8.4060972688448494</v>
      </c>
      <c r="V56" s="141">
        <v>0.31509101594900302</v>
      </c>
      <c r="W56" s="141">
        <v>0</v>
      </c>
      <c r="X56" s="141">
        <v>0</v>
      </c>
      <c r="Y56" s="141">
        <v>0</v>
      </c>
      <c r="Z56" s="141">
        <v>0</v>
      </c>
      <c r="AA56" s="141">
        <v>513.16477854746302</v>
      </c>
      <c r="AB56" s="141">
        <v>0</v>
      </c>
      <c r="AC56" s="141">
        <v>0</v>
      </c>
      <c r="AD56" s="141">
        <v>0</v>
      </c>
      <c r="AE56" s="141">
        <v>32.496247739732397</v>
      </c>
      <c r="AF56" s="141">
        <v>2.62746899466398</v>
      </c>
      <c r="AG56" s="141">
        <v>65.127383719352494</v>
      </c>
      <c r="AH56" s="141">
        <v>12.679167500897799</v>
      </c>
      <c r="AI56" s="141">
        <v>11.340242201619301</v>
      </c>
      <c r="AJ56" s="141">
        <v>-16.165298263188902</v>
      </c>
      <c r="AK56" s="141">
        <v>2.1787686106519102</v>
      </c>
      <c r="AL56" s="141">
        <v>32.763670403612302</v>
      </c>
      <c r="AM56" s="141">
        <v>0</v>
      </c>
      <c r="AN56" s="141">
        <v>177.53606340042799</v>
      </c>
      <c r="AO56" s="141">
        <v>0</v>
      </c>
      <c r="AP56" s="141">
        <v>0</v>
      </c>
      <c r="AQ56" s="141">
        <v>0</v>
      </c>
      <c r="AR56" s="141">
        <v>0</v>
      </c>
      <c r="AS56" s="141">
        <v>0</v>
      </c>
      <c r="AT56" s="142">
        <v>5.2280873188420296</v>
      </c>
    </row>
    <row r="57" spans="2:46" ht="12" customHeight="1" x14ac:dyDescent="0.25">
      <c r="B57" s="140" t="s">
        <v>45</v>
      </c>
      <c r="C57" s="141" t="s">
        <v>33</v>
      </c>
      <c r="D57" s="141" t="s">
        <v>46</v>
      </c>
      <c r="E57" s="141" t="s">
        <v>93</v>
      </c>
      <c r="F57" s="141" t="s">
        <v>25</v>
      </c>
      <c r="G57" s="141" t="s">
        <v>35</v>
      </c>
      <c r="H57" s="141" t="s">
        <v>79</v>
      </c>
      <c r="I57" s="141" t="s">
        <v>25</v>
      </c>
      <c r="J57" s="141">
        <v>387.67</v>
      </c>
      <c r="K57" s="141">
        <v>212.88</v>
      </c>
      <c r="L57" s="141">
        <v>23.2030818105377</v>
      </c>
      <c r="M57" s="141">
        <v>0.89335304145282202</v>
      </c>
      <c r="N57" s="141">
        <v>3.2729647203929102</v>
      </c>
      <c r="O57" s="141">
        <v>0</v>
      </c>
      <c r="P57" s="141">
        <v>0</v>
      </c>
      <c r="Q57" s="141">
        <v>37.809856394590099</v>
      </c>
      <c r="R57" s="141">
        <v>14.1115775602943</v>
      </c>
      <c r="S57" s="141">
        <v>0</v>
      </c>
      <c r="T57" s="141">
        <v>21.4918493491611</v>
      </c>
      <c r="U57" s="141">
        <v>2.80205835136764</v>
      </c>
      <c r="V57" s="141">
        <v>0.105067876297505</v>
      </c>
      <c r="W57" s="141">
        <v>0</v>
      </c>
      <c r="X57" s="141">
        <v>0</v>
      </c>
      <c r="Y57" s="141">
        <v>0</v>
      </c>
      <c r="Z57" s="141">
        <v>0</v>
      </c>
      <c r="AA57" s="141">
        <v>171.054885376816</v>
      </c>
      <c r="AB57" s="141">
        <v>0</v>
      </c>
      <c r="AC57" s="141">
        <v>0</v>
      </c>
      <c r="AD57" s="141">
        <v>0</v>
      </c>
      <c r="AE57" s="141">
        <v>32.496247739732397</v>
      </c>
      <c r="AF57" s="141">
        <v>2.62746899466398</v>
      </c>
      <c r="AG57" s="141">
        <v>65.127383719352494</v>
      </c>
      <c r="AH57" s="141">
        <v>12.679167500897799</v>
      </c>
      <c r="AI57" s="141">
        <v>11.340242201619301</v>
      </c>
      <c r="AJ57" s="141">
        <v>-16.165298263188902</v>
      </c>
      <c r="AK57" s="141">
        <v>2.1787686106519102</v>
      </c>
      <c r="AL57" s="141">
        <v>32.763670403612302</v>
      </c>
      <c r="AM57" s="141">
        <v>0</v>
      </c>
      <c r="AN57" s="141">
        <v>177.53606340042799</v>
      </c>
      <c r="AO57" s="141">
        <v>0</v>
      </c>
      <c r="AP57" s="141">
        <v>0</v>
      </c>
      <c r="AQ57" s="141">
        <v>0</v>
      </c>
      <c r="AR57" s="141">
        <v>0</v>
      </c>
      <c r="AS57" s="141">
        <v>0</v>
      </c>
      <c r="AT57" s="142">
        <v>5.2280873188420296</v>
      </c>
    </row>
    <row r="58" spans="2:46" ht="12" customHeight="1" x14ac:dyDescent="0.25">
      <c r="B58" s="140" t="s">
        <v>45</v>
      </c>
      <c r="C58" s="141" t="s">
        <v>33</v>
      </c>
      <c r="D58" s="141" t="s">
        <v>46</v>
      </c>
      <c r="E58" s="141" t="s">
        <v>25</v>
      </c>
      <c r="F58" s="141" t="s">
        <v>25</v>
      </c>
      <c r="G58" s="141" t="s">
        <v>34</v>
      </c>
      <c r="H58" s="141" t="s">
        <v>79</v>
      </c>
      <c r="I58" s="141" t="s">
        <v>25</v>
      </c>
      <c r="J58" s="141">
        <v>1176.42</v>
      </c>
      <c r="K58" s="141">
        <v>340.71</v>
      </c>
      <c r="L58" s="141">
        <v>23.2030818105377</v>
      </c>
      <c r="M58" s="141">
        <v>0.89335304145282202</v>
      </c>
      <c r="N58" s="141">
        <v>10.206515733424499</v>
      </c>
      <c r="O58" s="141">
        <v>0</v>
      </c>
      <c r="P58" s="141">
        <v>0</v>
      </c>
      <c r="Q58" s="141">
        <v>37.809856394590099</v>
      </c>
      <c r="R58" s="141">
        <v>14.1115775602943</v>
      </c>
      <c r="S58" s="141">
        <v>0</v>
      </c>
      <c r="T58" s="141">
        <v>107.459378375567</v>
      </c>
      <c r="U58" s="141">
        <v>14.0101361863221</v>
      </c>
      <c r="V58" s="141">
        <v>0.52511415560050001</v>
      </c>
      <c r="W58" s="141">
        <v>0</v>
      </c>
      <c r="X58" s="141">
        <v>0</v>
      </c>
      <c r="Y58" s="141">
        <v>0</v>
      </c>
      <c r="Z58" s="141">
        <v>0</v>
      </c>
      <c r="AA58" s="141">
        <v>855.27454930109502</v>
      </c>
      <c r="AB58" s="141">
        <v>0</v>
      </c>
      <c r="AC58" s="141">
        <v>0</v>
      </c>
      <c r="AD58" s="141">
        <v>0</v>
      </c>
      <c r="AE58" s="141">
        <v>32.496247739732397</v>
      </c>
      <c r="AF58" s="141">
        <v>2.62746899466398</v>
      </c>
      <c r="AG58" s="141">
        <v>65.127383719352494</v>
      </c>
      <c r="AH58" s="141">
        <v>12.679167500897799</v>
      </c>
      <c r="AI58" s="141">
        <v>11.340242201619301</v>
      </c>
      <c r="AJ58" s="141">
        <v>-16.165298263188902</v>
      </c>
      <c r="AK58" s="141">
        <v>2.1787686106519102</v>
      </c>
      <c r="AL58" s="141">
        <v>32.763670403612302</v>
      </c>
      <c r="AM58" s="141">
        <v>0</v>
      </c>
      <c r="AN58" s="141">
        <v>305.36202904873602</v>
      </c>
      <c r="AO58" s="141">
        <v>0</v>
      </c>
      <c r="AP58" s="141">
        <v>0</v>
      </c>
      <c r="AQ58" s="141">
        <v>0</v>
      </c>
      <c r="AR58" s="141">
        <v>0</v>
      </c>
      <c r="AS58" s="141">
        <v>0</v>
      </c>
      <c r="AT58" s="142">
        <v>5.2280873188420296</v>
      </c>
    </row>
    <row r="59" spans="2:46" ht="12" customHeight="1" x14ac:dyDescent="0.25">
      <c r="B59" s="140" t="s">
        <v>45</v>
      </c>
      <c r="C59" s="141" t="s">
        <v>33</v>
      </c>
      <c r="D59" s="141" t="s">
        <v>46</v>
      </c>
      <c r="E59" s="141" t="s">
        <v>25</v>
      </c>
      <c r="F59" s="141" t="s">
        <v>25</v>
      </c>
      <c r="G59" s="141" t="s">
        <v>36</v>
      </c>
      <c r="H59" s="141" t="s">
        <v>79</v>
      </c>
      <c r="I59" s="141" t="s">
        <v>25</v>
      </c>
      <c r="J59" s="141">
        <v>782.05</v>
      </c>
      <c r="K59" s="141">
        <v>212.88</v>
      </c>
      <c r="L59" s="141">
        <v>23.2030818105377</v>
      </c>
      <c r="M59" s="141">
        <v>0.89335304145282202</v>
      </c>
      <c r="N59" s="141">
        <v>6.7397402269087197</v>
      </c>
      <c r="O59" s="141">
        <v>0</v>
      </c>
      <c r="P59" s="141">
        <v>0</v>
      </c>
      <c r="Q59" s="141">
        <v>37.809856394590099</v>
      </c>
      <c r="R59" s="141">
        <v>14.1115775602943</v>
      </c>
      <c r="S59" s="141">
        <v>0</v>
      </c>
      <c r="T59" s="141">
        <v>64.4755480474834</v>
      </c>
      <c r="U59" s="141">
        <v>8.4060972688448494</v>
      </c>
      <c r="V59" s="141">
        <v>0.31509101594900302</v>
      </c>
      <c r="W59" s="141">
        <v>0</v>
      </c>
      <c r="X59" s="141">
        <v>0</v>
      </c>
      <c r="Y59" s="141">
        <v>0</v>
      </c>
      <c r="Z59" s="141">
        <v>0</v>
      </c>
      <c r="AA59" s="141">
        <v>513.16477854746302</v>
      </c>
      <c r="AB59" s="141">
        <v>0</v>
      </c>
      <c r="AC59" s="141">
        <v>0</v>
      </c>
      <c r="AD59" s="141">
        <v>0</v>
      </c>
      <c r="AE59" s="141">
        <v>32.496247739732397</v>
      </c>
      <c r="AF59" s="141">
        <v>2.62746899466398</v>
      </c>
      <c r="AG59" s="141">
        <v>65.127383719352494</v>
      </c>
      <c r="AH59" s="141">
        <v>12.679167500897799</v>
      </c>
      <c r="AI59" s="141">
        <v>11.340242201619301</v>
      </c>
      <c r="AJ59" s="141">
        <v>-16.165298263188902</v>
      </c>
      <c r="AK59" s="141">
        <v>2.1787686106519102</v>
      </c>
      <c r="AL59" s="141">
        <v>32.763670403612302</v>
      </c>
      <c r="AM59" s="141">
        <v>0</v>
      </c>
      <c r="AN59" s="141">
        <v>177.53606340042799</v>
      </c>
      <c r="AO59" s="141">
        <v>0</v>
      </c>
      <c r="AP59" s="141">
        <v>0</v>
      </c>
      <c r="AQ59" s="141">
        <v>0</v>
      </c>
      <c r="AR59" s="141">
        <v>0</v>
      </c>
      <c r="AS59" s="141">
        <v>0</v>
      </c>
      <c r="AT59" s="142">
        <v>5.2280873188420296</v>
      </c>
    </row>
    <row r="60" spans="2:46" ht="12" customHeight="1" x14ac:dyDescent="0.25">
      <c r="B60" s="140" t="s">
        <v>45</v>
      </c>
      <c r="C60" s="141" t="s">
        <v>33</v>
      </c>
      <c r="D60" s="141" t="s">
        <v>46</v>
      </c>
      <c r="E60" s="141" t="s">
        <v>25</v>
      </c>
      <c r="F60" s="141" t="s">
        <v>25</v>
      </c>
      <c r="G60" s="141" t="s">
        <v>35</v>
      </c>
      <c r="H60" s="141" t="s">
        <v>79</v>
      </c>
      <c r="I60" s="141" t="s">
        <v>25</v>
      </c>
      <c r="J60" s="141">
        <v>387.67</v>
      </c>
      <c r="K60" s="141">
        <v>212.88</v>
      </c>
      <c r="L60" s="141">
        <v>23.2030818105377</v>
      </c>
      <c r="M60" s="141">
        <v>0.89335304145282202</v>
      </c>
      <c r="N60" s="141">
        <v>3.2729647203929102</v>
      </c>
      <c r="O60" s="141">
        <v>0</v>
      </c>
      <c r="P60" s="141">
        <v>0</v>
      </c>
      <c r="Q60" s="141">
        <v>37.809856394590099</v>
      </c>
      <c r="R60" s="141">
        <v>14.1115775602943</v>
      </c>
      <c r="S60" s="141">
        <v>0</v>
      </c>
      <c r="T60" s="141">
        <v>21.4918493491611</v>
      </c>
      <c r="U60" s="141">
        <v>2.80205835136764</v>
      </c>
      <c r="V60" s="141">
        <v>0.105067876297505</v>
      </c>
      <c r="W60" s="141">
        <v>0</v>
      </c>
      <c r="X60" s="141">
        <v>0</v>
      </c>
      <c r="Y60" s="141">
        <v>0</v>
      </c>
      <c r="Z60" s="141">
        <v>0</v>
      </c>
      <c r="AA60" s="141">
        <v>171.054885376816</v>
      </c>
      <c r="AB60" s="141">
        <v>0</v>
      </c>
      <c r="AC60" s="141">
        <v>0</v>
      </c>
      <c r="AD60" s="141">
        <v>0</v>
      </c>
      <c r="AE60" s="141">
        <v>32.496247739732397</v>
      </c>
      <c r="AF60" s="141">
        <v>2.62746899466398</v>
      </c>
      <c r="AG60" s="141">
        <v>65.127383719352494</v>
      </c>
      <c r="AH60" s="141">
        <v>12.679167500897799</v>
      </c>
      <c r="AI60" s="141">
        <v>11.340242201619301</v>
      </c>
      <c r="AJ60" s="141">
        <v>-16.165298263188902</v>
      </c>
      <c r="AK60" s="141">
        <v>2.1787686106519102</v>
      </c>
      <c r="AL60" s="141">
        <v>32.763670403612302</v>
      </c>
      <c r="AM60" s="141">
        <v>0</v>
      </c>
      <c r="AN60" s="141">
        <v>177.53606340042799</v>
      </c>
      <c r="AO60" s="141">
        <v>0</v>
      </c>
      <c r="AP60" s="141">
        <v>0</v>
      </c>
      <c r="AQ60" s="141">
        <v>0</v>
      </c>
      <c r="AR60" s="141">
        <v>0</v>
      </c>
      <c r="AS60" s="141">
        <v>0</v>
      </c>
      <c r="AT60" s="142">
        <v>5.2280873188420296</v>
      </c>
    </row>
    <row r="61" spans="2:46" ht="12" customHeight="1" x14ac:dyDescent="0.25">
      <c r="B61" s="140" t="s">
        <v>45</v>
      </c>
      <c r="C61" s="141" t="s">
        <v>33</v>
      </c>
      <c r="D61" s="141" t="s">
        <v>46</v>
      </c>
      <c r="E61" s="141" t="s">
        <v>94</v>
      </c>
      <c r="F61" s="141" t="s">
        <v>25</v>
      </c>
      <c r="G61" s="141" t="s">
        <v>34</v>
      </c>
      <c r="H61" s="141" t="s">
        <v>79</v>
      </c>
      <c r="I61" s="141" t="s">
        <v>25</v>
      </c>
      <c r="J61" s="141">
        <v>1151.3900000000001</v>
      </c>
      <c r="K61" s="141">
        <v>333.46</v>
      </c>
      <c r="L61" s="141">
        <v>22.7093992188241</v>
      </c>
      <c r="M61" s="141">
        <v>0.87434552993254999</v>
      </c>
      <c r="N61" s="141">
        <v>9.9893558242027307</v>
      </c>
      <c r="O61" s="141">
        <v>0</v>
      </c>
      <c r="P61" s="141">
        <v>0</v>
      </c>
      <c r="Q61" s="141">
        <v>37.005391364917898</v>
      </c>
      <c r="R61" s="141">
        <v>13.8113312292242</v>
      </c>
      <c r="S61" s="141">
        <v>0</v>
      </c>
      <c r="T61" s="141">
        <v>105.17300862289601</v>
      </c>
      <c r="U61" s="141">
        <v>13.712048182357799</v>
      </c>
      <c r="V61" s="141">
        <v>0.51394151399197896</v>
      </c>
      <c r="W61" s="141">
        <v>0</v>
      </c>
      <c r="X61" s="141">
        <v>0</v>
      </c>
      <c r="Y61" s="141">
        <v>0</v>
      </c>
      <c r="Z61" s="141">
        <v>0</v>
      </c>
      <c r="AA61" s="141">
        <v>837.07721846490199</v>
      </c>
      <c r="AB61" s="141">
        <v>0</v>
      </c>
      <c r="AC61" s="141">
        <v>0</v>
      </c>
      <c r="AD61" s="141">
        <v>0</v>
      </c>
      <c r="AE61" s="141">
        <v>31.804838213355101</v>
      </c>
      <c r="AF61" s="141">
        <v>2.57156539903283</v>
      </c>
      <c r="AG61" s="141">
        <v>63.741694704047099</v>
      </c>
      <c r="AH61" s="141">
        <v>12.409397979602099</v>
      </c>
      <c r="AI61" s="141">
        <v>11.098960452648701</v>
      </c>
      <c r="AJ61" s="141">
        <v>-15.8213557469508</v>
      </c>
      <c r="AK61" s="141">
        <v>2.1324118317018699</v>
      </c>
      <c r="AL61" s="141">
        <v>32.066571033322703</v>
      </c>
      <c r="AM61" s="141">
        <v>0</v>
      </c>
      <c r="AN61" s="141">
        <v>298.86496460089103</v>
      </c>
      <c r="AO61" s="141">
        <v>0</v>
      </c>
      <c r="AP61" s="141">
        <v>0</v>
      </c>
      <c r="AQ61" s="141">
        <v>0</v>
      </c>
      <c r="AR61" s="141">
        <v>0</v>
      </c>
      <c r="AS61" s="141">
        <v>0</v>
      </c>
      <c r="AT61" s="142">
        <v>5.11685141844114</v>
      </c>
    </row>
    <row r="62" spans="2:46" ht="12" customHeight="1" x14ac:dyDescent="0.25">
      <c r="B62" s="140" t="s">
        <v>45</v>
      </c>
      <c r="C62" s="141" t="s">
        <v>33</v>
      </c>
      <c r="D62" s="141" t="s">
        <v>46</v>
      </c>
      <c r="E62" s="141" t="s">
        <v>94</v>
      </c>
      <c r="F62" s="141" t="s">
        <v>25</v>
      </c>
      <c r="G62" s="141" t="s">
        <v>36</v>
      </c>
      <c r="H62" s="141" t="s">
        <v>79</v>
      </c>
      <c r="I62" s="141" t="s">
        <v>25</v>
      </c>
      <c r="J62" s="141">
        <v>765.41</v>
      </c>
      <c r="K62" s="141">
        <v>208.35</v>
      </c>
      <c r="L62" s="141">
        <v>22.7093992188241</v>
      </c>
      <c r="M62" s="141">
        <v>0.87434552993254999</v>
      </c>
      <c r="N62" s="141">
        <v>6.5963414986766198</v>
      </c>
      <c r="O62" s="141">
        <v>0</v>
      </c>
      <c r="P62" s="141">
        <v>0</v>
      </c>
      <c r="Q62" s="141">
        <v>37.005391364917898</v>
      </c>
      <c r="R62" s="141">
        <v>13.8113312292242</v>
      </c>
      <c r="S62" s="141">
        <v>0</v>
      </c>
      <c r="T62" s="141">
        <v>63.1037278762604</v>
      </c>
      <c r="U62" s="141">
        <v>8.2272441354651704</v>
      </c>
      <c r="V62" s="141">
        <v>0.30838695177987502</v>
      </c>
      <c r="W62" s="141">
        <v>0</v>
      </c>
      <c r="X62" s="141">
        <v>0</v>
      </c>
      <c r="Y62" s="141">
        <v>0</v>
      </c>
      <c r="Z62" s="141">
        <v>0</v>
      </c>
      <c r="AA62" s="141">
        <v>502.24637900390002</v>
      </c>
      <c r="AB62" s="141">
        <v>0</v>
      </c>
      <c r="AC62" s="141">
        <v>0</v>
      </c>
      <c r="AD62" s="141">
        <v>0</v>
      </c>
      <c r="AE62" s="141">
        <v>31.804838213355101</v>
      </c>
      <c r="AF62" s="141">
        <v>2.57156539903283</v>
      </c>
      <c r="AG62" s="141">
        <v>63.741694704047099</v>
      </c>
      <c r="AH62" s="141">
        <v>12.409397979602099</v>
      </c>
      <c r="AI62" s="141">
        <v>11.098960452648701</v>
      </c>
      <c r="AJ62" s="141">
        <v>-15.8213557469508</v>
      </c>
      <c r="AK62" s="141">
        <v>2.1324118317018699</v>
      </c>
      <c r="AL62" s="141">
        <v>32.066571033322703</v>
      </c>
      <c r="AM62" s="141">
        <v>0</v>
      </c>
      <c r="AN62" s="141">
        <v>173.758700349355</v>
      </c>
      <c r="AO62" s="141">
        <v>0</v>
      </c>
      <c r="AP62" s="141">
        <v>0</v>
      </c>
      <c r="AQ62" s="141">
        <v>0</v>
      </c>
      <c r="AR62" s="141">
        <v>0</v>
      </c>
      <c r="AS62" s="141">
        <v>0</v>
      </c>
      <c r="AT62" s="142">
        <v>5.11685141844114</v>
      </c>
    </row>
    <row r="63" spans="2:46" ht="12" customHeight="1" x14ac:dyDescent="0.25">
      <c r="B63" s="140" t="s">
        <v>45</v>
      </c>
      <c r="C63" s="141" t="s">
        <v>33</v>
      </c>
      <c r="D63" s="141" t="s">
        <v>46</v>
      </c>
      <c r="E63" s="141" t="s">
        <v>94</v>
      </c>
      <c r="F63" s="141" t="s">
        <v>25</v>
      </c>
      <c r="G63" s="141" t="s">
        <v>35</v>
      </c>
      <c r="H63" s="141" t="s">
        <v>79</v>
      </c>
      <c r="I63" s="141" t="s">
        <v>25</v>
      </c>
      <c r="J63" s="141">
        <v>379.43</v>
      </c>
      <c r="K63" s="141">
        <v>208.35</v>
      </c>
      <c r="L63" s="141">
        <v>22.7093992188241</v>
      </c>
      <c r="M63" s="141">
        <v>0.87434552993254999</v>
      </c>
      <c r="N63" s="141">
        <v>3.2033271731505102</v>
      </c>
      <c r="O63" s="141">
        <v>0</v>
      </c>
      <c r="P63" s="141">
        <v>0</v>
      </c>
      <c r="Q63" s="141">
        <v>37.005391364917898</v>
      </c>
      <c r="R63" s="141">
        <v>13.8113312292242</v>
      </c>
      <c r="S63" s="141">
        <v>0</v>
      </c>
      <c r="T63" s="141">
        <v>21.0345759587534</v>
      </c>
      <c r="U63" s="141">
        <v>2.7424400885725801</v>
      </c>
      <c r="V63" s="141">
        <v>0.10283238956777099</v>
      </c>
      <c r="W63" s="141">
        <v>0</v>
      </c>
      <c r="X63" s="141">
        <v>0</v>
      </c>
      <c r="Y63" s="141">
        <v>0</v>
      </c>
      <c r="Z63" s="141">
        <v>0</v>
      </c>
      <c r="AA63" s="141">
        <v>167.41541973050099</v>
      </c>
      <c r="AB63" s="141">
        <v>0</v>
      </c>
      <c r="AC63" s="141">
        <v>0</v>
      </c>
      <c r="AD63" s="141">
        <v>0</v>
      </c>
      <c r="AE63" s="141">
        <v>31.804838213355101</v>
      </c>
      <c r="AF63" s="141">
        <v>2.57156539903283</v>
      </c>
      <c r="AG63" s="141">
        <v>63.741694704047099</v>
      </c>
      <c r="AH63" s="141">
        <v>12.409397979602099</v>
      </c>
      <c r="AI63" s="141">
        <v>11.098960452648701</v>
      </c>
      <c r="AJ63" s="141">
        <v>-15.8213557469508</v>
      </c>
      <c r="AK63" s="141">
        <v>2.1324118317018699</v>
      </c>
      <c r="AL63" s="141">
        <v>32.066571033322703</v>
      </c>
      <c r="AM63" s="141">
        <v>0</v>
      </c>
      <c r="AN63" s="141">
        <v>173.758700349355</v>
      </c>
      <c r="AO63" s="141">
        <v>0</v>
      </c>
      <c r="AP63" s="141">
        <v>0</v>
      </c>
      <c r="AQ63" s="141">
        <v>0</v>
      </c>
      <c r="AR63" s="141">
        <v>0</v>
      </c>
      <c r="AS63" s="141">
        <v>0</v>
      </c>
      <c r="AT63" s="142">
        <v>5.11685141844114</v>
      </c>
    </row>
    <row r="64" spans="2:46" ht="12" customHeight="1" x14ac:dyDescent="0.25">
      <c r="B64" s="140" t="s">
        <v>45</v>
      </c>
      <c r="C64" s="141" t="s">
        <v>23</v>
      </c>
      <c r="D64" s="141" t="s">
        <v>46</v>
      </c>
      <c r="E64" s="141" t="s">
        <v>93</v>
      </c>
      <c r="F64" s="141" t="s">
        <v>25</v>
      </c>
      <c r="G64" s="141" t="s">
        <v>25</v>
      </c>
      <c r="H64" s="141" t="s">
        <v>79</v>
      </c>
      <c r="I64" s="141" t="s">
        <v>25</v>
      </c>
      <c r="J64" s="141">
        <v>493.85</v>
      </c>
      <c r="K64" s="141">
        <v>223.53</v>
      </c>
      <c r="L64" s="141">
        <v>23.2030818105377</v>
      </c>
      <c r="M64" s="141">
        <v>0.89335304145282202</v>
      </c>
      <c r="N64" s="141">
        <v>4.2063265638536702</v>
      </c>
      <c r="O64" s="141">
        <v>0</v>
      </c>
      <c r="P64" s="141">
        <v>0</v>
      </c>
      <c r="Q64" s="141">
        <v>37.809856394590099</v>
      </c>
      <c r="R64" s="141">
        <v>14.1115775602943</v>
      </c>
      <c r="S64" s="141">
        <v>0</v>
      </c>
      <c r="T64" s="141">
        <v>33.064343112628897</v>
      </c>
      <c r="U64" s="141">
        <v>4.3107812168459896</v>
      </c>
      <c r="V64" s="141">
        <v>0.161599573940965</v>
      </c>
      <c r="W64" s="141">
        <v>0</v>
      </c>
      <c r="X64" s="141">
        <v>0</v>
      </c>
      <c r="Y64" s="141">
        <v>0</v>
      </c>
      <c r="Z64" s="141">
        <v>0</v>
      </c>
      <c r="AA64" s="141">
        <v>263.16144686841898</v>
      </c>
      <c r="AB64" s="141">
        <v>0</v>
      </c>
      <c r="AC64" s="141">
        <v>0</v>
      </c>
      <c r="AD64" s="141">
        <v>0</v>
      </c>
      <c r="AE64" s="141">
        <v>32.496247739732397</v>
      </c>
      <c r="AF64" s="141">
        <v>2.62746899466398</v>
      </c>
      <c r="AG64" s="141">
        <v>65.127383719352494</v>
      </c>
      <c r="AH64" s="141">
        <v>12.679167500897799</v>
      </c>
      <c r="AI64" s="141">
        <v>11.340242201619301</v>
      </c>
      <c r="AJ64" s="141">
        <v>-16.165298263188902</v>
      </c>
      <c r="AK64" s="141">
        <v>2.1787686106519102</v>
      </c>
      <c r="AL64" s="141">
        <v>32.763670403612302</v>
      </c>
      <c r="AM64" s="141">
        <v>0</v>
      </c>
      <c r="AN64" s="141">
        <v>188.18822720445399</v>
      </c>
      <c r="AO64" s="141">
        <v>0</v>
      </c>
      <c r="AP64" s="141">
        <v>0</v>
      </c>
      <c r="AQ64" s="141">
        <v>0</v>
      </c>
      <c r="AR64" s="141">
        <v>0</v>
      </c>
      <c r="AS64" s="141">
        <v>0</v>
      </c>
      <c r="AT64" s="142">
        <v>5.2280873188420296</v>
      </c>
    </row>
    <row r="65" spans="2:46" ht="12" customHeight="1" x14ac:dyDescent="0.25">
      <c r="B65" s="140" t="s">
        <v>45</v>
      </c>
      <c r="C65" s="141" t="s">
        <v>23</v>
      </c>
      <c r="D65" s="141" t="s">
        <v>46</v>
      </c>
      <c r="E65" s="141" t="s">
        <v>25</v>
      </c>
      <c r="F65" s="141" t="s">
        <v>25</v>
      </c>
      <c r="G65" s="141" t="s">
        <v>25</v>
      </c>
      <c r="H65" s="141" t="s">
        <v>79</v>
      </c>
      <c r="I65" s="141" t="s">
        <v>25</v>
      </c>
      <c r="J65" s="141">
        <v>493.85</v>
      </c>
      <c r="K65" s="141">
        <v>223.53</v>
      </c>
      <c r="L65" s="141">
        <v>23.2030818105377</v>
      </c>
      <c r="M65" s="141">
        <v>0.89335304145282202</v>
      </c>
      <c r="N65" s="141">
        <v>4.2063265638536702</v>
      </c>
      <c r="O65" s="141">
        <v>0</v>
      </c>
      <c r="P65" s="141">
        <v>0</v>
      </c>
      <c r="Q65" s="141">
        <v>37.809856394590099</v>
      </c>
      <c r="R65" s="141">
        <v>14.1115775602943</v>
      </c>
      <c r="S65" s="141">
        <v>0</v>
      </c>
      <c r="T65" s="141">
        <v>33.064343112628897</v>
      </c>
      <c r="U65" s="141">
        <v>4.3107812168459896</v>
      </c>
      <c r="V65" s="141">
        <v>0.161599573940965</v>
      </c>
      <c r="W65" s="141">
        <v>0</v>
      </c>
      <c r="X65" s="141">
        <v>0</v>
      </c>
      <c r="Y65" s="141">
        <v>0</v>
      </c>
      <c r="Z65" s="141">
        <v>0</v>
      </c>
      <c r="AA65" s="141">
        <v>263.16144686841898</v>
      </c>
      <c r="AB65" s="141">
        <v>0</v>
      </c>
      <c r="AC65" s="141">
        <v>0</v>
      </c>
      <c r="AD65" s="141">
        <v>0</v>
      </c>
      <c r="AE65" s="141">
        <v>32.496247739732397</v>
      </c>
      <c r="AF65" s="141">
        <v>2.62746899466398</v>
      </c>
      <c r="AG65" s="141">
        <v>65.127383719352494</v>
      </c>
      <c r="AH65" s="141">
        <v>12.679167500897799</v>
      </c>
      <c r="AI65" s="141">
        <v>11.340242201619301</v>
      </c>
      <c r="AJ65" s="141">
        <v>-16.165298263188902</v>
      </c>
      <c r="AK65" s="141">
        <v>2.1787686106519102</v>
      </c>
      <c r="AL65" s="141">
        <v>32.763670403612302</v>
      </c>
      <c r="AM65" s="141">
        <v>0</v>
      </c>
      <c r="AN65" s="141">
        <v>188.18822720445399</v>
      </c>
      <c r="AO65" s="141">
        <v>0</v>
      </c>
      <c r="AP65" s="141">
        <v>0</v>
      </c>
      <c r="AQ65" s="141">
        <v>0</v>
      </c>
      <c r="AR65" s="141">
        <v>0</v>
      </c>
      <c r="AS65" s="141">
        <v>0</v>
      </c>
      <c r="AT65" s="142">
        <v>5.2280873188420296</v>
      </c>
    </row>
    <row r="66" spans="2:46" ht="12" customHeight="1" x14ac:dyDescent="0.25">
      <c r="B66" s="140" t="s">
        <v>45</v>
      </c>
      <c r="C66" s="141" t="s">
        <v>23</v>
      </c>
      <c r="D66" s="141" t="s">
        <v>46</v>
      </c>
      <c r="E66" s="141" t="s">
        <v>94</v>
      </c>
      <c r="F66" s="141" t="s">
        <v>25</v>
      </c>
      <c r="G66" s="141" t="s">
        <v>25</v>
      </c>
      <c r="H66" s="141" t="s">
        <v>79</v>
      </c>
      <c r="I66" s="141" t="s">
        <v>25</v>
      </c>
      <c r="J66" s="141">
        <v>483.35</v>
      </c>
      <c r="K66" s="141">
        <v>218.78</v>
      </c>
      <c r="L66" s="141">
        <v>22.7093992188241</v>
      </c>
      <c r="M66" s="141">
        <v>0.87434552993254999</v>
      </c>
      <c r="N66" s="141">
        <v>4.1168302539844399</v>
      </c>
      <c r="O66" s="141">
        <v>0</v>
      </c>
      <c r="P66" s="141">
        <v>0</v>
      </c>
      <c r="Q66" s="141">
        <v>37.005391364917898</v>
      </c>
      <c r="R66" s="141">
        <v>13.8113312292242</v>
      </c>
      <c r="S66" s="141">
        <v>0</v>
      </c>
      <c r="T66" s="141">
        <v>32.360846450658102</v>
      </c>
      <c r="U66" s="141">
        <v>4.2190624675514004</v>
      </c>
      <c r="V66" s="141">
        <v>0.15816128513371</v>
      </c>
      <c r="W66" s="141">
        <v>0</v>
      </c>
      <c r="X66" s="141">
        <v>0</v>
      </c>
      <c r="Y66" s="141">
        <v>0</v>
      </c>
      <c r="Z66" s="141">
        <v>0</v>
      </c>
      <c r="AA66" s="141">
        <v>257.56226714781502</v>
      </c>
      <c r="AB66" s="141">
        <v>0</v>
      </c>
      <c r="AC66" s="141">
        <v>0</v>
      </c>
      <c r="AD66" s="141">
        <v>0</v>
      </c>
      <c r="AE66" s="141">
        <v>31.804838213355101</v>
      </c>
      <c r="AF66" s="141">
        <v>2.57156539903283</v>
      </c>
      <c r="AG66" s="141">
        <v>63.741694704047099</v>
      </c>
      <c r="AH66" s="141">
        <v>12.409397979602099</v>
      </c>
      <c r="AI66" s="141">
        <v>11.098960452648701</v>
      </c>
      <c r="AJ66" s="141">
        <v>-15.8213557469508</v>
      </c>
      <c r="AK66" s="141">
        <v>2.1324118317018699</v>
      </c>
      <c r="AL66" s="141">
        <v>32.066571033322703</v>
      </c>
      <c r="AM66" s="141">
        <v>0</v>
      </c>
      <c r="AN66" s="141">
        <v>184.18422237031601</v>
      </c>
      <c r="AO66" s="141">
        <v>0</v>
      </c>
      <c r="AP66" s="141">
        <v>0</v>
      </c>
      <c r="AQ66" s="141">
        <v>0</v>
      </c>
      <c r="AR66" s="141">
        <v>0</v>
      </c>
      <c r="AS66" s="141">
        <v>0</v>
      </c>
      <c r="AT66" s="142">
        <v>5.11685141844114</v>
      </c>
    </row>
    <row r="67" spans="2:46" ht="12" customHeight="1" x14ac:dyDescent="0.25">
      <c r="B67" s="140" t="s">
        <v>45</v>
      </c>
      <c r="C67" s="141" t="s">
        <v>92</v>
      </c>
      <c r="D67" s="141" t="s">
        <v>46</v>
      </c>
      <c r="E67" s="141" t="s">
        <v>93</v>
      </c>
      <c r="F67" s="141" t="s">
        <v>25</v>
      </c>
      <c r="G67" s="141" t="s">
        <v>25</v>
      </c>
      <c r="H67" s="141" t="s">
        <v>79</v>
      </c>
      <c r="I67" s="141" t="s">
        <v>25</v>
      </c>
      <c r="J67" s="141">
        <v>493.85</v>
      </c>
      <c r="K67" s="141">
        <v>223.53</v>
      </c>
      <c r="L67" s="141">
        <v>23.2030818105377</v>
      </c>
      <c r="M67" s="141">
        <v>0.89335304145282202</v>
      </c>
      <c r="N67" s="141">
        <v>4.2063265638536702</v>
      </c>
      <c r="O67" s="141">
        <v>0</v>
      </c>
      <c r="P67" s="141">
        <v>0</v>
      </c>
      <c r="Q67" s="141">
        <v>37.809856394590099</v>
      </c>
      <c r="R67" s="141">
        <v>14.1115775602943</v>
      </c>
      <c r="S67" s="141">
        <v>0</v>
      </c>
      <c r="T67" s="141">
        <v>33.064343112628897</v>
      </c>
      <c r="U67" s="141">
        <v>4.3107812168459896</v>
      </c>
      <c r="V67" s="141">
        <v>0.161599573940965</v>
      </c>
      <c r="W67" s="141">
        <v>0</v>
      </c>
      <c r="X67" s="141">
        <v>0</v>
      </c>
      <c r="Y67" s="141">
        <v>0</v>
      </c>
      <c r="Z67" s="141">
        <v>0</v>
      </c>
      <c r="AA67" s="141">
        <v>263.16144686841898</v>
      </c>
      <c r="AB67" s="141">
        <v>0</v>
      </c>
      <c r="AC67" s="141">
        <v>0</v>
      </c>
      <c r="AD67" s="141">
        <v>0</v>
      </c>
      <c r="AE67" s="141">
        <v>32.496247739732397</v>
      </c>
      <c r="AF67" s="141">
        <v>2.62746899466398</v>
      </c>
      <c r="AG67" s="141">
        <v>65.127383719352494</v>
      </c>
      <c r="AH67" s="141">
        <v>12.679167500897799</v>
      </c>
      <c r="AI67" s="141">
        <v>11.340242201619301</v>
      </c>
      <c r="AJ67" s="141">
        <v>-16.165298263188902</v>
      </c>
      <c r="AK67" s="141">
        <v>2.1787686106519102</v>
      </c>
      <c r="AL67" s="141">
        <v>32.763670403612302</v>
      </c>
      <c r="AM67" s="141">
        <v>0</v>
      </c>
      <c r="AN67" s="141">
        <v>188.18822720445399</v>
      </c>
      <c r="AO67" s="141">
        <v>0</v>
      </c>
      <c r="AP67" s="141">
        <v>0</v>
      </c>
      <c r="AQ67" s="141">
        <v>0</v>
      </c>
      <c r="AR67" s="141">
        <v>0</v>
      </c>
      <c r="AS67" s="141">
        <v>0</v>
      </c>
      <c r="AT67" s="142">
        <v>5.2280873188420296</v>
      </c>
    </row>
    <row r="68" spans="2:46" ht="12" customHeight="1" x14ac:dyDescent="0.25">
      <c r="B68" s="140" t="s">
        <v>45</v>
      </c>
      <c r="C68" s="141" t="s">
        <v>92</v>
      </c>
      <c r="D68" s="141" t="s">
        <v>46</v>
      </c>
      <c r="E68" s="141" t="s">
        <v>25</v>
      </c>
      <c r="F68" s="141" t="s">
        <v>25</v>
      </c>
      <c r="G68" s="141" t="s">
        <v>25</v>
      </c>
      <c r="H68" s="141" t="s">
        <v>79</v>
      </c>
      <c r="I68" s="141" t="s">
        <v>25</v>
      </c>
      <c r="J68" s="141">
        <v>493.85</v>
      </c>
      <c r="K68" s="141">
        <v>223.53</v>
      </c>
      <c r="L68" s="141">
        <v>23.2030818105377</v>
      </c>
      <c r="M68" s="141">
        <v>0.89335304145282202</v>
      </c>
      <c r="N68" s="141">
        <v>4.2063265638536702</v>
      </c>
      <c r="O68" s="141">
        <v>0</v>
      </c>
      <c r="P68" s="141">
        <v>0</v>
      </c>
      <c r="Q68" s="141">
        <v>37.809856394590099</v>
      </c>
      <c r="R68" s="141">
        <v>14.1115775602943</v>
      </c>
      <c r="S68" s="141">
        <v>0</v>
      </c>
      <c r="T68" s="141">
        <v>33.064343112628897</v>
      </c>
      <c r="U68" s="141">
        <v>4.3107812168459896</v>
      </c>
      <c r="V68" s="141">
        <v>0.161599573940965</v>
      </c>
      <c r="W68" s="141">
        <v>0</v>
      </c>
      <c r="X68" s="141">
        <v>0</v>
      </c>
      <c r="Y68" s="141">
        <v>0</v>
      </c>
      <c r="Z68" s="141">
        <v>0</v>
      </c>
      <c r="AA68" s="141">
        <v>263.16144686841898</v>
      </c>
      <c r="AB68" s="141">
        <v>0</v>
      </c>
      <c r="AC68" s="141">
        <v>0</v>
      </c>
      <c r="AD68" s="141">
        <v>0</v>
      </c>
      <c r="AE68" s="141">
        <v>32.496247739732397</v>
      </c>
      <c r="AF68" s="141">
        <v>2.62746899466398</v>
      </c>
      <c r="AG68" s="141">
        <v>65.127383719352494</v>
      </c>
      <c r="AH68" s="141">
        <v>12.679167500897799</v>
      </c>
      <c r="AI68" s="141">
        <v>11.340242201619301</v>
      </c>
      <c r="AJ68" s="141">
        <v>-16.165298263188902</v>
      </c>
      <c r="AK68" s="141">
        <v>2.1787686106519102</v>
      </c>
      <c r="AL68" s="141">
        <v>32.763670403612302</v>
      </c>
      <c r="AM68" s="141">
        <v>0</v>
      </c>
      <c r="AN68" s="141">
        <v>188.18822720445399</v>
      </c>
      <c r="AO68" s="141">
        <v>0</v>
      </c>
      <c r="AP68" s="141">
        <v>0</v>
      </c>
      <c r="AQ68" s="141">
        <v>0</v>
      </c>
      <c r="AR68" s="141">
        <v>0</v>
      </c>
      <c r="AS68" s="141">
        <v>0</v>
      </c>
      <c r="AT68" s="142">
        <v>5.2280873188420296</v>
      </c>
    </row>
    <row r="69" spans="2:46" ht="12" customHeight="1" x14ac:dyDescent="0.25">
      <c r="B69" s="140" t="s">
        <v>45</v>
      </c>
      <c r="C69" s="141" t="s">
        <v>92</v>
      </c>
      <c r="D69" s="141" t="s">
        <v>46</v>
      </c>
      <c r="E69" s="141" t="s">
        <v>94</v>
      </c>
      <c r="F69" s="141" t="s">
        <v>25</v>
      </c>
      <c r="G69" s="141" t="s">
        <v>25</v>
      </c>
      <c r="H69" s="141" t="s">
        <v>79</v>
      </c>
      <c r="I69" s="141" t="s">
        <v>25</v>
      </c>
      <c r="J69" s="141">
        <v>483.35</v>
      </c>
      <c r="K69" s="141">
        <v>218.78</v>
      </c>
      <c r="L69" s="141">
        <v>22.7093992188241</v>
      </c>
      <c r="M69" s="141">
        <v>0.87434552993254999</v>
      </c>
      <c r="N69" s="141">
        <v>4.1168302539844399</v>
      </c>
      <c r="O69" s="141">
        <v>0</v>
      </c>
      <c r="P69" s="141">
        <v>0</v>
      </c>
      <c r="Q69" s="141">
        <v>37.005391364917898</v>
      </c>
      <c r="R69" s="141">
        <v>13.8113312292242</v>
      </c>
      <c r="S69" s="141">
        <v>0</v>
      </c>
      <c r="T69" s="141">
        <v>32.360846450658102</v>
      </c>
      <c r="U69" s="141">
        <v>4.2190624675514004</v>
      </c>
      <c r="V69" s="141">
        <v>0.15816128513371</v>
      </c>
      <c r="W69" s="141">
        <v>0</v>
      </c>
      <c r="X69" s="141">
        <v>0</v>
      </c>
      <c r="Y69" s="141">
        <v>0</v>
      </c>
      <c r="Z69" s="141">
        <v>0</v>
      </c>
      <c r="AA69" s="141">
        <v>257.56226714781502</v>
      </c>
      <c r="AB69" s="141">
        <v>0</v>
      </c>
      <c r="AC69" s="141">
        <v>0</v>
      </c>
      <c r="AD69" s="141">
        <v>0</v>
      </c>
      <c r="AE69" s="141">
        <v>31.804838213355101</v>
      </c>
      <c r="AF69" s="141">
        <v>2.57156539903283</v>
      </c>
      <c r="AG69" s="141">
        <v>63.741694704047099</v>
      </c>
      <c r="AH69" s="141">
        <v>12.409397979602099</v>
      </c>
      <c r="AI69" s="141">
        <v>11.098960452648701</v>
      </c>
      <c r="AJ69" s="141">
        <v>-15.8213557469508</v>
      </c>
      <c r="AK69" s="141">
        <v>2.1324118317018699</v>
      </c>
      <c r="AL69" s="141">
        <v>32.066571033322703</v>
      </c>
      <c r="AM69" s="141">
        <v>0</v>
      </c>
      <c r="AN69" s="141">
        <v>184.18422237031601</v>
      </c>
      <c r="AO69" s="141">
        <v>0</v>
      </c>
      <c r="AP69" s="141">
        <v>0</v>
      </c>
      <c r="AQ69" s="141">
        <v>0</v>
      </c>
      <c r="AR69" s="141">
        <v>0</v>
      </c>
      <c r="AS69" s="141">
        <v>0</v>
      </c>
      <c r="AT69" s="142">
        <v>5.11685141844114</v>
      </c>
    </row>
    <row r="70" spans="2:46" ht="12" customHeight="1" x14ac:dyDescent="0.25">
      <c r="B70" s="140" t="s">
        <v>37</v>
      </c>
      <c r="C70" s="141" t="s">
        <v>33</v>
      </c>
      <c r="D70" s="141" t="s">
        <v>25</v>
      </c>
      <c r="E70" s="141" t="s">
        <v>25</v>
      </c>
      <c r="F70" s="141" t="s">
        <v>25</v>
      </c>
      <c r="G70" s="141" t="s">
        <v>34</v>
      </c>
      <c r="H70" s="141" t="s">
        <v>79</v>
      </c>
      <c r="I70" s="141" t="s">
        <v>25</v>
      </c>
      <c r="J70" s="141">
        <v>1251.51</v>
      </c>
      <c r="K70" s="141">
        <v>362.45</v>
      </c>
      <c r="L70" s="141">
        <v>24.684129585678399</v>
      </c>
      <c r="M70" s="141">
        <v>0.95037557601364098</v>
      </c>
      <c r="N70" s="141">
        <v>10.857995461089899</v>
      </c>
      <c r="O70" s="141">
        <v>0</v>
      </c>
      <c r="P70" s="141">
        <v>0</v>
      </c>
      <c r="Q70" s="141">
        <v>40.223251483606496</v>
      </c>
      <c r="R70" s="141">
        <v>15.012316553504499</v>
      </c>
      <c r="S70" s="141">
        <v>0</v>
      </c>
      <c r="T70" s="141">
        <v>114.318487633582</v>
      </c>
      <c r="U70" s="141">
        <v>14.904400198215001</v>
      </c>
      <c r="V70" s="141">
        <v>0.55863208042606405</v>
      </c>
      <c r="W70" s="141">
        <v>0</v>
      </c>
      <c r="X70" s="141">
        <v>0</v>
      </c>
      <c r="Y70" s="141">
        <v>0</v>
      </c>
      <c r="Z70" s="141">
        <v>0</v>
      </c>
      <c r="AA70" s="141">
        <v>909.86654180967605</v>
      </c>
      <c r="AB70" s="141">
        <v>0</v>
      </c>
      <c r="AC70" s="141">
        <v>0</v>
      </c>
      <c r="AD70" s="141">
        <v>0</v>
      </c>
      <c r="AE70" s="141">
        <v>34.570476318864301</v>
      </c>
      <c r="AF70" s="141">
        <v>2.7951797815574202</v>
      </c>
      <c r="AG70" s="141">
        <v>69.284450765268602</v>
      </c>
      <c r="AH70" s="141">
        <v>13.4884760647849</v>
      </c>
      <c r="AI70" s="141">
        <v>12.0640874485312</v>
      </c>
      <c r="AJ70" s="141">
        <v>-17.197125811903</v>
      </c>
      <c r="AK70" s="141">
        <v>2.3178389475020298</v>
      </c>
      <c r="AL70" s="141">
        <v>34.8549685144812</v>
      </c>
      <c r="AM70" s="141">
        <v>0</v>
      </c>
      <c r="AN70" s="141">
        <v>324.85322239227298</v>
      </c>
      <c r="AO70" s="141">
        <v>0</v>
      </c>
      <c r="AP70" s="141">
        <v>0</v>
      </c>
      <c r="AQ70" s="141">
        <v>0</v>
      </c>
      <c r="AR70" s="141">
        <v>0</v>
      </c>
      <c r="AS70" s="141">
        <v>0</v>
      </c>
      <c r="AT70" s="142">
        <v>5.5617950200447197</v>
      </c>
    </row>
    <row r="71" spans="2:46" ht="12" customHeight="1" x14ac:dyDescent="0.25">
      <c r="B71" s="140" t="s">
        <v>37</v>
      </c>
      <c r="C71" s="141" t="s">
        <v>33</v>
      </c>
      <c r="D71" s="141" t="s">
        <v>25</v>
      </c>
      <c r="E71" s="141" t="s">
        <v>25</v>
      </c>
      <c r="F71" s="141" t="s">
        <v>25</v>
      </c>
      <c r="G71" s="141" t="s">
        <v>36</v>
      </c>
      <c r="H71" s="141" t="s">
        <v>79</v>
      </c>
      <c r="I71" s="141" t="s">
        <v>25</v>
      </c>
      <c r="J71" s="141">
        <v>831.97</v>
      </c>
      <c r="K71" s="141">
        <v>226.47</v>
      </c>
      <c r="L71" s="141">
        <v>24.684129585678399</v>
      </c>
      <c r="M71" s="141">
        <v>0.95037557601364098</v>
      </c>
      <c r="N71" s="141">
        <v>7.1699364116050202</v>
      </c>
      <c r="O71" s="141">
        <v>0</v>
      </c>
      <c r="P71" s="141">
        <v>0</v>
      </c>
      <c r="Q71" s="141">
        <v>40.223251483606496</v>
      </c>
      <c r="R71" s="141">
        <v>15.012316553504499</v>
      </c>
      <c r="S71" s="141">
        <v>0</v>
      </c>
      <c r="T71" s="141">
        <v>68.591008561152506</v>
      </c>
      <c r="U71" s="141">
        <v>8.9426566689838793</v>
      </c>
      <c r="V71" s="141">
        <v>0.33520320845638601</v>
      </c>
      <c r="W71" s="141">
        <v>0</v>
      </c>
      <c r="X71" s="141">
        <v>0</v>
      </c>
      <c r="Y71" s="141">
        <v>0</v>
      </c>
      <c r="Z71" s="141">
        <v>0</v>
      </c>
      <c r="AA71" s="141">
        <v>545.91997717815195</v>
      </c>
      <c r="AB71" s="141">
        <v>0</v>
      </c>
      <c r="AC71" s="141">
        <v>0</v>
      </c>
      <c r="AD71" s="141">
        <v>0</v>
      </c>
      <c r="AE71" s="141">
        <v>34.570476318864301</v>
      </c>
      <c r="AF71" s="141">
        <v>2.7951797815574202</v>
      </c>
      <c r="AG71" s="141">
        <v>69.284450765268602</v>
      </c>
      <c r="AH71" s="141">
        <v>13.4884760647849</v>
      </c>
      <c r="AI71" s="141">
        <v>12.0640874485312</v>
      </c>
      <c r="AJ71" s="141">
        <v>-17.197125811903</v>
      </c>
      <c r="AK71" s="141">
        <v>2.3178389475020298</v>
      </c>
      <c r="AL71" s="141">
        <v>34.8549685144812</v>
      </c>
      <c r="AM71" s="141">
        <v>0</v>
      </c>
      <c r="AN71" s="141">
        <v>188.86815255364701</v>
      </c>
      <c r="AO71" s="141">
        <v>0</v>
      </c>
      <c r="AP71" s="141">
        <v>0</v>
      </c>
      <c r="AQ71" s="141">
        <v>0</v>
      </c>
      <c r="AR71" s="141">
        <v>0</v>
      </c>
      <c r="AS71" s="141">
        <v>0</v>
      </c>
      <c r="AT71" s="142">
        <v>5.5617950200447197</v>
      </c>
    </row>
    <row r="72" spans="2:46" ht="12" customHeight="1" x14ac:dyDescent="0.25">
      <c r="B72" s="140" t="s">
        <v>37</v>
      </c>
      <c r="C72" s="141" t="s">
        <v>33</v>
      </c>
      <c r="D72" s="141" t="s">
        <v>25</v>
      </c>
      <c r="E72" s="141" t="s">
        <v>25</v>
      </c>
      <c r="F72" s="141" t="s">
        <v>25</v>
      </c>
      <c r="G72" s="141" t="s">
        <v>35</v>
      </c>
      <c r="H72" s="141" t="s">
        <v>79</v>
      </c>
      <c r="I72" s="141" t="s">
        <v>25</v>
      </c>
      <c r="J72" s="141">
        <v>412.42</v>
      </c>
      <c r="K72" s="141">
        <v>226.47</v>
      </c>
      <c r="L72" s="141">
        <v>24.684129585678399</v>
      </c>
      <c r="M72" s="141">
        <v>0.95037557601364098</v>
      </c>
      <c r="N72" s="141">
        <v>3.48187736212012</v>
      </c>
      <c r="O72" s="141">
        <v>0</v>
      </c>
      <c r="P72" s="141">
        <v>0</v>
      </c>
      <c r="Q72" s="141">
        <v>40.223251483606496</v>
      </c>
      <c r="R72" s="141">
        <v>15.012316553504499</v>
      </c>
      <c r="S72" s="141">
        <v>0</v>
      </c>
      <c r="T72" s="141">
        <v>22.8636695203842</v>
      </c>
      <c r="U72" s="141">
        <v>2.9809131397528099</v>
      </c>
      <c r="V72" s="141">
        <v>0.111774336486708</v>
      </c>
      <c r="W72" s="141">
        <v>0</v>
      </c>
      <c r="X72" s="141">
        <v>0</v>
      </c>
      <c r="Y72" s="141">
        <v>0</v>
      </c>
      <c r="Z72" s="141">
        <v>0</v>
      </c>
      <c r="AA72" s="141">
        <v>181.97328231576199</v>
      </c>
      <c r="AB72" s="141">
        <v>0</v>
      </c>
      <c r="AC72" s="141">
        <v>0</v>
      </c>
      <c r="AD72" s="141">
        <v>0</v>
      </c>
      <c r="AE72" s="141">
        <v>34.570476318864301</v>
      </c>
      <c r="AF72" s="141">
        <v>2.7951797815574202</v>
      </c>
      <c r="AG72" s="141">
        <v>69.284450765268602</v>
      </c>
      <c r="AH72" s="141">
        <v>13.4884760647849</v>
      </c>
      <c r="AI72" s="141">
        <v>12.0640874485312</v>
      </c>
      <c r="AJ72" s="141">
        <v>-17.197125811903</v>
      </c>
      <c r="AK72" s="141">
        <v>2.3178389475020298</v>
      </c>
      <c r="AL72" s="141">
        <v>34.8549685144812</v>
      </c>
      <c r="AM72" s="141">
        <v>0</v>
      </c>
      <c r="AN72" s="141">
        <v>188.86815255364701</v>
      </c>
      <c r="AO72" s="141">
        <v>0</v>
      </c>
      <c r="AP72" s="141">
        <v>0</v>
      </c>
      <c r="AQ72" s="141">
        <v>0</v>
      </c>
      <c r="AR72" s="141">
        <v>0</v>
      </c>
      <c r="AS72" s="141">
        <v>0</v>
      </c>
      <c r="AT72" s="142">
        <v>5.5617950200447197</v>
      </c>
    </row>
    <row r="73" spans="2:46" ht="12" customHeight="1" x14ac:dyDescent="0.25">
      <c r="B73" s="140" t="s">
        <v>37</v>
      </c>
      <c r="C73" s="141" t="s">
        <v>23</v>
      </c>
      <c r="D73" s="141" t="s">
        <v>25</v>
      </c>
      <c r="E73" s="141" t="s">
        <v>25</v>
      </c>
      <c r="F73" s="141" t="s">
        <v>25</v>
      </c>
      <c r="G73" s="141" t="s">
        <v>25</v>
      </c>
      <c r="H73" s="141" t="s">
        <v>79</v>
      </c>
      <c r="I73" s="141" t="s">
        <v>25</v>
      </c>
      <c r="J73" s="141">
        <v>525.38</v>
      </c>
      <c r="K73" s="141">
        <v>237.8</v>
      </c>
      <c r="L73" s="141">
        <v>24.684129585678399</v>
      </c>
      <c r="M73" s="141">
        <v>0.95037557601364098</v>
      </c>
      <c r="N73" s="141">
        <v>4.4748154934613504</v>
      </c>
      <c r="O73" s="141">
        <v>0</v>
      </c>
      <c r="P73" s="141">
        <v>0</v>
      </c>
      <c r="Q73" s="141">
        <v>40.223251483606496</v>
      </c>
      <c r="R73" s="141">
        <v>15.012316553504499</v>
      </c>
      <c r="S73" s="141">
        <v>0</v>
      </c>
      <c r="T73" s="141">
        <v>35.174833098541399</v>
      </c>
      <c r="U73" s="141">
        <v>4.5859374647297804</v>
      </c>
      <c r="V73" s="141">
        <v>0.17191444036272799</v>
      </c>
      <c r="W73" s="141">
        <v>0</v>
      </c>
      <c r="X73" s="141">
        <v>0</v>
      </c>
      <c r="Y73" s="141">
        <v>0</v>
      </c>
      <c r="Z73" s="141">
        <v>0</v>
      </c>
      <c r="AA73" s="141">
        <v>279.95898603023301</v>
      </c>
      <c r="AB73" s="141">
        <v>0</v>
      </c>
      <c r="AC73" s="141">
        <v>0</v>
      </c>
      <c r="AD73" s="141">
        <v>0</v>
      </c>
      <c r="AE73" s="141">
        <v>34.570476318864301</v>
      </c>
      <c r="AF73" s="141">
        <v>2.7951797815574202</v>
      </c>
      <c r="AG73" s="141">
        <v>69.284450765268602</v>
      </c>
      <c r="AH73" s="141">
        <v>13.4884760647849</v>
      </c>
      <c r="AI73" s="141">
        <v>12.0640874485312</v>
      </c>
      <c r="AJ73" s="141">
        <v>-17.197125811903</v>
      </c>
      <c r="AK73" s="141">
        <v>2.3178389475020298</v>
      </c>
      <c r="AL73" s="141">
        <v>34.8549685144812</v>
      </c>
      <c r="AM73" s="141">
        <v>0</v>
      </c>
      <c r="AN73" s="141">
        <v>200.200241706866</v>
      </c>
      <c r="AO73" s="141">
        <v>0</v>
      </c>
      <c r="AP73" s="141">
        <v>0</v>
      </c>
      <c r="AQ73" s="141">
        <v>0</v>
      </c>
      <c r="AR73" s="141">
        <v>0</v>
      </c>
      <c r="AS73" s="141">
        <v>0</v>
      </c>
      <c r="AT73" s="142">
        <v>5.5617950200447197</v>
      </c>
    </row>
    <row r="74" spans="2:46" ht="12" customHeight="1" x14ac:dyDescent="0.25">
      <c r="B74" s="140" t="s">
        <v>37</v>
      </c>
      <c r="C74" s="141" t="s">
        <v>92</v>
      </c>
      <c r="D74" s="141" t="s">
        <v>25</v>
      </c>
      <c r="E74" s="141" t="s">
        <v>25</v>
      </c>
      <c r="F74" s="141" t="s">
        <v>25</v>
      </c>
      <c r="G74" s="141" t="s">
        <v>25</v>
      </c>
      <c r="H74" s="141" t="s">
        <v>79</v>
      </c>
      <c r="I74" s="141" t="s">
        <v>25</v>
      </c>
      <c r="J74" s="141">
        <v>525.38</v>
      </c>
      <c r="K74" s="141">
        <v>237.8</v>
      </c>
      <c r="L74" s="141">
        <v>24.684129585678399</v>
      </c>
      <c r="M74" s="141">
        <v>0.95037557601364098</v>
      </c>
      <c r="N74" s="141">
        <v>4.4748154934613504</v>
      </c>
      <c r="O74" s="141">
        <v>0</v>
      </c>
      <c r="P74" s="141">
        <v>0</v>
      </c>
      <c r="Q74" s="141">
        <v>40.223251483606496</v>
      </c>
      <c r="R74" s="141">
        <v>15.012316553504499</v>
      </c>
      <c r="S74" s="141">
        <v>0</v>
      </c>
      <c r="T74" s="141">
        <v>35.174833098541399</v>
      </c>
      <c r="U74" s="141">
        <v>4.5859374647297804</v>
      </c>
      <c r="V74" s="141">
        <v>0.17191444036272799</v>
      </c>
      <c r="W74" s="141">
        <v>0</v>
      </c>
      <c r="X74" s="141">
        <v>0</v>
      </c>
      <c r="Y74" s="141">
        <v>0</v>
      </c>
      <c r="Z74" s="141">
        <v>0</v>
      </c>
      <c r="AA74" s="141">
        <v>279.95898603023301</v>
      </c>
      <c r="AB74" s="141">
        <v>0</v>
      </c>
      <c r="AC74" s="141">
        <v>0</v>
      </c>
      <c r="AD74" s="141">
        <v>0</v>
      </c>
      <c r="AE74" s="141">
        <v>34.570476318864301</v>
      </c>
      <c r="AF74" s="141">
        <v>2.7951797815574202</v>
      </c>
      <c r="AG74" s="141">
        <v>69.284450765268602</v>
      </c>
      <c r="AH74" s="141">
        <v>13.4884760647849</v>
      </c>
      <c r="AI74" s="141">
        <v>12.0640874485312</v>
      </c>
      <c r="AJ74" s="141">
        <v>-17.197125811903</v>
      </c>
      <c r="AK74" s="141">
        <v>2.3178389475020298</v>
      </c>
      <c r="AL74" s="141">
        <v>34.8549685144812</v>
      </c>
      <c r="AM74" s="141">
        <v>0</v>
      </c>
      <c r="AN74" s="141">
        <v>200.200241706866</v>
      </c>
      <c r="AO74" s="141">
        <v>0</v>
      </c>
      <c r="AP74" s="141">
        <v>0</v>
      </c>
      <c r="AQ74" s="141">
        <v>0</v>
      </c>
      <c r="AR74" s="141">
        <v>0</v>
      </c>
      <c r="AS74" s="141">
        <v>0</v>
      </c>
      <c r="AT74" s="142">
        <v>5.5617950200447197</v>
      </c>
    </row>
    <row r="75" spans="2:46" ht="12" customHeight="1" x14ac:dyDescent="0.25">
      <c r="B75" s="140" t="s">
        <v>48</v>
      </c>
      <c r="C75" s="141" t="s">
        <v>23</v>
      </c>
      <c r="D75" s="141" t="s">
        <v>49</v>
      </c>
      <c r="E75" s="141" t="s">
        <v>50</v>
      </c>
      <c r="F75" s="141" t="s">
        <v>25</v>
      </c>
      <c r="G75" s="141" t="s">
        <v>25</v>
      </c>
      <c r="H75" s="141" t="s">
        <v>79</v>
      </c>
      <c r="I75" s="141" t="s">
        <v>25</v>
      </c>
      <c r="J75" s="141">
        <v>288.95999999999998</v>
      </c>
      <c r="K75" s="141">
        <v>130.79</v>
      </c>
      <c r="L75" s="141">
        <v>13.576271272123099</v>
      </c>
      <c r="M75" s="141">
        <v>0.52270656680750205</v>
      </c>
      <c r="N75" s="141">
        <v>2.4611485214037399</v>
      </c>
      <c r="O75" s="141">
        <v>0</v>
      </c>
      <c r="P75" s="141">
        <v>0</v>
      </c>
      <c r="Q75" s="141">
        <v>22.122788315983598</v>
      </c>
      <c r="R75" s="141">
        <v>8.2567741044274907</v>
      </c>
      <c r="S75" s="141">
        <v>0</v>
      </c>
      <c r="T75" s="141">
        <v>19.346158204197799</v>
      </c>
      <c r="U75" s="141">
        <v>2.5222656056013801</v>
      </c>
      <c r="V75" s="141">
        <v>9.4552942199500598E-2</v>
      </c>
      <c r="W75" s="141">
        <v>0</v>
      </c>
      <c r="X75" s="141">
        <v>0</v>
      </c>
      <c r="Y75" s="141">
        <v>0</v>
      </c>
      <c r="Z75" s="141">
        <v>0</v>
      </c>
      <c r="AA75" s="141">
        <v>153.97744231662799</v>
      </c>
      <c r="AB75" s="141">
        <v>0</v>
      </c>
      <c r="AC75" s="141">
        <v>0</v>
      </c>
      <c r="AD75" s="141">
        <v>0</v>
      </c>
      <c r="AE75" s="141">
        <v>19.013761975375399</v>
      </c>
      <c r="AF75" s="141">
        <v>1.53734887985658</v>
      </c>
      <c r="AG75" s="141">
        <v>38.1064479208977</v>
      </c>
      <c r="AH75" s="141">
        <v>7.4186618356316902</v>
      </c>
      <c r="AI75" s="141">
        <v>6.6352480966921501</v>
      </c>
      <c r="AJ75" s="141">
        <v>-9.4584191965466697</v>
      </c>
      <c r="AK75" s="141">
        <v>1.2748114211261199</v>
      </c>
      <c r="AL75" s="141">
        <v>19.170232682964699</v>
      </c>
      <c r="AM75" s="141">
        <v>0</v>
      </c>
      <c r="AN75" s="141">
        <v>110.110132938776</v>
      </c>
      <c r="AO75" s="141">
        <v>0</v>
      </c>
      <c r="AP75" s="141">
        <v>0</v>
      </c>
      <c r="AQ75" s="141">
        <v>0</v>
      </c>
      <c r="AR75" s="141">
        <v>0</v>
      </c>
      <c r="AS75" s="141">
        <v>0</v>
      </c>
      <c r="AT75" s="142">
        <v>3.0589872610245901</v>
      </c>
    </row>
    <row r="76" spans="2:46" ht="12" customHeight="1" x14ac:dyDescent="0.25">
      <c r="B76" s="143" t="s">
        <v>48</v>
      </c>
      <c r="C76" s="144" t="s">
        <v>23</v>
      </c>
      <c r="D76" s="144" t="s">
        <v>49</v>
      </c>
      <c r="E76" s="144" t="s">
        <v>95</v>
      </c>
      <c r="F76" s="144" t="s">
        <v>25</v>
      </c>
      <c r="G76" s="144" t="s">
        <v>25</v>
      </c>
      <c r="H76" s="144" t="s">
        <v>79</v>
      </c>
      <c r="I76" s="144" t="s">
        <v>25</v>
      </c>
      <c r="J76" s="144">
        <v>315.23</v>
      </c>
      <c r="K76" s="144">
        <v>142.68</v>
      </c>
      <c r="L76" s="144">
        <v>14.810477751406999</v>
      </c>
      <c r="M76" s="144">
        <v>0.57022534560818405</v>
      </c>
      <c r="N76" s="144">
        <v>2.6848892960768098</v>
      </c>
      <c r="O76" s="144">
        <v>0</v>
      </c>
      <c r="P76" s="144">
        <v>0</v>
      </c>
      <c r="Q76" s="144">
        <v>24.133950890163899</v>
      </c>
      <c r="R76" s="144">
        <v>9.0073899321027096</v>
      </c>
      <c r="S76" s="144">
        <v>0</v>
      </c>
      <c r="T76" s="144">
        <v>21.104899859124799</v>
      </c>
      <c r="U76" s="144">
        <v>2.7515624788378701</v>
      </c>
      <c r="V76" s="144">
        <v>0.10314866421763701</v>
      </c>
      <c r="W76" s="144">
        <v>0</v>
      </c>
      <c r="X76" s="144">
        <v>0</v>
      </c>
      <c r="Y76" s="144">
        <v>0</v>
      </c>
      <c r="Z76" s="144">
        <v>0</v>
      </c>
      <c r="AA76" s="144">
        <v>167.97539161814001</v>
      </c>
      <c r="AB76" s="144">
        <v>0</v>
      </c>
      <c r="AC76" s="144">
        <v>0</v>
      </c>
      <c r="AD76" s="144">
        <v>0</v>
      </c>
      <c r="AE76" s="144">
        <v>20.742285791318601</v>
      </c>
      <c r="AF76" s="144">
        <v>1.6771078689344501</v>
      </c>
      <c r="AG76" s="144">
        <v>41.5706704591612</v>
      </c>
      <c r="AH76" s="144">
        <v>8.0930856388709298</v>
      </c>
      <c r="AI76" s="144">
        <v>7.2384524691187098</v>
      </c>
      <c r="AJ76" s="144">
        <v>-10.318275487141801</v>
      </c>
      <c r="AK76" s="144">
        <v>1.39070336850122</v>
      </c>
      <c r="AL76" s="144">
        <v>20.912981108688701</v>
      </c>
      <c r="AM76" s="144">
        <v>0</v>
      </c>
      <c r="AN76" s="144">
        <v>120.120145024119</v>
      </c>
      <c r="AO76" s="144">
        <v>0</v>
      </c>
      <c r="AP76" s="144">
        <v>0</v>
      </c>
      <c r="AQ76" s="144">
        <v>0</v>
      </c>
      <c r="AR76" s="144">
        <v>0</v>
      </c>
      <c r="AS76" s="144">
        <v>0</v>
      </c>
      <c r="AT76" s="145">
        <v>3.33707701202683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F7CD3-CB27-44CC-8C87-D79CFF97BB9F}">
  <dimension ref="B1:AT76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20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46" t="s">
        <v>1392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7"/>
      <c r="AI1" s="146" t="s">
        <v>1393</v>
      </c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</row>
    <row r="2" spans="2:46" ht="12" customHeight="1" x14ac:dyDescent="0.25">
      <c r="L2" s="148" t="s">
        <v>645</v>
      </c>
      <c r="M2" s="148"/>
      <c r="N2" s="148"/>
      <c r="O2" s="148"/>
      <c r="P2" s="148"/>
      <c r="Q2" s="148"/>
      <c r="R2" s="148"/>
      <c r="S2" s="149"/>
      <c r="T2" s="148" t="s">
        <v>654</v>
      </c>
      <c r="U2" s="148"/>
      <c r="V2" s="148"/>
      <c r="W2" s="148"/>
      <c r="X2" s="148"/>
      <c r="Y2" s="148"/>
      <c r="Z2" s="149"/>
      <c r="AA2" s="150" t="s">
        <v>662</v>
      </c>
      <c r="AB2" s="148" t="s">
        <v>25</v>
      </c>
      <c r="AC2" s="148"/>
      <c r="AD2" s="149"/>
      <c r="AE2" s="148" t="s">
        <v>1391</v>
      </c>
      <c r="AF2" s="148"/>
      <c r="AG2" s="148"/>
      <c r="AH2" s="149"/>
      <c r="AI2" s="148" t="s">
        <v>645</v>
      </c>
      <c r="AJ2" s="148"/>
      <c r="AK2" s="148"/>
      <c r="AL2" s="148"/>
      <c r="AM2" s="149"/>
      <c r="AN2" s="150" t="s">
        <v>676</v>
      </c>
      <c r="AO2" s="148" t="s">
        <v>654</v>
      </c>
      <c r="AP2" s="148"/>
      <c r="AQ2" s="148"/>
      <c r="AR2" s="148"/>
      <c r="AS2" s="149"/>
      <c r="AT2" s="151" t="s">
        <v>1391</v>
      </c>
    </row>
    <row r="3" spans="2:46" ht="12" customHeight="1" x14ac:dyDescent="0.25">
      <c r="B3" s="137" t="s">
        <v>67</v>
      </c>
      <c r="C3" s="138" t="s">
        <v>68</v>
      </c>
      <c r="D3" s="138" t="s">
        <v>69</v>
      </c>
      <c r="E3" s="138" t="s">
        <v>70</v>
      </c>
      <c r="F3" s="138" t="s">
        <v>71</v>
      </c>
      <c r="G3" s="138" t="s">
        <v>73</v>
      </c>
      <c r="H3" s="138" t="s">
        <v>74</v>
      </c>
      <c r="I3" s="138" t="s">
        <v>921</v>
      </c>
      <c r="J3" s="138" t="s">
        <v>1353</v>
      </c>
      <c r="K3" s="138" t="s">
        <v>1354</v>
      </c>
      <c r="L3" s="138" t="s">
        <v>1355</v>
      </c>
      <c r="M3" s="138" t="s">
        <v>1356</v>
      </c>
      <c r="N3" s="138" t="s">
        <v>1357</v>
      </c>
      <c r="O3" s="138" t="s">
        <v>1358</v>
      </c>
      <c r="P3" s="138" t="s">
        <v>1359</v>
      </c>
      <c r="Q3" s="138" t="s">
        <v>1360</v>
      </c>
      <c r="R3" s="138" t="s">
        <v>1361</v>
      </c>
      <c r="S3" s="138" t="s">
        <v>1362</v>
      </c>
      <c r="T3" s="138" t="s">
        <v>1363</v>
      </c>
      <c r="U3" s="138" t="s">
        <v>1364</v>
      </c>
      <c r="V3" s="138" t="s">
        <v>1365</v>
      </c>
      <c r="W3" s="138" t="s">
        <v>1366</v>
      </c>
      <c r="X3" s="138" t="s">
        <v>1367</v>
      </c>
      <c r="Y3" s="138" t="s">
        <v>1368</v>
      </c>
      <c r="Z3" s="138" t="s">
        <v>1369</v>
      </c>
      <c r="AA3" s="138" t="s">
        <v>1370</v>
      </c>
      <c r="AB3" s="138" t="s">
        <v>1371</v>
      </c>
      <c r="AC3" s="138" t="s">
        <v>1372</v>
      </c>
      <c r="AD3" s="138" t="s">
        <v>1373</v>
      </c>
      <c r="AE3" s="138" t="s">
        <v>1374</v>
      </c>
      <c r="AF3" s="138" t="s">
        <v>1375</v>
      </c>
      <c r="AG3" s="138" t="s">
        <v>1376</v>
      </c>
      <c r="AH3" s="138" t="s">
        <v>1377</v>
      </c>
      <c r="AI3" s="138" t="s">
        <v>1378</v>
      </c>
      <c r="AJ3" s="138" t="s">
        <v>1379</v>
      </c>
      <c r="AK3" s="138" t="s">
        <v>1380</v>
      </c>
      <c r="AL3" s="138" t="s">
        <v>1381</v>
      </c>
      <c r="AM3" s="138" t="s">
        <v>1382</v>
      </c>
      <c r="AN3" s="138" t="s">
        <v>1383</v>
      </c>
      <c r="AO3" s="138" t="s">
        <v>1384</v>
      </c>
      <c r="AP3" s="138" t="s">
        <v>1385</v>
      </c>
      <c r="AQ3" s="138" t="s">
        <v>1386</v>
      </c>
      <c r="AR3" s="138" t="s">
        <v>1387</v>
      </c>
      <c r="AS3" s="138" t="s">
        <v>1388</v>
      </c>
      <c r="AT3" s="139" t="s">
        <v>1389</v>
      </c>
    </row>
    <row r="4" spans="2:46" ht="12" customHeight="1" x14ac:dyDescent="0.25">
      <c r="B4" s="140" t="s">
        <v>57</v>
      </c>
      <c r="C4" s="141" t="s">
        <v>58</v>
      </c>
      <c r="D4" s="141" t="s">
        <v>25</v>
      </c>
      <c r="E4" s="141" t="s">
        <v>25</v>
      </c>
      <c r="F4" s="141" t="s">
        <v>25</v>
      </c>
      <c r="G4" s="141" t="s">
        <v>25</v>
      </c>
      <c r="H4" s="141" t="s">
        <v>76</v>
      </c>
      <c r="I4" s="141" t="s">
        <v>77</v>
      </c>
      <c r="J4" s="141">
        <v>0</v>
      </c>
      <c r="K4" s="141">
        <v>0</v>
      </c>
      <c r="L4" s="141">
        <v>0</v>
      </c>
      <c r="M4" s="141">
        <v>0</v>
      </c>
      <c r="N4" s="141">
        <v>0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A4" s="141">
        <v>0</v>
      </c>
      <c r="AB4" s="141">
        <v>0</v>
      </c>
      <c r="AC4" s="141">
        <v>0</v>
      </c>
      <c r="AD4" s="141">
        <v>0</v>
      </c>
      <c r="AE4" s="141">
        <v>0</v>
      </c>
      <c r="AF4" s="141">
        <v>0</v>
      </c>
      <c r="AG4" s="141">
        <v>0</v>
      </c>
      <c r="AH4" s="141">
        <v>0</v>
      </c>
      <c r="AI4" s="141">
        <v>0</v>
      </c>
      <c r="AJ4" s="141">
        <v>0</v>
      </c>
      <c r="AK4" s="141">
        <v>0</v>
      </c>
      <c r="AL4" s="141">
        <v>0</v>
      </c>
      <c r="AM4" s="141">
        <v>0</v>
      </c>
      <c r="AN4" s="141">
        <v>0</v>
      </c>
      <c r="AO4" s="141">
        <v>0</v>
      </c>
      <c r="AP4" s="141">
        <v>0</v>
      </c>
      <c r="AQ4" s="141">
        <v>0</v>
      </c>
      <c r="AR4" s="141">
        <v>0</v>
      </c>
      <c r="AS4" s="141">
        <v>0</v>
      </c>
      <c r="AT4" s="142">
        <v>0</v>
      </c>
    </row>
    <row r="5" spans="2:46" ht="12" customHeight="1" x14ac:dyDescent="0.25">
      <c r="B5" s="140" t="s">
        <v>57</v>
      </c>
      <c r="C5" s="141" t="s">
        <v>58</v>
      </c>
      <c r="D5" s="141" t="s">
        <v>25</v>
      </c>
      <c r="E5" s="141" t="s">
        <v>25</v>
      </c>
      <c r="F5" s="141" t="s">
        <v>25</v>
      </c>
      <c r="G5" s="141" t="s">
        <v>25</v>
      </c>
      <c r="H5" s="141" t="s">
        <v>76</v>
      </c>
      <c r="I5" s="141" t="s">
        <v>59</v>
      </c>
      <c r="J5" s="141">
        <v>0.01</v>
      </c>
      <c r="K5" s="141">
        <v>0</v>
      </c>
      <c r="L5" s="141">
        <v>0</v>
      </c>
      <c r="M5" s="141">
        <v>0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0</v>
      </c>
      <c r="Z5" s="141">
        <v>7.0008006038710796E-3</v>
      </c>
      <c r="AA5" s="141">
        <v>0</v>
      </c>
      <c r="AB5" s="141">
        <v>0</v>
      </c>
      <c r="AC5" s="141">
        <v>0</v>
      </c>
      <c r="AD5" s="141">
        <v>0</v>
      </c>
      <c r="AE5" s="141">
        <v>0</v>
      </c>
      <c r="AF5" s="141">
        <v>0</v>
      </c>
      <c r="AG5" s="141">
        <v>0</v>
      </c>
      <c r="AH5" s="141">
        <v>0</v>
      </c>
      <c r="AI5" s="141">
        <v>0</v>
      </c>
      <c r="AJ5" s="141">
        <v>0</v>
      </c>
      <c r="AK5" s="141">
        <v>0</v>
      </c>
      <c r="AL5" s="141">
        <v>0</v>
      </c>
      <c r="AM5" s="141">
        <v>0</v>
      </c>
      <c r="AN5" s="141">
        <v>0</v>
      </c>
      <c r="AO5" s="141">
        <v>0</v>
      </c>
      <c r="AP5" s="141">
        <v>0</v>
      </c>
      <c r="AQ5" s="141">
        <v>0</v>
      </c>
      <c r="AR5" s="141">
        <v>0</v>
      </c>
      <c r="AS5" s="141">
        <v>0</v>
      </c>
      <c r="AT5" s="142">
        <v>0</v>
      </c>
    </row>
    <row r="6" spans="2:46" ht="12" customHeight="1" x14ac:dyDescent="0.25">
      <c r="B6" s="140" t="s">
        <v>39</v>
      </c>
      <c r="C6" s="141" t="s">
        <v>40</v>
      </c>
      <c r="D6" s="141" t="s">
        <v>25</v>
      </c>
      <c r="E6" s="141" t="s">
        <v>25</v>
      </c>
      <c r="F6" s="141" t="s">
        <v>85</v>
      </c>
      <c r="G6" s="141" t="s">
        <v>34</v>
      </c>
      <c r="H6" s="141" t="s">
        <v>79</v>
      </c>
      <c r="I6" s="141" t="s">
        <v>25</v>
      </c>
      <c r="J6" s="141">
        <v>21.52</v>
      </c>
      <c r="K6" s="141">
        <v>0</v>
      </c>
      <c r="L6" s="141">
        <v>0</v>
      </c>
      <c r="M6" s="141">
        <v>0</v>
      </c>
      <c r="N6" s="141">
        <v>0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0</v>
      </c>
      <c r="Z6" s="141">
        <v>0</v>
      </c>
      <c r="AA6" s="141">
        <v>0</v>
      </c>
      <c r="AB6" s="141">
        <v>0</v>
      </c>
      <c r="AC6" s="141">
        <v>0</v>
      </c>
      <c r="AD6" s="141">
        <v>0</v>
      </c>
      <c r="AE6" s="141">
        <v>10.3092662240491</v>
      </c>
      <c r="AF6" s="141">
        <v>0.83355092496745697</v>
      </c>
      <c r="AG6" s="141">
        <v>10.380115892412899</v>
      </c>
      <c r="AH6" s="141">
        <v>0</v>
      </c>
      <c r="AI6" s="141">
        <v>0</v>
      </c>
      <c r="AJ6" s="141">
        <v>0</v>
      </c>
      <c r="AK6" s="141">
        <v>0</v>
      </c>
      <c r="AL6" s="141">
        <v>0</v>
      </c>
      <c r="AM6" s="141">
        <v>0</v>
      </c>
      <c r="AN6" s="141">
        <v>0</v>
      </c>
      <c r="AO6" s="141">
        <v>0</v>
      </c>
      <c r="AP6" s="141">
        <v>0</v>
      </c>
      <c r="AQ6" s="141">
        <v>0</v>
      </c>
      <c r="AR6" s="141">
        <v>0</v>
      </c>
      <c r="AS6" s="141">
        <v>0</v>
      </c>
      <c r="AT6" s="142">
        <v>0</v>
      </c>
    </row>
    <row r="7" spans="2:46" ht="12" customHeight="1" x14ac:dyDescent="0.25">
      <c r="B7" s="140" t="s">
        <v>39</v>
      </c>
      <c r="C7" s="141" t="s">
        <v>40</v>
      </c>
      <c r="D7" s="141" t="s">
        <v>25</v>
      </c>
      <c r="E7" s="141" t="s">
        <v>25</v>
      </c>
      <c r="F7" s="141" t="s">
        <v>85</v>
      </c>
      <c r="G7" s="141" t="s">
        <v>34</v>
      </c>
      <c r="H7" s="141" t="s">
        <v>76</v>
      </c>
      <c r="I7" s="141" t="s">
        <v>25</v>
      </c>
      <c r="J7" s="141">
        <v>0.54</v>
      </c>
      <c r="K7" s="141">
        <v>0</v>
      </c>
      <c r="L7" s="141">
        <v>0</v>
      </c>
      <c r="M7" s="141">
        <v>0</v>
      </c>
      <c r="N7" s="141">
        <v>0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0.47828444080240001</v>
      </c>
      <c r="U7" s="141">
        <v>6.1368684602790699E-2</v>
      </c>
      <c r="V7" s="141">
        <v>0</v>
      </c>
      <c r="W7" s="141">
        <v>0</v>
      </c>
      <c r="X7" s="141">
        <v>0</v>
      </c>
      <c r="Y7" s="141">
        <v>0</v>
      </c>
      <c r="Z7" s="141">
        <v>0</v>
      </c>
      <c r="AA7" s="141">
        <v>0</v>
      </c>
      <c r="AB7" s="141">
        <v>0</v>
      </c>
      <c r="AC7" s="141">
        <v>0</v>
      </c>
      <c r="AD7" s="141">
        <v>0</v>
      </c>
      <c r="AE7" s="141">
        <v>0</v>
      </c>
      <c r="AF7" s="141">
        <v>0</v>
      </c>
      <c r="AG7" s="141">
        <v>0</v>
      </c>
      <c r="AH7" s="141">
        <v>0</v>
      </c>
      <c r="AI7" s="141">
        <v>0</v>
      </c>
      <c r="AJ7" s="141">
        <v>0</v>
      </c>
      <c r="AK7" s="141">
        <v>0</v>
      </c>
      <c r="AL7" s="141">
        <v>0</v>
      </c>
      <c r="AM7" s="141">
        <v>0</v>
      </c>
      <c r="AN7" s="141">
        <v>0</v>
      </c>
      <c r="AO7" s="141">
        <v>0</v>
      </c>
      <c r="AP7" s="141">
        <v>0</v>
      </c>
      <c r="AQ7" s="141">
        <v>0</v>
      </c>
      <c r="AR7" s="141">
        <v>0</v>
      </c>
      <c r="AS7" s="141">
        <v>0</v>
      </c>
      <c r="AT7" s="142">
        <v>0</v>
      </c>
    </row>
    <row r="8" spans="2:46" ht="12" customHeight="1" x14ac:dyDescent="0.25">
      <c r="B8" s="140" t="s">
        <v>39</v>
      </c>
      <c r="C8" s="141" t="s">
        <v>40</v>
      </c>
      <c r="D8" s="141" t="s">
        <v>25</v>
      </c>
      <c r="E8" s="141" t="s">
        <v>25</v>
      </c>
      <c r="F8" s="141" t="s">
        <v>85</v>
      </c>
      <c r="G8" s="141" t="s">
        <v>35</v>
      </c>
      <c r="H8" s="141" t="s">
        <v>79</v>
      </c>
      <c r="I8" s="141" t="s">
        <v>25</v>
      </c>
      <c r="J8" s="141">
        <v>21.52</v>
      </c>
      <c r="K8" s="141">
        <v>0</v>
      </c>
      <c r="L8" s="141">
        <v>0</v>
      </c>
      <c r="M8" s="141">
        <v>0</v>
      </c>
      <c r="N8" s="141">
        <v>0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>
        <v>0</v>
      </c>
      <c r="Z8" s="141">
        <v>0</v>
      </c>
      <c r="AA8" s="141">
        <v>0</v>
      </c>
      <c r="AB8" s="141">
        <v>0</v>
      </c>
      <c r="AC8" s="141">
        <v>0</v>
      </c>
      <c r="AD8" s="141">
        <v>0</v>
      </c>
      <c r="AE8" s="141">
        <v>10.3092662240491</v>
      </c>
      <c r="AF8" s="141">
        <v>0.83355092496745697</v>
      </c>
      <c r="AG8" s="141">
        <v>10.380115892412899</v>
      </c>
      <c r="AH8" s="141">
        <v>0</v>
      </c>
      <c r="AI8" s="141">
        <v>0</v>
      </c>
      <c r="AJ8" s="141">
        <v>0</v>
      </c>
      <c r="AK8" s="141">
        <v>0</v>
      </c>
      <c r="AL8" s="141">
        <v>0</v>
      </c>
      <c r="AM8" s="141">
        <v>0</v>
      </c>
      <c r="AN8" s="141">
        <v>0</v>
      </c>
      <c r="AO8" s="141">
        <v>0</v>
      </c>
      <c r="AP8" s="141">
        <v>0</v>
      </c>
      <c r="AQ8" s="141">
        <v>0</v>
      </c>
      <c r="AR8" s="141">
        <v>0</v>
      </c>
      <c r="AS8" s="141">
        <v>0</v>
      </c>
      <c r="AT8" s="142">
        <v>0</v>
      </c>
    </row>
    <row r="9" spans="2:46" ht="12" customHeight="1" x14ac:dyDescent="0.25">
      <c r="B9" s="140" t="s">
        <v>39</v>
      </c>
      <c r="C9" s="141" t="s">
        <v>40</v>
      </c>
      <c r="D9" s="141" t="s">
        <v>25</v>
      </c>
      <c r="E9" s="141" t="s">
        <v>25</v>
      </c>
      <c r="F9" s="141" t="s">
        <v>85</v>
      </c>
      <c r="G9" s="141" t="s">
        <v>35</v>
      </c>
      <c r="H9" s="141" t="s">
        <v>76</v>
      </c>
      <c r="I9" s="141" t="s">
        <v>25</v>
      </c>
      <c r="J9" s="141">
        <v>0.62</v>
      </c>
      <c r="K9" s="141">
        <v>0</v>
      </c>
      <c r="L9" s="141">
        <v>0</v>
      </c>
      <c r="M9" s="141">
        <v>0</v>
      </c>
      <c r="N9" s="141">
        <v>0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0.546483774199231</v>
      </c>
      <c r="U9" s="141">
        <v>7.2260944335964902E-2</v>
      </c>
      <c r="V9" s="141">
        <v>0</v>
      </c>
      <c r="W9" s="141">
        <v>0</v>
      </c>
      <c r="X9" s="141">
        <v>0</v>
      </c>
      <c r="Y9" s="141">
        <v>0</v>
      </c>
      <c r="Z9" s="141">
        <v>0</v>
      </c>
      <c r="AA9" s="141">
        <v>0</v>
      </c>
      <c r="AB9" s="141">
        <v>0</v>
      </c>
      <c r="AC9" s="141">
        <v>0</v>
      </c>
      <c r="AD9" s="141">
        <v>0</v>
      </c>
      <c r="AE9" s="141">
        <v>0</v>
      </c>
      <c r="AF9" s="141">
        <v>0</v>
      </c>
      <c r="AG9" s="141">
        <v>0</v>
      </c>
      <c r="AH9" s="141">
        <v>0</v>
      </c>
      <c r="AI9" s="141">
        <v>0</v>
      </c>
      <c r="AJ9" s="141">
        <v>0</v>
      </c>
      <c r="AK9" s="141">
        <v>0</v>
      </c>
      <c r="AL9" s="141">
        <v>0</v>
      </c>
      <c r="AM9" s="141">
        <v>0</v>
      </c>
      <c r="AN9" s="141">
        <v>0</v>
      </c>
      <c r="AO9" s="141">
        <v>0</v>
      </c>
      <c r="AP9" s="141">
        <v>0</v>
      </c>
      <c r="AQ9" s="141">
        <v>0</v>
      </c>
      <c r="AR9" s="141">
        <v>0</v>
      </c>
      <c r="AS9" s="141">
        <v>0</v>
      </c>
      <c r="AT9" s="142">
        <v>0</v>
      </c>
    </row>
    <row r="10" spans="2:46" ht="12" customHeight="1" x14ac:dyDescent="0.25">
      <c r="B10" s="140" t="s">
        <v>39</v>
      </c>
      <c r="C10" s="141" t="s">
        <v>40</v>
      </c>
      <c r="D10" s="141" t="s">
        <v>25</v>
      </c>
      <c r="E10" s="141" t="s">
        <v>25</v>
      </c>
      <c r="F10" s="141" t="s">
        <v>25</v>
      </c>
      <c r="G10" s="141" t="s">
        <v>34</v>
      </c>
      <c r="H10" s="141" t="s">
        <v>79</v>
      </c>
      <c r="I10" s="141" t="s">
        <v>25</v>
      </c>
      <c r="J10" s="141">
        <v>37.18</v>
      </c>
      <c r="K10" s="141">
        <v>118.89</v>
      </c>
      <c r="L10" s="141">
        <v>0.67654478073995505</v>
      </c>
      <c r="M10" s="141">
        <v>0</v>
      </c>
      <c r="N10" s="141">
        <v>0</v>
      </c>
      <c r="O10" s="141">
        <v>0</v>
      </c>
      <c r="P10" s="141">
        <v>0</v>
      </c>
      <c r="Q10" s="141">
        <v>9.4003745612462097</v>
      </c>
      <c r="R10" s="141">
        <v>5.5823020080452004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141">
        <v>0</v>
      </c>
      <c r="AA10" s="141">
        <v>0</v>
      </c>
      <c r="AB10" s="141">
        <v>0</v>
      </c>
      <c r="AC10" s="141">
        <v>0</v>
      </c>
      <c r="AD10" s="141">
        <v>0</v>
      </c>
      <c r="AE10" s="141">
        <v>10.3092662240491</v>
      </c>
      <c r="AF10" s="141">
        <v>0.83355092496745697</v>
      </c>
      <c r="AG10" s="141">
        <v>10.380115892412899</v>
      </c>
      <c r="AH10" s="141">
        <v>0</v>
      </c>
      <c r="AI10" s="141">
        <v>0.53331219842864797</v>
      </c>
      <c r="AJ10" s="141">
        <v>0</v>
      </c>
      <c r="AK10" s="141">
        <v>0</v>
      </c>
      <c r="AL10" s="141">
        <v>19.8275951015445</v>
      </c>
      <c r="AM10" s="141">
        <v>0</v>
      </c>
      <c r="AN10" s="141">
        <v>96.874521556843604</v>
      </c>
      <c r="AO10" s="141">
        <v>0</v>
      </c>
      <c r="AP10" s="141">
        <v>0</v>
      </c>
      <c r="AQ10" s="141">
        <v>0</v>
      </c>
      <c r="AR10" s="141">
        <v>0</v>
      </c>
      <c r="AS10" s="141">
        <v>0</v>
      </c>
      <c r="AT10" s="142">
        <v>1.65858361384346</v>
      </c>
    </row>
    <row r="11" spans="2:46" ht="12" customHeight="1" x14ac:dyDescent="0.25">
      <c r="B11" s="140" t="s">
        <v>39</v>
      </c>
      <c r="C11" s="141" t="s">
        <v>40</v>
      </c>
      <c r="D11" s="141" t="s">
        <v>25</v>
      </c>
      <c r="E11" s="141" t="s">
        <v>25</v>
      </c>
      <c r="F11" s="141" t="s">
        <v>25</v>
      </c>
      <c r="G11" s="141" t="s">
        <v>34</v>
      </c>
      <c r="H11" s="141" t="s">
        <v>76</v>
      </c>
      <c r="I11" s="141" t="s">
        <v>25</v>
      </c>
      <c r="J11" s="141">
        <v>0.54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0.47828444080240001</v>
      </c>
      <c r="U11" s="141">
        <v>6.1368684602790699E-2</v>
      </c>
      <c r="V11" s="141">
        <v>0</v>
      </c>
      <c r="W11" s="141">
        <v>0</v>
      </c>
      <c r="X11" s="141">
        <v>0</v>
      </c>
      <c r="Y11" s="141">
        <v>0</v>
      </c>
      <c r="Z11" s="141">
        <v>0</v>
      </c>
      <c r="AA11" s="141">
        <v>0</v>
      </c>
      <c r="AB11" s="141">
        <v>0</v>
      </c>
      <c r="AC11" s="141">
        <v>0</v>
      </c>
      <c r="AD11" s="141">
        <v>0</v>
      </c>
      <c r="AE11" s="141">
        <v>0</v>
      </c>
      <c r="AF11" s="141">
        <v>0</v>
      </c>
      <c r="AG11" s="141">
        <v>0</v>
      </c>
      <c r="AH11" s="141">
        <v>0</v>
      </c>
      <c r="AI11" s="141">
        <v>0</v>
      </c>
      <c r="AJ11" s="141">
        <v>0</v>
      </c>
      <c r="AK11" s="141">
        <v>0</v>
      </c>
      <c r="AL11" s="141">
        <v>0</v>
      </c>
      <c r="AM11" s="141">
        <v>0</v>
      </c>
      <c r="AN11" s="141">
        <v>0</v>
      </c>
      <c r="AO11" s="141">
        <v>0</v>
      </c>
      <c r="AP11" s="141">
        <v>0</v>
      </c>
      <c r="AQ11" s="141">
        <v>0</v>
      </c>
      <c r="AR11" s="141">
        <v>0</v>
      </c>
      <c r="AS11" s="141">
        <v>0</v>
      </c>
      <c r="AT11" s="142">
        <v>0</v>
      </c>
    </row>
    <row r="12" spans="2:46" ht="12" customHeight="1" x14ac:dyDescent="0.25">
      <c r="B12" s="140" t="s">
        <v>39</v>
      </c>
      <c r="C12" s="141" t="s">
        <v>40</v>
      </c>
      <c r="D12" s="141" t="s">
        <v>25</v>
      </c>
      <c r="E12" s="141" t="s">
        <v>25</v>
      </c>
      <c r="F12" s="141" t="s">
        <v>25</v>
      </c>
      <c r="G12" s="141" t="s">
        <v>35</v>
      </c>
      <c r="H12" s="141" t="s">
        <v>79</v>
      </c>
      <c r="I12" s="141" t="s">
        <v>25</v>
      </c>
      <c r="J12" s="141">
        <v>37.18</v>
      </c>
      <c r="K12" s="141">
        <v>78.34</v>
      </c>
      <c r="L12" s="141">
        <v>0.67654478073995505</v>
      </c>
      <c r="M12" s="141">
        <v>0</v>
      </c>
      <c r="N12" s="141">
        <v>0</v>
      </c>
      <c r="O12" s="141">
        <v>0</v>
      </c>
      <c r="P12" s="141">
        <v>0</v>
      </c>
      <c r="Q12" s="141">
        <v>9.4003745612462097</v>
      </c>
      <c r="R12" s="141">
        <v>5.5823020080452004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10.3092662240491</v>
      </c>
      <c r="AF12" s="141">
        <v>0.83355092496745697</v>
      </c>
      <c r="AG12" s="141">
        <v>10.380115892412899</v>
      </c>
      <c r="AH12" s="141">
        <v>0</v>
      </c>
      <c r="AI12" s="141">
        <v>0.53331219842864797</v>
      </c>
      <c r="AJ12" s="141">
        <v>0</v>
      </c>
      <c r="AK12" s="141">
        <v>0</v>
      </c>
      <c r="AL12" s="141">
        <v>19.8275951015445</v>
      </c>
      <c r="AM12" s="141">
        <v>0</v>
      </c>
      <c r="AN12" s="141">
        <v>56.322396253978901</v>
      </c>
      <c r="AO12" s="141">
        <v>0</v>
      </c>
      <c r="AP12" s="141">
        <v>0</v>
      </c>
      <c r="AQ12" s="141">
        <v>0</v>
      </c>
      <c r="AR12" s="141">
        <v>0</v>
      </c>
      <c r="AS12" s="141">
        <v>0</v>
      </c>
      <c r="AT12" s="142">
        <v>1.65858361384346</v>
      </c>
    </row>
    <row r="13" spans="2:46" ht="12" customHeight="1" x14ac:dyDescent="0.25">
      <c r="B13" s="140" t="s">
        <v>39</v>
      </c>
      <c r="C13" s="141" t="s">
        <v>40</v>
      </c>
      <c r="D13" s="141" t="s">
        <v>25</v>
      </c>
      <c r="E13" s="141" t="s">
        <v>25</v>
      </c>
      <c r="F13" s="141" t="s">
        <v>25</v>
      </c>
      <c r="G13" s="141" t="s">
        <v>35</v>
      </c>
      <c r="H13" s="141" t="s">
        <v>76</v>
      </c>
      <c r="I13" s="141" t="s">
        <v>25</v>
      </c>
      <c r="J13" s="141">
        <v>0.62</v>
      </c>
      <c r="K13" s="141">
        <v>0</v>
      </c>
      <c r="L13" s="141">
        <v>0</v>
      </c>
      <c r="M13" s="141">
        <v>0</v>
      </c>
      <c r="N13" s="141">
        <v>0</v>
      </c>
      <c r="O13" s="141">
        <v>0</v>
      </c>
      <c r="P13" s="141">
        <v>0</v>
      </c>
      <c r="Q13" s="141">
        <v>0</v>
      </c>
      <c r="R13" s="141">
        <v>0</v>
      </c>
      <c r="S13" s="141">
        <v>0</v>
      </c>
      <c r="T13" s="141">
        <v>0.546483774199231</v>
      </c>
      <c r="U13" s="141">
        <v>7.2260944335964902E-2</v>
      </c>
      <c r="V13" s="141">
        <v>0</v>
      </c>
      <c r="W13" s="141">
        <v>0</v>
      </c>
      <c r="X13" s="141">
        <v>0</v>
      </c>
      <c r="Y13" s="141">
        <v>0</v>
      </c>
      <c r="Z13" s="141">
        <v>0</v>
      </c>
      <c r="AA13" s="141">
        <v>0</v>
      </c>
      <c r="AB13" s="141">
        <v>0</v>
      </c>
      <c r="AC13" s="141">
        <v>0</v>
      </c>
      <c r="AD13" s="141">
        <v>0</v>
      </c>
      <c r="AE13" s="141">
        <v>0</v>
      </c>
      <c r="AF13" s="141">
        <v>0</v>
      </c>
      <c r="AG13" s="141">
        <v>0</v>
      </c>
      <c r="AH13" s="141">
        <v>0</v>
      </c>
      <c r="AI13" s="141">
        <v>0</v>
      </c>
      <c r="AJ13" s="141">
        <v>0</v>
      </c>
      <c r="AK13" s="141">
        <v>0</v>
      </c>
      <c r="AL13" s="141">
        <v>0</v>
      </c>
      <c r="AM13" s="141">
        <v>0</v>
      </c>
      <c r="AN13" s="141">
        <v>0</v>
      </c>
      <c r="AO13" s="141">
        <v>0</v>
      </c>
      <c r="AP13" s="141">
        <v>0</v>
      </c>
      <c r="AQ13" s="141">
        <v>0</v>
      </c>
      <c r="AR13" s="141">
        <v>0</v>
      </c>
      <c r="AS13" s="141">
        <v>0</v>
      </c>
      <c r="AT13" s="142">
        <v>0</v>
      </c>
    </row>
    <row r="14" spans="2:46" ht="12" customHeight="1" x14ac:dyDescent="0.25">
      <c r="B14" s="140" t="s">
        <v>42</v>
      </c>
      <c r="C14" s="141" t="s">
        <v>40</v>
      </c>
      <c r="D14" s="141" t="s">
        <v>25</v>
      </c>
      <c r="E14" s="141" t="s">
        <v>25</v>
      </c>
      <c r="F14" s="141" t="s">
        <v>85</v>
      </c>
      <c r="G14" s="141" t="s">
        <v>34</v>
      </c>
      <c r="H14" s="141" t="s">
        <v>79</v>
      </c>
      <c r="I14" s="141" t="s">
        <v>25</v>
      </c>
      <c r="J14" s="141">
        <v>30.58</v>
      </c>
      <c r="K14" s="141">
        <v>0</v>
      </c>
      <c r="L14" s="141">
        <v>0</v>
      </c>
      <c r="M14" s="141">
        <v>0</v>
      </c>
      <c r="N14" s="141">
        <v>0</v>
      </c>
      <c r="O14" s="141">
        <v>0</v>
      </c>
      <c r="P14" s="141">
        <v>0</v>
      </c>
      <c r="Q14" s="141">
        <v>0</v>
      </c>
      <c r="R14" s="141">
        <v>0</v>
      </c>
      <c r="S14" s="141">
        <v>0</v>
      </c>
      <c r="T14" s="141">
        <v>0</v>
      </c>
      <c r="U14" s="141">
        <v>0</v>
      </c>
      <c r="V14" s="141">
        <v>0</v>
      </c>
      <c r="W14" s="141">
        <v>0</v>
      </c>
      <c r="X14" s="141">
        <v>0</v>
      </c>
      <c r="Y14" s="141">
        <v>0</v>
      </c>
      <c r="Z14" s="141">
        <v>0</v>
      </c>
      <c r="AA14" s="141">
        <v>0</v>
      </c>
      <c r="AB14" s="141">
        <v>0</v>
      </c>
      <c r="AC14" s="141">
        <v>0</v>
      </c>
      <c r="AD14" s="141">
        <v>0</v>
      </c>
      <c r="AE14" s="141">
        <v>10.3092662240491</v>
      </c>
      <c r="AF14" s="141">
        <v>0.83355092496745697</v>
      </c>
      <c r="AG14" s="141">
        <v>19.436658899520499</v>
      </c>
      <c r="AH14" s="141">
        <v>0</v>
      </c>
      <c r="AI14" s="141">
        <v>0</v>
      </c>
      <c r="AJ14" s="141">
        <v>0</v>
      </c>
      <c r="AK14" s="141">
        <v>0</v>
      </c>
      <c r="AL14" s="141">
        <v>0</v>
      </c>
      <c r="AM14" s="141">
        <v>0</v>
      </c>
      <c r="AN14" s="141">
        <v>0</v>
      </c>
      <c r="AO14" s="141">
        <v>0</v>
      </c>
      <c r="AP14" s="141">
        <v>0</v>
      </c>
      <c r="AQ14" s="141">
        <v>0</v>
      </c>
      <c r="AR14" s="141">
        <v>0</v>
      </c>
      <c r="AS14" s="141">
        <v>0</v>
      </c>
      <c r="AT14" s="142">
        <v>0</v>
      </c>
    </row>
    <row r="15" spans="2:46" ht="12" customHeight="1" x14ac:dyDescent="0.25">
      <c r="B15" s="140" t="s">
        <v>42</v>
      </c>
      <c r="C15" s="141" t="s">
        <v>40</v>
      </c>
      <c r="D15" s="141" t="s">
        <v>25</v>
      </c>
      <c r="E15" s="141" t="s">
        <v>25</v>
      </c>
      <c r="F15" s="141" t="s">
        <v>85</v>
      </c>
      <c r="G15" s="141" t="s">
        <v>34</v>
      </c>
      <c r="H15" s="141" t="s">
        <v>76</v>
      </c>
      <c r="I15" s="141" t="s">
        <v>25</v>
      </c>
      <c r="J15" s="141">
        <v>0.54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0.47828444080240001</v>
      </c>
      <c r="U15" s="141">
        <v>6.1368684602790699E-2</v>
      </c>
      <c r="V15" s="141">
        <v>0</v>
      </c>
      <c r="W15" s="141">
        <v>0</v>
      </c>
      <c r="X15" s="141">
        <v>0</v>
      </c>
      <c r="Y15" s="141">
        <v>0</v>
      </c>
      <c r="Z15" s="141">
        <v>0</v>
      </c>
      <c r="AA15" s="141">
        <v>0</v>
      </c>
      <c r="AB15" s="141">
        <v>0</v>
      </c>
      <c r="AC15" s="141">
        <v>0</v>
      </c>
      <c r="AD15" s="141">
        <v>0</v>
      </c>
      <c r="AE15" s="141">
        <v>0</v>
      </c>
      <c r="AF15" s="141">
        <v>0</v>
      </c>
      <c r="AG15" s="141">
        <v>0</v>
      </c>
      <c r="AH15" s="141">
        <v>0</v>
      </c>
      <c r="AI15" s="141">
        <v>0</v>
      </c>
      <c r="AJ15" s="141">
        <v>0</v>
      </c>
      <c r="AK15" s="141">
        <v>0</v>
      </c>
      <c r="AL15" s="141">
        <v>0</v>
      </c>
      <c r="AM15" s="141">
        <v>0</v>
      </c>
      <c r="AN15" s="141">
        <v>0</v>
      </c>
      <c r="AO15" s="141">
        <v>0</v>
      </c>
      <c r="AP15" s="141">
        <v>0</v>
      </c>
      <c r="AQ15" s="141">
        <v>0</v>
      </c>
      <c r="AR15" s="141">
        <v>0</v>
      </c>
      <c r="AS15" s="141">
        <v>0</v>
      </c>
      <c r="AT15" s="142">
        <v>0</v>
      </c>
    </row>
    <row r="16" spans="2:46" ht="12" customHeight="1" x14ac:dyDescent="0.25">
      <c r="B16" s="140" t="s">
        <v>42</v>
      </c>
      <c r="C16" s="141" t="s">
        <v>40</v>
      </c>
      <c r="D16" s="141" t="s">
        <v>25</v>
      </c>
      <c r="E16" s="141" t="s">
        <v>25</v>
      </c>
      <c r="F16" s="141" t="s">
        <v>85</v>
      </c>
      <c r="G16" s="141" t="s">
        <v>35</v>
      </c>
      <c r="H16" s="141" t="s">
        <v>79</v>
      </c>
      <c r="I16" s="141" t="s">
        <v>25</v>
      </c>
      <c r="J16" s="141">
        <v>30.58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10.3092662240491</v>
      </c>
      <c r="AF16" s="141">
        <v>0.83355092496745697</v>
      </c>
      <c r="AG16" s="141">
        <v>19.436658899520499</v>
      </c>
      <c r="AH16" s="141">
        <v>0</v>
      </c>
      <c r="AI16" s="141">
        <v>0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0</v>
      </c>
      <c r="AP16" s="141">
        <v>0</v>
      </c>
      <c r="AQ16" s="141">
        <v>0</v>
      </c>
      <c r="AR16" s="141">
        <v>0</v>
      </c>
      <c r="AS16" s="141">
        <v>0</v>
      </c>
      <c r="AT16" s="142">
        <v>0</v>
      </c>
    </row>
    <row r="17" spans="2:46" ht="12" customHeight="1" x14ac:dyDescent="0.25">
      <c r="B17" s="140" t="s">
        <v>42</v>
      </c>
      <c r="C17" s="141" t="s">
        <v>40</v>
      </c>
      <c r="D17" s="141" t="s">
        <v>25</v>
      </c>
      <c r="E17" s="141" t="s">
        <v>25</v>
      </c>
      <c r="F17" s="141" t="s">
        <v>85</v>
      </c>
      <c r="G17" s="141" t="s">
        <v>35</v>
      </c>
      <c r="H17" s="141" t="s">
        <v>76</v>
      </c>
      <c r="I17" s="141" t="s">
        <v>25</v>
      </c>
      <c r="J17" s="141">
        <v>0.3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0.26292066408175302</v>
      </c>
      <c r="U17" s="141">
        <v>3.4764869350164797E-2</v>
      </c>
      <c r="V17" s="141">
        <v>0</v>
      </c>
      <c r="W17" s="141">
        <v>0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1">
        <v>0</v>
      </c>
      <c r="AS17" s="141">
        <v>0</v>
      </c>
      <c r="AT17" s="142">
        <v>0</v>
      </c>
    </row>
    <row r="18" spans="2:46" ht="12" customHeight="1" x14ac:dyDescent="0.25">
      <c r="B18" s="140" t="s">
        <v>42</v>
      </c>
      <c r="C18" s="141" t="s">
        <v>40</v>
      </c>
      <c r="D18" s="141" t="s">
        <v>25</v>
      </c>
      <c r="E18" s="141" t="s">
        <v>25</v>
      </c>
      <c r="F18" s="141" t="s">
        <v>25</v>
      </c>
      <c r="G18" s="141" t="s">
        <v>34</v>
      </c>
      <c r="H18" s="141" t="s">
        <v>79</v>
      </c>
      <c r="I18" s="141" t="s">
        <v>25</v>
      </c>
      <c r="J18" s="141">
        <v>49.81</v>
      </c>
      <c r="K18" s="141">
        <v>118.89</v>
      </c>
      <c r="L18" s="141">
        <v>0.91660905777671398</v>
      </c>
      <c r="M18" s="141">
        <v>0</v>
      </c>
      <c r="N18" s="141">
        <v>0</v>
      </c>
      <c r="O18" s="141">
        <v>0</v>
      </c>
      <c r="P18" s="141">
        <v>0</v>
      </c>
      <c r="Q18" s="141">
        <v>12.735991341043199</v>
      </c>
      <c r="R18" s="141">
        <v>5.5823020080452004</v>
      </c>
      <c r="S18" s="141">
        <v>0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0</v>
      </c>
      <c r="Z18" s="141">
        <v>0</v>
      </c>
      <c r="AA18" s="141">
        <v>0</v>
      </c>
      <c r="AB18" s="141">
        <v>0</v>
      </c>
      <c r="AC18" s="141">
        <v>0</v>
      </c>
      <c r="AD18" s="141">
        <v>0</v>
      </c>
      <c r="AE18" s="141">
        <v>10.3092662240491</v>
      </c>
      <c r="AF18" s="141">
        <v>0.83355092496745697</v>
      </c>
      <c r="AG18" s="141">
        <v>19.436658899520499</v>
      </c>
      <c r="AH18" s="141">
        <v>0</v>
      </c>
      <c r="AI18" s="141">
        <v>0.53331219842864797</v>
      </c>
      <c r="AJ18" s="141">
        <v>0</v>
      </c>
      <c r="AK18" s="141">
        <v>0</v>
      </c>
      <c r="AL18" s="141">
        <v>19.8275951015445</v>
      </c>
      <c r="AM18" s="141">
        <v>0</v>
      </c>
      <c r="AN18" s="141">
        <v>96.874521556843604</v>
      </c>
      <c r="AO18" s="141">
        <v>0</v>
      </c>
      <c r="AP18" s="141">
        <v>0</v>
      </c>
      <c r="AQ18" s="141">
        <v>0</v>
      </c>
      <c r="AR18" s="141">
        <v>0</v>
      </c>
      <c r="AS18" s="141">
        <v>0</v>
      </c>
      <c r="AT18" s="142">
        <v>1.65858361384346</v>
      </c>
    </row>
    <row r="19" spans="2:46" ht="12" customHeight="1" x14ac:dyDescent="0.25">
      <c r="B19" s="140" t="s">
        <v>42</v>
      </c>
      <c r="C19" s="141" t="s">
        <v>40</v>
      </c>
      <c r="D19" s="141" t="s">
        <v>25</v>
      </c>
      <c r="E19" s="141" t="s">
        <v>25</v>
      </c>
      <c r="F19" s="141" t="s">
        <v>25</v>
      </c>
      <c r="G19" s="141" t="s">
        <v>34</v>
      </c>
      <c r="H19" s="141" t="s">
        <v>76</v>
      </c>
      <c r="I19" s="141" t="s">
        <v>25</v>
      </c>
      <c r="J19" s="141">
        <v>0.54</v>
      </c>
      <c r="K19" s="141">
        <v>0</v>
      </c>
      <c r="L19" s="141">
        <v>0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0.47828444080240001</v>
      </c>
      <c r="U19" s="141">
        <v>6.1368684602790699E-2</v>
      </c>
      <c r="V19" s="141">
        <v>0</v>
      </c>
      <c r="W19" s="141">
        <v>0</v>
      </c>
      <c r="X19" s="141">
        <v>0</v>
      </c>
      <c r="Y19" s="141">
        <v>0</v>
      </c>
      <c r="Z19" s="141">
        <v>0</v>
      </c>
      <c r="AA19" s="141">
        <v>0</v>
      </c>
      <c r="AB19" s="141">
        <v>0</v>
      </c>
      <c r="AC19" s="141">
        <v>0</v>
      </c>
      <c r="AD19" s="141">
        <v>0</v>
      </c>
      <c r="AE19" s="141">
        <v>0</v>
      </c>
      <c r="AF19" s="141">
        <v>0</v>
      </c>
      <c r="AG19" s="141">
        <v>0</v>
      </c>
      <c r="AH19" s="141">
        <v>0</v>
      </c>
      <c r="AI19" s="141">
        <v>0</v>
      </c>
      <c r="AJ19" s="141">
        <v>0</v>
      </c>
      <c r="AK19" s="141">
        <v>0</v>
      </c>
      <c r="AL19" s="141">
        <v>0</v>
      </c>
      <c r="AM19" s="141">
        <v>0</v>
      </c>
      <c r="AN19" s="141">
        <v>0</v>
      </c>
      <c r="AO19" s="141">
        <v>0</v>
      </c>
      <c r="AP19" s="141">
        <v>0</v>
      </c>
      <c r="AQ19" s="141">
        <v>0</v>
      </c>
      <c r="AR19" s="141">
        <v>0</v>
      </c>
      <c r="AS19" s="141">
        <v>0</v>
      </c>
      <c r="AT19" s="142">
        <v>0</v>
      </c>
    </row>
    <row r="20" spans="2:46" ht="12" customHeight="1" x14ac:dyDescent="0.25">
      <c r="B20" s="140" t="s">
        <v>42</v>
      </c>
      <c r="C20" s="141" t="s">
        <v>40</v>
      </c>
      <c r="D20" s="141" t="s">
        <v>25</v>
      </c>
      <c r="E20" s="141" t="s">
        <v>25</v>
      </c>
      <c r="F20" s="141" t="s">
        <v>25</v>
      </c>
      <c r="G20" s="141" t="s">
        <v>35</v>
      </c>
      <c r="H20" s="141" t="s">
        <v>79</v>
      </c>
      <c r="I20" s="141" t="s">
        <v>25</v>
      </c>
      <c r="J20" s="141">
        <v>49.81</v>
      </c>
      <c r="K20" s="141">
        <v>78.34</v>
      </c>
      <c r="L20" s="141">
        <v>0.91660905777671398</v>
      </c>
      <c r="M20" s="141">
        <v>0</v>
      </c>
      <c r="N20" s="141">
        <v>0</v>
      </c>
      <c r="O20" s="141">
        <v>0</v>
      </c>
      <c r="P20" s="141">
        <v>0</v>
      </c>
      <c r="Q20" s="141">
        <v>12.735991341043199</v>
      </c>
      <c r="R20" s="141">
        <v>5.5823020080452004</v>
      </c>
      <c r="S20" s="141">
        <v>0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0</v>
      </c>
      <c r="Z20" s="141">
        <v>0</v>
      </c>
      <c r="AA20" s="141">
        <v>0</v>
      </c>
      <c r="AB20" s="141">
        <v>0</v>
      </c>
      <c r="AC20" s="141">
        <v>0</v>
      </c>
      <c r="AD20" s="141">
        <v>0</v>
      </c>
      <c r="AE20" s="141">
        <v>10.3092662240491</v>
      </c>
      <c r="AF20" s="141">
        <v>0.83355092496745697</v>
      </c>
      <c r="AG20" s="141">
        <v>19.436658899520499</v>
      </c>
      <c r="AH20" s="141">
        <v>0</v>
      </c>
      <c r="AI20" s="141">
        <v>0.53331219842864797</v>
      </c>
      <c r="AJ20" s="141">
        <v>0</v>
      </c>
      <c r="AK20" s="141">
        <v>0</v>
      </c>
      <c r="AL20" s="141">
        <v>19.8275951015445</v>
      </c>
      <c r="AM20" s="141">
        <v>0</v>
      </c>
      <c r="AN20" s="141">
        <v>56.322396253978901</v>
      </c>
      <c r="AO20" s="141">
        <v>0</v>
      </c>
      <c r="AP20" s="141">
        <v>0</v>
      </c>
      <c r="AQ20" s="141">
        <v>0</v>
      </c>
      <c r="AR20" s="141">
        <v>0</v>
      </c>
      <c r="AS20" s="141">
        <v>0</v>
      </c>
      <c r="AT20" s="142">
        <v>1.65858361384346</v>
      </c>
    </row>
    <row r="21" spans="2:46" ht="12" customHeight="1" x14ac:dyDescent="0.25">
      <c r="B21" s="140" t="s">
        <v>42</v>
      </c>
      <c r="C21" s="141" t="s">
        <v>40</v>
      </c>
      <c r="D21" s="141" t="s">
        <v>25</v>
      </c>
      <c r="E21" s="141" t="s">
        <v>25</v>
      </c>
      <c r="F21" s="141" t="s">
        <v>25</v>
      </c>
      <c r="G21" s="141" t="s">
        <v>35</v>
      </c>
      <c r="H21" s="141" t="s">
        <v>76</v>
      </c>
      <c r="I21" s="141" t="s">
        <v>25</v>
      </c>
      <c r="J21" s="141">
        <v>0.3</v>
      </c>
      <c r="K21" s="141">
        <v>0</v>
      </c>
      <c r="L21" s="141">
        <v>0</v>
      </c>
      <c r="M21" s="141">
        <v>0</v>
      </c>
      <c r="N21" s="141">
        <v>0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0.26292066408175302</v>
      </c>
      <c r="U21" s="141">
        <v>3.4764869350164797E-2</v>
      </c>
      <c r="V21" s="141">
        <v>0</v>
      </c>
      <c r="W21" s="141">
        <v>0</v>
      </c>
      <c r="X21" s="141">
        <v>0</v>
      </c>
      <c r="Y21" s="141">
        <v>0</v>
      </c>
      <c r="Z21" s="141">
        <v>0</v>
      </c>
      <c r="AA21" s="141">
        <v>0</v>
      </c>
      <c r="AB21" s="141">
        <v>0</v>
      </c>
      <c r="AC21" s="141">
        <v>0</v>
      </c>
      <c r="AD21" s="141">
        <v>0</v>
      </c>
      <c r="AE21" s="141">
        <v>0</v>
      </c>
      <c r="AF21" s="141">
        <v>0</v>
      </c>
      <c r="AG21" s="141">
        <v>0</v>
      </c>
      <c r="AH21" s="141">
        <v>0</v>
      </c>
      <c r="AI21" s="141">
        <v>0</v>
      </c>
      <c r="AJ21" s="141">
        <v>0</v>
      </c>
      <c r="AK21" s="141">
        <v>0</v>
      </c>
      <c r="AL21" s="141">
        <v>0</v>
      </c>
      <c r="AM21" s="141">
        <v>0</v>
      </c>
      <c r="AN21" s="141">
        <v>0</v>
      </c>
      <c r="AO21" s="141">
        <v>0</v>
      </c>
      <c r="AP21" s="141">
        <v>0</v>
      </c>
      <c r="AQ21" s="141">
        <v>0</v>
      </c>
      <c r="AR21" s="141">
        <v>0</v>
      </c>
      <c r="AS21" s="141">
        <v>0</v>
      </c>
      <c r="AT21" s="142">
        <v>0</v>
      </c>
    </row>
    <row r="22" spans="2:46" ht="12" customHeight="1" x14ac:dyDescent="0.25">
      <c r="B22" s="140" t="s">
        <v>42</v>
      </c>
      <c r="C22" s="141" t="s">
        <v>23</v>
      </c>
      <c r="D22" s="141" t="s">
        <v>25</v>
      </c>
      <c r="E22" s="141" t="s">
        <v>25</v>
      </c>
      <c r="F22" s="141" t="s">
        <v>25</v>
      </c>
      <c r="G22" s="141" t="s">
        <v>25</v>
      </c>
      <c r="H22" s="141" t="s">
        <v>79</v>
      </c>
      <c r="I22" s="141" t="s">
        <v>25</v>
      </c>
      <c r="J22" s="141">
        <v>0</v>
      </c>
      <c r="K22" s="141">
        <v>81.72</v>
      </c>
      <c r="L22" s="141">
        <v>0</v>
      </c>
      <c r="M22" s="141">
        <v>0</v>
      </c>
      <c r="N22" s="141">
        <v>0</v>
      </c>
      <c r="O22" s="141">
        <v>0</v>
      </c>
      <c r="P22" s="141">
        <v>0</v>
      </c>
      <c r="Q22" s="141">
        <v>0</v>
      </c>
      <c r="R22" s="141">
        <v>0</v>
      </c>
      <c r="S22" s="141">
        <v>0</v>
      </c>
      <c r="T22" s="141">
        <v>0</v>
      </c>
      <c r="U22" s="141">
        <v>0</v>
      </c>
      <c r="V22" s="141">
        <v>0</v>
      </c>
      <c r="W22" s="141">
        <v>0</v>
      </c>
      <c r="X22" s="141">
        <v>0</v>
      </c>
      <c r="Y22" s="141">
        <v>0</v>
      </c>
      <c r="Z22" s="141">
        <v>0</v>
      </c>
      <c r="AA22" s="141">
        <v>0</v>
      </c>
      <c r="AB22" s="141">
        <v>0</v>
      </c>
      <c r="AC22" s="141">
        <v>0</v>
      </c>
      <c r="AD22" s="141">
        <v>0</v>
      </c>
      <c r="AE22" s="141">
        <v>0</v>
      </c>
      <c r="AF22" s="141">
        <v>0</v>
      </c>
      <c r="AG22" s="141">
        <v>0</v>
      </c>
      <c r="AH22" s="141">
        <v>0</v>
      </c>
      <c r="AI22" s="141">
        <v>0.53331219842864797</v>
      </c>
      <c r="AJ22" s="141">
        <v>0</v>
      </c>
      <c r="AK22" s="141">
        <v>0</v>
      </c>
      <c r="AL22" s="141">
        <v>19.8275951015445</v>
      </c>
      <c r="AM22" s="141">
        <v>0</v>
      </c>
      <c r="AN22" s="141">
        <v>59.701740029217603</v>
      </c>
      <c r="AO22" s="141">
        <v>0</v>
      </c>
      <c r="AP22" s="141">
        <v>0</v>
      </c>
      <c r="AQ22" s="141">
        <v>0</v>
      </c>
      <c r="AR22" s="141">
        <v>0</v>
      </c>
      <c r="AS22" s="141">
        <v>0</v>
      </c>
      <c r="AT22" s="142">
        <v>1.65858361384346</v>
      </c>
    </row>
    <row r="23" spans="2:46" ht="12" customHeight="1" x14ac:dyDescent="0.25">
      <c r="B23" s="140" t="s">
        <v>42</v>
      </c>
      <c r="C23" s="141" t="s">
        <v>58</v>
      </c>
      <c r="D23" s="141" t="s">
        <v>25</v>
      </c>
      <c r="E23" s="141" t="s">
        <v>25</v>
      </c>
      <c r="F23" s="141" t="s">
        <v>25</v>
      </c>
      <c r="G23" s="141" t="s">
        <v>25</v>
      </c>
      <c r="H23" s="141" t="s">
        <v>76</v>
      </c>
      <c r="I23" s="141" t="s">
        <v>25</v>
      </c>
      <c r="J23" s="141">
        <v>0</v>
      </c>
      <c r="K23" s="141">
        <v>0</v>
      </c>
      <c r="L23" s="141">
        <v>0</v>
      </c>
      <c r="M23" s="141">
        <v>0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0</v>
      </c>
      <c r="Z23" s="141">
        <v>0</v>
      </c>
      <c r="AA23" s="141">
        <v>0</v>
      </c>
      <c r="AB23" s="141">
        <v>0</v>
      </c>
      <c r="AC23" s="141">
        <v>0</v>
      </c>
      <c r="AD23" s="141">
        <v>0</v>
      </c>
      <c r="AE23" s="141">
        <v>0</v>
      </c>
      <c r="AF23" s="141">
        <v>0</v>
      </c>
      <c r="AG23" s="141">
        <v>0</v>
      </c>
      <c r="AH23" s="141">
        <v>0</v>
      </c>
      <c r="AI23" s="141">
        <v>0</v>
      </c>
      <c r="AJ23" s="141">
        <v>0</v>
      </c>
      <c r="AK23" s="141">
        <v>0</v>
      </c>
      <c r="AL23" s="141">
        <v>0</v>
      </c>
      <c r="AM23" s="141">
        <v>0</v>
      </c>
      <c r="AN23" s="141">
        <v>0</v>
      </c>
      <c r="AO23" s="141">
        <v>0</v>
      </c>
      <c r="AP23" s="141">
        <v>0</v>
      </c>
      <c r="AQ23" s="141">
        <v>0</v>
      </c>
      <c r="AR23" s="141">
        <v>0</v>
      </c>
      <c r="AS23" s="141">
        <v>0</v>
      </c>
      <c r="AT23" s="142">
        <v>0</v>
      </c>
    </row>
    <row r="24" spans="2:46" ht="12" customHeight="1" x14ac:dyDescent="0.25">
      <c r="B24" s="140" t="s">
        <v>42</v>
      </c>
      <c r="C24" s="141" t="s">
        <v>43</v>
      </c>
      <c r="D24" s="141" t="s">
        <v>25</v>
      </c>
      <c r="E24" s="141" t="s">
        <v>25</v>
      </c>
      <c r="F24" s="141" t="s">
        <v>85</v>
      </c>
      <c r="G24" s="141" t="s">
        <v>34</v>
      </c>
      <c r="H24" s="141" t="s">
        <v>79</v>
      </c>
      <c r="I24" s="141" t="s">
        <v>25</v>
      </c>
      <c r="J24" s="141">
        <v>43.56</v>
      </c>
      <c r="K24" s="141">
        <v>0</v>
      </c>
      <c r="L24" s="141">
        <v>0</v>
      </c>
      <c r="M24" s="141">
        <v>0</v>
      </c>
      <c r="N24" s="141">
        <v>0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11.502749761291</v>
      </c>
      <c r="U24" s="141">
        <v>1.47595410841033</v>
      </c>
      <c r="V24" s="141">
        <v>0</v>
      </c>
      <c r="W24" s="141">
        <v>0</v>
      </c>
      <c r="X24" s="141">
        <v>0</v>
      </c>
      <c r="Y24" s="141">
        <v>0</v>
      </c>
      <c r="Z24" s="141">
        <v>0</v>
      </c>
      <c r="AA24" s="141">
        <v>0</v>
      </c>
      <c r="AB24" s="141">
        <v>0</v>
      </c>
      <c r="AC24" s="141">
        <v>0</v>
      </c>
      <c r="AD24" s="141">
        <v>0</v>
      </c>
      <c r="AE24" s="141">
        <v>10.3092662240491</v>
      </c>
      <c r="AF24" s="141">
        <v>0.83355092496745697</v>
      </c>
      <c r="AG24" s="141">
        <v>19.436658899520499</v>
      </c>
      <c r="AH24" s="141">
        <v>0</v>
      </c>
      <c r="AI24" s="141">
        <v>0</v>
      </c>
      <c r="AJ24" s="141">
        <v>0</v>
      </c>
      <c r="AK24" s="141">
        <v>0</v>
      </c>
      <c r="AL24" s="141">
        <v>0</v>
      </c>
      <c r="AM24" s="141">
        <v>0</v>
      </c>
      <c r="AN24" s="141">
        <v>0</v>
      </c>
      <c r="AO24" s="141">
        <v>0</v>
      </c>
      <c r="AP24" s="141">
        <v>0</v>
      </c>
      <c r="AQ24" s="141">
        <v>0</v>
      </c>
      <c r="AR24" s="141">
        <v>0</v>
      </c>
      <c r="AS24" s="141">
        <v>0</v>
      </c>
      <c r="AT24" s="142">
        <v>0</v>
      </c>
    </row>
    <row r="25" spans="2:46" ht="12" customHeight="1" x14ac:dyDescent="0.25">
      <c r="B25" s="140" t="s">
        <v>42</v>
      </c>
      <c r="C25" s="141" t="s">
        <v>43</v>
      </c>
      <c r="D25" s="141" t="s">
        <v>25</v>
      </c>
      <c r="E25" s="141" t="s">
        <v>25</v>
      </c>
      <c r="F25" s="141" t="s">
        <v>85</v>
      </c>
      <c r="G25" s="141" t="s">
        <v>25</v>
      </c>
      <c r="H25" s="141" t="s">
        <v>76</v>
      </c>
      <c r="I25" s="141" t="s">
        <v>25</v>
      </c>
      <c r="J25" s="141">
        <v>0.3</v>
      </c>
      <c r="K25" s="141">
        <v>0</v>
      </c>
      <c r="L25" s="141">
        <v>0</v>
      </c>
      <c r="M25" s="141">
        <v>0</v>
      </c>
      <c r="N25" s="141">
        <v>0</v>
      </c>
      <c r="O25" s="141">
        <v>0</v>
      </c>
      <c r="P25" s="141">
        <v>0</v>
      </c>
      <c r="Q25" s="141">
        <v>0</v>
      </c>
      <c r="R25" s="141">
        <v>0</v>
      </c>
      <c r="S25" s="141">
        <v>0</v>
      </c>
      <c r="T25" s="141">
        <v>0.26292066408175302</v>
      </c>
      <c r="U25" s="141">
        <v>3.4764869350164797E-2</v>
      </c>
      <c r="V25" s="141">
        <v>0</v>
      </c>
      <c r="W25" s="141">
        <v>0</v>
      </c>
      <c r="X25" s="141">
        <v>0</v>
      </c>
      <c r="Y25" s="141">
        <v>0</v>
      </c>
      <c r="Z25" s="141">
        <v>0</v>
      </c>
      <c r="AA25" s="141">
        <v>0</v>
      </c>
      <c r="AB25" s="141">
        <v>0</v>
      </c>
      <c r="AC25" s="141">
        <v>0</v>
      </c>
      <c r="AD25" s="141">
        <v>0</v>
      </c>
      <c r="AE25" s="141">
        <v>0</v>
      </c>
      <c r="AF25" s="141">
        <v>0</v>
      </c>
      <c r="AG25" s="141">
        <v>0</v>
      </c>
      <c r="AH25" s="141">
        <v>0</v>
      </c>
      <c r="AI25" s="141">
        <v>0</v>
      </c>
      <c r="AJ25" s="141">
        <v>0</v>
      </c>
      <c r="AK25" s="141">
        <v>0</v>
      </c>
      <c r="AL25" s="141">
        <v>0</v>
      </c>
      <c r="AM25" s="141">
        <v>0</v>
      </c>
      <c r="AN25" s="141">
        <v>0</v>
      </c>
      <c r="AO25" s="141">
        <v>0</v>
      </c>
      <c r="AP25" s="141">
        <v>0</v>
      </c>
      <c r="AQ25" s="141">
        <v>0</v>
      </c>
      <c r="AR25" s="141">
        <v>0</v>
      </c>
      <c r="AS25" s="141">
        <v>0</v>
      </c>
      <c r="AT25" s="142">
        <v>0</v>
      </c>
    </row>
    <row r="26" spans="2:46" ht="12" customHeight="1" x14ac:dyDescent="0.25">
      <c r="B26" s="140" t="s">
        <v>42</v>
      </c>
      <c r="C26" s="141" t="s">
        <v>43</v>
      </c>
      <c r="D26" s="141" t="s">
        <v>25</v>
      </c>
      <c r="E26" s="141" t="s">
        <v>25</v>
      </c>
      <c r="F26" s="141" t="s">
        <v>85</v>
      </c>
      <c r="G26" s="141" t="s">
        <v>35</v>
      </c>
      <c r="H26" s="141" t="s">
        <v>79</v>
      </c>
      <c r="I26" s="141" t="s">
        <v>25</v>
      </c>
      <c r="J26" s="141">
        <v>30.58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141">
        <v>0</v>
      </c>
      <c r="AA26" s="141">
        <v>0</v>
      </c>
      <c r="AB26" s="141">
        <v>0</v>
      </c>
      <c r="AC26" s="141">
        <v>0</v>
      </c>
      <c r="AD26" s="141">
        <v>0</v>
      </c>
      <c r="AE26" s="141">
        <v>10.3092662240491</v>
      </c>
      <c r="AF26" s="141">
        <v>0.83355092496745697</v>
      </c>
      <c r="AG26" s="141">
        <v>19.436658899520499</v>
      </c>
      <c r="AH26" s="141">
        <v>0</v>
      </c>
      <c r="AI26" s="141">
        <v>0</v>
      </c>
      <c r="AJ26" s="141">
        <v>0</v>
      </c>
      <c r="AK26" s="141">
        <v>0</v>
      </c>
      <c r="AL26" s="141">
        <v>0</v>
      </c>
      <c r="AM26" s="141">
        <v>0</v>
      </c>
      <c r="AN26" s="141">
        <v>0</v>
      </c>
      <c r="AO26" s="141">
        <v>0</v>
      </c>
      <c r="AP26" s="141">
        <v>0</v>
      </c>
      <c r="AQ26" s="141">
        <v>0</v>
      </c>
      <c r="AR26" s="141">
        <v>0</v>
      </c>
      <c r="AS26" s="141">
        <v>0</v>
      </c>
      <c r="AT26" s="142">
        <v>0</v>
      </c>
    </row>
    <row r="27" spans="2:46" ht="12" customHeight="1" x14ac:dyDescent="0.25">
      <c r="B27" s="140" t="s">
        <v>42</v>
      </c>
      <c r="C27" s="141" t="s">
        <v>43</v>
      </c>
      <c r="D27" s="141" t="s">
        <v>25</v>
      </c>
      <c r="E27" s="141" t="s">
        <v>25</v>
      </c>
      <c r="F27" s="141" t="s">
        <v>25</v>
      </c>
      <c r="G27" s="141" t="s">
        <v>34</v>
      </c>
      <c r="H27" s="141" t="s">
        <v>79</v>
      </c>
      <c r="I27" s="141" t="s">
        <v>25</v>
      </c>
      <c r="J27" s="141">
        <v>62.79</v>
      </c>
      <c r="K27" s="141">
        <v>118.89</v>
      </c>
      <c r="L27" s="141">
        <v>0.91660905777671398</v>
      </c>
      <c r="M27" s="141">
        <v>0</v>
      </c>
      <c r="N27" s="141">
        <v>0</v>
      </c>
      <c r="O27" s="141">
        <v>0</v>
      </c>
      <c r="P27" s="141">
        <v>0</v>
      </c>
      <c r="Q27" s="141">
        <v>12.735991341043199</v>
      </c>
      <c r="R27" s="141">
        <v>5.5823020080452004</v>
      </c>
      <c r="S27" s="141">
        <v>0</v>
      </c>
      <c r="T27" s="141">
        <v>11.502749761291</v>
      </c>
      <c r="U27" s="141">
        <v>1.47595410841033</v>
      </c>
      <c r="V27" s="141">
        <v>0</v>
      </c>
      <c r="W27" s="141">
        <v>0</v>
      </c>
      <c r="X27" s="141">
        <v>0</v>
      </c>
      <c r="Y27" s="141">
        <v>0</v>
      </c>
      <c r="Z27" s="141">
        <v>0</v>
      </c>
      <c r="AA27" s="141">
        <v>0</v>
      </c>
      <c r="AB27" s="141">
        <v>0</v>
      </c>
      <c r="AC27" s="141">
        <v>0</v>
      </c>
      <c r="AD27" s="141">
        <v>0</v>
      </c>
      <c r="AE27" s="141">
        <v>10.3092662240491</v>
      </c>
      <c r="AF27" s="141">
        <v>0.83355092496745697</v>
      </c>
      <c r="AG27" s="141">
        <v>19.436658899520499</v>
      </c>
      <c r="AH27" s="141">
        <v>0</v>
      </c>
      <c r="AI27" s="141">
        <v>0.53331219842864797</v>
      </c>
      <c r="AJ27" s="141">
        <v>0</v>
      </c>
      <c r="AK27" s="141">
        <v>0</v>
      </c>
      <c r="AL27" s="141">
        <v>19.8275951015445</v>
      </c>
      <c r="AM27" s="141">
        <v>0</v>
      </c>
      <c r="AN27" s="141">
        <v>96.874521556843604</v>
      </c>
      <c r="AO27" s="141">
        <v>0</v>
      </c>
      <c r="AP27" s="141">
        <v>0</v>
      </c>
      <c r="AQ27" s="141">
        <v>0</v>
      </c>
      <c r="AR27" s="141">
        <v>0</v>
      </c>
      <c r="AS27" s="141">
        <v>0</v>
      </c>
      <c r="AT27" s="142">
        <v>1.65858361384346</v>
      </c>
    </row>
    <row r="28" spans="2:46" ht="12" customHeight="1" x14ac:dyDescent="0.25">
      <c r="B28" s="140" t="s">
        <v>42</v>
      </c>
      <c r="C28" s="141" t="s">
        <v>43</v>
      </c>
      <c r="D28" s="141" t="s">
        <v>25</v>
      </c>
      <c r="E28" s="141" t="s">
        <v>25</v>
      </c>
      <c r="F28" s="141" t="s">
        <v>25</v>
      </c>
      <c r="G28" s="141" t="s">
        <v>25</v>
      </c>
      <c r="H28" s="141" t="s">
        <v>76</v>
      </c>
      <c r="I28" s="141" t="s">
        <v>25</v>
      </c>
      <c r="J28" s="141">
        <v>0.3</v>
      </c>
      <c r="K28" s="141">
        <v>0</v>
      </c>
      <c r="L28" s="141">
        <v>0</v>
      </c>
      <c r="M28" s="141">
        <v>0</v>
      </c>
      <c r="N28" s="141">
        <v>0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0.26292066408175302</v>
      </c>
      <c r="U28" s="141">
        <v>3.4764869350164797E-2</v>
      </c>
      <c r="V28" s="141">
        <v>0</v>
      </c>
      <c r="W28" s="141">
        <v>0</v>
      </c>
      <c r="X28" s="141">
        <v>0</v>
      </c>
      <c r="Y28" s="141">
        <v>0</v>
      </c>
      <c r="Z28" s="141">
        <v>0</v>
      </c>
      <c r="AA28" s="141">
        <v>0</v>
      </c>
      <c r="AB28" s="141">
        <v>0</v>
      </c>
      <c r="AC28" s="141">
        <v>0</v>
      </c>
      <c r="AD28" s="141">
        <v>0</v>
      </c>
      <c r="AE28" s="141">
        <v>0</v>
      </c>
      <c r="AF28" s="141">
        <v>0</v>
      </c>
      <c r="AG28" s="141">
        <v>0</v>
      </c>
      <c r="AH28" s="141">
        <v>0</v>
      </c>
      <c r="AI28" s="141">
        <v>0</v>
      </c>
      <c r="AJ28" s="141">
        <v>0</v>
      </c>
      <c r="AK28" s="141">
        <v>0</v>
      </c>
      <c r="AL28" s="141">
        <v>0</v>
      </c>
      <c r="AM28" s="141">
        <v>0</v>
      </c>
      <c r="AN28" s="141">
        <v>0</v>
      </c>
      <c r="AO28" s="141">
        <v>0</v>
      </c>
      <c r="AP28" s="141">
        <v>0</v>
      </c>
      <c r="AQ28" s="141">
        <v>0</v>
      </c>
      <c r="AR28" s="141">
        <v>0</v>
      </c>
      <c r="AS28" s="141">
        <v>0</v>
      </c>
      <c r="AT28" s="142">
        <v>0</v>
      </c>
    </row>
    <row r="29" spans="2:46" ht="12" customHeight="1" x14ac:dyDescent="0.25">
      <c r="B29" s="140" t="s">
        <v>42</v>
      </c>
      <c r="C29" s="141" t="s">
        <v>43</v>
      </c>
      <c r="D29" s="141" t="s">
        <v>25</v>
      </c>
      <c r="E29" s="141" t="s">
        <v>25</v>
      </c>
      <c r="F29" s="141" t="s">
        <v>25</v>
      </c>
      <c r="G29" s="141" t="s">
        <v>35</v>
      </c>
      <c r="H29" s="141" t="s">
        <v>79</v>
      </c>
      <c r="I29" s="141" t="s">
        <v>25</v>
      </c>
      <c r="J29" s="141">
        <v>49.81</v>
      </c>
      <c r="K29" s="141">
        <v>78.34</v>
      </c>
      <c r="L29" s="141">
        <v>0.91660905777671398</v>
      </c>
      <c r="M29" s="141">
        <v>0</v>
      </c>
      <c r="N29" s="141">
        <v>0</v>
      </c>
      <c r="O29" s="141">
        <v>0</v>
      </c>
      <c r="P29" s="141">
        <v>0</v>
      </c>
      <c r="Q29" s="141">
        <v>12.735991341043199</v>
      </c>
      <c r="R29" s="141">
        <v>5.5823020080452004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0</v>
      </c>
      <c r="Z29" s="141">
        <v>0</v>
      </c>
      <c r="AA29" s="141">
        <v>0</v>
      </c>
      <c r="AB29" s="141">
        <v>0</v>
      </c>
      <c r="AC29" s="141">
        <v>0</v>
      </c>
      <c r="AD29" s="141">
        <v>0</v>
      </c>
      <c r="AE29" s="141">
        <v>10.3092662240491</v>
      </c>
      <c r="AF29" s="141">
        <v>0.83355092496745697</v>
      </c>
      <c r="AG29" s="141">
        <v>19.436658899520499</v>
      </c>
      <c r="AH29" s="141">
        <v>0</v>
      </c>
      <c r="AI29" s="141">
        <v>0.53331219842864797</v>
      </c>
      <c r="AJ29" s="141">
        <v>0</v>
      </c>
      <c r="AK29" s="141">
        <v>0</v>
      </c>
      <c r="AL29" s="141">
        <v>19.8275951015445</v>
      </c>
      <c r="AM29" s="141">
        <v>0</v>
      </c>
      <c r="AN29" s="141">
        <v>56.322396253978901</v>
      </c>
      <c r="AO29" s="141">
        <v>0</v>
      </c>
      <c r="AP29" s="141">
        <v>0</v>
      </c>
      <c r="AQ29" s="141">
        <v>0</v>
      </c>
      <c r="AR29" s="141">
        <v>0</v>
      </c>
      <c r="AS29" s="141">
        <v>0</v>
      </c>
      <c r="AT29" s="142">
        <v>1.65858361384346</v>
      </c>
    </row>
    <row r="30" spans="2:46" ht="12" customHeight="1" x14ac:dyDescent="0.25">
      <c r="B30" s="140" t="s">
        <v>41</v>
      </c>
      <c r="C30" s="141" t="s">
        <v>40</v>
      </c>
      <c r="D30" s="141" t="s">
        <v>25</v>
      </c>
      <c r="E30" s="141" t="s">
        <v>25</v>
      </c>
      <c r="F30" s="141" t="s">
        <v>85</v>
      </c>
      <c r="G30" s="141" t="s">
        <v>34</v>
      </c>
      <c r="H30" s="141" t="s">
        <v>79</v>
      </c>
      <c r="I30" s="141" t="s">
        <v>25</v>
      </c>
      <c r="J30" s="141">
        <v>30.58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141">
        <v>0</v>
      </c>
      <c r="AA30" s="141">
        <v>0</v>
      </c>
      <c r="AB30" s="141">
        <v>0</v>
      </c>
      <c r="AC30" s="141">
        <v>0</v>
      </c>
      <c r="AD30" s="141">
        <v>0</v>
      </c>
      <c r="AE30" s="141">
        <v>10.3092662240491</v>
      </c>
      <c r="AF30" s="141">
        <v>0.83355092496745697</v>
      </c>
      <c r="AG30" s="141">
        <v>19.436658899520499</v>
      </c>
      <c r="AH30" s="141">
        <v>0</v>
      </c>
      <c r="AI30" s="141">
        <v>0</v>
      </c>
      <c r="AJ30" s="141">
        <v>0</v>
      </c>
      <c r="AK30" s="141">
        <v>0</v>
      </c>
      <c r="AL30" s="141">
        <v>0</v>
      </c>
      <c r="AM30" s="141">
        <v>0</v>
      </c>
      <c r="AN30" s="141">
        <v>0</v>
      </c>
      <c r="AO30" s="141">
        <v>0</v>
      </c>
      <c r="AP30" s="141">
        <v>0</v>
      </c>
      <c r="AQ30" s="141">
        <v>0</v>
      </c>
      <c r="AR30" s="141">
        <v>0</v>
      </c>
      <c r="AS30" s="141">
        <v>0</v>
      </c>
      <c r="AT30" s="142">
        <v>0</v>
      </c>
    </row>
    <row r="31" spans="2:46" ht="12" customHeight="1" x14ac:dyDescent="0.25">
      <c r="B31" s="140" t="s">
        <v>41</v>
      </c>
      <c r="C31" s="141" t="s">
        <v>40</v>
      </c>
      <c r="D31" s="141" t="s">
        <v>25</v>
      </c>
      <c r="E31" s="141" t="s">
        <v>25</v>
      </c>
      <c r="F31" s="141" t="s">
        <v>85</v>
      </c>
      <c r="G31" s="141" t="s">
        <v>34</v>
      </c>
      <c r="H31" s="141" t="s">
        <v>76</v>
      </c>
      <c r="I31" s="141" t="s">
        <v>25</v>
      </c>
      <c r="J31" s="141">
        <v>0.54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0.47828444080240001</v>
      </c>
      <c r="U31" s="141">
        <v>6.1368684602790699E-2</v>
      </c>
      <c r="V31" s="141">
        <v>0</v>
      </c>
      <c r="W31" s="141">
        <v>0</v>
      </c>
      <c r="X31" s="141">
        <v>0</v>
      </c>
      <c r="Y31" s="141">
        <v>0</v>
      </c>
      <c r="Z31" s="141">
        <v>0</v>
      </c>
      <c r="AA31" s="141">
        <v>0</v>
      </c>
      <c r="AB31" s="141">
        <v>0</v>
      </c>
      <c r="AC31" s="141">
        <v>0</v>
      </c>
      <c r="AD31" s="141">
        <v>0</v>
      </c>
      <c r="AE31" s="141">
        <v>0</v>
      </c>
      <c r="AF31" s="141">
        <v>0</v>
      </c>
      <c r="AG31" s="141">
        <v>0</v>
      </c>
      <c r="AH31" s="141">
        <v>0</v>
      </c>
      <c r="AI31" s="141">
        <v>0</v>
      </c>
      <c r="AJ31" s="141">
        <v>0</v>
      </c>
      <c r="AK31" s="141">
        <v>0</v>
      </c>
      <c r="AL31" s="141">
        <v>0</v>
      </c>
      <c r="AM31" s="141">
        <v>0</v>
      </c>
      <c r="AN31" s="141">
        <v>0</v>
      </c>
      <c r="AO31" s="141">
        <v>0</v>
      </c>
      <c r="AP31" s="141">
        <v>0</v>
      </c>
      <c r="AQ31" s="141">
        <v>0</v>
      </c>
      <c r="AR31" s="141">
        <v>0</v>
      </c>
      <c r="AS31" s="141">
        <v>0</v>
      </c>
      <c r="AT31" s="142">
        <v>0</v>
      </c>
    </row>
    <row r="32" spans="2:46" ht="12" customHeight="1" x14ac:dyDescent="0.25">
      <c r="B32" s="140" t="s">
        <v>41</v>
      </c>
      <c r="C32" s="141" t="s">
        <v>40</v>
      </c>
      <c r="D32" s="141" t="s">
        <v>25</v>
      </c>
      <c r="E32" s="141" t="s">
        <v>25</v>
      </c>
      <c r="F32" s="141" t="s">
        <v>85</v>
      </c>
      <c r="G32" s="141" t="s">
        <v>35</v>
      </c>
      <c r="H32" s="141" t="s">
        <v>79</v>
      </c>
      <c r="I32" s="141" t="s">
        <v>25</v>
      </c>
      <c r="J32" s="141">
        <v>30.58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141">
        <v>0</v>
      </c>
      <c r="AA32" s="141">
        <v>0</v>
      </c>
      <c r="AB32" s="141">
        <v>0</v>
      </c>
      <c r="AC32" s="141">
        <v>0</v>
      </c>
      <c r="AD32" s="141">
        <v>0</v>
      </c>
      <c r="AE32" s="141">
        <v>10.3092662240491</v>
      </c>
      <c r="AF32" s="141">
        <v>0.83355092496745697</v>
      </c>
      <c r="AG32" s="141">
        <v>19.436658899520499</v>
      </c>
      <c r="AH32" s="141">
        <v>0</v>
      </c>
      <c r="AI32" s="141">
        <v>0</v>
      </c>
      <c r="AJ32" s="141">
        <v>0</v>
      </c>
      <c r="AK32" s="141">
        <v>0</v>
      </c>
      <c r="AL32" s="141">
        <v>0</v>
      </c>
      <c r="AM32" s="141">
        <v>0</v>
      </c>
      <c r="AN32" s="141">
        <v>0</v>
      </c>
      <c r="AO32" s="141">
        <v>0</v>
      </c>
      <c r="AP32" s="141">
        <v>0</v>
      </c>
      <c r="AQ32" s="141">
        <v>0</v>
      </c>
      <c r="AR32" s="141">
        <v>0</v>
      </c>
      <c r="AS32" s="141">
        <v>0</v>
      </c>
      <c r="AT32" s="142">
        <v>0</v>
      </c>
    </row>
    <row r="33" spans="2:46" ht="12" customHeight="1" x14ac:dyDescent="0.25">
      <c r="B33" s="140" t="s">
        <v>41</v>
      </c>
      <c r="C33" s="141" t="s">
        <v>40</v>
      </c>
      <c r="D33" s="141" t="s">
        <v>25</v>
      </c>
      <c r="E33" s="141" t="s">
        <v>25</v>
      </c>
      <c r="F33" s="141" t="s">
        <v>85</v>
      </c>
      <c r="G33" s="141" t="s">
        <v>35</v>
      </c>
      <c r="H33" s="141" t="s">
        <v>76</v>
      </c>
      <c r="I33" s="141" t="s">
        <v>25</v>
      </c>
      <c r="J33" s="141">
        <v>0.3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0.26292066408175302</v>
      </c>
      <c r="U33" s="141">
        <v>3.4764869350164797E-2</v>
      </c>
      <c r="V33" s="141">
        <v>0</v>
      </c>
      <c r="W33" s="141">
        <v>0</v>
      </c>
      <c r="X33" s="141">
        <v>0</v>
      </c>
      <c r="Y33" s="141">
        <v>0</v>
      </c>
      <c r="Z33" s="141">
        <v>0</v>
      </c>
      <c r="AA33" s="141">
        <v>0</v>
      </c>
      <c r="AB33" s="141">
        <v>0</v>
      </c>
      <c r="AC33" s="141">
        <v>0</v>
      </c>
      <c r="AD33" s="141">
        <v>0</v>
      </c>
      <c r="AE33" s="141">
        <v>0</v>
      </c>
      <c r="AF33" s="141">
        <v>0</v>
      </c>
      <c r="AG33" s="141">
        <v>0</v>
      </c>
      <c r="AH33" s="141">
        <v>0</v>
      </c>
      <c r="AI33" s="141">
        <v>0</v>
      </c>
      <c r="AJ33" s="141">
        <v>0</v>
      </c>
      <c r="AK33" s="141">
        <v>0</v>
      </c>
      <c r="AL33" s="141">
        <v>0</v>
      </c>
      <c r="AM33" s="141">
        <v>0</v>
      </c>
      <c r="AN33" s="141">
        <v>0</v>
      </c>
      <c r="AO33" s="141">
        <v>0</v>
      </c>
      <c r="AP33" s="141">
        <v>0</v>
      </c>
      <c r="AQ33" s="141">
        <v>0</v>
      </c>
      <c r="AR33" s="141">
        <v>0</v>
      </c>
      <c r="AS33" s="141">
        <v>0</v>
      </c>
      <c r="AT33" s="142">
        <v>0</v>
      </c>
    </row>
    <row r="34" spans="2:46" ht="12" customHeight="1" x14ac:dyDescent="0.25">
      <c r="B34" s="140" t="s">
        <v>41</v>
      </c>
      <c r="C34" s="141" t="s">
        <v>40</v>
      </c>
      <c r="D34" s="141" t="s">
        <v>25</v>
      </c>
      <c r="E34" s="141" t="s">
        <v>25</v>
      </c>
      <c r="F34" s="141" t="s">
        <v>25</v>
      </c>
      <c r="G34" s="141" t="s">
        <v>34</v>
      </c>
      <c r="H34" s="141" t="s">
        <v>79</v>
      </c>
      <c r="I34" s="141" t="s">
        <v>25</v>
      </c>
      <c r="J34" s="141">
        <v>49.81</v>
      </c>
      <c r="K34" s="141">
        <v>118.89</v>
      </c>
      <c r="L34" s="141">
        <v>0.91660905777671398</v>
      </c>
      <c r="M34" s="141">
        <v>0</v>
      </c>
      <c r="N34" s="141">
        <v>0</v>
      </c>
      <c r="O34" s="141">
        <v>0</v>
      </c>
      <c r="P34" s="141">
        <v>0</v>
      </c>
      <c r="Q34" s="141">
        <v>12.735991341043199</v>
      </c>
      <c r="R34" s="141">
        <v>5.5823020080452004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Z34" s="141">
        <v>0</v>
      </c>
      <c r="AA34" s="141">
        <v>0</v>
      </c>
      <c r="AB34" s="141">
        <v>0</v>
      </c>
      <c r="AC34" s="141">
        <v>0</v>
      </c>
      <c r="AD34" s="141">
        <v>0</v>
      </c>
      <c r="AE34" s="141">
        <v>10.3092662240491</v>
      </c>
      <c r="AF34" s="141">
        <v>0.83355092496745697</v>
      </c>
      <c r="AG34" s="141">
        <v>19.436658899520499</v>
      </c>
      <c r="AH34" s="141">
        <v>0</v>
      </c>
      <c r="AI34" s="141">
        <v>0.53331219842864797</v>
      </c>
      <c r="AJ34" s="141">
        <v>0</v>
      </c>
      <c r="AK34" s="141">
        <v>0</v>
      </c>
      <c r="AL34" s="141">
        <v>19.8275951015445</v>
      </c>
      <c r="AM34" s="141">
        <v>0</v>
      </c>
      <c r="AN34" s="141">
        <v>96.874521556843604</v>
      </c>
      <c r="AO34" s="141">
        <v>0</v>
      </c>
      <c r="AP34" s="141">
        <v>0</v>
      </c>
      <c r="AQ34" s="141">
        <v>0</v>
      </c>
      <c r="AR34" s="141">
        <v>0</v>
      </c>
      <c r="AS34" s="141">
        <v>0</v>
      </c>
      <c r="AT34" s="142">
        <v>1.65858361384346</v>
      </c>
    </row>
    <row r="35" spans="2:46" ht="12" customHeight="1" x14ac:dyDescent="0.25">
      <c r="B35" s="140" t="s">
        <v>41</v>
      </c>
      <c r="C35" s="141" t="s">
        <v>40</v>
      </c>
      <c r="D35" s="141" t="s">
        <v>25</v>
      </c>
      <c r="E35" s="141" t="s">
        <v>25</v>
      </c>
      <c r="F35" s="141" t="s">
        <v>25</v>
      </c>
      <c r="G35" s="141" t="s">
        <v>34</v>
      </c>
      <c r="H35" s="141" t="s">
        <v>76</v>
      </c>
      <c r="I35" s="141" t="s">
        <v>25</v>
      </c>
      <c r="J35" s="141">
        <v>0.54</v>
      </c>
      <c r="K35" s="141">
        <v>0</v>
      </c>
      <c r="L35" s="141">
        <v>0</v>
      </c>
      <c r="M35" s="141">
        <v>0</v>
      </c>
      <c r="N35" s="141">
        <v>0</v>
      </c>
      <c r="O35" s="141">
        <v>0</v>
      </c>
      <c r="P35" s="141">
        <v>0</v>
      </c>
      <c r="Q35" s="141">
        <v>0</v>
      </c>
      <c r="R35" s="141">
        <v>0</v>
      </c>
      <c r="S35" s="141">
        <v>0</v>
      </c>
      <c r="T35" s="141">
        <v>0.47828444080240001</v>
      </c>
      <c r="U35" s="141">
        <v>6.1368684602790699E-2</v>
      </c>
      <c r="V35" s="141">
        <v>0</v>
      </c>
      <c r="W35" s="141">
        <v>0</v>
      </c>
      <c r="X35" s="141">
        <v>0</v>
      </c>
      <c r="Y35" s="141">
        <v>0</v>
      </c>
      <c r="Z35" s="141">
        <v>0</v>
      </c>
      <c r="AA35" s="141">
        <v>0</v>
      </c>
      <c r="AB35" s="141">
        <v>0</v>
      </c>
      <c r="AC35" s="141">
        <v>0</v>
      </c>
      <c r="AD35" s="141">
        <v>0</v>
      </c>
      <c r="AE35" s="141">
        <v>0</v>
      </c>
      <c r="AF35" s="141">
        <v>0</v>
      </c>
      <c r="AG35" s="141">
        <v>0</v>
      </c>
      <c r="AH35" s="141">
        <v>0</v>
      </c>
      <c r="AI35" s="141">
        <v>0</v>
      </c>
      <c r="AJ35" s="141">
        <v>0</v>
      </c>
      <c r="AK35" s="141">
        <v>0</v>
      </c>
      <c r="AL35" s="141">
        <v>0</v>
      </c>
      <c r="AM35" s="141">
        <v>0</v>
      </c>
      <c r="AN35" s="141">
        <v>0</v>
      </c>
      <c r="AO35" s="141">
        <v>0</v>
      </c>
      <c r="AP35" s="141">
        <v>0</v>
      </c>
      <c r="AQ35" s="141">
        <v>0</v>
      </c>
      <c r="AR35" s="141">
        <v>0</v>
      </c>
      <c r="AS35" s="141">
        <v>0</v>
      </c>
      <c r="AT35" s="142">
        <v>0</v>
      </c>
    </row>
    <row r="36" spans="2:46" ht="12" customHeight="1" x14ac:dyDescent="0.25">
      <c r="B36" s="140" t="s">
        <v>41</v>
      </c>
      <c r="C36" s="141" t="s">
        <v>40</v>
      </c>
      <c r="D36" s="141" t="s">
        <v>25</v>
      </c>
      <c r="E36" s="141" t="s">
        <v>25</v>
      </c>
      <c r="F36" s="141" t="s">
        <v>25</v>
      </c>
      <c r="G36" s="141" t="s">
        <v>35</v>
      </c>
      <c r="H36" s="141" t="s">
        <v>79</v>
      </c>
      <c r="I36" s="141" t="s">
        <v>25</v>
      </c>
      <c r="J36" s="141">
        <v>49.81</v>
      </c>
      <c r="K36" s="141">
        <v>78.34</v>
      </c>
      <c r="L36" s="141">
        <v>0.91660905777671398</v>
      </c>
      <c r="M36" s="141">
        <v>0</v>
      </c>
      <c r="N36" s="141">
        <v>0</v>
      </c>
      <c r="O36" s="141">
        <v>0</v>
      </c>
      <c r="P36" s="141">
        <v>0</v>
      </c>
      <c r="Q36" s="141">
        <v>12.735991341043199</v>
      </c>
      <c r="R36" s="141">
        <v>5.5823020080452004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0</v>
      </c>
      <c r="Z36" s="141">
        <v>0</v>
      </c>
      <c r="AA36" s="141">
        <v>0</v>
      </c>
      <c r="AB36" s="141">
        <v>0</v>
      </c>
      <c r="AC36" s="141">
        <v>0</v>
      </c>
      <c r="AD36" s="141">
        <v>0</v>
      </c>
      <c r="AE36" s="141">
        <v>10.3092662240491</v>
      </c>
      <c r="AF36" s="141">
        <v>0.83355092496745697</v>
      </c>
      <c r="AG36" s="141">
        <v>19.436658899520499</v>
      </c>
      <c r="AH36" s="141">
        <v>0</v>
      </c>
      <c r="AI36" s="141">
        <v>0.53331219842864797</v>
      </c>
      <c r="AJ36" s="141">
        <v>0</v>
      </c>
      <c r="AK36" s="141">
        <v>0</v>
      </c>
      <c r="AL36" s="141">
        <v>19.8275951015445</v>
      </c>
      <c r="AM36" s="141">
        <v>0</v>
      </c>
      <c r="AN36" s="141">
        <v>56.322396253978901</v>
      </c>
      <c r="AO36" s="141">
        <v>0</v>
      </c>
      <c r="AP36" s="141">
        <v>0</v>
      </c>
      <c r="AQ36" s="141">
        <v>0</v>
      </c>
      <c r="AR36" s="141">
        <v>0</v>
      </c>
      <c r="AS36" s="141">
        <v>0</v>
      </c>
      <c r="AT36" s="142">
        <v>1.65858361384346</v>
      </c>
    </row>
    <row r="37" spans="2:46" ht="12" customHeight="1" x14ac:dyDescent="0.25">
      <c r="B37" s="140" t="s">
        <v>41</v>
      </c>
      <c r="C37" s="141" t="s">
        <v>40</v>
      </c>
      <c r="D37" s="141" t="s">
        <v>25</v>
      </c>
      <c r="E37" s="141" t="s">
        <v>25</v>
      </c>
      <c r="F37" s="141" t="s">
        <v>25</v>
      </c>
      <c r="G37" s="141" t="s">
        <v>35</v>
      </c>
      <c r="H37" s="141" t="s">
        <v>76</v>
      </c>
      <c r="I37" s="141" t="s">
        <v>25</v>
      </c>
      <c r="J37" s="141">
        <v>0.3</v>
      </c>
      <c r="K37" s="141">
        <v>0</v>
      </c>
      <c r="L37" s="141">
        <v>0</v>
      </c>
      <c r="M37" s="141">
        <v>0</v>
      </c>
      <c r="N37" s="141">
        <v>0</v>
      </c>
      <c r="O37" s="141">
        <v>0</v>
      </c>
      <c r="P37" s="141">
        <v>0</v>
      </c>
      <c r="Q37" s="141">
        <v>0</v>
      </c>
      <c r="R37" s="141">
        <v>0</v>
      </c>
      <c r="S37" s="141">
        <v>0</v>
      </c>
      <c r="T37" s="141">
        <v>0.26292066408175302</v>
      </c>
      <c r="U37" s="141">
        <v>3.4764869350164797E-2</v>
      </c>
      <c r="V37" s="141">
        <v>0</v>
      </c>
      <c r="W37" s="141">
        <v>0</v>
      </c>
      <c r="X37" s="141">
        <v>0</v>
      </c>
      <c r="Y37" s="141">
        <v>0</v>
      </c>
      <c r="Z37" s="141">
        <v>0</v>
      </c>
      <c r="AA37" s="141">
        <v>0</v>
      </c>
      <c r="AB37" s="141">
        <v>0</v>
      </c>
      <c r="AC37" s="141">
        <v>0</v>
      </c>
      <c r="AD37" s="141">
        <v>0</v>
      </c>
      <c r="AE37" s="141">
        <v>0</v>
      </c>
      <c r="AF37" s="141">
        <v>0</v>
      </c>
      <c r="AG37" s="141">
        <v>0</v>
      </c>
      <c r="AH37" s="141">
        <v>0</v>
      </c>
      <c r="AI37" s="141">
        <v>0</v>
      </c>
      <c r="AJ37" s="141">
        <v>0</v>
      </c>
      <c r="AK37" s="141">
        <v>0</v>
      </c>
      <c r="AL37" s="141">
        <v>0</v>
      </c>
      <c r="AM37" s="141">
        <v>0</v>
      </c>
      <c r="AN37" s="141">
        <v>0</v>
      </c>
      <c r="AO37" s="141">
        <v>0</v>
      </c>
      <c r="AP37" s="141">
        <v>0</v>
      </c>
      <c r="AQ37" s="141">
        <v>0</v>
      </c>
      <c r="AR37" s="141">
        <v>0</v>
      </c>
      <c r="AS37" s="141">
        <v>0</v>
      </c>
      <c r="AT37" s="142">
        <v>0</v>
      </c>
    </row>
    <row r="38" spans="2:46" ht="12" customHeight="1" x14ac:dyDescent="0.25">
      <c r="B38" s="140" t="s">
        <v>41</v>
      </c>
      <c r="C38" s="141" t="s">
        <v>23</v>
      </c>
      <c r="D38" s="141" t="s">
        <v>25</v>
      </c>
      <c r="E38" s="141" t="s">
        <v>25</v>
      </c>
      <c r="F38" s="141" t="s">
        <v>25</v>
      </c>
      <c r="G38" s="141" t="s">
        <v>25</v>
      </c>
      <c r="H38" s="141" t="s">
        <v>79</v>
      </c>
      <c r="I38" s="141" t="s">
        <v>25</v>
      </c>
      <c r="J38" s="141">
        <v>0</v>
      </c>
      <c r="K38" s="141">
        <v>81.72</v>
      </c>
      <c r="L38" s="141">
        <v>0</v>
      </c>
      <c r="M38" s="141">
        <v>0</v>
      </c>
      <c r="N38" s="141">
        <v>0</v>
      </c>
      <c r="O38" s="141">
        <v>0</v>
      </c>
      <c r="P38" s="141">
        <v>0</v>
      </c>
      <c r="Q38" s="141">
        <v>0</v>
      </c>
      <c r="R38" s="141">
        <v>0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0</v>
      </c>
      <c r="Z38" s="141">
        <v>0</v>
      </c>
      <c r="AA38" s="141">
        <v>0</v>
      </c>
      <c r="AB38" s="141">
        <v>0</v>
      </c>
      <c r="AC38" s="141">
        <v>0</v>
      </c>
      <c r="AD38" s="141">
        <v>0</v>
      </c>
      <c r="AE38" s="141">
        <v>0</v>
      </c>
      <c r="AF38" s="141">
        <v>0</v>
      </c>
      <c r="AG38" s="141">
        <v>0</v>
      </c>
      <c r="AH38" s="141">
        <v>0</v>
      </c>
      <c r="AI38" s="141">
        <v>0.53331219842864797</v>
      </c>
      <c r="AJ38" s="141">
        <v>0</v>
      </c>
      <c r="AK38" s="141">
        <v>0</v>
      </c>
      <c r="AL38" s="141">
        <v>19.8275951015445</v>
      </c>
      <c r="AM38" s="141">
        <v>0</v>
      </c>
      <c r="AN38" s="141">
        <v>59.701740029217603</v>
      </c>
      <c r="AO38" s="141">
        <v>0</v>
      </c>
      <c r="AP38" s="141">
        <v>0</v>
      </c>
      <c r="AQ38" s="141">
        <v>0</v>
      </c>
      <c r="AR38" s="141">
        <v>0</v>
      </c>
      <c r="AS38" s="141">
        <v>0</v>
      </c>
      <c r="AT38" s="142">
        <v>1.65858361384346</v>
      </c>
    </row>
    <row r="39" spans="2:46" ht="12" customHeight="1" x14ac:dyDescent="0.25">
      <c r="B39" s="140" t="s">
        <v>41</v>
      </c>
      <c r="C39" s="141" t="s">
        <v>58</v>
      </c>
      <c r="D39" s="141" t="s">
        <v>25</v>
      </c>
      <c r="E39" s="141" t="s">
        <v>25</v>
      </c>
      <c r="F39" s="141" t="s">
        <v>25</v>
      </c>
      <c r="G39" s="141" t="s">
        <v>25</v>
      </c>
      <c r="H39" s="141" t="s">
        <v>76</v>
      </c>
      <c r="I39" s="141" t="s">
        <v>25</v>
      </c>
      <c r="J39" s="141">
        <v>0</v>
      </c>
      <c r="K39" s="141">
        <v>0</v>
      </c>
      <c r="L39" s="141">
        <v>0</v>
      </c>
      <c r="M39" s="141">
        <v>0</v>
      </c>
      <c r="N39" s="141">
        <v>0</v>
      </c>
      <c r="O39" s="141">
        <v>0</v>
      </c>
      <c r="P39" s="141">
        <v>0</v>
      </c>
      <c r="Q39" s="141">
        <v>0</v>
      </c>
      <c r="R39" s="141">
        <v>0</v>
      </c>
      <c r="S39" s="141">
        <v>0</v>
      </c>
      <c r="T39" s="141">
        <v>0</v>
      </c>
      <c r="U39" s="141">
        <v>0</v>
      </c>
      <c r="V39" s="141">
        <v>0</v>
      </c>
      <c r="W39" s="141">
        <v>0</v>
      </c>
      <c r="X39" s="141">
        <v>0</v>
      </c>
      <c r="Y39" s="141">
        <v>0</v>
      </c>
      <c r="Z39" s="141">
        <v>0</v>
      </c>
      <c r="AA39" s="141">
        <v>0</v>
      </c>
      <c r="AB39" s="141">
        <v>0</v>
      </c>
      <c r="AC39" s="141">
        <v>0</v>
      </c>
      <c r="AD39" s="141">
        <v>0</v>
      </c>
      <c r="AE39" s="141">
        <v>0</v>
      </c>
      <c r="AF39" s="141">
        <v>0</v>
      </c>
      <c r="AG39" s="141">
        <v>0</v>
      </c>
      <c r="AH39" s="141">
        <v>0</v>
      </c>
      <c r="AI39" s="141">
        <v>0</v>
      </c>
      <c r="AJ39" s="141">
        <v>0</v>
      </c>
      <c r="AK39" s="141">
        <v>0</v>
      </c>
      <c r="AL39" s="141">
        <v>0</v>
      </c>
      <c r="AM39" s="141">
        <v>0</v>
      </c>
      <c r="AN39" s="141">
        <v>0</v>
      </c>
      <c r="AO39" s="141">
        <v>0</v>
      </c>
      <c r="AP39" s="141">
        <v>0</v>
      </c>
      <c r="AQ39" s="141">
        <v>0</v>
      </c>
      <c r="AR39" s="141">
        <v>0</v>
      </c>
      <c r="AS39" s="141">
        <v>0</v>
      </c>
      <c r="AT39" s="142">
        <v>0</v>
      </c>
    </row>
    <row r="40" spans="2:46" ht="12" customHeight="1" x14ac:dyDescent="0.25">
      <c r="B40" s="140" t="s">
        <v>41</v>
      </c>
      <c r="C40" s="141" t="s">
        <v>43</v>
      </c>
      <c r="D40" s="141" t="s">
        <v>25</v>
      </c>
      <c r="E40" s="141" t="s">
        <v>25</v>
      </c>
      <c r="F40" s="141" t="s">
        <v>85</v>
      </c>
      <c r="G40" s="141" t="s">
        <v>34</v>
      </c>
      <c r="H40" s="141" t="s">
        <v>79</v>
      </c>
      <c r="I40" s="141" t="s">
        <v>25</v>
      </c>
      <c r="J40" s="141">
        <v>43.56</v>
      </c>
      <c r="K40" s="141">
        <v>0</v>
      </c>
      <c r="L40" s="141">
        <v>0</v>
      </c>
      <c r="M40" s="141">
        <v>0</v>
      </c>
      <c r="N40" s="141">
        <v>0</v>
      </c>
      <c r="O40" s="141">
        <v>0</v>
      </c>
      <c r="P40" s="141">
        <v>0</v>
      </c>
      <c r="Q40" s="141">
        <v>0</v>
      </c>
      <c r="R40" s="141">
        <v>0</v>
      </c>
      <c r="S40" s="141">
        <v>0</v>
      </c>
      <c r="T40" s="141">
        <v>11.502749761291</v>
      </c>
      <c r="U40" s="141">
        <v>1.47595410841033</v>
      </c>
      <c r="V40" s="141">
        <v>0</v>
      </c>
      <c r="W40" s="141">
        <v>0</v>
      </c>
      <c r="X40" s="141">
        <v>0</v>
      </c>
      <c r="Y40" s="141">
        <v>0</v>
      </c>
      <c r="Z40" s="141">
        <v>0</v>
      </c>
      <c r="AA40" s="141">
        <v>0</v>
      </c>
      <c r="AB40" s="141">
        <v>0</v>
      </c>
      <c r="AC40" s="141">
        <v>0</v>
      </c>
      <c r="AD40" s="141">
        <v>0</v>
      </c>
      <c r="AE40" s="141">
        <v>10.3092662240491</v>
      </c>
      <c r="AF40" s="141">
        <v>0.83355092496745697</v>
      </c>
      <c r="AG40" s="141">
        <v>19.436658899520499</v>
      </c>
      <c r="AH40" s="141">
        <v>0</v>
      </c>
      <c r="AI40" s="141">
        <v>0</v>
      </c>
      <c r="AJ40" s="141">
        <v>0</v>
      </c>
      <c r="AK40" s="141">
        <v>0</v>
      </c>
      <c r="AL40" s="141">
        <v>0</v>
      </c>
      <c r="AM40" s="141">
        <v>0</v>
      </c>
      <c r="AN40" s="141">
        <v>0</v>
      </c>
      <c r="AO40" s="141">
        <v>0</v>
      </c>
      <c r="AP40" s="141">
        <v>0</v>
      </c>
      <c r="AQ40" s="141">
        <v>0</v>
      </c>
      <c r="AR40" s="141">
        <v>0</v>
      </c>
      <c r="AS40" s="141">
        <v>0</v>
      </c>
      <c r="AT40" s="142">
        <v>0</v>
      </c>
    </row>
    <row r="41" spans="2:46" ht="12" customHeight="1" x14ac:dyDescent="0.25">
      <c r="B41" s="140" t="s">
        <v>41</v>
      </c>
      <c r="C41" s="141" t="s">
        <v>43</v>
      </c>
      <c r="D41" s="141" t="s">
        <v>25</v>
      </c>
      <c r="E41" s="141" t="s">
        <v>25</v>
      </c>
      <c r="F41" s="141" t="s">
        <v>85</v>
      </c>
      <c r="G41" s="141" t="s">
        <v>25</v>
      </c>
      <c r="H41" s="141" t="s">
        <v>76</v>
      </c>
      <c r="I41" s="141" t="s">
        <v>25</v>
      </c>
      <c r="J41" s="141">
        <v>0.3</v>
      </c>
      <c r="K41" s="141">
        <v>0</v>
      </c>
      <c r="L41" s="141">
        <v>0</v>
      </c>
      <c r="M41" s="141">
        <v>0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0.26292066408175302</v>
      </c>
      <c r="U41" s="141">
        <v>3.4764869350164797E-2</v>
      </c>
      <c r="V41" s="141">
        <v>0</v>
      </c>
      <c r="W41" s="141">
        <v>0</v>
      </c>
      <c r="X41" s="141">
        <v>0</v>
      </c>
      <c r="Y41" s="141">
        <v>0</v>
      </c>
      <c r="Z41" s="141">
        <v>0</v>
      </c>
      <c r="AA41" s="141">
        <v>0</v>
      </c>
      <c r="AB41" s="141">
        <v>0</v>
      </c>
      <c r="AC41" s="141">
        <v>0</v>
      </c>
      <c r="AD41" s="141">
        <v>0</v>
      </c>
      <c r="AE41" s="141">
        <v>0</v>
      </c>
      <c r="AF41" s="141">
        <v>0</v>
      </c>
      <c r="AG41" s="141">
        <v>0</v>
      </c>
      <c r="AH41" s="141">
        <v>0</v>
      </c>
      <c r="AI41" s="141">
        <v>0</v>
      </c>
      <c r="AJ41" s="141">
        <v>0</v>
      </c>
      <c r="AK41" s="141">
        <v>0</v>
      </c>
      <c r="AL41" s="141">
        <v>0</v>
      </c>
      <c r="AM41" s="141">
        <v>0</v>
      </c>
      <c r="AN41" s="141">
        <v>0</v>
      </c>
      <c r="AO41" s="141">
        <v>0</v>
      </c>
      <c r="AP41" s="141">
        <v>0</v>
      </c>
      <c r="AQ41" s="141">
        <v>0</v>
      </c>
      <c r="AR41" s="141">
        <v>0</v>
      </c>
      <c r="AS41" s="141">
        <v>0</v>
      </c>
      <c r="AT41" s="142">
        <v>0</v>
      </c>
    </row>
    <row r="42" spans="2:46" ht="12" customHeight="1" x14ac:dyDescent="0.25">
      <c r="B42" s="140" t="s">
        <v>41</v>
      </c>
      <c r="C42" s="141" t="s">
        <v>43</v>
      </c>
      <c r="D42" s="141" t="s">
        <v>25</v>
      </c>
      <c r="E42" s="141" t="s">
        <v>25</v>
      </c>
      <c r="F42" s="141" t="s">
        <v>85</v>
      </c>
      <c r="G42" s="141" t="s">
        <v>35</v>
      </c>
      <c r="H42" s="141" t="s">
        <v>79</v>
      </c>
      <c r="I42" s="141" t="s">
        <v>25</v>
      </c>
      <c r="J42" s="141">
        <v>30.58</v>
      </c>
      <c r="K42" s="141">
        <v>0</v>
      </c>
      <c r="L42" s="141">
        <v>0</v>
      </c>
      <c r="M42" s="141">
        <v>0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0</v>
      </c>
      <c r="Z42" s="141">
        <v>0</v>
      </c>
      <c r="AA42" s="141">
        <v>0</v>
      </c>
      <c r="AB42" s="141">
        <v>0</v>
      </c>
      <c r="AC42" s="141">
        <v>0</v>
      </c>
      <c r="AD42" s="141">
        <v>0</v>
      </c>
      <c r="AE42" s="141">
        <v>10.3092662240491</v>
      </c>
      <c r="AF42" s="141">
        <v>0.83355092496745697</v>
      </c>
      <c r="AG42" s="141">
        <v>19.436658899520499</v>
      </c>
      <c r="AH42" s="141">
        <v>0</v>
      </c>
      <c r="AI42" s="141">
        <v>0</v>
      </c>
      <c r="AJ42" s="141">
        <v>0</v>
      </c>
      <c r="AK42" s="141">
        <v>0</v>
      </c>
      <c r="AL42" s="141">
        <v>0</v>
      </c>
      <c r="AM42" s="141">
        <v>0</v>
      </c>
      <c r="AN42" s="141">
        <v>0</v>
      </c>
      <c r="AO42" s="141">
        <v>0</v>
      </c>
      <c r="AP42" s="141">
        <v>0</v>
      </c>
      <c r="AQ42" s="141">
        <v>0</v>
      </c>
      <c r="AR42" s="141">
        <v>0</v>
      </c>
      <c r="AS42" s="141">
        <v>0</v>
      </c>
      <c r="AT42" s="142">
        <v>0</v>
      </c>
    </row>
    <row r="43" spans="2:46" ht="12" customHeight="1" x14ac:dyDescent="0.25">
      <c r="B43" s="140" t="s">
        <v>41</v>
      </c>
      <c r="C43" s="141" t="s">
        <v>43</v>
      </c>
      <c r="D43" s="141" t="s">
        <v>25</v>
      </c>
      <c r="E43" s="141" t="s">
        <v>25</v>
      </c>
      <c r="F43" s="141" t="s">
        <v>25</v>
      </c>
      <c r="G43" s="141" t="s">
        <v>34</v>
      </c>
      <c r="H43" s="141" t="s">
        <v>79</v>
      </c>
      <c r="I43" s="141" t="s">
        <v>25</v>
      </c>
      <c r="J43" s="141">
        <v>62.79</v>
      </c>
      <c r="K43" s="141">
        <v>118.89</v>
      </c>
      <c r="L43" s="141">
        <v>0.91660905777671398</v>
      </c>
      <c r="M43" s="141">
        <v>0</v>
      </c>
      <c r="N43" s="141">
        <v>0</v>
      </c>
      <c r="O43" s="141">
        <v>0</v>
      </c>
      <c r="P43" s="141">
        <v>0</v>
      </c>
      <c r="Q43" s="141">
        <v>12.735991341043199</v>
      </c>
      <c r="R43" s="141">
        <v>5.5823020080452004</v>
      </c>
      <c r="S43" s="141">
        <v>0</v>
      </c>
      <c r="T43" s="141">
        <v>11.502749761291</v>
      </c>
      <c r="U43" s="141">
        <v>1.47595410841033</v>
      </c>
      <c r="V43" s="141">
        <v>0</v>
      </c>
      <c r="W43" s="141">
        <v>0</v>
      </c>
      <c r="X43" s="141">
        <v>0</v>
      </c>
      <c r="Y43" s="141">
        <v>0</v>
      </c>
      <c r="Z43" s="141">
        <v>0</v>
      </c>
      <c r="AA43" s="141">
        <v>0</v>
      </c>
      <c r="AB43" s="141">
        <v>0</v>
      </c>
      <c r="AC43" s="141">
        <v>0</v>
      </c>
      <c r="AD43" s="141">
        <v>0</v>
      </c>
      <c r="AE43" s="141">
        <v>10.3092662240491</v>
      </c>
      <c r="AF43" s="141">
        <v>0.83355092496745697</v>
      </c>
      <c r="AG43" s="141">
        <v>19.436658899520499</v>
      </c>
      <c r="AH43" s="141">
        <v>0</v>
      </c>
      <c r="AI43" s="141">
        <v>0.53331219842864797</v>
      </c>
      <c r="AJ43" s="141">
        <v>0</v>
      </c>
      <c r="AK43" s="141">
        <v>0</v>
      </c>
      <c r="AL43" s="141">
        <v>19.8275951015445</v>
      </c>
      <c r="AM43" s="141">
        <v>0</v>
      </c>
      <c r="AN43" s="141">
        <v>96.874521556843604</v>
      </c>
      <c r="AO43" s="141">
        <v>0</v>
      </c>
      <c r="AP43" s="141">
        <v>0</v>
      </c>
      <c r="AQ43" s="141">
        <v>0</v>
      </c>
      <c r="AR43" s="141">
        <v>0</v>
      </c>
      <c r="AS43" s="141">
        <v>0</v>
      </c>
      <c r="AT43" s="142">
        <v>1.65858361384346</v>
      </c>
    </row>
    <row r="44" spans="2:46" ht="12" customHeight="1" x14ac:dyDescent="0.25">
      <c r="B44" s="140" t="s">
        <v>41</v>
      </c>
      <c r="C44" s="141" t="s">
        <v>43</v>
      </c>
      <c r="D44" s="141" t="s">
        <v>25</v>
      </c>
      <c r="E44" s="141" t="s">
        <v>25</v>
      </c>
      <c r="F44" s="141" t="s">
        <v>25</v>
      </c>
      <c r="G44" s="141" t="s">
        <v>25</v>
      </c>
      <c r="H44" s="141" t="s">
        <v>76</v>
      </c>
      <c r="I44" s="141" t="s">
        <v>25</v>
      </c>
      <c r="J44" s="141">
        <v>0.3</v>
      </c>
      <c r="K44" s="141">
        <v>0</v>
      </c>
      <c r="L44" s="141">
        <v>0</v>
      </c>
      <c r="M44" s="141">
        <v>0</v>
      </c>
      <c r="N44" s="141">
        <v>0</v>
      </c>
      <c r="O44" s="141">
        <v>0</v>
      </c>
      <c r="P44" s="141">
        <v>0</v>
      </c>
      <c r="Q44" s="141">
        <v>0</v>
      </c>
      <c r="R44" s="141">
        <v>0</v>
      </c>
      <c r="S44" s="141">
        <v>0</v>
      </c>
      <c r="T44" s="141">
        <v>0.26292066408175302</v>
      </c>
      <c r="U44" s="141">
        <v>3.4764869350164797E-2</v>
      </c>
      <c r="V44" s="141">
        <v>0</v>
      </c>
      <c r="W44" s="141">
        <v>0</v>
      </c>
      <c r="X44" s="141">
        <v>0</v>
      </c>
      <c r="Y44" s="141">
        <v>0</v>
      </c>
      <c r="Z44" s="141">
        <v>0</v>
      </c>
      <c r="AA44" s="141">
        <v>0</v>
      </c>
      <c r="AB44" s="141">
        <v>0</v>
      </c>
      <c r="AC44" s="141">
        <v>0</v>
      </c>
      <c r="AD44" s="141">
        <v>0</v>
      </c>
      <c r="AE44" s="141">
        <v>0</v>
      </c>
      <c r="AF44" s="141">
        <v>0</v>
      </c>
      <c r="AG44" s="141">
        <v>0</v>
      </c>
      <c r="AH44" s="141">
        <v>0</v>
      </c>
      <c r="AI44" s="141">
        <v>0</v>
      </c>
      <c r="AJ44" s="141">
        <v>0</v>
      </c>
      <c r="AK44" s="141">
        <v>0</v>
      </c>
      <c r="AL44" s="141">
        <v>0</v>
      </c>
      <c r="AM44" s="141">
        <v>0</v>
      </c>
      <c r="AN44" s="141">
        <v>0</v>
      </c>
      <c r="AO44" s="141">
        <v>0</v>
      </c>
      <c r="AP44" s="141">
        <v>0</v>
      </c>
      <c r="AQ44" s="141">
        <v>0</v>
      </c>
      <c r="AR44" s="141">
        <v>0</v>
      </c>
      <c r="AS44" s="141">
        <v>0</v>
      </c>
      <c r="AT44" s="142">
        <v>0</v>
      </c>
    </row>
    <row r="45" spans="2:46" ht="12" customHeight="1" x14ac:dyDescent="0.25">
      <c r="B45" s="140" t="s">
        <v>41</v>
      </c>
      <c r="C45" s="141" t="s">
        <v>43</v>
      </c>
      <c r="D45" s="141" t="s">
        <v>25</v>
      </c>
      <c r="E45" s="141" t="s">
        <v>25</v>
      </c>
      <c r="F45" s="141" t="s">
        <v>25</v>
      </c>
      <c r="G45" s="141" t="s">
        <v>35</v>
      </c>
      <c r="H45" s="141" t="s">
        <v>79</v>
      </c>
      <c r="I45" s="141" t="s">
        <v>25</v>
      </c>
      <c r="J45" s="141">
        <v>49.81</v>
      </c>
      <c r="K45" s="141">
        <v>78.34</v>
      </c>
      <c r="L45" s="141">
        <v>0.91660905777671398</v>
      </c>
      <c r="M45" s="141">
        <v>0</v>
      </c>
      <c r="N45" s="141">
        <v>0</v>
      </c>
      <c r="O45" s="141">
        <v>0</v>
      </c>
      <c r="P45" s="141">
        <v>0</v>
      </c>
      <c r="Q45" s="141">
        <v>12.735991341043199</v>
      </c>
      <c r="R45" s="141">
        <v>5.5823020080452004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0</v>
      </c>
      <c r="Z45" s="141">
        <v>0</v>
      </c>
      <c r="AA45" s="141">
        <v>0</v>
      </c>
      <c r="AB45" s="141">
        <v>0</v>
      </c>
      <c r="AC45" s="141">
        <v>0</v>
      </c>
      <c r="AD45" s="141">
        <v>0</v>
      </c>
      <c r="AE45" s="141">
        <v>10.3092662240491</v>
      </c>
      <c r="AF45" s="141">
        <v>0.83355092496745697</v>
      </c>
      <c r="AG45" s="141">
        <v>19.436658899520499</v>
      </c>
      <c r="AH45" s="141">
        <v>0</v>
      </c>
      <c r="AI45" s="141">
        <v>0.53331219842864797</v>
      </c>
      <c r="AJ45" s="141">
        <v>0</v>
      </c>
      <c r="AK45" s="141">
        <v>0</v>
      </c>
      <c r="AL45" s="141">
        <v>19.8275951015445</v>
      </c>
      <c r="AM45" s="141">
        <v>0</v>
      </c>
      <c r="AN45" s="141">
        <v>56.322396253978901</v>
      </c>
      <c r="AO45" s="141">
        <v>0</v>
      </c>
      <c r="AP45" s="141">
        <v>0</v>
      </c>
      <c r="AQ45" s="141">
        <v>0</v>
      </c>
      <c r="AR45" s="141">
        <v>0</v>
      </c>
      <c r="AS45" s="141">
        <v>0</v>
      </c>
      <c r="AT45" s="142">
        <v>1.65858361384346</v>
      </c>
    </row>
    <row r="46" spans="2:46" ht="12" customHeight="1" x14ac:dyDescent="0.25">
      <c r="B46" s="140" t="s">
        <v>87</v>
      </c>
      <c r="C46" s="141" t="s">
        <v>58</v>
      </c>
      <c r="D46" s="141" t="s">
        <v>25</v>
      </c>
      <c r="E46" s="141" t="s">
        <v>25</v>
      </c>
      <c r="F46" s="141" t="s">
        <v>88</v>
      </c>
      <c r="G46" s="141" t="s">
        <v>25</v>
      </c>
      <c r="H46" s="141" t="s">
        <v>76</v>
      </c>
      <c r="I46" s="141" t="s">
        <v>25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Z46" s="141">
        <v>0</v>
      </c>
      <c r="AA46" s="141">
        <v>0</v>
      </c>
      <c r="AB46" s="141">
        <v>0</v>
      </c>
      <c r="AC46" s="141">
        <v>0</v>
      </c>
      <c r="AD46" s="141">
        <v>0</v>
      </c>
      <c r="AE46" s="141">
        <v>0</v>
      </c>
      <c r="AF46" s="141">
        <v>0</v>
      </c>
      <c r="AG46" s="141">
        <v>0</v>
      </c>
      <c r="AH46" s="141">
        <v>0</v>
      </c>
      <c r="AI46" s="141">
        <v>0</v>
      </c>
      <c r="AJ46" s="141">
        <v>0</v>
      </c>
      <c r="AK46" s="141">
        <v>0</v>
      </c>
      <c r="AL46" s="141">
        <v>0</v>
      </c>
      <c r="AM46" s="141">
        <v>0</v>
      </c>
      <c r="AN46" s="141">
        <v>0</v>
      </c>
      <c r="AO46" s="141">
        <v>0</v>
      </c>
      <c r="AP46" s="141">
        <v>0</v>
      </c>
      <c r="AQ46" s="141">
        <v>0</v>
      </c>
      <c r="AR46" s="141">
        <v>0</v>
      </c>
      <c r="AS46" s="141">
        <v>0</v>
      </c>
      <c r="AT46" s="142">
        <v>0</v>
      </c>
    </row>
    <row r="47" spans="2:46" ht="12" customHeight="1" x14ac:dyDescent="0.25">
      <c r="B47" s="140" t="s">
        <v>87</v>
      </c>
      <c r="C47" s="141" t="s">
        <v>58</v>
      </c>
      <c r="D47" s="141" t="s">
        <v>25</v>
      </c>
      <c r="E47" s="141" t="s">
        <v>25</v>
      </c>
      <c r="F47" s="141" t="s">
        <v>89</v>
      </c>
      <c r="G47" s="141" t="s">
        <v>25</v>
      </c>
      <c r="H47" s="141" t="s">
        <v>76</v>
      </c>
      <c r="I47" s="141" t="s">
        <v>25</v>
      </c>
      <c r="J47" s="141">
        <v>0</v>
      </c>
      <c r="K47" s="141">
        <v>0</v>
      </c>
      <c r="L47" s="141">
        <v>0</v>
      </c>
      <c r="M47" s="141">
        <v>0</v>
      </c>
      <c r="N47" s="141">
        <v>0</v>
      </c>
      <c r="O47" s="141">
        <v>0</v>
      </c>
      <c r="P47" s="141">
        <v>0</v>
      </c>
      <c r="Q47" s="141">
        <v>0</v>
      </c>
      <c r="R47" s="141">
        <v>0</v>
      </c>
      <c r="S47" s="141">
        <v>0</v>
      </c>
      <c r="T47" s="141">
        <v>0</v>
      </c>
      <c r="U47" s="141">
        <v>0</v>
      </c>
      <c r="V47" s="141">
        <v>0</v>
      </c>
      <c r="W47" s="141">
        <v>0</v>
      </c>
      <c r="X47" s="141">
        <v>0</v>
      </c>
      <c r="Y47" s="141">
        <v>0</v>
      </c>
      <c r="Z47" s="141">
        <v>0</v>
      </c>
      <c r="AA47" s="141">
        <v>0</v>
      </c>
      <c r="AB47" s="141">
        <v>0</v>
      </c>
      <c r="AC47" s="141">
        <v>0</v>
      </c>
      <c r="AD47" s="141">
        <v>0</v>
      </c>
      <c r="AE47" s="141">
        <v>0</v>
      </c>
      <c r="AF47" s="141">
        <v>0</v>
      </c>
      <c r="AG47" s="141">
        <v>0</v>
      </c>
      <c r="AH47" s="141">
        <v>0</v>
      </c>
      <c r="AI47" s="141">
        <v>0</v>
      </c>
      <c r="AJ47" s="141">
        <v>0</v>
      </c>
      <c r="AK47" s="141">
        <v>0</v>
      </c>
      <c r="AL47" s="141">
        <v>0</v>
      </c>
      <c r="AM47" s="141">
        <v>0</v>
      </c>
      <c r="AN47" s="141">
        <v>0</v>
      </c>
      <c r="AO47" s="141">
        <v>0</v>
      </c>
      <c r="AP47" s="141">
        <v>0</v>
      </c>
      <c r="AQ47" s="141">
        <v>0</v>
      </c>
      <c r="AR47" s="141">
        <v>0</v>
      </c>
      <c r="AS47" s="141">
        <v>0</v>
      </c>
      <c r="AT47" s="142">
        <v>0</v>
      </c>
    </row>
    <row r="48" spans="2:46" ht="12" customHeight="1" x14ac:dyDescent="0.25">
      <c r="B48" s="140" t="s">
        <v>22</v>
      </c>
      <c r="C48" s="141" t="s">
        <v>33</v>
      </c>
      <c r="D48" s="141" t="s">
        <v>24</v>
      </c>
      <c r="E48" s="141" t="s">
        <v>24</v>
      </c>
      <c r="F48" s="141" t="s">
        <v>25</v>
      </c>
      <c r="G48" s="141" t="s">
        <v>34</v>
      </c>
      <c r="H48" s="141" t="s">
        <v>79</v>
      </c>
      <c r="I48" s="141" t="s">
        <v>25</v>
      </c>
      <c r="J48" s="141">
        <v>60</v>
      </c>
      <c r="K48" s="141">
        <v>118.89</v>
      </c>
      <c r="L48" s="141">
        <v>1.0912012592579901</v>
      </c>
      <c r="M48" s="141">
        <v>0</v>
      </c>
      <c r="N48" s="141">
        <v>0</v>
      </c>
      <c r="O48" s="141">
        <v>0</v>
      </c>
      <c r="P48" s="141">
        <v>0</v>
      </c>
      <c r="Q48" s="141">
        <v>15.161894453622899</v>
      </c>
      <c r="R48" s="141">
        <v>5.5823020080452004</v>
      </c>
      <c r="S48" s="141">
        <v>0</v>
      </c>
      <c r="T48" s="141">
        <v>5.6267103588854903</v>
      </c>
      <c r="U48" s="141">
        <v>0.73312316043393499</v>
      </c>
      <c r="V48" s="141">
        <v>0</v>
      </c>
      <c r="W48" s="141">
        <v>0</v>
      </c>
      <c r="X48" s="141">
        <v>0</v>
      </c>
      <c r="Y48" s="141">
        <v>0</v>
      </c>
      <c r="Z48" s="141">
        <v>0</v>
      </c>
      <c r="AA48" s="141">
        <v>0</v>
      </c>
      <c r="AB48" s="141">
        <v>0</v>
      </c>
      <c r="AC48" s="141">
        <v>0</v>
      </c>
      <c r="AD48" s="141">
        <v>0</v>
      </c>
      <c r="AE48" s="141">
        <v>10.3092662240491</v>
      </c>
      <c r="AF48" s="141">
        <v>0.83355092496745697</v>
      </c>
      <c r="AG48" s="141">
        <v>20.6613250433121</v>
      </c>
      <c r="AH48" s="141">
        <v>0</v>
      </c>
      <c r="AI48" s="141">
        <v>0.53331219842864797</v>
      </c>
      <c r="AJ48" s="141">
        <v>0</v>
      </c>
      <c r="AK48" s="141">
        <v>0</v>
      </c>
      <c r="AL48" s="141">
        <v>19.8275951015445</v>
      </c>
      <c r="AM48" s="141">
        <v>0</v>
      </c>
      <c r="AN48" s="141">
        <v>96.874521556843604</v>
      </c>
      <c r="AO48" s="141">
        <v>0</v>
      </c>
      <c r="AP48" s="141">
        <v>0</v>
      </c>
      <c r="AQ48" s="141">
        <v>0</v>
      </c>
      <c r="AR48" s="141">
        <v>0</v>
      </c>
      <c r="AS48" s="141">
        <v>0</v>
      </c>
      <c r="AT48" s="142">
        <v>1.65858361384346</v>
      </c>
    </row>
    <row r="49" spans="2:46" ht="12" customHeight="1" x14ac:dyDescent="0.25">
      <c r="B49" s="140" t="s">
        <v>22</v>
      </c>
      <c r="C49" s="141" t="s">
        <v>33</v>
      </c>
      <c r="D49" s="141" t="s">
        <v>24</v>
      </c>
      <c r="E49" s="141" t="s">
        <v>24</v>
      </c>
      <c r="F49" s="141" t="s">
        <v>25</v>
      </c>
      <c r="G49" s="141" t="s">
        <v>36</v>
      </c>
      <c r="H49" s="141" t="s">
        <v>79</v>
      </c>
      <c r="I49" s="141" t="s">
        <v>25</v>
      </c>
      <c r="J49" s="141">
        <v>57.46</v>
      </c>
      <c r="K49" s="141">
        <v>78.34</v>
      </c>
      <c r="L49" s="141">
        <v>1.0912012592579901</v>
      </c>
      <c r="M49" s="141">
        <v>0</v>
      </c>
      <c r="N49" s="141">
        <v>0</v>
      </c>
      <c r="O49" s="141">
        <v>0</v>
      </c>
      <c r="P49" s="141">
        <v>0</v>
      </c>
      <c r="Q49" s="141">
        <v>15.161894453622899</v>
      </c>
      <c r="R49" s="141">
        <v>5.5823020080452004</v>
      </c>
      <c r="S49" s="141">
        <v>0</v>
      </c>
      <c r="T49" s="141">
        <v>3.37602207994978</v>
      </c>
      <c r="U49" s="141">
        <v>0.439874710330595</v>
      </c>
      <c r="V49" s="141">
        <v>0</v>
      </c>
      <c r="W49" s="141">
        <v>0</v>
      </c>
      <c r="X49" s="141">
        <v>0</v>
      </c>
      <c r="Y49" s="141">
        <v>0</v>
      </c>
      <c r="Z49" s="141">
        <v>0</v>
      </c>
      <c r="AA49" s="141">
        <v>0</v>
      </c>
      <c r="AB49" s="141">
        <v>0</v>
      </c>
      <c r="AC49" s="141">
        <v>0</v>
      </c>
      <c r="AD49" s="141">
        <v>0</v>
      </c>
      <c r="AE49" s="141">
        <v>10.3092662240491</v>
      </c>
      <c r="AF49" s="141">
        <v>0.83355092496745697</v>
      </c>
      <c r="AG49" s="141">
        <v>20.6613250433121</v>
      </c>
      <c r="AH49" s="141">
        <v>0</v>
      </c>
      <c r="AI49" s="141">
        <v>0.53331219842864797</v>
      </c>
      <c r="AJ49" s="141">
        <v>0</v>
      </c>
      <c r="AK49" s="141">
        <v>0</v>
      </c>
      <c r="AL49" s="141">
        <v>19.8275951015445</v>
      </c>
      <c r="AM49" s="141">
        <v>0</v>
      </c>
      <c r="AN49" s="141">
        <v>56.322396253978901</v>
      </c>
      <c r="AO49" s="141">
        <v>0</v>
      </c>
      <c r="AP49" s="141">
        <v>0</v>
      </c>
      <c r="AQ49" s="141">
        <v>0</v>
      </c>
      <c r="AR49" s="141">
        <v>0</v>
      </c>
      <c r="AS49" s="141">
        <v>0</v>
      </c>
      <c r="AT49" s="142">
        <v>1.65858361384346</v>
      </c>
    </row>
    <row r="50" spans="2:46" ht="12" customHeight="1" x14ac:dyDescent="0.25">
      <c r="B50" s="140" t="s">
        <v>22</v>
      </c>
      <c r="C50" s="141" t="s">
        <v>33</v>
      </c>
      <c r="D50" s="141" t="s">
        <v>24</v>
      </c>
      <c r="E50" s="141" t="s">
        <v>24</v>
      </c>
      <c r="F50" s="141" t="s">
        <v>25</v>
      </c>
      <c r="G50" s="141" t="s">
        <v>35</v>
      </c>
      <c r="H50" s="141" t="s">
        <v>79</v>
      </c>
      <c r="I50" s="141" t="s">
        <v>25</v>
      </c>
      <c r="J50" s="141">
        <v>54.91</v>
      </c>
      <c r="K50" s="141">
        <v>78.34</v>
      </c>
      <c r="L50" s="141">
        <v>1.0912012592579901</v>
      </c>
      <c r="M50" s="141">
        <v>0</v>
      </c>
      <c r="N50" s="141">
        <v>0</v>
      </c>
      <c r="O50" s="141">
        <v>0</v>
      </c>
      <c r="P50" s="141">
        <v>0</v>
      </c>
      <c r="Q50" s="141">
        <v>15.161894453622899</v>
      </c>
      <c r="R50" s="141">
        <v>5.5823020080452004</v>
      </c>
      <c r="S50" s="141">
        <v>0</v>
      </c>
      <c r="T50" s="141">
        <v>1.1253406933165899</v>
      </c>
      <c r="U50" s="141">
        <v>0.146626260227255</v>
      </c>
      <c r="V50" s="141">
        <v>0</v>
      </c>
      <c r="W50" s="141">
        <v>0</v>
      </c>
      <c r="X50" s="141">
        <v>0</v>
      </c>
      <c r="Y50" s="141">
        <v>0</v>
      </c>
      <c r="Z50" s="141">
        <v>0</v>
      </c>
      <c r="AA50" s="141">
        <v>0</v>
      </c>
      <c r="AB50" s="141">
        <v>0</v>
      </c>
      <c r="AC50" s="141">
        <v>0</v>
      </c>
      <c r="AD50" s="141">
        <v>0</v>
      </c>
      <c r="AE50" s="141">
        <v>10.3092662240491</v>
      </c>
      <c r="AF50" s="141">
        <v>0.83355092496745697</v>
      </c>
      <c r="AG50" s="141">
        <v>20.6613250433121</v>
      </c>
      <c r="AH50" s="141">
        <v>0</v>
      </c>
      <c r="AI50" s="141">
        <v>0.53331219842864797</v>
      </c>
      <c r="AJ50" s="141">
        <v>0</v>
      </c>
      <c r="AK50" s="141">
        <v>0</v>
      </c>
      <c r="AL50" s="141">
        <v>19.8275951015445</v>
      </c>
      <c r="AM50" s="141">
        <v>0</v>
      </c>
      <c r="AN50" s="141">
        <v>56.322396253978901</v>
      </c>
      <c r="AO50" s="141">
        <v>0</v>
      </c>
      <c r="AP50" s="141">
        <v>0</v>
      </c>
      <c r="AQ50" s="141">
        <v>0</v>
      </c>
      <c r="AR50" s="141">
        <v>0</v>
      </c>
      <c r="AS50" s="141">
        <v>0</v>
      </c>
      <c r="AT50" s="142">
        <v>1.65858361384346</v>
      </c>
    </row>
    <row r="51" spans="2:46" ht="12" customHeight="1" x14ac:dyDescent="0.25">
      <c r="B51" s="140" t="s">
        <v>22</v>
      </c>
      <c r="C51" s="141" t="s">
        <v>23</v>
      </c>
      <c r="D51" s="141" t="s">
        <v>24</v>
      </c>
      <c r="E51" s="141" t="s">
        <v>1390</v>
      </c>
      <c r="F51" s="141" t="s">
        <v>25</v>
      </c>
      <c r="G51" s="141" t="s">
        <v>25</v>
      </c>
      <c r="H51" s="141" t="s">
        <v>79</v>
      </c>
      <c r="I51" s="141" t="s">
        <v>25</v>
      </c>
      <c r="J51" s="141">
        <v>33.76</v>
      </c>
      <c r="K51" s="141">
        <v>81.72</v>
      </c>
      <c r="L51" s="141">
        <v>0</v>
      </c>
      <c r="M51" s="141">
        <v>0</v>
      </c>
      <c r="N51" s="141">
        <v>0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1.73129125362476</v>
      </c>
      <c r="U51" s="141">
        <v>0.22557479153691401</v>
      </c>
      <c r="V51" s="141">
        <v>0</v>
      </c>
      <c r="W51" s="141">
        <v>0</v>
      </c>
      <c r="X51" s="141">
        <v>0</v>
      </c>
      <c r="Y51" s="141">
        <v>0</v>
      </c>
      <c r="Z51" s="141">
        <v>0</v>
      </c>
      <c r="AA51" s="141">
        <v>0</v>
      </c>
      <c r="AB51" s="141">
        <v>0</v>
      </c>
      <c r="AC51" s="141">
        <v>0</v>
      </c>
      <c r="AD51" s="141">
        <v>0</v>
      </c>
      <c r="AE51" s="141">
        <v>10.3092662240491</v>
      </c>
      <c r="AF51" s="141">
        <v>0.83355092496745697</v>
      </c>
      <c r="AG51" s="141">
        <v>20.6613250433121</v>
      </c>
      <c r="AH51" s="141">
        <v>0</v>
      </c>
      <c r="AI51" s="141">
        <v>0.53331219842864797</v>
      </c>
      <c r="AJ51" s="141">
        <v>0</v>
      </c>
      <c r="AK51" s="141">
        <v>0</v>
      </c>
      <c r="AL51" s="141">
        <v>19.8275951015445</v>
      </c>
      <c r="AM51" s="141">
        <v>0</v>
      </c>
      <c r="AN51" s="141">
        <v>59.701740029217603</v>
      </c>
      <c r="AO51" s="141">
        <v>0</v>
      </c>
      <c r="AP51" s="141">
        <v>0</v>
      </c>
      <c r="AQ51" s="141">
        <v>0</v>
      </c>
      <c r="AR51" s="141">
        <v>0</v>
      </c>
      <c r="AS51" s="141">
        <v>0</v>
      </c>
      <c r="AT51" s="142">
        <v>1.65858361384346</v>
      </c>
    </row>
    <row r="52" spans="2:46" ht="12" customHeight="1" x14ac:dyDescent="0.25">
      <c r="B52" s="140" t="s">
        <v>22</v>
      </c>
      <c r="C52" s="141" t="s">
        <v>23</v>
      </c>
      <c r="D52" s="141" t="s">
        <v>24</v>
      </c>
      <c r="E52" s="141" t="s">
        <v>24</v>
      </c>
      <c r="F52" s="141" t="s">
        <v>25</v>
      </c>
      <c r="G52" s="141" t="s">
        <v>25</v>
      </c>
      <c r="H52" s="141" t="s">
        <v>79</v>
      </c>
      <c r="I52" s="141" t="s">
        <v>25</v>
      </c>
      <c r="J52" s="141">
        <v>55.6</v>
      </c>
      <c r="K52" s="141">
        <v>81.72</v>
      </c>
      <c r="L52" s="141">
        <v>1.0912012592579901</v>
      </c>
      <c r="M52" s="141">
        <v>0</v>
      </c>
      <c r="N52" s="141">
        <v>0</v>
      </c>
      <c r="O52" s="141">
        <v>0</v>
      </c>
      <c r="P52" s="141">
        <v>0</v>
      </c>
      <c r="Q52" s="141">
        <v>15.161894453622899</v>
      </c>
      <c r="R52" s="141">
        <v>5.5823020080452004</v>
      </c>
      <c r="S52" s="141">
        <v>0</v>
      </c>
      <c r="T52" s="141">
        <v>1.73129125362476</v>
      </c>
      <c r="U52" s="141">
        <v>0.22557479153691401</v>
      </c>
      <c r="V52" s="141">
        <v>0</v>
      </c>
      <c r="W52" s="141">
        <v>0</v>
      </c>
      <c r="X52" s="141">
        <v>0</v>
      </c>
      <c r="Y52" s="141">
        <v>0</v>
      </c>
      <c r="Z52" s="141">
        <v>0</v>
      </c>
      <c r="AA52" s="141">
        <v>0</v>
      </c>
      <c r="AB52" s="141">
        <v>0</v>
      </c>
      <c r="AC52" s="141">
        <v>0</v>
      </c>
      <c r="AD52" s="141">
        <v>0</v>
      </c>
      <c r="AE52" s="141">
        <v>10.3092662240491</v>
      </c>
      <c r="AF52" s="141">
        <v>0.83355092496745697</v>
      </c>
      <c r="AG52" s="141">
        <v>20.6613250433121</v>
      </c>
      <c r="AH52" s="141">
        <v>0</v>
      </c>
      <c r="AI52" s="141">
        <v>0.53331219842864797</v>
      </c>
      <c r="AJ52" s="141">
        <v>0</v>
      </c>
      <c r="AK52" s="141">
        <v>0</v>
      </c>
      <c r="AL52" s="141">
        <v>19.8275951015445</v>
      </c>
      <c r="AM52" s="141">
        <v>0</v>
      </c>
      <c r="AN52" s="141">
        <v>59.701740029217603</v>
      </c>
      <c r="AO52" s="141">
        <v>0</v>
      </c>
      <c r="AP52" s="141">
        <v>0</v>
      </c>
      <c r="AQ52" s="141">
        <v>0</v>
      </c>
      <c r="AR52" s="141">
        <v>0</v>
      </c>
      <c r="AS52" s="141">
        <v>0</v>
      </c>
      <c r="AT52" s="142">
        <v>1.65858361384346</v>
      </c>
    </row>
    <row r="53" spans="2:46" ht="12" customHeight="1" x14ac:dyDescent="0.25">
      <c r="B53" s="140" t="s">
        <v>22</v>
      </c>
      <c r="C53" s="141" t="s">
        <v>92</v>
      </c>
      <c r="D53" s="141" t="s">
        <v>24</v>
      </c>
      <c r="E53" s="141" t="s">
        <v>1390</v>
      </c>
      <c r="F53" s="141" t="s">
        <v>25</v>
      </c>
      <c r="G53" s="141" t="s">
        <v>25</v>
      </c>
      <c r="H53" s="141" t="s">
        <v>79</v>
      </c>
      <c r="I53" s="141" t="s">
        <v>25</v>
      </c>
      <c r="J53" s="141">
        <v>33.76</v>
      </c>
      <c r="K53" s="141">
        <v>81.72</v>
      </c>
      <c r="L53" s="141">
        <v>0</v>
      </c>
      <c r="M53" s="141">
        <v>0</v>
      </c>
      <c r="N53" s="141">
        <v>0</v>
      </c>
      <c r="O53" s="141">
        <v>0</v>
      </c>
      <c r="P53" s="141">
        <v>0</v>
      </c>
      <c r="Q53" s="141">
        <v>0</v>
      </c>
      <c r="R53" s="141">
        <v>0</v>
      </c>
      <c r="S53" s="141">
        <v>0</v>
      </c>
      <c r="T53" s="141">
        <v>1.73129125362476</v>
      </c>
      <c r="U53" s="141">
        <v>0.22557479153691401</v>
      </c>
      <c r="V53" s="141">
        <v>0</v>
      </c>
      <c r="W53" s="141">
        <v>0</v>
      </c>
      <c r="X53" s="141">
        <v>0</v>
      </c>
      <c r="Y53" s="141">
        <v>0</v>
      </c>
      <c r="Z53" s="141">
        <v>0</v>
      </c>
      <c r="AA53" s="141">
        <v>0</v>
      </c>
      <c r="AB53" s="141">
        <v>0</v>
      </c>
      <c r="AC53" s="141">
        <v>0</v>
      </c>
      <c r="AD53" s="141">
        <v>0</v>
      </c>
      <c r="AE53" s="141">
        <v>10.3092662240491</v>
      </c>
      <c r="AF53" s="141">
        <v>0.83355092496745697</v>
      </c>
      <c r="AG53" s="141">
        <v>20.6613250433121</v>
      </c>
      <c r="AH53" s="141">
        <v>0</v>
      </c>
      <c r="AI53" s="141">
        <v>0.53331219842864797</v>
      </c>
      <c r="AJ53" s="141">
        <v>0</v>
      </c>
      <c r="AK53" s="141">
        <v>0</v>
      </c>
      <c r="AL53" s="141">
        <v>19.8275951015445</v>
      </c>
      <c r="AM53" s="141">
        <v>0</v>
      </c>
      <c r="AN53" s="141">
        <v>59.701740029217603</v>
      </c>
      <c r="AO53" s="141">
        <v>0</v>
      </c>
      <c r="AP53" s="141">
        <v>0</v>
      </c>
      <c r="AQ53" s="141">
        <v>0</v>
      </c>
      <c r="AR53" s="141">
        <v>0</v>
      </c>
      <c r="AS53" s="141">
        <v>0</v>
      </c>
      <c r="AT53" s="142">
        <v>1.65858361384346</v>
      </c>
    </row>
    <row r="54" spans="2:46" ht="12" customHeight="1" x14ac:dyDescent="0.25">
      <c r="B54" s="140" t="s">
        <v>22</v>
      </c>
      <c r="C54" s="141" t="s">
        <v>92</v>
      </c>
      <c r="D54" s="141" t="s">
        <v>24</v>
      </c>
      <c r="E54" s="141" t="s">
        <v>24</v>
      </c>
      <c r="F54" s="141" t="s">
        <v>25</v>
      </c>
      <c r="G54" s="141" t="s">
        <v>25</v>
      </c>
      <c r="H54" s="141" t="s">
        <v>79</v>
      </c>
      <c r="I54" s="141" t="s">
        <v>25</v>
      </c>
      <c r="J54" s="141">
        <v>55.6</v>
      </c>
      <c r="K54" s="141">
        <v>81.72</v>
      </c>
      <c r="L54" s="141">
        <v>1.0912012592579901</v>
      </c>
      <c r="M54" s="141">
        <v>0</v>
      </c>
      <c r="N54" s="141">
        <v>0</v>
      </c>
      <c r="O54" s="141">
        <v>0</v>
      </c>
      <c r="P54" s="141">
        <v>0</v>
      </c>
      <c r="Q54" s="141">
        <v>15.161894453622899</v>
      </c>
      <c r="R54" s="141">
        <v>5.5823020080452004</v>
      </c>
      <c r="S54" s="141">
        <v>0</v>
      </c>
      <c r="T54" s="141">
        <v>1.73129125362476</v>
      </c>
      <c r="U54" s="141">
        <v>0.22557479153691401</v>
      </c>
      <c r="V54" s="141">
        <v>0</v>
      </c>
      <c r="W54" s="141">
        <v>0</v>
      </c>
      <c r="X54" s="141">
        <v>0</v>
      </c>
      <c r="Y54" s="141">
        <v>0</v>
      </c>
      <c r="Z54" s="141">
        <v>0</v>
      </c>
      <c r="AA54" s="141">
        <v>0</v>
      </c>
      <c r="AB54" s="141">
        <v>0</v>
      </c>
      <c r="AC54" s="141">
        <v>0</v>
      </c>
      <c r="AD54" s="141">
        <v>0</v>
      </c>
      <c r="AE54" s="141">
        <v>10.3092662240491</v>
      </c>
      <c r="AF54" s="141">
        <v>0.83355092496745697</v>
      </c>
      <c r="AG54" s="141">
        <v>20.6613250433121</v>
      </c>
      <c r="AH54" s="141">
        <v>0</v>
      </c>
      <c r="AI54" s="141">
        <v>0.53331219842864797</v>
      </c>
      <c r="AJ54" s="141">
        <v>0</v>
      </c>
      <c r="AK54" s="141">
        <v>0</v>
      </c>
      <c r="AL54" s="141">
        <v>19.8275951015445</v>
      </c>
      <c r="AM54" s="141">
        <v>0</v>
      </c>
      <c r="AN54" s="141">
        <v>59.701740029217603</v>
      </c>
      <c r="AO54" s="141">
        <v>0</v>
      </c>
      <c r="AP54" s="141">
        <v>0</v>
      </c>
      <c r="AQ54" s="141">
        <v>0</v>
      </c>
      <c r="AR54" s="141">
        <v>0</v>
      </c>
      <c r="AS54" s="141">
        <v>0</v>
      </c>
      <c r="AT54" s="142">
        <v>1.65858361384346</v>
      </c>
    </row>
    <row r="55" spans="2:46" ht="12" customHeight="1" x14ac:dyDescent="0.25">
      <c r="B55" s="140" t="s">
        <v>45</v>
      </c>
      <c r="C55" s="141" t="s">
        <v>33</v>
      </c>
      <c r="D55" s="141" t="s">
        <v>46</v>
      </c>
      <c r="E55" s="141" t="s">
        <v>93</v>
      </c>
      <c r="F55" s="141" t="s">
        <v>25</v>
      </c>
      <c r="G55" s="141" t="s">
        <v>34</v>
      </c>
      <c r="H55" s="141" t="s">
        <v>79</v>
      </c>
      <c r="I55" s="141" t="s">
        <v>25</v>
      </c>
      <c r="J55" s="141">
        <v>56.4</v>
      </c>
      <c r="K55" s="141">
        <v>111.76</v>
      </c>
      <c r="L55" s="141">
        <v>1.02572918370251</v>
      </c>
      <c r="M55" s="141">
        <v>0</v>
      </c>
      <c r="N55" s="141">
        <v>0</v>
      </c>
      <c r="O55" s="141">
        <v>0</v>
      </c>
      <c r="P55" s="141">
        <v>0</v>
      </c>
      <c r="Q55" s="141">
        <v>14.2521807864055</v>
      </c>
      <c r="R55" s="141">
        <v>5.2473638875624902</v>
      </c>
      <c r="S55" s="141">
        <v>0</v>
      </c>
      <c r="T55" s="141">
        <v>5.2891077373523601</v>
      </c>
      <c r="U55" s="141">
        <v>0.68913577080789901</v>
      </c>
      <c r="V55" s="141">
        <v>0</v>
      </c>
      <c r="W55" s="141">
        <v>0</v>
      </c>
      <c r="X55" s="141">
        <v>0</v>
      </c>
      <c r="Y55" s="141">
        <v>0</v>
      </c>
      <c r="Z55" s="141">
        <v>0</v>
      </c>
      <c r="AA55" s="141">
        <v>0</v>
      </c>
      <c r="AB55" s="141">
        <v>0</v>
      </c>
      <c r="AC55" s="141">
        <v>0</v>
      </c>
      <c r="AD55" s="141">
        <v>0</v>
      </c>
      <c r="AE55" s="141">
        <v>9.6907102506061609</v>
      </c>
      <c r="AF55" s="141">
        <v>0.78353786946940995</v>
      </c>
      <c r="AG55" s="141">
        <v>19.4216455407133</v>
      </c>
      <c r="AH55" s="141">
        <v>0</v>
      </c>
      <c r="AI55" s="141">
        <v>0.50131346652292896</v>
      </c>
      <c r="AJ55" s="141">
        <v>0</v>
      </c>
      <c r="AK55" s="141">
        <v>0</v>
      </c>
      <c r="AL55" s="141">
        <v>18.637939395451799</v>
      </c>
      <c r="AM55" s="141">
        <v>0</v>
      </c>
      <c r="AN55" s="141">
        <v>91.062050263432994</v>
      </c>
      <c r="AO55" s="141">
        <v>0</v>
      </c>
      <c r="AP55" s="141">
        <v>0</v>
      </c>
      <c r="AQ55" s="141">
        <v>0</v>
      </c>
      <c r="AR55" s="141">
        <v>0</v>
      </c>
      <c r="AS55" s="141">
        <v>0</v>
      </c>
      <c r="AT55" s="142">
        <v>1.5590685970128499</v>
      </c>
    </row>
    <row r="56" spans="2:46" ht="12" customHeight="1" x14ac:dyDescent="0.25">
      <c r="B56" s="140" t="s">
        <v>45</v>
      </c>
      <c r="C56" s="141" t="s">
        <v>33</v>
      </c>
      <c r="D56" s="141" t="s">
        <v>46</v>
      </c>
      <c r="E56" s="141" t="s">
        <v>93</v>
      </c>
      <c r="F56" s="141" t="s">
        <v>25</v>
      </c>
      <c r="G56" s="141" t="s">
        <v>36</v>
      </c>
      <c r="H56" s="141" t="s">
        <v>79</v>
      </c>
      <c r="I56" s="141" t="s">
        <v>25</v>
      </c>
      <c r="J56" s="141">
        <v>54.01</v>
      </c>
      <c r="K56" s="141">
        <v>73.64</v>
      </c>
      <c r="L56" s="141">
        <v>1.02572918370251</v>
      </c>
      <c r="M56" s="141">
        <v>0</v>
      </c>
      <c r="N56" s="141">
        <v>0</v>
      </c>
      <c r="O56" s="141">
        <v>0</v>
      </c>
      <c r="P56" s="141">
        <v>0</v>
      </c>
      <c r="Q56" s="141">
        <v>14.2521807864055</v>
      </c>
      <c r="R56" s="141">
        <v>5.2473638875624902</v>
      </c>
      <c r="S56" s="141">
        <v>0</v>
      </c>
      <c r="T56" s="141">
        <v>3.1734607551527998</v>
      </c>
      <c r="U56" s="141">
        <v>0.41348222771075899</v>
      </c>
      <c r="V56" s="141">
        <v>0</v>
      </c>
      <c r="W56" s="141">
        <v>0</v>
      </c>
      <c r="X56" s="141">
        <v>0</v>
      </c>
      <c r="Y56" s="141">
        <v>0</v>
      </c>
      <c r="Z56" s="141">
        <v>0</v>
      </c>
      <c r="AA56" s="141">
        <v>0</v>
      </c>
      <c r="AB56" s="141">
        <v>0</v>
      </c>
      <c r="AC56" s="141">
        <v>0</v>
      </c>
      <c r="AD56" s="141">
        <v>0</v>
      </c>
      <c r="AE56" s="141">
        <v>9.6907102506061609</v>
      </c>
      <c r="AF56" s="141">
        <v>0.78353786946940995</v>
      </c>
      <c r="AG56" s="141">
        <v>19.4216455407133</v>
      </c>
      <c r="AH56" s="141">
        <v>0</v>
      </c>
      <c r="AI56" s="141">
        <v>0.50131346652292896</v>
      </c>
      <c r="AJ56" s="141">
        <v>0</v>
      </c>
      <c r="AK56" s="141">
        <v>0</v>
      </c>
      <c r="AL56" s="141">
        <v>18.637939395451799</v>
      </c>
      <c r="AM56" s="141">
        <v>0</v>
      </c>
      <c r="AN56" s="141">
        <v>52.9430524787401</v>
      </c>
      <c r="AO56" s="141">
        <v>0</v>
      </c>
      <c r="AP56" s="141">
        <v>0</v>
      </c>
      <c r="AQ56" s="141">
        <v>0</v>
      </c>
      <c r="AR56" s="141">
        <v>0</v>
      </c>
      <c r="AS56" s="141">
        <v>0</v>
      </c>
      <c r="AT56" s="142">
        <v>1.5590685970128499</v>
      </c>
    </row>
    <row r="57" spans="2:46" ht="12" customHeight="1" x14ac:dyDescent="0.25">
      <c r="B57" s="140" t="s">
        <v>45</v>
      </c>
      <c r="C57" s="141" t="s">
        <v>33</v>
      </c>
      <c r="D57" s="141" t="s">
        <v>46</v>
      </c>
      <c r="E57" s="141" t="s">
        <v>93</v>
      </c>
      <c r="F57" s="141" t="s">
        <v>25</v>
      </c>
      <c r="G57" s="141" t="s">
        <v>35</v>
      </c>
      <c r="H57" s="141" t="s">
        <v>79</v>
      </c>
      <c r="I57" s="141" t="s">
        <v>25</v>
      </c>
      <c r="J57" s="141">
        <v>51.62</v>
      </c>
      <c r="K57" s="141">
        <v>73.64</v>
      </c>
      <c r="L57" s="141">
        <v>1.02572918370251</v>
      </c>
      <c r="M57" s="141">
        <v>0</v>
      </c>
      <c r="N57" s="141">
        <v>0</v>
      </c>
      <c r="O57" s="141">
        <v>0</v>
      </c>
      <c r="P57" s="141">
        <v>0</v>
      </c>
      <c r="Q57" s="141">
        <v>14.2521807864055</v>
      </c>
      <c r="R57" s="141">
        <v>5.2473638875624902</v>
      </c>
      <c r="S57" s="141">
        <v>0</v>
      </c>
      <c r="T57" s="141">
        <v>1.0578202517176001</v>
      </c>
      <c r="U57" s="141">
        <v>0.13782868461362</v>
      </c>
      <c r="V57" s="141">
        <v>0</v>
      </c>
      <c r="W57" s="141">
        <v>0</v>
      </c>
      <c r="X57" s="141">
        <v>0</v>
      </c>
      <c r="Y57" s="141">
        <v>0</v>
      </c>
      <c r="Z57" s="141">
        <v>0</v>
      </c>
      <c r="AA57" s="141">
        <v>0</v>
      </c>
      <c r="AB57" s="141">
        <v>0</v>
      </c>
      <c r="AC57" s="141">
        <v>0</v>
      </c>
      <c r="AD57" s="141">
        <v>0</v>
      </c>
      <c r="AE57" s="141">
        <v>9.6907102506061609</v>
      </c>
      <c r="AF57" s="141">
        <v>0.78353786946940995</v>
      </c>
      <c r="AG57" s="141">
        <v>19.4216455407133</v>
      </c>
      <c r="AH57" s="141">
        <v>0</v>
      </c>
      <c r="AI57" s="141">
        <v>0.50131346652292896</v>
      </c>
      <c r="AJ57" s="141">
        <v>0</v>
      </c>
      <c r="AK57" s="141">
        <v>0</v>
      </c>
      <c r="AL57" s="141">
        <v>18.637939395451799</v>
      </c>
      <c r="AM57" s="141">
        <v>0</v>
      </c>
      <c r="AN57" s="141">
        <v>52.9430524787401</v>
      </c>
      <c r="AO57" s="141">
        <v>0</v>
      </c>
      <c r="AP57" s="141">
        <v>0</v>
      </c>
      <c r="AQ57" s="141">
        <v>0</v>
      </c>
      <c r="AR57" s="141">
        <v>0</v>
      </c>
      <c r="AS57" s="141">
        <v>0</v>
      </c>
      <c r="AT57" s="142">
        <v>1.5590685970128499</v>
      </c>
    </row>
    <row r="58" spans="2:46" ht="12" customHeight="1" x14ac:dyDescent="0.25">
      <c r="B58" s="140" t="s">
        <v>45</v>
      </c>
      <c r="C58" s="141" t="s">
        <v>33</v>
      </c>
      <c r="D58" s="141" t="s">
        <v>46</v>
      </c>
      <c r="E58" s="141" t="s">
        <v>25</v>
      </c>
      <c r="F58" s="141" t="s">
        <v>25</v>
      </c>
      <c r="G58" s="141" t="s">
        <v>34</v>
      </c>
      <c r="H58" s="141" t="s">
        <v>79</v>
      </c>
      <c r="I58" s="141" t="s">
        <v>25</v>
      </c>
      <c r="J58" s="141">
        <v>56.4</v>
      </c>
      <c r="K58" s="141">
        <v>111.76</v>
      </c>
      <c r="L58" s="141">
        <v>1.02572918370251</v>
      </c>
      <c r="M58" s="141">
        <v>0</v>
      </c>
      <c r="N58" s="141">
        <v>0</v>
      </c>
      <c r="O58" s="141">
        <v>0</v>
      </c>
      <c r="P58" s="141">
        <v>0</v>
      </c>
      <c r="Q58" s="141">
        <v>14.2521807864055</v>
      </c>
      <c r="R58" s="141">
        <v>5.2473638875624902</v>
      </c>
      <c r="S58" s="141">
        <v>0</v>
      </c>
      <c r="T58" s="141">
        <v>5.2891077373523601</v>
      </c>
      <c r="U58" s="141">
        <v>0.68913577080789901</v>
      </c>
      <c r="V58" s="141">
        <v>0</v>
      </c>
      <c r="W58" s="141">
        <v>0</v>
      </c>
      <c r="X58" s="141">
        <v>0</v>
      </c>
      <c r="Y58" s="141">
        <v>0</v>
      </c>
      <c r="Z58" s="141">
        <v>0</v>
      </c>
      <c r="AA58" s="141">
        <v>0</v>
      </c>
      <c r="AB58" s="141">
        <v>0</v>
      </c>
      <c r="AC58" s="141">
        <v>0</v>
      </c>
      <c r="AD58" s="141">
        <v>0</v>
      </c>
      <c r="AE58" s="141">
        <v>9.6907102506061609</v>
      </c>
      <c r="AF58" s="141">
        <v>0.78353786946940995</v>
      </c>
      <c r="AG58" s="141">
        <v>19.4216455407133</v>
      </c>
      <c r="AH58" s="141">
        <v>0</v>
      </c>
      <c r="AI58" s="141">
        <v>0.50131346652292896</v>
      </c>
      <c r="AJ58" s="141">
        <v>0</v>
      </c>
      <c r="AK58" s="141">
        <v>0</v>
      </c>
      <c r="AL58" s="141">
        <v>18.637939395451799</v>
      </c>
      <c r="AM58" s="141">
        <v>0</v>
      </c>
      <c r="AN58" s="141">
        <v>91.062050263432994</v>
      </c>
      <c r="AO58" s="141">
        <v>0</v>
      </c>
      <c r="AP58" s="141">
        <v>0</v>
      </c>
      <c r="AQ58" s="141">
        <v>0</v>
      </c>
      <c r="AR58" s="141">
        <v>0</v>
      </c>
      <c r="AS58" s="141">
        <v>0</v>
      </c>
      <c r="AT58" s="142">
        <v>1.5590685970128499</v>
      </c>
    </row>
    <row r="59" spans="2:46" ht="12" customHeight="1" x14ac:dyDescent="0.25">
      <c r="B59" s="140" t="s">
        <v>45</v>
      </c>
      <c r="C59" s="141" t="s">
        <v>33</v>
      </c>
      <c r="D59" s="141" t="s">
        <v>46</v>
      </c>
      <c r="E59" s="141" t="s">
        <v>25</v>
      </c>
      <c r="F59" s="141" t="s">
        <v>25</v>
      </c>
      <c r="G59" s="141" t="s">
        <v>36</v>
      </c>
      <c r="H59" s="141" t="s">
        <v>79</v>
      </c>
      <c r="I59" s="141" t="s">
        <v>25</v>
      </c>
      <c r="J59" s="141">
        <v>54.01</v>
      </c>
      <c r="K59" s="141">
        <v>73.64</v>
      </c>
      <c r="L59" s="141">
        <v>1.02572918370251</v>
      </c>
      <c r="M59" s="141">
        <v>0</v>
      </c>
      <c r="N59" s="141">
        <v>0</v>
      </c>
      <c r="O59" s="141">
        <v>0</v>
      </c>
      <c r="P59" s="141">
        <v>0</v>
      </c>
      <c r="Q59" s="141">
        <v>14.2521807864055</v>
      </c>
      <c r="R59" s="141">
        <v>5.2473638875624902</v>
      </c>
      <c r="S59" s="141">
        <v>0</v>
      </c>
      <c r="T59" s="141">
        <v>3.1734607551527998</v>
      </c>
      <c r="U59" s="141">
        <v>0.41348222771075899</v>
      </c>
      <c r="V59" s="141">
        <v>0</v>
      </c>
      <c r="W59" s="141">
        <v>0</v>
      </c>
      <c r="X59" s="141">
        <v>0</v>
      </c>
      <c r="Y59" s="141">
        <v>0</v>
      </c>
      <c r="Z59" s="141">
        <v>0</v>
      </c>
      <c r="AA59" s="141">
        <v>0</v>
      </c>
      <c r="AB59" s="141">
        <v>0</v>
      </c>
      <c r="AC59" s="141">
        <v>0</v>
      </c>
      <c r="AD59" s="141">
        <v>0</v>
      </c>
      <c r="AE59" s="141">
        <v>9.6907102506061609</v>
      </c>
      <c r="AF59" s="141">
        <v>0.78353786946940995</v>
      </c>
      <c r="AG59" s="141">
        <v>19.4216455407133</v>
      </c>
      <c r="AH59" s="141">
        <v>0</v>
      </c>
      <c r="AI59" s="141">
        <v>0.50131346652292896</v>
      </c>
      <c r="AJ59" s="141">
        <v>0</v>
      </c>
      <c r="AK59" s="141">
        <v>0</v>
      </c>
      <c r="AL59" s="141">
        <v>18.637939395451799</v>
      </c>
      <c r="AM59" s="141">
        <v>0</v>
      </c>
      <c r="AN59" s="141">
        <v>52.9430524787401</v>
      </c>
      <c r="AO59" s="141">
        <v>0</v>
      </c>
      <c r="AP59" s="141">
        <v>0</v>
      </c>
      <c r="AQ59" s="141">
        <v>0</v>
      </c>
      <c r="AR59" s="141">
        <v>0</v>
      </c>
      <c r="AS59" s="141">
        <v>0</v>
      </c>
      <c r="AT59" s="142">
        <v>1.5590685970128499</v>
      </c>
    </row>
    <row r="60" spans="2:46" ht="12" customHeight="1" x14ac:dyDescent="0.25">
      <c r="B60" s="140" t="s">
        <v>45</v>
      </c>
      <c r="C60" s="141" t="s">
        <v>33</v>
      </c>
      <c r="D60" s="141" t="s">
        <v>46</v>
      </c>
      <c r="E60" s="141" t="s">
        <v>25</v>
      </c>
      <c r="F60" s="141" t="s">
        <v>25</v>
      </c>
      <c r="G60" s="141" t="s">
        <v>35</v>
      </c>
      <c r="H60" s="141" t="s">
        <v>79</v>
      </c>
      <c r="I60" s="141" t="s">
        <v>25</v>
      </c>
      <c r="J60" s="141">
        <v>51.62</v>
      </c>
      <c r="K60" s="141">
        <v>73.64</v>
      </c>
      <c r="L60" s="141">
        <v>1.02572918370251</v>
      </c>
      <c r="M60" s="141">
        <v>0</v>
      </c>
      <c r="N60" s="141">
        <v>0</v>
      </c>
      <c r="O60" s="141">
        <v>0</v>
      </c>
      <c r="P60" s="141">
        <v>0</v>
      </c>
      <c r="Q60" s="141">
        <v>14.2521807864055</v>
      </c>
      <c r="R60" s="141">
        <v>5.2473638875624902</v>
      </c>
      <c r="S60" s="141">
        <v>0</v>
      </c>
      <c r="T60" s="141">
        <v>1.0578202517176001</v>
      </c>
      <c r="U60" s="141">
        <v>0.13782868461362</v>
      </c>
      <c r="V60" s="141">
        <v>0</v>
      </c>
      <c r="W60" s="141">
        <v>0</v>
      </c>
      <c r="X60" s="141">
        <v>0</v>
      </c>
      <c r="Y60" s="141">
        <v>0</v>
      </c>
      <c r="Z60" s="141">
        <v>0</v>
      </c>
      <c r="AA60" s="141">
        <v>0</v>
      </c>
      <c r="AB60" s="141">
        <v>0</v>
      </c>
      <c r="AC60" s="141">
        <v>0</v>
      </c>
      <c r="AD60" s="141">
        <v>0</v>
      </c>
      <c r="AE60" s="141">
        <v>9.6907102506061609</v>
      </c>
      <c r="AF60" s="141">
        <v>0.78353786946940995</v>
      </c>
      <c r="AG60" s="141">
        <v>19.4216455407133</v>
      </c>
      <c r="AH60" s="141">
        <v>0</v>
      </c>
      <c r="AI60" s="141">
        <v>0.50131346652292896</v>
      </c>
      <c r="AJ60" s="141">
        <v>0</v>
      </c>
      <c r="AK60" s="141">
        <v>0</v>
      </c>
      <c r="AL60" s="141">
        <v>18.637939395451799</v>
      </c>
      <c r="AM60" s="141">
        <v>0</v>
      </c>
      <c r="AN60" s="141">
        <v>52.9430524787401</v>
      </c>
      <c r="AO60" s="141">
        <v>0</v>
      </c>
      <c r="AP60" s="141">
        <v>0</v>
      </c>
      <c r="AQ60" s="141">
        <v>0</v>
      </c>
      <c r="AR60" s="141">
        <v>0</v>
      </c>
      <c r="AS60" s="141">
        <v>0</v>
      </c>
      <c r="AT60" s="142">
        <v>1.5590685970128499</v>
      </c>
    </row>
    <row r="61" spans="2:46" ht="12" customHeight="1" x14ac:dyDescent="0.25">
      <c r="B61" s="140" t="s">
        <v>45</v>
      </c>
      <c r="C61" s="141" t="s">
        <v>33</v>
      </c>
      <c r="D61" s="141" t="s">
        <v>46</v>
      </c>
      <c r="E61" s="141" t="s">
        <v>94</v>
      </c>
      <c r="F61" s="141" t="s">
        <v>25</v>
      </c>
      <c r="G61" s="141" t="s">
        <v>34</v>
      </c>
      <c r="H61" s="141" t="s">
        <v>79</v>
      </c>
      <c r="I61" s="141" t="s">
        <v>25</v>
      </c>
      <c r="J61" s="141">
        <v>55.2</v>
      </c>
      <c r="K61" s="141">
        <v>109.38</v>
      </c>
      <c r="L61" s="141">
        <v>1.00390515851735</v>
      </c>
      <c r="M61" s="141">
        <v>0</v>
      </c>
      <c r="N61" s="141">
        <v>0</v>
      </c>
      <c r="O61" s="141">
        <v>0</v>
      </c>
      <c r="P61" s="141">
        <v>0</v>
      </c>
      <c r="Q61" s="141">
        <v>13.948942897333101</v>
      </c>
      <c r="R61" s="141">
        <v>5.1357178474015903</v>
      </c>
      <c r="S61" s="141">
        <v>0</v>
      </c>
      <c r="T61" s="141">
        <v>5.1765735301746503</v>
      </c>
      <c r="U61" s="141">
        <v>0.67447330759921997</v>
      </c>
      <c r="V61" s="141">
        <v>0</v>
      </c>
      <c r="W61" s="141">
        <v>0</v>
      </c>
      <c r="X61" s="141">
        <v>0</v>
      </c>
      <c r="Y61" s="141">
        <v>0</v>
      </c>
      <c r="Z61" s="141">
        <v>0</v>
      </c>
      <c r="AA61" s="141">
        <v>0</v>
      </c>
      <c r="AB61" s="141">
        <v>0</v>
      </c>
      <c r="AC61" s="141">
        <v>0</v>
      </c>
      <c r="AD61" s="141">
        <v>0</v>
      </c>
      <c r="AE61" s="141">
        <v>9.4845249261251805</v>
      </c>
      <c r="AF61" s="141">
        <v>0.76686685097006102</v>
      </c>
      <c r="AG61" s="141">
        <v>19.008419039847102</v>
      </c>
      <c r="AH61" s="141">
        <v>0</v>
      </c>
      <c r="AI61" s="141">
        <v>0.490647222554356</v>
      </c>
      <c r="AJ61" s="141">
        <v>0</v>
      </c>
      <c r="AK61" s="141">
        <v>0</v>
      </c>
      <c r="AL61" s="141">
        <v>18.241387493420898</v>
      </c>
      <c r="AM61" s="141">
        <v>0</v>
      </c>
      <c r="AN61" s="141">
        <v>89.1245598322962</v>
      </c>
      <c r="AO61" s="141">
        <v>0</v>
      </c>
      <c r="AP61" s="141">
        <v>0</v>
      </c>
      <c r="AQ61" s="141">
        <v>0</v>
      </c>
      <c r="AR61" s="141">
        <v>0</v>
      </c>
      <c r="AS61" s="141">
        <v>0</v>
      </c>
      <c r="AT61" s="142">
        <v>1.5258969247359799</v>
      </c>
    </row>
    <row r="62" spans="2:46" ht="12" customHeight="1" x14ac:dyDescent="0.25">
      <c r="B62" s="140" t="s">
        <v>45</v>
      </c>
      <c r="C62" s="141" t="s">
        <v>33</v>
      </c>
      <c r="D62" s="141" t="s">
        <v>46</v>
      </c>
      <c r="E62" s="141" t="s">
        <v>94</v>
      </c>
      <c r="F62" s="141" t="s">
        <v>25</v>
      </c>
      <c r="G62" s="141" t="s">
        <v>36</v>
      </c>
      <c r="H62" s="141" t="s">
        <v>79</v>
      </c>
      <c r="I62" s="141" t="s">
        <v>25</v>
      </c>
      <c r="J62" s="141">
        <v>52.86</v>
      </c>
      <c r="K62" s="141">
        <v>72.069999999999993</v>
      </c>
      <c r="L62" s="141">
        <v>1.00390515851735</v>
      </c>
      <c r="M62" s="141">
        <v>0</v>
      </c>
      <c r="N62" s="141">
        <v>0</v>
      </c>
      <c r="O62" s="141">
        <v>0</v>
      </c>
      <c r="P62" s="141">
        <v>0</v>
      </c>
      <c r="Q62" s="141">
        <v>13.948942897333101</v>
      </c>
      <c r="R62" s="141">
        <v>5.1357178474015903</v>
      </c>
      <c r="S62" s="141">
        <v>0</v>
      </c>
      <c r="T62" s="141">
        <v>3.1059403135538002</v>
      </c>
      <c r="U62" s="141">
        <v>0.40468473350414802</v>
      </c>
      <c r="V62" s="141">
        <v>0</v>
      </c>
      <c r="W62" s="141">
        <v>0</v>
      </c>
      <c r="X62" s="141">
        <v>0</v>
      </c>
      <c r="Y62" s="141">
        <v>0</v>
      </c>
      <c r="Z62" s="141">
        <v>0</v>
      </c>
      <c r="AA62" s="141">
        <v>0</v>
      </c>
      <c r="AB62" s="141">
        <v>0</v>
      </c>
      <c r="AC62" s="141">
        <v>0</v>
      </c>
      <c r="AD62" s="141">
        <v>0</v>
      </c>
      <c r="AE62" s="141">
        <v>9.4845249261251805</v>
      </c>
      <c r="AF62" s="141">
        <v>0.76686685097006102</v>
      </c>
      <c r="AG62" s="141">
        <v>19.008419039847102</v>
      </c>
      <c r="AH62" s="141">
        <v>0</v>
      </c>
      <c r="AI62" s="141">
        <v>0.490647222554356</v>
      </c>
      <c r="AJ62" s="141">
        <v>0</v>
      </c>
      <c r="AK62" s="141">
        <v>0</v>
      </c>
      <c r="AL62" s="141">
        <v>18.241387493420898</v>
      </c>
      <c r="AM62" s="141">
        <v>0</v>
      </c>
      <c r="AN62" s="141">
        <v>51.816604553660603</v>
      </c>
      <c r="AO62" s="141">
        <v>0</v>
      </c>
      <c r="AP62" s="141">
        <v>0</v>
      </c>
      <c r="AQ62" s="141">
        <v>0</v>
      </c>
      <c r="AR62" s="141">
        <v>0</v>
      </c>
      <c r="AS62" s="141">
        <v>0</v>
      </c>
      <c r="AT62" s="142">
        <v>1.5258969247359799</v>
      </c>
    </row>
    <row r="63" spans="2:46" ht="12" customHeight="1" x14ac:dyDescent="0.25">
      <c r="B63" s="140" t="s">
        <v>45</v>
      </c>
      <c r="C63" s="141" t="s">
        <v>33</v>
      </c>
      <c r="D63" s="141" t="s">
        <v>46</v>
      </c>
      <c r="E63" s="141" t="s">
        <v>94</v>
      </c>
      <c r="F63" s="141" t="s">
        <v>25</v>
      </c>
      <c r="G63" s="141" t="s">
        <v>35</v>
      </c>
      <c r="H63" s="141" t="s">
        <v>79</v>
      </c>
      <c r="I63" s="141" t="s">
        <v>25</v>
      </c>
      <c r="J63" s="141">
        <v>50.52</v>
      </c>
      <c r="K63" s="141">
        <v>72.069999999999993</v>
      </c>
      <c r="L63" s="141">
        <v>1.00390515851735</v>
      </c>
      <c r="M63" s="141">
        <v>0</v>
      </c>
      <c r="N63" s="141">
        <v>0</v>
      </c>
      <c r="O63" s="141">
        <v>0</v>
      </c>
      <c r="P63" s="141">
        <v>0</v>
      </c>
      <c r="Q63" s="141">
        <v>13.948942897333101</v>
      </c>
      <c r="R63" s="141">
        <v>5.1357178474015903</v>
      </c>
      <c r="S63" s="141">
        <v>0</v>
      </c>
      <c r="T63" s="141">
        <v>1.0353134378512701</v>
      </c>
      <c r="U63" s="141">
        <v>0.13489615940907501</v>
      </c>
      <c r="V63" s="141">
        <v>0</v>
      </c>
      <c r="W63" s="141">
        <v>0</v>
      </c>
      <c r="X63" s="141">
        <v>0</v>
      </c>
      <c r="Y63" s="141">
        <v>0</v>
      </c>
      <c r="Z63" s="141">
        <v>0</v>
      </c>
      <c r="AA63" s="141">
        <v>0</v>
      </c>
      <c r="AB63" s="141">
        <v>0</v>
      </c>
      <c r="AC63" s="141">
        <v>0</v>
      </c>
      <c r="AD63" s="141">
        <v>0</v>
      </c>
      <c r="AE63" s="141">
        <v>9.4845249261251805</v>
      </c>
      <c r="AF63" s="141">
        <v>0.76686685097006102</v>
      </c>
      <c r="AG63" s="141">
        <v>19.008419039847102</v>
      </c>
      <c r="AH63" s="141">
        <v>0</v>
      </c>
      <c r="AI63" s="141">
        <v>0.490647222554356</v>
      </c>
      <c r="AJ63" s="141">
        <v>0</v>
      </c>
      <c r="AK63" s="141">
        <v>0</v>
      </c>
      <c r="AL63" s="141">
        <v>18.241387493420898</v>
      </c>
      <c r="AM63" s="141">
        <v>0</v>
      </c>
      <c r="AN63" s="141">
        <v>51.816604553660603</v>
      </c>
      <c r="AO63" s="141">
        <v>0</v>
      </c>
      <c r="AP63" s="141">
        <v>0</v>
      </c>
      <c r="AQ63" s="141">
        <v>0</v>
      </c>
      <c r="AR63" s="141">
        <v>0</v>
      </c>
      <c r="AS63" s="141">
        <v>0</v>
      </c>
      <c r="AT63" s="142">
        <v>1.5258969247359799</v>
      </c>
    </row>
    <row r="64" spans="2:46" ht="12" customHeight="1" x14ac:dyDescent="0.25">
      <c r="B64" s="140" t="s">
        <v>45</v>
      </c>
      <c r="C64" s="141" t="s">
        <v>23</v>
      </c>
      <c r="D64" s="141" t="s">
        <v>46</v>
      </c>
      <c r="E64" s="141" t="s">
        <v>93</v>
      </c>
      <c r="F64" s="141" t="s">
        <v>25</v>
      </c>
      <c r="G64" s="141" t="s">
        <v>25</v>
      </c>
      <c r="H64" s="141" t="s">
        <v>79</v>
      </c>
      <c r="I64" s="141" t="s">
        <v>25</v>
      </c>
      <c r="J64" s="141">
        <v>52.26</v>
      </c>
      <c r="K64" s="141">
        <v>76.819999999999993</v>
      </c>
      <c r="L64" s="141">
        <v>1.02572918370251</v>
      </c>
      <c r="M64" s="141">
        <v>0</v>
      </c>
      <c r="N64" s="141">
        <v>0</v>
      </c>
      <c r="O64" s="141">
        <v>0</v>
      </c>
      <c r="P64" s="141">
        <v>0</v>
      </c>
      <c r="Q64" s="141">
        <v>14.2521807864055</v>
      </c>
      <c r="R64" s="141">
        <v>5.2473638875624902</v>
      </c>
      <c r="S64" s="141">
        <v>0</v>
      </c>
      <c r="T64" s="141">
        <v>1.62741377840727</v>
      </c>
      <c r="U64" s="141">
        <v>0.21204030404469901</v>
      </c>
      <c r="V64" s="141">
        <v>0</v>
      </c>
      <c r="W64" s="141">
        <v>0</v>
      </c>
      <c r="X64" s="141">
        <v>0</v>
      </c>
      <c r="Y64" s="141">
        <v>0</v>
      </c>
      <c r="Z64" s="141">
        <v>0</v>
      </c>
      <c r="AA64" s="141">
        <v>0</v>
      </c>
      <c r="AB64" s="141">
        <v>0</v>
      </c>
      <c r="AC64" s="141">
        <v>0</v>
      </c>
      <c r="AD64" s="141">
        <v>0</v>
      </c>
      <c r="AE64" s="141">
        <v>9.6907102506061609</v>
      </c>
      <c r="AF64" s="141">
        <v>0.78353786946940995</v>
      </c>
      <c r="AG64" s="141">
        <v>19.4216455407133</v>
      </c>
      <c r="AH64" s="141">
        <v>0</v>
      </c>
      <c r="AI64" s="141">
        <v>0.50131346652292896</v>
      </c>
      <c r="AJ64" s="141">
        <v>0</v>
      </c>
      <c r="AK64" s="141">
        <v>0</v>
      </c>
      <c r="AL64" s="141">
        <v>18.637939395451799</v>
      </c>
      <c r="AM64" s="141">
        <v>0</v>
      </c>
      <c r="AN64" s="141">
        <v>56.119635627464497</v>
      </c>
      <c r="AO64" s="141">
        <v>0</v>
      </c>
      <c r="AP64" s="141">
        <v>0</v>
      </c>
      <c r="AQ64" s="141">
        <v>0</v>
      </c>
      <c r="AR64" s="141">
        <v>0</v>
      </c>
      <c r="AS64" s="141">
        <v>0</v>
      </c>
      <c r="AT64" s="142">
        <v>1.5590685970128499</v>
      </c>
    </row>
    <row r="65" spans="2:46" ht="12" customHeight="1" x14ac:dyDescent="0.25">
      <c r="B65" s="140" t="s">
        <v>45</v>
      </c>
      <c r="C65" s="141" t="s">
        <v>23</v>
      </c>
      <c r="D65" s="141" t="s">
        <v>46</v>
      </c>
      <c r="E65" s="141" t="s">
        <v>25</v>
      </c>
      <c r="F65" s="141" t="s">
        <v>25</v>
      </c>
      <c r="G65" s="141" t="s">
        <v>25</v>
      </c>
      <c r="H65" s="141" t="s">
        <v>79</v>
      </c>
      <c r="I65" s="141" t="s">
        <v>25</v>
      </c>
      <c r="J65" s="141">
        <v>52.26</v>
      </c>
      <c r="K65" s="141">
        <v>76.819999999999993</v>
      </c>
      <c r="L65" s="141">
        <v>1.02572918370251</v>
      </c>
      <c r="M65" s="141">
        <v>0</v>
      </c>
      <c r="N65" s="141">
        <v>0</v>
      </c>
      <c r="O65" s="141">
        <v>0</v>
      </c>
      <c r="P65" s="141">
        <v>0</v>
      </c>
      <c r="Q65" s="141">
        <v>14.2521807864055</v>
      </c>
      <c r="R65" s="141">
        <v>5.2473638875624902</v>
      </c>
      <c r="S65" s="141">
        <v>0</v>
      </c>
      <c r="T65" s="141">
        <v>1.62741377840727</v>
      </c>
      <c r="U65" s="141">
        <v>0.21204030404469901</v>
      </c>
      <c r="V65" s="141">
        <v>0</v>
      </c>
      <c r="W65" s="141">
        <v>0</v>
      </c>
      <c r="X65" s="141">
        <v>0</v>
      </c>
      <c r="Y65" s="141">
        <v>0</v>
      </c>
      <c r="Z65" s="141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9.6907102506061609</v>
      </c>
      <c r="AF65" s="141">
        <v>0.78353786946940995</v>
      </c>
      <c r="AG65" s="141">
        <v>19.4216455407133</v>
      </c>
      <c r="AH65" s="141">
        <v>0</v>
      </c>
      <c r="AI65" s="141">
        <v>0.50131346652292896</v>
      </c>
      <c r="AJ65" s="141">
        <v>0</v>
      </c>
      <c r="AK65" s="141">
        <v>0</v>
      </c>
      <c r="AL65" s="141">
        <v>18.637939395451799</v>
      </c>
      <c r="AM65" s="141">
        <v>0</v>
      </c>
      <c r="AN65" s="141">
        <v>56.119635627464497</v>
      </c>
      <c r="AO65" s="141">
        <v>0</v>
      </c>
      <c r="AP65" s="141">
        <v>0</v>
      </c>
      <c r="AQ65" s="141">
        <v>0</v>
      </c>
      <c r="AR65" s="141">
        <v>0</v>
      </c>
      <c r="AS65" s="141">
        <v>0</v>
      </c>
      <c r="AT65" s="142">
        <v>1.5590685970128499</v>
      </c>
    </row>
    <row r="66" spans="2:46" ht="12" customHeight="1" x14ac:dyDescent="0.25">
      <c r="B66" s="140" t="s">
        <v>45</v>
      </c>
      <c r="C66" s="141" t="s">
        <v>23</v>
      </c>
      <c r="D66" s="141" t="s">
        <v>46</v>
      </c>
      <c r="E66" s="141" t="s">
        <v>94</v>
      </c>
      <c r="F66" s="141" t="s">
        <v>25</v>
      </c>
      <c r="G66" s="141" t="s">
        <v>25</v>
      </c>
      <c r="H66" s="141" t="s">
        <v>79</v>
      </c>
      <c r="I66" s="141" t="s">
        <v>25</v>
      </c>
      <c r="J66" s="141">
        <v>51.15</v>
      </c>
      <c r="K66" s="141">
        <v>75.180000000000007</v>
      </c>
      <c r="L66" s="141">
        <v>1.00390515851735</v>
      </c>
      <c r="M66" s="141">
        <v>0</v>
      </c>
      <c r="N66" s="141">
        <v>0</v>
      </c>
      <c r="O66" s="141">
        <v>0</v>
      </c>
      <c r="P66" s="141">
        <v>0</v>
      </c>
      <c r="Q66" s="141">
        <v>13.948942897333101</v>
      </c>
      <c r="R66" s="141">
        <v>5.1357178474015903</v>
      </c>
      <c r="S66" s="141">
        <v>0</v>
      </c>
      <c r="T66" s="141">
        <v>1.59278795333478</v>
      </c>
      <c r="U66" s="141">
        <v>0.207528808213961</v>
      </c>
      <c r="V66" s="141">
        <v>0</v>
      </c>
      <c r="W66" s="141">
        <v>0</v>
      </c>
      <c r="X66" s="141">
        <v>0</v>
      </c>
      <c r="Y66" s="141">
        <v>0</v>
      </c>
      <c r="Z66" s="141">
        <v>0</v>
      </c>
      <c r="AA66" s="141">
        <v>0</v>
      </c>
      <c r="AB66" s="141">
        <v>0</v>
      </c>
      <c r="AC66" s="141">
        <v>0</v>
      </c>
      <c r="AD66" s="141">
        <v>0</v>
      </c>
      <c r="AE66" s="141">
        <v>9.4845249261251805</v>
      </c>
      <c r="AF66" s="141">
        <v>0.76686685097006102</v>
      </c>
      <c r="AG66" s="141">
        <v>19.008419039847102</v>
      </c>
      <c r="AH66" s="141">
        <v>0</v>
      </c>
      <c r="AI66" s="141">
        <v>0.490647222554356</v>
      </c>
      <c r="AJ66" s="141">
        <v>0</v>
      </c>
      <c r="AK66" s="141">
        <v>0</v>
      </c>
      <c r="AL66" s="141">
        <v>18.241387493420898</v>
      </c>
      <c r="AM66" s="141">
        <v>0</v>
      </c>
      <c r="AN66" s="141">
        <v>54.925600826880199</v>
      </c>
      <c r="AO66" s="141">
        <v>0</v>
      </c>
      <c r="AP66" s="141">
        <v>0</v>
      </c>
      <c r="AQ66" s="141">
        <v>0</v>
      </c>
      <c r="AR66" s="141">
        <v>0</v>
      </c>
      <c r="AS66" s="141">
        <v>0</v>
      </c>
      <c r="AT66" s="142">
        <v>1.5258969247359799</v>
      </c>
    </row>
    <row r="67" spans="2:46" ht="12" customHeight="1" x14ac:dyDescent="0.25">
      <c r="B67" s="140" t="s">
        <v>45</v>
      </c>
      <c r="C67" s="141" t="s">
        <v>92</v>
      </c>
      <c r="D67" s="141" t="s">
        <v>46</v>
      </c>
      <c r="E67" s="141" t="s">
        <v>93</v>
      </c>
      <c r="F67" s="141" t="s">
        <v>25</v>
      </c>
      <c r="G67" s="141" t="s">
        <v>25</v>
      </c>
      <c r="H67" s="141" t="s">
        <v>79</v>
      </c>
      <c r="I67" s="141" t="s">
        <v>25</v>
      </c>
      <c r="J67" s="141">
        <v>52.26</v>
      </c>
      <c r="K67" s="141">
        <v>76.819999999999993</v>
      </c>
      <c r="L67" s="141">
        <v>1.02572918370251</v>
      </c>
      <c r="M67" s="141">
        <v>0</v>
      </c>
      <c r="N67" s="141">
        <v>0</v>
      </c>
      <c r="O67" s="141">
        <v>0</v>
      </c>
      <c r="P67" s="141">
        <v>0</v>
      </c>
      <c r="Q67" s="141">
        <v>14.2521807864055</v>
      </c>
      <c r="R67" s="141">
        <v>5.2473638875624902</v>
      </c>
      <c r="S67" s="141">
        <v>0</v>
      </c>
      <c r="T67" s="141">
        <v>1.62741377840727</v>
      </c>
      <c r="U67" s="141">
        <v>0.21204030404469901</v>
      </c>
      <c r="V67" s="141">
        <v>0</v>
      </c>
      <c r="W67" s="141">
        <v>0</v>
      </c>
      <c r="X67" s="141">
        <v>0</v>
      </c>
      <c r="Y67" s="141">
        <v>0</v>
      </c>
      <c r="Z67" s="141">
        <v>0</v>
      </c>
      <c r="AA67" s="141">
        <v>0</v>
      </c>
      <c r="AB67" s="141">
        <v>0</v>
      </c>
      <c r="AC67" s="141">
        <v>0</v>
      </c>
      <c r="AD67" s="141">
        <v>0</v>
      </c>
      <c r="AE67" s="141">
        <v>9.6907102506061609</v>
      </c>
      <c r="AF67" s="141">
        <v>0.78353786946940995</v>
      </c>
      <c r="AG67" s="141">
        <v>19.4216455407133</v>
      </c>
      <c r="AH67" s="141">
        <v>0</v>
      </c>
      <c r="AI67" s="141">
        <v>0.50131346652292896</v>
      </c>
      <c r="AJ67" s="141">
        <v>0</v>
      </c>
      <c r="AK67" s="141">
        <v>0</v>
      </c>
      <c r="AL67" s="141">
        <v>18.637939395451799</v>
      </c>
      <c r="AM67" s="141">
        <v>0</v>
      </c>
      <c r="AN67" s="141">
        <v>56.119635627464497</v>
      </c>
      <c r="AO67" s="141">
        <v>0</v>
      </c>
      <c r="AP67" s="141">
        <v>0</v>
      </c>
      <c r="AQ67" s="141">
        <v>0</v>
      </c>
      <c r="AR67" s="141">
        <v>0</v>
      </c>
      <c r="AS67" s="141">
        <v>0</v>
      </c>
      <c r="AT67" s="142">
        <v>1.5590685970128499</v>
      </c>
    </row>
    <row r="68" spans="2:46" ht="12" customHeight="1" x14ac:dyDescent="0.25">
      <c r="B68" s="140" t="s">
        <v>45</v>
      </c>
      <c r="C68" s="141" t="s">
        <v>92</v>
      </c>
      <c r="D68" s="141" t="s">
        <v>46</v>
      </c>
      <c r="E68" s="141" t="s">
        <v>25</v>
      </c>
      <c r="F68" s="141" t="s">
        <v>25</v>
      </c>
      <c r="G68" s="141" t="s">
        <v>25</v>
      </c>
      <c r="H68" s="141" t="s">
        <v>79</v>
      </c>
      <c r="I68" s="141" t="s">
        <v>25</v>
      </c>
      <c r="J68" s="141">
        <v>52.26</v>
      </c>
      <c r="K68" s="141">
        <v>76.819999999999993</v>
      </c>
      <c r="L68" s="141">
        <v>1.02572918370251</v>
      </c>
      <c r="M68" s="141">
        <v>0</v>
      </c>
      <c r="N68" s="141">
        <v>0</v>
      </c>
      <c r="O68" s="141">
        <v>0</v>
      </c>
      <c r="P68" s="141">
        <v>0</v>
      </c>
      <c r="Q68" s="141">
        <v>14.2521807864055</v>
      </c>
      <c r="R68" s="141">
        <v>5.2473638875624902</v>
      </c>
      <c r="S68" s="141">
        <v>0</v>
      </c>
      <c r="T68" s="141">
        <v>1.62741377840727</v>
      </c>
      <c r="U68" s="141">
        <v>0.21204030404469901</v>
      </c>
      <c r="V68" s="141">
        <v>0</v>
      </c>
      <c r="W68" s="141">
        <v>0</v>
      </c>
      <c r="X68" s="141">
        <v>0</v>
      </c>
      <c r="Y68" s="141">
        <v>0</v>
      </c>
      <c r="Z68" s="141">
        <v>0</v>
      </c>
      <c r="AA68" s="141">
        <v>0</v>
      </c>
      <c r="AB68" s="141">
        <v>0</v>
      </c>
      <c r="AC68" s="141">
        <v>0</v>
      </c>
      <c r="AD68" s="141">
        <v>0</v>
      </c>
      <c r="AE68" s="141">
        <v>9.6907102506061609</v>
      </c>
      <c r="AF68" s="141">
        <v>0.78353786946940995</v>
      </c>
      <c r="AG68" s="141">
        <v>19.4216455407133</v>
      </c>
      <c r="AH68" s="141">
        <v>0</v>
      </c>
      <c r="AI68" s="141">
        <v>0.50131346652292896</v>
      </c>
      <c r="AJ68" s="141">
        <v>0</v>
      </c>
      <c r="AK68" s="141">
        <v>0</v>
      </c>
      <c r="AL68" s="141">
        <v>18.637939395451799</v>
      </c>
      <c r="AM68" s="141">
        <v>0</v>
      </c>
      <c r="AN68" s="141">
        <v>56.119635627464497</v>
      </c>
      <c r="AO68" s="141">
        <v>0</v>
      </c>
      <c r="AP68" s="141">
        <v>0</v>
      </c>
      <c r="AQ68" s="141">
        <v>0</v>
      </c>
      <c r="AR68" s="141">
        <v>0</v>
      </c>
      <c r="AS68" s="141">
        <v>0</v>
      </c>
      <c r="AT68" s="142">
        <v>1.5590685970128499</v>
      </c>
    </row>
    <row r="69" spans="2:46" ht="12" customHeight="1" x14ac:dyDescent="0.25">
      <c r="B69" s="140" t="s">
        <v>45</v>
      </c>
      <c r="C69" s="141" t="s">
        <v>92</v>
      </c>
      <c r="D69" s="141" t="s">
        <v>46</v>
      </c>
      <c r="E69" s="141" t="s">
        <v>94</v>
      </c>
      <c r="F69" s="141" t="s">
        <v>25</v>
      </c>
      <c r="G69" s="141" t="s">
        <v>25</v>
      </c>
      <c r="H69" s="141" t="s">
        <v>79</v>
      </c>
      <c r="I69" s="141" t="s">
        <v>25</v>
      </c>
      <c r="J69" s="141">
        <v>51.15</v>
      </c>
      <c r="K69" s="141">
        <v>75.180000000000007</v>
      </c>
      <c r="L69" s="141">
        <v>1.00390515851735</v>
      </c>
      <c r="M69" s="141">
        <v>0</v>
      </c>
      <c r="N69" s="141">
        <v>0</v>
      </c>
      <c r="O69" s="141">
        <v>0</v>
      </c>
      <c r="P69" s="141">
        <v>0</v>
      </c>
      <c r="Q69" s="141">
        <v>13.948942897333101</v>
      </c>
      <c r="R69" s="141">
        <v>5.1357178474015903</v>
      </c>
      <c r="S69" s="141">
        <v>0</v>
      </c>
      <c r="T69" s="141">
        <v>1.59278795333478</v>
      </c>
      <c r="U69" s="141">
        <v>0.207528808213961</v>
      </c>
      <c r="V69" s="141">
        <v>0</v>
      </c>
      <c r="W69" s="141">
        <v>0</v>
      </c>
      <c r="X69" s="141">
        <v>0</v>
      </c>
      <c r="Y69" s="141">
        <v>0</v>
      </c>
      <c r="Z69" s="141">
        <v>0</v>
      </c>
      <c r="AA69" s="141">
        <v>0</v>
      </c>
      <c r="AB69" s="141">
        <v>0</v>
      </c>
      <c r="AC69" s="141">
        <v>0</v>
      </c>
      <c r="AD69" s="141">
        <v>0</v>
      </c>
      <c r="AE69" s="141">
        <v>9.4845249261251805</v>
      </c>
      <c r="AF69" s="141">
        <v>0.76686685097006102</v>
      </c>
      <c r="AG69" s="141">
        <v>19.008419039847102</v>
      </c>
      <c r="AH69" s="141">
        <v>0</v>
      </c>
      <c r="AI69" s="141">
        <v>0.490647222554356</v>
      </c>
      <c r="AJ69" s="141">
        <v>0</v>
      </c>
      <c r="AK69" s="141">
        <v>0</v>
      </c>
      <c r="AL69" s="141">
        <v>18.241387493420898</v>
      </c>
      <c r="AM69" s="141">
        <v>0</v>
      </c>
      <c r="AN69" s="141">
        <v>54.925600826880199</v>
      </c>
      <c r="AO69" s="141">
        <v>0</v>
      </c>
      <c r="AP69" s="141">
        <v>0</v>
      </c>
      <c r="AQ69" s="141">
        <v>0</v>
      </c>
      <c r="AR69" s="141">
        <v>0</v>
      </c>
      <c r="AS69" s="141">
        <v>0</v>
      </c>
      <c r="AT69" s="142">
        <v>1.5258969247359799</v>
      </c>
    </row>
    <row r="70" spans="2:46" ht="12" customHeight="1" x14ac:dyDescent="0.25">
      <c r="B70" s="140" t="s">
        <v>37</v>
      </c>
      <c r="C70" s="141" t="s">
        <v>33</v>
      </c>
      <c r="D70" s="141" t="s">
        <v>25</v>
      </c>
      <c r="E70" s="141" t="s">
        <v>25</v>
      </c>
      <c r="F70" s="141" t="s">
        <v>25</v>
      </c>
      <c r="G70" s="141" t="s">
        <v>34</v>
      </c>
      <c r="H70" s="141" t="s">
        <v>79</v>
      </c>
      <c r="I70" s="141" t="s">
        <v>25</v>
      </c>
      <c r="J70" s="141">
        <v>60</v>
      </c>
      <c r="K70" s="141">
        <v>118.89</v>
      </c>
      <c r="L70" s="141">
        <v>1.0912012592579901</v>
      </c>
      <c r="M70" s="141">
        <v>0</v>
      </c>
      <c r="N70" s="141">
        <v>0</v>
      </c>
      <c r="O70" s="141">
        <v>0</v>
      </c>
      <c r="P70" s="141">
        <v>0</v>
      </c>
      <c r="Q70" s="141">
        <v>15.161894453622899</v>
      </c>
      <c r="R70" s="141">
        <v>5.5823020080452004</v>
      </c>
      <c r="S70" s="141">
        <v>0</v>
      </c>
      <c r="T70" s="141">
        <v>5.6267103588854903</v>
      </c>
      <c r="U70" s="141">
        <v>0.73312316043393499</v>
      </c>
      <c r="V70" s="141">
        <v>0</v>
      </c>
      <c r="W70" s="141">
        <v>0</v>
      </c>
      <c r="X70" s="141">
        <v>0</v>
      </c>
      <c r="Y70" s="141">
        <v>0</v>
      </c>
      <c r="Z70" s="141">
        <v>0</v>
      </c>
      <c r="AA70" s="141">
        <v>0</v>
      </c>
      <c r="AB70" s="141">
        <v>0</v>
      </c>
      <c r="AC70" s="141">
        <v>0</v>
      </c>
      <c r="AD70" s="141">
        <v>0</v>
      </c>
      <c r="AE70" s="141">
        <v>10.3092662240491</v>
      </c>
      <c r="AF70" s="141">
        <v>0.83355092496745697</v>
      </c>
      <c r="AG70" s="141">
        <v>20.6613250433121</v>
      </c>
      <c r="AH70" s="141">
        <v>0</v>
      </c>
      <c r="AI70" s="141">
        <v>0.53331219842864797</v>
      </c>
      <c r="AJ70" s="141">
        <v>0</v>
      </c>
      <c r="AK70" s="141">
        <v>0</v>
      </c>
      <c r="AL70" s="141">
        <v>19.8275951015445</v>
      </c>
      <c r="AM70" s="141">
        <v>0</v>
      </c>
      <c r="AN70" s="141">
        <v>96.874521556843604</v>
      </c>
      <c r="AO70" s="141">
        <v>0</v>
      </c>
      <c r="AP70" s="141">
        <v>0</v>
      </c>
      <c r="AQ70" s="141">
        <v>0</v>
      </c>
      <c r="AR70" s="141">
        <v>0</v>
      </c>
      <c r="AS70" s="141">
        <v>0</v>
      </c>
      <c r="AT70" s="142">
        <v>1.65858361384346</v>
      </c>
    </row>
    <row r="71" spans="2:46" ht="12" customHeight="1" x14ac:dyDescent="0.25">
      <c r="B71" s="140" t="s">
        <v>37</v>
      </c>
      <c r="C71" s="141" t="s">
        <v>33</v>
      </c>
      <c r="D71" s="141" t="s">
        <v>25</v>
      </c>
      <c r="E71" s="141" t="s">
        <v>25</v>
      </c>
      <c r="F71" s="141" t="s">
        <v>25</v>
      </c>
      <c r="G71" s="141" t="s">
        <v>36</v>
      </c>
      <c r="H71" s="141" t="s">
        <v>79</v>
      </c>
      <c r="I71" s="141" t="s">
        <v>25</v>
      </c>
      <c r="J71" s="141">
        <v>57.46</v>
      </c>
      <c r="K71" s="141">
        <v>78.34</v>
      </c>
      <c r="L71" s="141">
        <v>1.0912012592579901</v>
      </c>
      <c r="M71" s="141">
        <v>0</v>
      </c>
      <c r="N71" s="141">
        <v>0</v>
      </c>
      <c r="O71" s="141">
        <v>0</v>
      </c>
      <c r="P71" s="141">
        <v>0</v>
      </c>
      <c r="Q71" s="141">
        <v>15.161894453622899</v>
      </c>
      <c r="R71" s="141">
        <v>5.5823020080452004</v>
      </c>
      <c r="S71" s="141">
        <v>0</v>
      </c>
      <c r="T71" s="141">
        <v>3.37602207994978</v>
      </c>
      <c r="U71" s="141">
        <v>0.439874710330595</v>
      </c>
      <c r="V71" s="141">
        <v>0</v>
      </c>
      <c r="W71" s="141">
        <v>0</v>
      </c>
      <c r="X71" s="141">
        <v>0</v>
      </c>
      <c r="Y71" s="141">
        <v>0</v>
      </c>
      <c r="Z71" s="141">
        <v>0</v>
      </c>
      <c r="AA71" s="141">
        <v>0</v>
      </c>
      <c r="AB71" s="141">
        <v>0</v>
      </c>
      <c r="AC71" s="141">
        <v>0</v>
      </c>
      <c r="AD71" s="141">
        <v>0</v>
      </c>
      <c r="AE71" s="141">
        <v>10.3092662240491</v>
      </c>
      <c r="AF71" s="141">
        <v>0.83355092496745697</v>
      </c>
      <c r="AG71" s="141">
        <v>20.6613250433121</v>
      </c>
      <c r="AH71" s="141">
        <v>0</v>
      </c>
      <c r="AI71" s="141">
        <v>0.53331219842864797</v>
      </c>
      <c r="AJ71" s="141">
        <v>0</v>
      </c>
      <c r="AK71" s="141">
        <v>0</v>
      </c>
      <c r="AL71" s="141">
        <v>19.8275951015445</v>
      </c>
      <c r="AM71" s="141">
        <v>0</v>
      </c>
      <c r="AN71" s="141">
        <v>56.322396253978901</v>
      </c>
      <c r="AO71" s="141">
        <v>0</v>
      </c>
      <c r="AP71" s="141">
        <v>0</v>
      </c>
      <c r="AQ71" s="141">
        <v>0</v>
      </c>
      <c r="AR71" s="141">
        <v>0</v>
      </c>
      <c r="AS71" s="141">
        <v>0</v>
      </c>
      <c r="AT71" s="142">
        <v>1.65858361384346</v>
      </c>
    </row>
    <row r="72" spans="2:46" ht="12" customHeight="1" x14ac:dyDescent="0.25">
      <c r="B72" s="140" t="s">
        <v>37</v>
      </c>
      <c r="C72" s="141" t="s">
        <v>33</v>
      </c>
      <c r="D72" s="141" t="s">
        <v>25</v>
      </c>
      <c r="E72" s="141" t="s">
        <v>25</v>
      </c>
      <c r="F72" s="141" t="s">
        <v>25</v>
      </c>
      <c r="G72" s="141" t="s">
        <v>35</v>
      </c>
      <c r="H72" s="141" t="s">
        <v>79</v>
      </c>
      <c r="I72" s="141" t="s">
        <v>25</v>
      </c>
      <c r="J72" s="141">
        <v>54.91</v>
      </c>
      <c r="K72" s="141">
        <v>78.34</v>
      </c>
      <c r="L72" s="141">
        <v>1.0912012592579901</v>
      </c>
      <c r="M72" s="141">
        <v>0</v>
      </c>
      <c r="N72" s="141">
        <v>0</v>
      </c>
      <c r="O72" s="141">
        <v>0</v>
      </c>
      <c r="P72" s="141">
        <v>0</v>
      </c>
      <c r="Q72" s="141">
        <v>15.161894453622899</v>
      </c>
      <c r="R72" s="141">
        <v>5.5823020080452004</v>
      </c>
      <c r="S72" s="141">
        <v>0</v>
      </c>
      <c r="T72" s="141">
        <v>1.1253406933165899</v>
      </c>
      <c r="U72" s="141">
        <v>0.146626260227255</v>
      </c>
      <c r="V72" s="141">
        <v>0</v>
      </c>
      <c r="W72" s="141">
        <v>0</v>
      </c>
      <c r="X72" s="141">
        <v>0</v>
      </c>
      <c r="Y72" s="141">
        <v>0</v>
      </c>
      <c r="Z72" s="141">
        <v>0</v>
      </c>
      <c r="AA72" s="141">
        <v>0</v>
      </c>
      <c r="AB72" s="141">
        <v>0</v>
      </c>
      <c r="AC72" s="141">
        <v>0</v>
      </c>
      <c r="AD72" s="141">
        <v>0</v>
      </c>
      <c r="AE72" s="141">
        <v>10.3092662240491</v>
      </c>
      <c r="AF72" s="141">
        <v>0.83355092496745697</v>
      </c>
      <c r="AG72" s="141">
        <v>20.6613250433121</v>
      </c>
      <c r="AH72" s="141">
        <v>0</v>
      </c>
      <c r="AI72" s="141">
        <v>0.53331219842864797</v>
      </c>
      <c r="AJ72" s="141">
        <v>0</v>
      </c>
      <c r="AK72" s="141">
        <v>0</v>
      </c>
      <c r="AL72" s="141">
        <v>19.8275951015445</v>
      </c>
      <c r="AM72" s="141">
        <v>0</v>
      </c>
      <c r="AN72" s="141">
        <v>56.322396253978901</v>
      </c>
      <c r="AO72" s="141">
        <v>0</v>
      </c>
      <c r="AP72" s="141">
        <v>0</v>
      </c>
      <c r="AQ72" s="141">
        <v>0</v>
      </c>
      <c r="AR72" s="141">
        <v>0</v>
      </c>
      <c r="AS72" s="141">
        <v>0</v>
      </c>
      <c r="AT72" s="142">
        <v>1.65858361384346</v>
      </c>
    </row>
    <row r="73" spans="2:46" ht="12" customHeight="1" x14ac:dyDescent="0.25">
      <c r="B73" s="140" t="s">
        <v>37</v>
      </c>
      <c r="C73" s="141" t="s">
        <v>23</v>
      </c>
      <c r="D73" s="141" t="s">
        <v>25</v>
      </c>
      <c r="E73" s="141" t="s">
        <v>25</v>
      </c>
      <c r="F73" s="141" t="s">
        <v>25</v>
      </c>
      <c r="G73" s="141" t="s">
        <v>25</v>
      </c>
      <c r="H73" s="141" t="s">
        <v>79</v>
      </c>
      <c r="I73" s="141" t="s">
        <v>25</v>
      </c>
      <c r="J73" s="141">
        <v>55.6</v>
      </c>
      <c r="K73" s="141">
        <v>81.72</v>
      </c>
      <c r="L73" s="141">
        <v>1.0912012592579901</v>
      </c>
      <c r="M73" s="141">
        <v>0</v>
      </c>
      <c r="N73" s="141">
        <v>0</v>
      </c>
      <c r="O73" s="141">
        <v>0</v>
      </c>
      <c r="P73" s="141">
        <v>0</v>
      </c>
      <c r="Q73" s="141">
        <v>15.161894453622899</v>
      </c>
      <c r="R73" s="141">
        <v>5.5823020080452004</v>
      </c>
      <c r="S73" s="141">
        <v>0</v>
      </c>
      <c r="T73" s="141">
        <v>1.73129125362476</v>
      </c>
      <c r="U73" s="141">
        <v>0.22557479153691401</v>
      </c>
      <c r="V73" s="141">
        <v>0</v>
      </c>
      <c r="W73" s="141">
        <v>0</v>
      </c>
      <c r="X73" s="141">
        <v>0</v>
      </c>
      <c r="Y73" s="141">
        <v>0</v>
      </c>
      <c r="Z73" s="141">
        <v>0</v>
      </c>
      <c r="AA73" s="141">
        <v>0</v>
      </c>
      <c r="AB73" s="141">
        <v>0</v>
      </c>
      <c r="AC73" s="141">
        <v>0</v>
      </c>
      <c r="AD73" s="141">
        <v>0</v>
      </c>
      <c r="AE73" s="141">
        <v>10.3092662240491</v>
      </c>
      <c r="AF73" s="141">
        <v>0.83355092496745697</v>
      </c>
      <c r="AG73" s="141">
        <v>20.6613250433121</v>
      </c>
      <c r="AH73" s="141">
        <v>0</v>
      </c>
      <c r="AI73" s="141">
        <v>0.53331219842864797</v>
      </c>
      <c r="AJ73" s="141">
        <v>0</v>
      </c>
      <c r="AK73" s="141">
        <v>0</v>
      </c>
      <c r="AL73" s="141">
        <v>19.8275951015445</v>
      </c>
      <c r="AM73" s="141">
        <v>0</v>
      </c>
      <c r="AN73" s="141">
        <v>59.701740029217603</v>
      </c>
      <c r="AO73" s="141">
        <v>0</v>
      </c>
      <c r="AP73" s="141">
        <v>0</v>
      </c>
      <c r="AQ73" s="141">
        <v>0</v>
      </c>
      <c r="AR73" s="141">
        <v>0</v>
      </c>
      <c r="AS73" s="141">
        <v>0</v>
      </c>
      <c r="AT73" s="142">
        <v>1.65858361384346</v>
      </c>
    </row>
    <row r="74" spans="2:46" ht="12" customHeight="1" x14ac:dyDescent="0.25">
      <c r="B74" s="140" t="s">
        <v>37</v>
      </c>
      <c r="C74" s="141" t="s">
        <v>92</v>
      </c>
      <c r="D74" s="141" t="s">
        <v>25</v>
      </c>
      <c r="E74" s="141" t="s">
        <v>25</v>
      </c>
      <c r="F74" s="141" t="s">
        <v>25</v>
      </c>
      <c r="G74" s="141" t="s">
        <v>25</v>
      </c>
      <c r="H74" s="141" t="s">
        <v>79</v>
      </c>
      <c r="I74" s="141" t="s">
        <v>25</v>
      </c>
      <c r="J74" s="141">
        <v>55.6</v>
      </c>
      <c r="K74" s="141">
        <v>81.72</v>
      </c>
      <c r="L74" s="141">
        <v>1.0912012592579901</v>
      </c>
      <c r="M74" s="141">
        <v>0</v>
      </c>
      <c r="N74" s="141">
        <v>0</v>
      </c>
      <c r="O74" s="141">
        <v>0</v>
      </c>
      <c r="P74" s="141">
        <v>0</v>
      </c>
      <c r="Q74" s="141">
        <v>15.161894453622899</v>
      </c>
      <c r="R74" s="141">
        <v>5.5823020080452004</v>
      </c>
      <c r="S74" s="141">
        <v>0</v>
      </c>
      <c r="T74" s="141">
        <v>1.73129125362476</v>
      </c>
      <c r="U74" s="141">
        <v>0.22557479153691401</v>
      </c>
      <c r="V74" s="141">
        <v>0</v>
      </c>
      <c r="W74" s="141">
        <v>0</v>
      </c>
      <c r="X74" s="141">
        <v>0</v>
      </c>
      <c r="Y74" s="141">
        <v>0</v>
      </c>
      <c r="Z74" s="141">
        <v>0</v>
      </c>
      <c r="AA74" s="141">
        <v>0</v>
      </c>
      <c r="AB74" s="141">
        <v>0</v>
      </c>
      <c r="AC74" s="141">
        <v>0</v>
      </c>
      <c r="AD74" s="141">
        <v>0</v>
      </c>
      <c r="AE74" s="141">
        <v>10.3092662240491</v>
      </c>
      <c r="AF74" s="141">
        <v>0.83355092496745697</v>
      </c>
      <c r="AG74" s="141">
        <v>20.6613250433121</v>
      </c>
      <c r="AH74" s="141">
        <v>0</v>
      </c>
      <c r="AI74" s="141">
        <v>0.53331219842864797</v>
      </c>
      <c r="AJ74" s="141">
        <v>0</v>
      </c>
      <c r="AK74" s="141">
        <v>0</v>
      </c>
      <c r="AL74" s="141">
        <v>19.8275951015445</v>
      </c>
      <c r="AM74" s="141">
        <v>0</v>
      </c>
      <c r="AN74" s="141">
        <v>59.701740029217603</v>
      </c>
      <c r="AO74" s="141">
        <v>0</v>
      </c>
      <c r="AP74" s="141">
        <v>0</v>
      </c>
      <c r="AQ74" s="141">
        <v>0</v>
      </c>
      <c r="AR74" s="141">
        <v>0</v>
      </c>
      <c r="AS74" s="141">
        <v>0</v>
      </c>
      <c r="AT74" s="142">
        <v>1.65858361384346</v>
      </c>
    </row>
    <row r="75" spans="2:46" ht="12" customHeight="1" x14ac:dyDescent="0.25">
      <c r="B75" s="140" t="s">
        <v>48</v>
      </c>
      <c r="C75" s="141" t="s">
        <v>23</v>
      </c>
      <c r="D75" s="141" t="s">
        <v>49</v>
      </c>
      <c r="E75" s="141" t="s">
        <v>50</v>
      </c>
      <c r="F75" s="141" t="s">
        <v>25</v>
      </c>
      <c r="G75" s="141" t="s">
        <v>25</v>
      </c>
      <c r="H75" s="141" t="s">
        <v>79</v>
      </c>
      <c r="I75" s="141" t="s">
        <v>25</v>
      </c>
      <c r="J75" s="141">
        <v>30.58</v>
      </c>
      <c r="K75" s="141">
        <v>44.95</v>
      </c>
      <c r="L75" s="141">
        <v>0.60016069259189597</v>
      </c>
      <c r="M75" s="141">
        <v>0</v>
      </c>
      <c r="N75" s="141">
        <v>0</v>
      </c>
      <c r="O75" s="141">
        <v>0</v>
      </c>
      <c r="P75" s="141">
        <v>0</v>
      </c>
      <c r="Q75" s="141">
        <v>8.3390419494926107</v>
      </c>
      <c r="R75" s="141">
        <v>3.07026610442486</v>
      </c>
      <c r="S75" s="141">
        <v>0</v>
      </c>
      <c r="T75" s="141">
        <v>0.95221018949361602</v>
      </c>
      <c r="U75" s="141">
        <v>0.124066135345303</v>
      </c>
      <c r="V75" s="141">
        <v>0</v>
      </c>
      <c r="W75" s="141">
        <v>0</v>
      </c>
      <c r="X75" s="141">
        <v>0</v>
      </c>
      <c r="Y75" s="141">
        <v>0</v>
      </c>
      <c r="Z75" s="141">
        <v>0</v>
      </c>
      <c r="AA75" s="141">
        <v>0</v>
      </c>
      <c r="AB75" s="141">
        <v>0</v>
      </c>
      <c r="AC75" s="141">
        <v>0</v>
      </c>
      <c r="AD75" s="141">
        <v>0</v>
      </c>
      <c r="AE75" s="141">
        <v>5.6700964232270099</v>
      </c>
      <c r="AF75" s="141">
        <v>0.45845300873210099</v>
      </c>
      <c r="AG75" s="141">
        <v>11.363728773821601</v>
      </c>
      <c r="AH75" s="141">
        <v>0</v>
      </c>
      <c r="AI75" s="141">
        <v>0.293321709135756</v>
      </c>
      <c r="AJ75" s="141">
        <v>0</v>
      </c>
      <c r="AK75" s="141">
        <v>0</v>
      </c>
      <c r="AL75" s="141">
        <v>10.905177305849501</v>
      </c>
      <c r="AM75" s="141">
        <v>0</v>
      </c>
      <c r="AN75" s="141">
        <v>32.835957016069699</v>
      </c>
      <c r="AO75" s="141">
        <v>0</v>
      </c>
      <c r="AP75" s="141">
        <v>0</v>
      </c>
      <c r="AQ75" s="141">
        <v>0</v>
      </c>
      <c r="AR75" s="141">
        <v>0</v>
      </c>
      <c r="AS75" s="141">
        <v>0</v>
      </c>
      <c r="AT75" s="142">
        <v>0.91222098761390102</v>
      </c>
    </row>
    <row r="76" spans="2:46" ht="12" customHeight="1" x14ac:dyDescent="0.25">
      <c r="B76" s="143" t="s">
        <v>48</v>
      </c>
      <c r="C76" s="144" t="s">
        <v>23</v>
      </c>
      <c r="D76" s="144" t="s">
        <v>49</v>
      </c>
      <c r="E76" s="144" t="s">
        <v>95</v>
      </c>
      <c r="F76" s="144" t="s">
        <v>25</v>
      </c>
      <c r="G76" s="144" t="s">
        <v>25</v>
      </c>
      <c r="H76" s="144" t="s">
        <v>79</v>
      </c>
      <c r="I76" s="144" t="s">
        <v>25</v>
      </c>
      <c r="J76" s="144">
        <v>33.36</v>
      </c>
      <c r="K76" s="144">
        <v>49.03</v>
      </c>
      <c r="L76" s="144">
        <v>0.65472075555479603</v>
      </c>
      <c r="M76" s="144">
        <v>0</v>
      </c>
      <c r="N76" s="144">
        <v>0</v>
      </c>
      <c r="O76" s="144">
        <v>0</v>
      </c>
      <c r="P76" s="144">
        <v>0</v>
      </c>
      <c r="Q76" s="144">
        <v>9.0971366721737503</v>
      </c>
      <c r="R76" s="144">
        <v>3.3493812048271199</v>
      </c>
      <c r="S76" s="144">
        <v>0</v>
      </c>
      <c r="T76" s="144">
        <v>1.03877475217485</v>
      </c>
      <c r="U76" s="144">
        <v>0.135344874922149</v>
      </c>
      <c r="V76" s="144">
        <v>0</v>
      </c>
      <c r="W76" s="144">
        <v>0</v>
      </c>
      <c r="X76" s="144">
        <v>0</v>
      </c>
      <c r="Y76" s="144">
        <v>0</v>
      </c>
      <c r="Z76" s="144">
        <v>0</v>
      </c>
      <c r="AA76" s="144">
        <v>0</v>
      </c>
      <c r="AB76" s="144">
        <v>0</v>
      </c>
      <c r="AC76" s="144">
        <v>0</v>
      </c>
      <c r="AD76" s="144">
        <v>0</v>
      </c>
      <c r="AE76" s="144">
        <v>6.1855597344294697</v>
      </c>
      <c r="AF76" s="144">
        <v>0.50013055498047398</v>
      </c>
      <c r="AG76" s="144">
        <v>12.396795025987201</v>
      </c>
      <c r="AH76" s="144">
        <v>0</v>
      </c>
      <c r="AI76" s="144">
        <v>0.31998731905718902</v>
      </c>
      <c r="AJ76" s="144">
        <v>0</v>
      </c>
      <c r="AK76" s="144">
        <v>0</v>
      </c>
      <c r="AL76" s="144">
        <v>11.8965570609267</v>
      </c>
      <c r="AM76" s="144">
        <v>0</v>
      </c>
      <c r="AN76" s="144">
        <v>35.821044017530603</v>
      </c>
      <c r="AO76" s="144">
        <v>0</v>
      </c>
      <c r="AP76" s="144">
        <v>0</v>
      </c>
      <c r="AQ76" s="144">
        <v>0</v>
      </c>
      <c r="AR76" s="144">
        <v>0</v>
      </c>
      <c r="AS76" s="144">
        <v>0</v>
      </c>
      <c r="AT76" s="145">
        <v>0.99515016830607395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2022-12-06T13:42:34Z</dcterms:created>
  <dcterms:modified xsi:type="dcterms:W3CDTF">2022-12-09T13:50:41Z</dcterms:modified>
</cp:coreProperties>
</file>